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codeName="ThisWorkbook"/>
  <mc:AlternateContent xmlns:mc="http://schemas.openxmlformats.org/markup-compatibility/2006">
    <mc:Choice Requires="x15">
      <x15ac:absPath xmlns:x15ac="http://schemas.microsoft.com/office/spreadsheetml/2010/11/ac" url="D:\Gaurav\Sep 25\DUMP\"/>
    </mc:Choice>
  </mc:AlternateContent>
  <xr:revisionPtr revIDLastSave="0" documentId="13_ncr:1_{0BFAEF54-389D-4189-9431-43A3F03ACE18}" xr6:coauthVersionLast="36" xr6:coauthVersionMax="47" xr10:uidLastSave="{00000000-0000-0000-0000-000000000000}"/>
  <bookViews>
    <workbookView xWindow="0" yWindow="0" windowWidth="20490" windowHeight="6825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Report!$A$1:$H$392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9" i="1" l="1"/>
  <c r="G119" i="1"/>
  <c r="C119" i="1"/>
  <c r="D223" i="1" l="1"/>
  <c r="D215" i="1" l="1"/>
  <c r="F215" i="1" s="1"/>
  <c r="D218" i="1"/>
  <c r="F218" i="1" s="1"/>
  <c r="D217" i="1"/>
  <c r="F217" i="1" s="1"/>
  <c r="D216" i="1"/>
  <c r="F216" i="1" s="1"/>
  <c r="A216" i="1"/>
  <c r="A217" i="1" s="1"/>
  <c r="A218" i="1" s="1"/>
  <c r="G215" i="1"/>
  <c r="D212" i="1"/>
  <c r="F212" i="1" s="1"/>
  <c r="D211" i="1"/>
  <c r="F211" i="1" s="1"/>
  <c r="D210" i="1"/>
  <c r="F210" i="1" s="1"/>
  <c r="D213" i="1"/>
  <c r="F213" i="1" s="1"/>
  <c r="A211" i="1"/>
  <c r="A212" i="1" s="1"/>
  <c r="A213" i="1" s="1"/>
  <c r="G210" i="1"/>
  <c r="D208" i="1"/>
  <c r="F208" i="1" s="1"/>
  <c r="D207" i="1"/>
  <c r="F207" i="1" s="1"/>
  <c r="D206" i="1"/>
  <c r="F206" i="1" s="1"/>
  <c r="A206" i="1"/>
  <c r="A207" i="1" s="1"/>
  <c r="A208" i="1" s="1"/>
  <c r="G205" i="1"/>
  <c r="D202" i="1"/>
  <c r="F202" i="1" s="1"/>
  <c r="D200" i="1"/>
  <c r="F200" i="1" s="1"/>
  <c r="D203" i="1"/>
  <c r="F203" i="1" s="1"/>
  <c r="D201" i="1"/>
  <c r="F201" i="1" s="1"/>
  <c r="A201" i="1"/>
  <c r="A202" i="1" s="1"/>
  <c r="A203" i="1" s="1"/>
  <c r="G200" i="1"/>
  <c r="D198" i="1"/>
  <c r="F198" i="1" s="1"/>
  <c r="D197" i="1"/>
  <c r="F197" i="1" s="1"/>
  <c r="D196" i="1"/>
  <c r="F196" i="1" s="1"/>
  <c r="A196" i="1"/>
  <c r="A197" i="1" s="1"/>
  <c r="A198" i="1" s="1"/>
  <c r="G195" i="1"/>
  <c r="D195" i="1"/>
  <c r="F195" i="1" s="1"/>
  <c r="D190" i="1"/>
  <c r="F190" i="1" s="1"/>
  <c r="D193" i="1"/>
  <c r="F193" i="1" s="1"/>
  <c r="D192" i="1"/>
  <c r="F192" i="1" s="1"/>
  <c r="D191" i="1"/>
  <c r="F191" i="1" s="1"/>
  <c r="A191" i="1"/>
  <c r="A192" i="1" s="1"/>
  <c r="A193" i="1" s="1"/>
  <c r="G190" i="1"/>
  <c r="D188" i="1"/>
  <c r="D186" i="1"/>
  <c r="D185" i="1"/>
  <c r="D177" i="1"/>
  <c r="D176" i="1"/>
  <c r="D175" i="1"/>
  <c r="D173" i="1"/>
  <c r="D172" i="1"/>
  <c r="D171" i="1"/>
  <c r="D167" i="1"/>
  <c r="F167" i="1" s="1"/>
  <c r="D166" i="1"/>
  <c r="D236" i="1"/>
  <c r="F236" i="1" s="1"/>
  <c r="D235" i="1"/>
  <c r="F235" i="1" s="1"/>
  <c r="D234" i="1"/>
  <c r="F234" i="1" s="1"/>
  <c r="D232" i="1"/>
  <c r="F232" i="1" s="1"/>
  <c r="D231" i="1"/>
  <c r="F231" i="1" s="1"/>
  <c r="A235" i="1"/>
  <c r="A232" i="1"/>
  <c r="A233" i="1" s="1"/>
  <c r="G231" i="1"/>
  <c r="D226" i="1"/>
  <c r="F226" i="1" s="1"/>
  <c r="F223" i="1"/>
  <c r="G223" i="1"/>
  <c r="I223" i="1"/>
  <c r="A224" i="1"/>
  <c r="A225" i="1" s="1"/>
  <c r="D224" i="1"/>
  <c r="F224" i="1" s="1"/>
  <c r="D225" i="1"/>
  <c r="F225" i="1" s="1"/>
  <c r="D163" i="1"/>
  <c r="F163" i="1" s="1"/>
  <c r="D161" i="1"/>
  <c r="F161" i="1" s="1"/>
  <c r="A161" i="1"/>
  <c r="A162" i="1" s="1"/>
  <c r="A163" i="1" s="1"/>
  <c r="G160" i="1"/>
  <c r="D160" i="1"/>
  <c r="F160" i="1" s="1"/>
  <c r="D151" i="1"/>
  <c r="F151" i="1" s="1"/>
  <c r="D150" i="1"/>
  <c r="F150" i="1" s="1"/>
  <c r="D149" i="1"/>
  <c r="D148" i="1"/>
  <c r="D146" i="1"/>
  <c r="F146" i="1" s="1"/>
  <c r="D145" i="1"/>
  <c r="F145" i="1" s="1"/>
  <c r="D136" i="1"/>
  <c r="G117" i="1" l="1"/>
  <c r="C112" i="1"/>
  <c r="E117" i="1"/>
  <c r="E112" i="1"/>
  <c r="C117" i="1"/>
  <c r="F149" i="1"/>
  <c r="L96" i="1"/>
  <c r="B240" i="1" l="1"/>
  <c r="L98" i="1" l="1"/>
  <c r="D144" i="1"/>
  <c r="D143" i="1"/>
  <c r="D142" i="1"/>
  <c r="D141" i="1"/>
  <c r="D140" i="1"/>
  <c r="D139" i="1"/>
  <c r="D138" i="1"/>
  <c r="D135" i="1"/>
  <c r="D134" i="1"/>
  <c r="D133" i="1"/>
  <c r="D132" i="1"/>
  <c r="D131" i="1"/>
  <c r="D130" i="1"/>
  <c r="D129" i="1"/>
  <c r="D128" i="1"/>
  <c r="D127" i="1"/>
  <c r="D126" i="1"/>
  <c r="F188" i="1"/>
  <c r="D187" i="1"/>
  <c r="F187" i="1" s="1"/>
  <c r="F186" i="1"/>
  <c r="F185" i="1"/>
  <c r="D183" i="1"/>
  <c r="F183" i="1" s="1"/>
  <c r="D182" i="1"/>
  <c r="D181" i="1"/>
  <c r="F181" i="1" s="1"/>
  <c r="D178" i="1"/>
  <c r="F178" i="1" s="1"/>
  <c r="F177" i="1"/>
  <c r="F176" i="1"/>
  <c r="F175" i="1"/>
  <c r="F173" i="1"/>
  <c r="F172" i="1"/>
  <c r="F171" i="1"/>
  <c r="D170" i="1"/>
  <c r="F170" i="1" s="1"/>
  <c r="D168" i="1"/>
  <c r="F168" i="1" s="1"/>
  <c r="F166" i="1"/>
  <c r="D165" i="1"/>
  <c r="J164" i="1"/>
  <c r="A186" i="1"/>
  <c r="A187" i="1" s="1"/>
  <c r="A188" i="1" s="1"/>
  <c r="G185" i="1"/>
  <c r="F182" i="1"/>
  <c r="A181" i="1"/>
  <c r="A182" i="1" s="1"/>
  <c r="A183" i="1" s="1"/>
  <c r="G180" i="1"/>
  <c r="A176" i="1"/>
  <c r="A177" i="1" s="1"/>
  <c r="A178" i="1" s="1"/>
  <c r="G175" i="1"/>
  <c r="A171" i="1"/>
  <c r="A172" i="1" s="1"/>
  <c r="A173" i="1" s="1"/>
  <c r="G170" i="1"/>
  <c r="A166" i="1"/>
  <c r="A167" i="1" s="1"/>
  <c r="A168" i="1" s="1"/>
  <c r="G165" i="1"/>
  <c r="E116" i="1" l="1"/>
  <c r="C116" i="1"/>
  <c r="E111" i="1"/>
  <c r="C111" i="1"/>
  <c r="F165" i="1"/>
  <c r="G116" i="1" s="1"/>
  <c r="J148" i="1"/>
  <c r="G148" i="1"/>
  <c r="F148" i="1"/>
  <c r="G112" i="1" s="1"/>
  <c r="F134" i="1"/>
  <c r="F143" i="1"/>
  <c r="F144" i="1"/>
  <c r="F138" i="1"/>
  <c r="F136" i="1"/>
  <c r="F141" i="1"/>
  <c r="F139" i="1"/>
  <c r="C15" i="1"/>
  <c r="C118" i="1" l="1"/>
  <c r="C113" i="1"/>
  <c r="E118" i="1"/>
  <c r="E113" i="1"/>
  <c r="G118" i="1"/>
  <c r="F130" i="1"/>
  <c r="F132" i="1"/>
  <c r="F131" i="1"/>
  <c r="F135" i="1"/>
  <c r="F133" i="1"/>
  <c r="F140" i="1"/>
  <c r="F142" i="1"/>
  <c r="E30" i="1"/>
  <c r="F108" i="1" l="1"/>
  <c r="F127" i="1" l="1"/>
  <c r="F128" i="1"/>
  <c r="F129" i="1"/>
  <c r="F126" i="1"/>
  <c r="G111" i="1" s="1"/>
  <c r="G113" i="1" l="1"/>
  <c r="B239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65" i="1"/>
  <c r="A137" i="1"/>
  <c r="A138" i="1" s="1"/>
  <c r="A139" i="1" s="1"/>
  <c r="A140" i="1" s="1"/>
  <c r="A141" i="1" s="1"/>
  <c r="A142" i="1" s="1"/>
  <c r="A143" i="1" s="1"/>
  <c r="A144" i="1" s="1"/>
  <c r="G126" i="1"/>
  <c r="J92" i="1"/>
  <c r="J91" i="1"/>
  <c r="J90" i="1"/>
  <c r="J89" i="1"/>
  <c r="C81" i="1"/>
  <c r="J78" i="1"/>
  <c r="J77" i="1"/>
  <c r="J76" i="1"/>
  <c r="J75" i="1"/>
  <c r="C67" i="1"/>
  <c r="D55" i="1"/>
  <c r="G50" i="1"/>
  <c r="C50" i="1"/>
  <c r="E43" i="1"/>
  <c r="E44" i="1" s="1"/>
  <c r="E27" i="1"/>
  <c r="E25" i="1"/>
  <c r="E7" i="1"/>
  <c r="E3" i="1"/>
  <c r="I61" i="1" s="1"/>
  <c r="H68" i="1"/>
  <c r="H82" i="1"/>
  <c r="D92" i="1" l="1"/>
  <c r="D93" i="1"/>
  <c r="D94" i="1"/>
  <c r="D88" i="1"/>
  <c r="D89" i="1"/>
  <c r="D90" i="1"/>
  <c r="D91" i="1"/>
  <c r="J81" i="1"/>
  <c r="J83" i="1" s="1"/>
  <c r="D80" i="1"/>
  <c r="I67" i="1" s="1"/>
  <c r="D78" i="1"/>
  <c r="D77" i="1"/>
  <c r="D76" i="1"/>
  <c r="D74" i="1"/>
  <c r="J67" i="1"/>
  <c r="D79" i="1"/>
  <c r="D75" i="1"/>
  <c r="J71" i="1"/>
  <c r="J72" i="1"/>
  <c r="C71" i="1" s="1"/>
  <c r="J70" i="1"/>
  <c r="J73" i="1"/>
  <c r="J74" i="1" s="1"/>
  <c r="J79" i="1" s="1"/>
  <c r="J87" i="1"/>
  <c r="J88" i="1" s="1"/>
  <c r="J93" i="1" s="1"/>
  <c r="J85" i="1"/>
  <c r="J86" i="1"/>
  <c r="C85" i="1" s="1"/>
  <c r="J84" i="1"/>
  <c r="J94" i="1" l="1"/>
  <c r="C86" i="1" s="1"/>
  <c r="E85" i="1" s="1"/>
  <c r="J80" i="1"/>
  <c r="D72" i="1"/>
  <c r="D87" i="1"/>
  <c r="D73" i="1"/>
  <c r="J69" i="1"/>
  <c r="D71" i="1"/>
  <c r="D85" i="1"/>
  <c r="G85" i="1" l="1"/>
  <c r="D65" i="1" s="1"/>
  <c r="G71" i="1"/>
  <c r="J82" i="1"/>
  <c r="D86" i="1"/>
  <c r="I82" i="1" s="1"/>
  <c r="E71" i="1"/>
  <c r="I68" i="1"/>
  <c r="J68" i="1"/>
  <c r="D66" i="1" l="1"/>
  <c r="F66" i="1"/>
  <c r="I69" i="1"/>
  <c r="C69" i="1" s="1"/>
  <c r="I83" i="1"/>
  <c r="I81" i="1" s="1"/>
  <c r="C83" i="1" l="1"/>
</calcChain>
</file>

<file path=xl/sharedStrings.xml><?xml version="1.0" encoding="utf-8"?>
<sst xmlns="http://schemas.openxmlformats.org/spreadsheetml/2006/main" count="383" uniqueCount="265">
  <si>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</si>
  <si>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</si>
  <si>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</si>
  <si>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</si>
  <si>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</si>
  <si>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</si>
  <si>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</si>
  <si>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</si>
  <si>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</si>
  <si>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</si>
  <si>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</si>
  <si>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</si>
  <si>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</si>
  <si>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</si>
  <si>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</si>
  <si>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</si>
  <si>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</si>
  <si>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</si>
  <si>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</si>
  <si>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</si>
  <si>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</si>
  <si>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</si>
  <si>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</si>
  <si>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</si>
  <si>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</si>
  <si>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</si>
  <si>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</si>
  <si>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</si>
  <si>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</si>
  <si>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</si>
  <si>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</si>
  <si>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</si>
  <si>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</si>
  <si>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</si>
  <si>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</si>
  <si>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</si>
  <si>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</si>
  <si>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</si>
  <si>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</si>
  <si>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</si>
  <si>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</si>
  <si>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</si>
  <si>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</si>
  <si>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</si>
  <si>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</si>
  <si>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</si>
  <si>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</si>
  <si>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</si>
  <si>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</si>
  <si>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</si>
  <si>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</si>
  <si>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</si>
  <si>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</si>
  <si>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</si>
  <si>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</si>
  <si>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</si>
  <si>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</si>
  <si>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</si>
  <si>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</si>
  <si>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</si>
  <si>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</si>
  <si>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</si>
  <si>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</si>
  <si>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</si>
  <si>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</si>
  <si>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</si>
  <si>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</si>
  <si>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</si>
  <si>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</si>
  <si>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</si>
  <si>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</si>
  <si>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</si>
  <si>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</si>
  <si>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</si>
  <si>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</si>
  <si>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</si>
  <si>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</si>
  <si>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</si>
  <si>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</si>
  <si>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</si>
  <si>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</si>
  <si>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</si>
  <si>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</si>
  <si>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</si>
  <si>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</si>
  <si>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</si>
  <si>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</si>
  <si>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</si>
  <si>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</si>
  <si>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</si>
  <si>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</si>
  <si>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</si>
  <si>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</si>
  <si>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</si>
  <si>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</si>
  <si>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</si>
  <si>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</si>
  <si>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</si>
  <si>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</si>
  <si>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</si>
  <si>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</si>
  <si>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</si>
  <si>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</si>
  <si>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</si>
  <si>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</si>
  <si>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</si>
  <si>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</si>
  <si>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</si>
  <si>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</si>
  <si>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</si>
  <si>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Approved Plans, CC, Sale Plans, Builder Saleable Area, Cost Sheet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</si>
  <si>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</si>
  <si>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</si>
  <si>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</si>
  <si>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</si>
  <si>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</si>
  <si>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</si>
  <si>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</si>
  <si>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</si>
  <si>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</si>
  <si>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</si>
  <si>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</si>
  <si>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</si>
  <si>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</si>
  <si>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</si>
  <si>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</si>
  <si>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</si>
  <si>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</si>
  <si>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</si>
  <si>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</si>
  <si>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</si>
  <si>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</si>
  <si>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</si>
  <si>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</si>
  <si>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</si>
  <si>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</si>
  <si>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</si>
  <si>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</si>
  <si>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</si>
  <si>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</si>
  <si>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</si>
  <si>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</si>
  <si>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</si>
  <si>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</si>
  <si>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</si>
  <si>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</si>
  <si>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</si>
  <si>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</si>
  <si>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</si>
  <si>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</si>
  <si>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</si>
  <si>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</si>
  <si>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</si>
  <si>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</si>
  <si>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</si>
  <si>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</si>
  <si>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</si>
  <si>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</si>
  <si>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</si>
  <si>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</si>
  <si>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</si>
  <si>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</si>
  <si>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</si>
  <si>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</si>
  <si>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</si>
  <si>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</si>
  <si>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</si>
  <si>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</si>
  <si>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</si>
  <si>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</si>
  <si>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</si>
  <si>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</si>
  <si>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</si>
  <si>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</si>
  <si>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</si>
  <si>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Axis Goregaon</t>
  </si>
  <si>
    <t>Sheetal Usha</t>
  </si>
  <si>
    <t>8080858585/ 02292771542/ 02229271544</t>
  </si>
  <si>
    <t>Wing A &amp; B</t>
  </si>
  <si>
    <t>CTS No</t>
  </si>
  <si>
    <t>9/10A &amp; Existing Building Name - Usha Jankalyan Nagar Co-operative Housing Society Ltd</t>
  </si>
  <si>
    <t>Name of the Existing Building</t>
  </si>
  <si>
    <t>Usha Jankalyan Nagar Co-operative Housing Society Ltd</t>
  </si>
  <si>
    <t>Jankalyan Nagar</t>
  </si>
  <si>
    <t>Internal Road</t>
  </si>
  <si>
    <t>Malvani</t>
  </si>
  <si>
    <t>Mumbai</t>
  </si>
  <si>
    <t>Malad West</t>
  </si>
  <si>
    <t>https://goo.gl/maps/XXrHLQzzbdJeT8HM9</t>
  </si>
  <si>
    <t>Aquarius Taurus chs</t>
  </si>
  <si>
    <t>Bhoomi Park Phase 3</t>
  </si>
  <si>
    <t>Nisha Jankalyan Nagar Chs</t>
  </si>
  <si>
    <t>5.2KM from Malad Railway Station</t>
  </si>
  <si>
    <t>2 Wings</t>
  </si>
  <si>
    <t>Wing A + B</t>
  </si>
  <si>
    <t>Shop</t>
  </si>
  <si>
    <t>doubt</t>
  </si>
  <si>
    <t>P51800045746</t>
  </si>
  <si>
    <t>D G Land Developers Private Limited</t>
  </si>
  <si>
    <t>As per RERA - 29/04/2027</t>
  </si>
  <si>
    <t>Wing A</t>
  </si>
  <si>
    <t>5th Floor</t>
  </si>
  <si>
    <t>6th Floor</t>
  </si>
  <si>
    <t>7th Floor (Part Refuge Area)</t>
  </si>
  <si>
    <t>Refuge Area</t>
  </si>
  <si>
    <t>8th Floor</t>
  </si>
  <si>
    <t>Wing B</t>
  </si>
  <si>
    <t>1st Podium Floor for Part Parking</t>
  </si>
  <si>
    <t>as per visitor sheet</t>
  </si>
  <si>
    <t>PHOTOS</t>
  </si>
  <si>
    <t>Visitor 21500</t>
  </si>
  <si>
    <t>mis</t>
  </si>
  <si>
    <t>online</t>
  </si>
  <si>
    <t>Kids Fun Area, Multipurpose Turf, Fitness centre, Board Games Area, Party Halls, Hangout Gazebos, Jogging Track, Pargola Seating, Meditation Area, Senior Citizen Seating.</t>
  </si>
  <si>
    <t>Municipal Corporation of Greater Mumbai (MCGM)</t>
  </si>
  <si>
    <t>Wing A = G + 3P + 4th to 21st Floor</t>
  </si>
  <si>
    <t>Wing B = G + 3P + 4th to 21st Floor</t>
  </si>
  <si>
    <t>We considered Gross carpet area = Net carpet.</t>
  </si>
  <si>
    <t>Layout Plan :</t>
  </si>
  <si>
    <t>Ground Floor For Commercial &amp; Parking</t>
  </si>
  <si>
    <t>Ground Floor for Parking</t>
  </si>
  <si>
    <t>Cross Beam (Void)</t>
  </si>
  <si>
    <t>rate sheet</t>
  </si>
  <si>
    <t>Ground Floor Commercial Units will be sold as bare shell units and construction work of bareshell units are completed.</t>
  </si>
  <si>
    <t>1st Podium Floor Commercial units will be sold as bare shell units and construction work of 1st Podium Floor are completed upto RCC, Brickwork &amp; Internal Plaster i.e Façade Work is pending. It can be considered as 90% construction work of 1st Podium Floor is completed.</t>
  </si>
  <si>
    <t>P-9058/2021/(9/10A)/P/N
Ward/MALVANI</t>
  </si>
  <si>
    <t>P-9058/2021/(9/10A)/P/N
Ward/MALVANI/FCC/1/Amend</t>
  </si>
  <si>
    <t>Commercial Entry Lobby</t>
  </si>
  <si>
    <t>Business Office</t>
  </si>
  <si>
    <t>1st Floor for Commercial &amp; Parking</t>
  </si>
  <si>
    <t>2nd Podium Floor for Parking &amp; Fitness Center (E-Deck Floor)</t>
  </si>
  <si>
    <t>3rd Floor for Residential</t>
  </si>
  <si>
    <t>1BHK</t>
  </si>
  <si>
    <t>Wing C</t>
  </si>
  <si>
    <t>1st &amp; 2nd Podium Floor For Parking</t>
  </si>
  <si>
    <t>2BHK</t>
  </si>
  <si>
    <t>Entrance Lobby</t>
  </si>
  <si>
    <t>4th Floor</t>
  </si>
  <si>
    <t>3BHK</t>
  </si>
  <si>
    <t>9th &amp; 10th Floor</t>
  </si>
  <si>
    <t>11th Floor</t>
  </si>
  <si>
    <t>12th &amp; 13th Floor</t>
  </si>
  <si>
    <t>14th Floor (Part Refuge Area)</t>
  </si>
  <si>
    <t>15th Floor</t>
  </si>
  <si>
    <t>16th to 21st Floor</t>
  </si>
  <si>
    <t>Office</t>
  </si>
  <si>
    <t>Visitor</t>
  </si>
  <si>
    <t>Flats - 77, Shops - 18, Office - 06</t>
  </si>
  <si>
    <t>Sale/Rehab statement is not provided along with the approved floor plans.</t>
  </si>
  <si>
    <t>Wing A = Gr/Stilt + 2P + 3rd to 21st Floor
Wing B = Gr/Stilt + 2P + 3rd Floor</t>
  </si>
  <si>
    <t>We have updated latest approved floor plans &amp; CC from MCGM site (On 24/04/2023).</t>
  </si>
  <si>
    <t xml:space="preserve">We have done APF for Wing A &amp; B as it is registered on RERA. </t>
  </si>
  <si>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        Email : vsjcapf@gmail.com. Web site : www.vsjadon.com
</t>
  </si>
  <si>
    <t>P-9058/2021/(9/10A)/P/N Ward/MALVANI/OCC/1/New
Approved upto : Completed part ground floor for shops and business office and part 1st floor as business office of Wing - A &amp; B</t>
  </si>
  <si>
    <t xml:space="preserve">Part O. Certificate No.: </t>
  </si>
  <si>
    <t>Validity of CC is expired on 29/04/2024 &amp; Construction work of Wing B goes beyond approved no. of floor. Please provide revised approved plans &amp; CC.</t>
  </si>
  <si>
    <t>CC &amp; approved plans are upto 16th floors
in sep 24 RCC is given as 22nd floor completed &amp; dec 24 visior was not provided with detail so RCC were not verified</t>
  </si>
  <si>
    <t>Mr. Rohit Pal 8097555383 /7704910528.</t>
  </si>
  <si>
    <t>This C.C. is now further extended for the work of building comprising of Wing ‘A' - Ground floor + (part) 1st floor + 2nd Podium floor + 3rd to 21st upper residential floors including LMR/OHT &amp; Wing B – Ground to 2nd podium + 3rd to 16th upper floor &amp; Wing C – Top of 2 podium floors as per last approved amended plan dated
04/07/2023 by restrict C.C. of Wing C - 3rd upper floor against instalment facility.</t>
  </si>
  <si>
    <t>Sanket Salvi</t>
  </si>
  <si>
    <t>60 Years After Completion</t>
  </si>
  <si>
    <t>Mr. Harish Gupta (Sales) 8450974584</t>
  </si>
  <si>
    <t>Grand Total</t>
  </si>
  <si>
    <t>Gaurav Panchal</t>
  </si>
  <si>
    <t>Wing A = All work Completed, Please provide OC.
Wing B = Finishing work is in process at the time of Visit. Internal Visit was not allowed.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</si>
</sst>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19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168" fontId="12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>
      <alignment horizontal="center" vertical="center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0" fontId="7" fillId="0" borderId="0" xfId="1" applyFont="1" applyAlignment="1">
      <alignment wrapText="1"/>
    </xf>
    <xf numFmtId="0" fontId="8" fillId="0" borderId="1" xfId="1" applyFont="1" applyBorder="1" applyAlignment="1" applyProtection="1">
      <alignment horizontal="center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167" fontId="15" fillId="0" borderId="1" xfId="9" applyNumberFormat="1" applyFont="1" applyFill="1" applyBorder="1" applyAlignment="1" applyProtection="1">
      <alignment horizontal="left" vertical="top"/>
      <protection locked="0"/>
    </xf>
    <xf numFmtId="1" fontId="8" fillId="0" borderId="8" xfId="0" applyNumberFormat="1" applyFont="1" applyBorder="1" applyAlignment="1" applyProtection="1">
      <alignment horizontal="left" vertical="top" wrapText="1"/>
      <protection locked="0"/>
    </xf>
    <xf numFmtId="1" fontId="8" fillId="0" borderId="21" xfId="0" applyNumberFormat="1" applyFont="1" applyBorder="1" applyAlignment="1" applyProtection="1">
      <alignment horizontal="left" vertical="top" wrapText="1"/>
      <protection locked="0"/>
    </xf>
    <xf numFmtId="1" fontId="8" fillId="0" borderId="9" xfId="0" applyNumberFormat="1" applyFont="1" applyBorder="1" applyAlignment="1" applyProtection="1">
      <alignment horizontal="left" vertical="top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13" fillId="0" borderId="8" xfId="1" applyNumberFormat="1" applyFont="1" applyBorder="1" applyAlignment="1" applyProtection="1">
      <alignment horizontal="center" vertical="center" wrapText="1"/>
      <protection locked="0"/>
    </xf>
    <xf numFmtId="1" fontId="13" fillId="0" borderId="2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9" fontId="12" fillId="0" borderId="18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12" fillId="0" borderId="17" xfId="1" applyNumberFormat="1" applyFont="1" applyBorder="1" applyAlignment="1" applyProtection="1">
      <alignment horizontal="center" vertical="center" wrapText="1"/>
      <protection locked="0"/>
    </xf>
    <xf numFmtId="1" fontId="12" fillId="0" borderId="18" xfId="1" applyNumberFormat="1" applyFont="1" applyBorder="1" applyAlignment="1" applyProtection="1">
      <alignment horizontal="center" vertical="center" wrapText="1"/>
      <protection locked="0"/>
    </xf>
    <xf numFmtId="1" fontId="12" fillId="0" borderId="25" xfId="1" applyNumberFormat="1" applyFont="1" applyBorder="1" applyAlignment="1" applyProtection="1">
      <alignment horizontal="center" vertical="center" wrapText="1"/>
      <protection locked="0"/>
    </xf>
    <xf numFmtId="1" fontId="12" fillId="0" borderId="26" xfId="1" applyNumberFormat="1" applyFont="1" applyBorder="1" applyAlignment="1" applyProtection="1">
      <alignment horizontal="center" vertical="center" wrapText="1"/>
      <protection locked="0"/>
    </xf>
    <xf numFmtId="1" fontId="12" fillId="0" borderId="19" xfId="1" applyNumberFormat="1" applyFont="1" applyBorder="1" applyAlignment="1" applyProtection="1">
      <alignment horizontal="center" vertical="center" wrapText="1"/>
      <protection locked="0"/>
    </xf>
    <xf numFmtId="1" fontId="12" fillId="0" borderId="20" xfId="1" applyNumberFormat="1" applyFont="1" applyBorder="1" applyAlignment="1" applyProtection="1">
      <alignment horizontal="center" vertical="center" wrapText="1"/>
      <protection locked="0"/>
    </xf>
    <xf numFmtId="1" fontId="13" fillId="3" borderId="8" xfId="1" applyNumberFormat="1" applyFont="1" applyFill="1" applyBorder="1" applyAlignment="1" applyProtection="1">
      <alignment horizontal="center" vertical="center" wrapText="1"/>
      <protection locked="0"/>
    </xf>
    <xf numFmtId="1" fontId="13" fillId="3" borderId="21" xfId="1" applyNumberFormat="1" applyFont="1" applyFill="1" applyBorder="1" applyAlignment="1" applyProtection="1">
      <alignment horizontal="center" vertical="center" wrapText="1"/>
      <protection locked="0"/>
    </xf>
    <xf numFmtId="1" fontId="13" fillId="3" borderId="9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3" xfId="0" applyNumberFormat="1" applyFont="1" applyBorder="1" applyAlignment="1" applyProtection="1">
      <alignment horizontal="center" vertical="center"/>
      <protection locked="0"/>
    </xf>
    <xf numFmtId="1" fontId="6" fillId="0" borderId="16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" fontId="12" fillId="0" borderId="8" xfId="1" applyNumberFormat="1" applyFont="1" applyBorder="1" applyAlignment="1" applyProtection="1">
      <alignment horizontal="center" vertical="center" wrapText="1"/>
      <protection locked="0"/>
    </xf>
    <xf numFmtId="1" fontId="12" fillId="0" borderId="9" xfId="1" applyNumberFormat="1" applyFont="1" applyBorder="1" applyAlignment="1" applyProtection="1">
      <alignment horizontal="center" vertical="center" wrapText="1"/>
      <protection locked="0"/>
    </xf>
    <xf numFmtId="1" fontId="12" fillId="0" borderId="24" xfId="1" applyNumberFormat="1" applyFont="1" applyBorder="1" applyAlignment="1" applyProtection="1">
      <alignment horizontal="center" vertical="center" wrapText="1"/>
      <protection locked="0"/>
    </xf>
    <xf numFmtId="1" fontId="12" fillId="0" borderId="0" xfId="1" applyNumberFormat="1" applyFont="1" applyAlignment="1" applyProtection="1">
      <alignment horizontal="center" vertical="center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24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14" fontId="8" fillId="0" borderId="8" xfId="1" applyNumberFormat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68" fontId="6" fillId="0" borderId="8" xfId="1" applyNumberFormat="1" applyFont="1" applyBorder="1" applyAlignment="1" applyProtection="1">
      <alignment horizontal="center" vertical="center" wrapText="1"/>
      <protection locked="0"/>
    </xf>
    <xf numFmtId="168" fontId="6" fillId="0" borderId="21" xfId="1" applyNumberFormat="1" applyFont="1" applyBorder="1" applyAlignment="1" applyProtection="1">
      <alignment horizontal="center" vertical="center" wrapText="1"/>
      <protection locked="0"/>
    </xf>
    <xf numFmtId="168" fontId="6" fillId="0" borderId="9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  <xf numFmtId="1" fontId="8" fillId="0" borderId="3" xfId="0" applyNumberFormat="1" applyFont="1" applyBorder="1" applyAlignment="1" applyProtection="1">
      <alignment horizontal="center" vertical="center" wrapText="1"/>
      <protection locked="0"/>
    </xf>
    <xf numFmtId="1" fontId="10" fillId="0" borderId="3" xfId="0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8" fillId="0" borderId="33" xfId="0" applyNumberFormat="1" applyFont="1" applyBorder="1" applyAlignment="1" applyProtection="1">
      <alignment horizontal="center" vertical="center" wrapText="1"/>
      <protection locked="0"/>
    </xf>
    <xf numFmtId="1" fontId="8" fillId="0" borderId="34" xfId="0" applyNumberFormat="1" applyFont="1" applyBorder="1" applyAlignment="1" applyProtection="1">
      <alignment horizontal="center" vertical="center" wrapText="1"/>
      <protection locked="0"/>
    </xf>
    <xf numFmtId="1" fontId="8" fillId="0" borderId="35" xfId="0" applyNumberFormat="1" applyFont="1" applyBorder="1" applyAlignment="1" applyProtection="1">
      <alignment horizontal="center" vertical="center" wrapText="1"/>
      <protection locked="0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6" Type="http://schemas.openxmlformats.org/officeDocument/2006/relationships/image" Target="../media/image28.png"/><Relationship Id="rId5" Type="http://schemas.openxmlformats.org/officeDocument/2006/relationships/image" Target="../media/image27.png"/><Relationship Id="rId4" Type="http://schemas.openxmlformats.org/officeDocument/2006/relationships/image" Target="../media/image26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537879</xdr:colOff>
      <xdr:row>308</xdr:row>
      <xdr:rowOff>33616</xdr:rowOff>
    </xdr:from>
    <xdr:to>
      <xdr:col>7</xdr:col>
      <xdr:colOff>536705</xdr:colOff>
      <xdr:row>336</xdr:row>
      <xdr:rowOff>145849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7879" y="54662292"/>
          <a:ext cx="6128444" cy="57600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593909</xdr:colOff>
      <xdr:row>371</xdr:row>
      <xdr:rowOff>22412</xdr:rowOff>
    </xdr:from>
    <xdr:to>
      <xdr:col>7</xdr:col>
      <xdr:colOff>331691</xdr:colOff>
      <xdr:row>388</xdr:row>
      <xdr:rowOff>174811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93909" y="67358559"/>
          <a:ext cx="5867400" cy="35814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593909</xdr:colOff>
      <xdr:row>352</xdr:row>
      <xdr:rowOff>44824</xdr:rowOff>
    </xdr:from>
    <xdr:to>
      <xdr:col>7</xdr:col>
      <xdr:colOff>331691</xdr:colOff>
      <xdr:row>369</xdr:row>
      <xdr:rowOff>197223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93909" y="63548559"/>
          <a:ext cx="5867400" cy="35814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4</xdr:col>
      <xdr:colOff>493059</xdr:colOff>
      <xdr:row>330</xdr:row>
      <xdr:rowOff>145676</xdr:rowOff>
    </xdr:from>
    <xdr:to>
      <xdr:col>5</xdr:col>
      <xdr:colOff>414618</xdr:colOff>
      <xdr:row>330</xdr:row>
      <xdr:rowOff>156882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flipH="1" flipV="1">
          <a:off x="4101353" y="60758294"/>
          <a:ext cx="762000" cy="11206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795618</xdr:colOff>
      <xdr:row>330</xdr:row>
      <xdr:rowOff>44823</xdr:rowOff>
    </xdr:from>
    <xdr:to>
      <xdr:col>4</xdr:col>
      <xdr:colOff>806824</xdr:colOff>
      <xdr:row>331</xdr:row>
      <xdr:rowOff>67235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4403912" y="60657441"/>
          <a:ext cx="11206" cy="22411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190500</xdr:colOff>
      <xdr:row>329</xdr:row>
      <xdr:rowOff>156881</xdr:rowOff>
    </xdr:from>
    <xdr:ext cx="336695" cy="374141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3798794" y="60567793"/>
          <a:ext cx="336695" cy="37414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800" b="1"/>
            <a:t>N</a:t>
          </a:r>
        </a:p>
      </xdr:txBody>
    </xdr:sp>
    <xdr:clientData/>
  </xdr:oneCellAnchor>
  <xdr:oneCellAnchor>
    <xdr:from>
      <xdr:col>4</xdr:col>
      <xdr:colOff>694764</xdr:colOff>
      <xdr:row>310</xdr:row>
      <xdr:rowOff>156882</xdr:rowOff>
    </xdr:from>
    <xdr:ext cx="875945" cy="374141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4303058" y="56735382"/>
          <a:ext cx="875945" cy="37414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800" b="1"/>
            <a:t>Wing A</a:t>
          </a:r>
        </a:p>
      </xdr:txBody>
    </xdr:sp>
    <xdr:clientData/>
  </xdr:oneCellAnchor>
  <xdr:oneCellAnchor>
    <xdr:from>
      <xdr:col>1</xdr:col>
      <xdr:colOff>835959</xdr:colOff>
      <xdr:row>314</xdr:row>
      <xdr:rowOff>152399</xdr:rowOff>
    </xdr:from>
    <xdr:ext cx="940963" cy="405432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653988" y="57537723"/>
          <a:ext cx="940963" cy="405432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2000" b="1"/>
            <a:t>Wing B</a:t>
          </a:r>
        </a:p>
      </xdr:txBody>
    </xdr:sp>
    <xdr:clientData/>
  </xdr:oneCellAnchor>
  <xdr:twoCellAnchor>
    <xdr:from>
      <xdr:col>5</xdr:col>
      <xdr:colOff>324971</xdr:colOff>
      <xdr:row>312</xdr:row>
      <xdr:rowOff>100853</xdr:rowOff>
    </xdr:from>
    <xdr:to>
      <xdr:col>5</xdr:col>
      <xdr:colOff>773206</xdr:colOff>
      <xdr:row>317</xdr:row>
      <xdr:rowOff>190500</xdr:rowOff>
    </xdr:to>
    <xdr:cxnSp macro="">
      <xdr:nvCxnSpPr>
        <xdr:cNvPr id="26" name="Straight Arrow Connector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4773706" y="57082765"/>
          <a:ext cx="448235" cy="1098176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324970</xdr:colOff>
      <xdr:row>317</xdr:row>
      <xdr:rowOff>17929</xdr:rowOff>
    </xdr:from>
    <xdr:to>
      <xdr:col>2</xdr:col>
      <xdr:colOff>354105</xdr:colOff>
      <xdr:row>321</xdr:row>
      <xdr:rowOff>33617</xdr:rowOff>
    </xdr:to>
    <xdr:cxnSp macro="">
      <xdr:nvCxnSpPr>
        <xdr:cNvPr id="28" name="Straight Arrow Connector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 flipH="1">
          <a:off x="2005852" y="58008370"/>
          <a:ext cx="29135" cy="822512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32386</xdr:colOff>
      <xdr:row>267</xdr:row>
      <xdr:rowOff>13335</xdr:rowOff>
    </xdr:from>
    <xdr:to>
      <xdr:col>17</xdr:col>
      <xdr:colOff>445262</xdr:colOff>
      <xdr:row>301</xdr:row>
      <xdr:rowOff>62864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7719061" y="59668410"/>
          <a:ext cx="6261226" cy="6840854"/>
          <a:chOff x="142876" y="59616975"/>
          <a:chExt cx="6291706" cy="6838949"/>
        </a:xfrm>
      </xdr:grpSpPr>
      <xdr:pic>
        <xdr:nvPicPr>
          <xdr:cNvPr id="31" name="Picture 30" descr="https://vsjcllp.vsjadon.com/upload/insp-220676-1525.jpg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400550" y="63731529"/>
            <a:ext cx="2034032" cy="271487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5" name="Picture 44" descr="https://vsjcllp.vsjadon.com/upload/insp-220676-844.jpg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19076" y="59619142"/>
            <a:ext cx="3009899" cy="401738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6" name="Picture 45" descr="https://vsjcllp.vsjadon.com/upload/insp-220676-861.jpg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66950" y="63732269"/>
            <a:ext cx="2040614" cy="272365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GrpSpPr/>
        </xdr:nvGrpSpPr>
        <xdr:grpSpPr>
          <a:xfrm>
            <a:off x="3324226" y="59616975"/>
            <a:ext cx="3009899" cy="4019549"/>
            <a:chOff x="3324226" y="59616975"/>
            <a:chExt cx="3009899" cy="4019549"/>
          </a:xfrm>
        </xdr:grpSpPr>
        <xdr:pic>
          <xdr:nvPicPr>
            <xdr:cNvPr id="34" name="Picture 33" descr="https://vsjcllp.vsjadon.com/upload/insp-220676-845.jpg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324226" y="59619142"/>
              <a:ext cx="3009899" cy="4017382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 txBox="1"/>
          </xdr:nvSpPr>
          <xdr:spPr>
            <a:xfrm>
              <a:off x="5600701" y="59616975"/>
              <a:ext cx="723900" cy="3429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IN" sz="1400" b="1"/>
                <a:t>Wing B</a:t>
              </a:r>
            </a:p>
          </xdr:txBody>
        </xdr:sp>
      </xdr:grpSp>
      <xdr:grpSp>
        <xdr:nvGrpSpPr>
          <xdr:cNvPr id="10" name="Group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GrpSpPr/>
        </xdr:nvGrpSpPr>
        <xdr:grpSpPr>
          <a:xfrm>
            <a:off x="142876" y="63735293"/>
            <a:ext cx="2038349" cy="2720631"/>
            <a:chOff x="142876" y="63735293"/>
            <a:chExt cx="2038349" cy="2720631"/>
          </a:xfrm>
        </xdr:grpSpPr>
        <xdr:pic>
          <xdr:nvPicPr>
            <xdr:cNvPr id="32" name="Picture 31" descr="https://vsjcllp.vsjadon.com/upload/insp-220676-843.jpg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2876" y="63735293"/>
              <a:ext cx="2038349" cy="2720631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47" name="TextBox 46">
              <a:extLst>
                <a:ext uri="{FF2B5EF4-FFF2-40B4-BE49-F238E27FC236}">
                  <a16:creationId xmlns:a16="http://schemas.microsoft.com/office/drawing/2014/main" id="{00000000-0008-0000-0000-00002F000000}"/>
                </a:ext>
              </a:extLst>
            </xdr:cNvPr>
            <xdr:cNvSpPr txBox="1"/>
          </xdr:nvSpPr>
          <xdr:spPr>
            <a:xfrm>
              <a:off x="142876" y="65935568"/>
              <a:ext cx="723900" cy="3429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IN" sz="1400" b="1"/>
                <a:t>Wing A</a:t>
              </a:r>
            </a:p>
          </xdr:txBody>
        </xdr:sp>
      </xdr:grpSp>
    </xdr:grpSp>
    <xdr:clientData/>
  </xdr:twoCellAnchor>
  <xdr:twoCellAnchor>
    <xdr:from>
      <xdr:col>8</xdr:col>
      <xdr:colOff>1129666</xdr:colOff>
      <xdr:row>260</xdr:row>
      <xdr:rowOff>154306</xdr:rowOff>
    </xdr:from>
    <xdr:to>
      <xdr:col>16</xdr:col>
      <xdr:colOff>325756</xdr:colOff>
      <xdr:row>298</xdr:row>
      <xdr:rowOff>161926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8D7406CF-92F1-090F-AFAF-6E68313F2EF1}"/>
            </a:ext>
          </a:extLst>
        </xdr:cNvPr>
        <xdr:cNvGrpSpPr/>
      </xdr:nvGrpSpPr>
      <xdr:grpSpPr>
        <a:xfrm>
          <a:off x="7654291" y="58409206"/>
          <a:ext cx="5596890" cy="7599045"/>
          <a:chOff x="277892" y="131760"/>
          <a:chExt cx="5968917" cy="8624955"/>
        </a:xfrm>
      </xdr:grpSpPr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3C44F65C-1C82-D578-22F5-729FA7983F3D}"/>
              </a:ext>
            </a:extLst>
          </xdr:cNvPr>
          <xdr:cNvGrpSpPr/>
        </xdr:nvGrpSpPr>
        <xdr:grpSpPr>
          <a:xfrm>
            <a:off x="1809297" y="6956715"/>
            <a:ext cx="2906106" cy="1800000"/>
            <a:chOff x="2593069" y="6956715"/>
            <a:chExt cx="2906106" cy="1800000"/>
          </a:xfrm>
        </xdr:grpSpPr>
        <xdr:pic>
          <xdr:nvPicPr>
            <xdr:cNvPr id="25" name="Picture 24">
              <a:extLst>
                <a:ext uri="{FF2B5EF4-FFF2-40B4-BE49-F238E27FC236}">
                  <a16:creationId xmlns:a16="http://schemas.microsoft.com/office/drawing/2014/main" id="{381BED6F-5BC0-5DB5-17D0-D7B5D405CF8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593069" y="6956715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7" name="Picture 26">
              <a:extLst>
                <a:ext uri="{FF2B5EF4-FFF2-40B4-BE49-F238E27FC236}">
                  <a16:creationId xmlns:a16="http://schemas.microsoft.com/office/drawing/2014/main" id="{5831CC78-0139-34F1-DF4A-FC7321C3BFB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150581" y="6956715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22E7B485-D155-BB55-B4E4-A0EFAF269C63}"/>
              </a:ext>
            </a:extLst>
          </xdr:cNvPr>
          <xdr:cNvGrpSpPr/>
        </xdr:nvGrpSpPr>
        <xdr:grpSpPr>
          <a:xfrm>
            <a:off x="535431" y="4206240"/>
            <a:ext cx="5453838" cy="2520000"/>
            <a:chOff x="584774" y="4206240"/>
            <a:chExt cx="5453838" cy="2520000"/>
          </a:xfrm>
        </xdr:grpSpPr>
        <xdr:pic>
          <xdr:nvPicPr>
            <xdr:cNvPr id="19" name="Picture 18">
              <a:extLst>
                <a:ext uri="{FF2B5EF4-FFF2-40B4-BE49-F238E27FC236}">
                  <a16:creationId xmlns:a16="http://schemas.microsoft.com/office/drawing/2014/main" id="{4FC4018D-5BF7-9D77-3495-79A6054C904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84774" y="4206240"/>
              <a:ext cx="3356889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1" name="Picture 20">
              <a:extLst>
                <a:ext uri="{FF2B5EF4-FFF2-40B4-BE49-F238E27FC236}">
                  <a16:creationId xmlns:a16="http://schemas.microsoft.com/office/drawing/2014/main" id="{71D947DE-4FF3-9DC2-2CB2-072034E58EE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150581" y="4206240"/>
              <a:ext cx="1888031" cy="2520000"/>
            </a:xfrm>
            <a:prstGeom prst="rect">
              <a:avLst/>
            </a:prstGeom>
          </xdr:spPr>
        </xdr:pic>
      </xdr:grpSp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E6358A32-15C6-35CE-034B-3B0DCBA1BA44}"/>
              </a:ext>
            </a:extLst>
          </xdr:cNvPr>
          <xdr:cNvGrpSpPr/>
        </xdr:nvGrpSpPr>
        <xdr:grpSpPr>
          <a:xfrm>
            <a:off x="277892" y="131760"/>
            <a:ext cx="5968917" cy="3844005"/>
            <a:chOff x="277892" y="131760"/>
            <a:chExt cx="5968917" cy="3844005"/>
          </a:xfrm>
        </xdr:grpSpPr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242CC641-44D2-5E28-25DD-5BA47647E77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366809" y="131760"/>
              <a:ext cx="2880000" cy="384400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id="{F2AA9FEC-2D45-1186-2D8F-12B2CEEE045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77892" y="131760"/>
              <a:ext cx="2880000" cy="384400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15" name="TextBox 16">
              <a:extLst>
                <a:ext uri="{FF2B5EF4-FFF2-40B4-BE49-F238E27FC236}">
                  <a16:creationId xmlns:a16="http://schemas.microsoft.com/office/drawing/2014/main" id="{E7337675-117B-D026-377A-A9A6E56115E4}"/>
                </a:ext>
              </a:extLst>
            </xdr:cNvPr>
            <xdr:cNvSpPr txBox="1"/>
          </xdr:nvSpPr>
          <xdr:spPr>
            <a:xfrm>
              <a:off x="5137536" y="233396"/>
              <a:ext cx="784701" cy="35686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sz="1400" b="1"/>
                <a:t>Wing B</a:t>
              </a:r>
            </a:p>
          </xdr:txBody>
        </xdr:sp>
        <xdr:sp macro="" textlink="">
          <xdr:nvSpPr>
            <xdr:cNvPr id="17" name="TextBox 17">
              <a:extLst>
                <a:ext uri="{FF2B5EF4-FFF2-40B4-BE49-F238E27FC236}">
                  <a16:creationId xmlns:a16="http://schemas.microsoft.com/office/drawing/2014/main" id="{AD960111-F1C3-A18D-347B-68FFCBB93C1C}"/>
                </a:ext>
              </a:extLst>
            </xdr:cNvPr>
            <xdr:cNvSpPr txBox="1"/>
          </xdr:nvSpPr>
          <xdr:spPr>
            <a:xfrm>
              <a:off x="3788942" y="1116074"/>
              <a:ext cx="784701" cy="35686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sz="1400" b="1"/>
                <a:t>Wing A</a:t>
              </a:r>
            </a:p>
          </xdr:txBody>
        </xdr:sp>
        <xdr:sp macro="" textlink="">
          <xdr:nvSpPr>
            <xdr:cNvPr id="18" name="TextBox 18">
              <a:extLst>
                <a:ext uri="{FF2B5EF4-FFF2-40B4-BE49-F238E27FC236}">
                  <a16:creationId xmlns:a16="http://schemas.microsoft.com/office/drawing/2014/main" id="{399C864E-036E-D39B-FD6A-519699846E3C}"/>
                </a:ext>
              </a:extLst>
            </xdr:cNvPr>
            <xdr:cNvSpPr txBox="1"/>
          </xdr:nvSpPr>
          <xdr:spPr>
            <a:xfrm>
              <a:off x="1869794" y="131760"/>
              <a:ext cx="784701" cy="35686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sz="1400" b="1"/>
                <a:t>Wing A</a:t>
              </a:r>
            </a:p>
          </xdr:txBody>
        </xdr:sp>
      </xdr:grpSp>
    </xdr:grpSp>
    <xdr:clientData/>
  </xdr:twoCellAnchor>
  <xdr:twoCellAnchor>
    <xdr:from>
      <xdr:col>0</xdr:col>
      <xdr:colOff>495300</xdr:colOff>
      <xdr:row>265</xdr:row>
      <xdr:rowOff>171450</xdr:rowOff>
    </xdr:from>
    <xdr:to>
      <xdr:col>7</xdr:col>
      <xdr:colOff>397526</xdr:colOff>
      <xdr:row>304</xdr:row>
      <xdr:rowOff>161925</xdr:rowOff>
    </xdr:to>
    <xdr:grpSp>
      <xdr:nvGrpSpPr>
        <xdr:cNvPr id="29" name="Group 28">
          <a:extLst>
            <a:ext uri="{FF2B5EF4-FFF2-40B4-BE49-F238E27FC236}">
              <a16:creationId xmlns:a16="http://schemas.microsoft.com/office/drawing/2014/main" id="{6B1BE604-313A-4D4C-AC85-8EB5AED4FB18}"/>
            </a:ext>
          </a:extLst>
        </xdr:cNvPr>
        <xdr:cNvGrpSpPr/>
      </xdr:nvGrpSpPr>
      <xdr:grpSpPr>
        <a:xfrm>
          <a:off x="495300" y="59426475"/>
          <a:ext cx="5598176" cy="7781925"/>
          <a:chOff x="495300" y="58769250"/>
          <a:chExt cx="5598176" cy="7781925"/>
        </a:xfrm>
      </xdr:grpSpPr>
      <xdr:grpSp>
        <xdr:nvGrpSpPr>
          <xdr:cNvPr id="35" name="Group 34">
            <a:extLst>
              <a:ext uri="{FF2B5EF4-FFF2-40B4-BE49-F238E27FC236}">
                <a16:creationId xmlns:a16="http://schemas.microsoft.com/office/drawing/2014/main" id="{CD6FCC88-6E85-4DE2-990E-3EDBEA88A70E}"/>
              </a:ext>
            </a:extLst>
          </xdr:cNvPr>
          <xdr:cNvGrpSpPr/>
        </xdr:nvGrpSpPr>
        <xdr:grpSpPr>
          <a:xfrm>
            <a:off x="495300" y="58769250"/>
            <a:ext cx="5598176" cy="7781925"/>
            <a:chOff x="609601" y="240783"/>
            <a:chExt cx="5598176" cy="8215880"/>
          </a:xfrm>
        </xdr:grpSpPr>
        <xdr:pic>
          <xdr:nvPicPr>
            <xdr:cNvPr id="36" name="Picture 35">
              <a:extLst>
                <a:ext uri="{FF2B5EF4-FFF2-40B4-BE49-F238E27FC236}">
                  <a16:creationId xmlns:a16="http://schemas.microsoft.com/office/drawing/2014/main" id="{669813BB-D556-43CD-891B-12F9091AE09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609601" y="3988723"/>
              <a:ext cx="1753172" cy="23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7" name="Picture 36">
              <a:extLst>
                <a:ext uri="{FF2B5EF4-FFF2-40B4-BE49-F238E27FC236}">
                  <a16:creationId xmlns:a16="http://schemas.microsoft.com/office/drawing/2014/main" id="{4ADCC468-FC99-4228-BDD3-773E2151195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454605" y="3988723"/>
              <a:ext cx="1753172" cy="23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8" name="Picture 37">
              <a:extLst>
                <a:ext uri="{FF2B5EF4-FFF2-40B4-BE49-F238E27FC236}">
                  <a16:creationId xmlns:a16="http://schemas.microsoft.com/office/drawing/2014/main" id="{0D3F54CF-2E48-4898-8970-852C07527CC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609601" y="240783"/>
              <a:ext cx="5598176" cy="36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9" name="Picture 38">
              <a:extLst>
                <a:ext uri="{FF2B5EF4-FFF2-40B4-BE49-F238E27FC236}">
                  <a16:creationId xmlns:a16="http://schemas.microsoft.com/office/drawing/2014/main" id="{3DFD7F17-472C-4099-9B1F-A9B40B90511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532103" y="3988723"/>
              <a:ext cx="1753171" cy="23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0" name="Picture 39">
              <a:extLst>
                <a:ext uri="{FF2B5EF4-FFF2-40B4-BE49-F238E27FC236}">
                  <a16:creationId xmlns:a16="http://schemas.microsoft.com/office/drawing/2014/main" id="{40097B57-746F-4E69-A0B7-4BE8A33DD4F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873829" y="6476663"/>
              <a:ext cx="148345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1" name="Picture 40">
              <a:extLst>
                <a:ext uri="{FF2B5EF4-FFF2-40B4-BE49-F238E27FC236}">
                  <a16:creationId xmlns:a16="http://schemas.microsoft.com/office/drawing/2014/main" id="{FDEA6F5A-00FC-4A49-B9DA-166936EC3A5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82787" y="6476663"/>
              <a:ext cx="148345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42" name="TextBox 18">
            <a:extLst>
              <a:ext uri="{FF2B5EF4-FFF2-40B4-BE49-F238E27FC236}">
                <a16:creationId xmlns:a16="http://schemas.microsoft.com/office/drawing/2014/main" id="{A718C12D-6D1D-4EBE-BB75-DA0427F3DBF5}"/>
              </a:ext>
            </a:extLst>
          </xdr:cNvPr>
          <xdr:cNvSpPr txBox="1"/>
        </xdr:nvSpPr>
        <xdr:spPr>
          <a:xfrm>
            <a:off x="1082041" y="63762256"/>
            <a:ext cx="735793" cy="314413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1">
                <a:solidFill>
                  <a:srgbClr val="FFFF00"/>
                </a:solidFill>
              </a:rPr>
              <a:t>Wing A</a:t>
            </a:r>
          </a:p>
        </xdr:txBody>
      </xdr:sp>
      <xdr:sp macro="" textlink="">
        <xdr:nvSpPr>
          <xdr:cNvPr id="43" name="TextBox 18">
            <a:extLst>
              <a:ext uri="{FF2B5EF4-FFF2-40B4-BE49-F238E27FC236}">
                <a16:creationId xmlns:a16="http://schemas.microsoft.com/office/drawing/2014/main" id="{0CF76918-0ECF-4E5C-B266-1C0027D32CB7}"/>
              </a:ext>
            </a:extLst>
          </xdr:cNvPr>
          <xdr:cNvSpPr txBox="1"/>
        </xdr:nvSpPr>
        <xdr:spPr>
          <a:xfrm>
            <a:off x="2910841" y="63905131"/>
            <a:ext cx="735793" cy="314413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1">
                <a:solidFill>
                  <a:srgbClr val="FFFF00"/>
                </a:solidFill>
              </a:rPr>
              <a:t>Wing A</a:t>
            </a:r>
          </a:p>
        </xdr:txBody>
      </xdr:sp>
      <xdr:sp macro="" textlink="">
        <xdr:nvSpPr>
          <xdr:cNvPr id="44" name="TextBox 18">
            <a:extLst>
              <a:ext uri="{FF2B5EF4-FFF2-40B4-BE49-F238E27FC236}">
                <a16:creationId xmlns:a16="http://schemas.microsoft.com/office/drawing/2014/main" id="{D81DE246-C4C7-4C12-9F8C-9274AFC06A63}"/>
              </a:ext>
            </a:extLst>
          </xdr:cNvPr>
          <xdr:cNvSpPr txBox="1"/>
        </xdr:nvSpPr>
        <xdr:spPr>
          <a:xfrm>
            <a:off x="5253991" y="62381131"/>
            <a:ext cx="735793" cy="314413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1">
                <a:solidFill>
                  <a:srgbClr val="FFFF00"/>
                </a:solidFill>
              </a:rPr>
              <a:t>Wing B</a:t>
            </a:r>
          </a:p>
        </xdr:txBody>
      </xdr:sp>
      <xdr:sp macro="" textlink="">
        <xdr:nvSpPr>
          <xdr:cNvPr id="48" name="TextBox 18">
            <a:extLst>
              <a:ext uri="{FF2B5EF4-FFF2-40B4-BE49-F238E27FC236}">
                <a16:creationId xmlns:a16="http://schemas.microsoft.com/office/drawing/2014/main" id="{EEFEFEEB-D5CE-4DAA-9AAE-9E130EF2CDE3}"/>
              </a:ext>
            </a:extLst>
          </xdr:cNvPr>
          <xdr:cNvSpPr txBox="1"/>
        </xdr:nvSpPr>
        <xdr:spPr>
          <a:xfrm>
            <a:off x="2596516" y="58856881"/>
            <a:ext cx="735793" cy="314413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2000" b="1">
                <a:solidFill>
                  <a:srgbClr val="FFFF00"/>
                </a:solidFill>
              </a:rPr>
              <a:t> A</a:t>
            </a:r>
          </a:p>
        </xdr:txBody>
      </xdr:sp>
      <xdr:sp macro="" textlink="">
        <xdr:nvSpPr>
          <xdr:cNvPr id="49" name="TextBox 18">
            <a:extLst>
              <a:ext uri="{FF2B5EF4-FFF2-40B4-BE49-F238E27FC236}">
                <a16:creationId xmlns:a16="http://schemas.microsoft.com/office/drawing/2014/main" id="{BA9CCD29-DA1F-4A49-9852-7CCC478EBAA6}"/>
              </a:ext>
            </a:extLst>
          </xdr:cNvPr>
          <xdr:cNvSpPr txBox="1"/>
        </xdr:nvSpPr>
        <xdr:spPr>
          <a:xfrm>
            <a:off x="3034667" y="59618881"/>
            <a:ext cx="356234" cy="314413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2000" b="1">
                <a:solidFill>
                  <a:srgbClr val="FFFF00"/>
                </a:solidFill>
              </a:rPr>
              <a:t>C</a:t>
            </a:r>
          </a:p>
        </xdr:txBody>
      </xdr:sp>
      <xdr:sp macro="" textlink="">
        <xdr:nvSpPr>
          <xdr:cNvPr id="50" name="TextBox 18">
            <a:extLst>
              <a:ext uri="{FF2B5EF4-FFF2-40B4-BE49-F238E27FC236}">
                <a16:creationId xmlns:a16="http://schemas.microsoft.com/office/drawing/2014/main" id="{E5DF6089-52A5-4425-BCF9-53D6FD0378E9}"/>
              </a:ext>
            </a:extLst>
          </xdr:cNvPr>
          <xdr:cNvSpPr txBox="1"/>
        </xdr:nvSpPr>
        <xdr:spPr>
          <a:xfrm>
            <a:off x="3891917" y="58828306"/>
            <a:ext cx="356234" cy="314413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2000" b="1">
                <a:solidFill>
                  <a:srgbClr val="FFFF00"/>
                </a:solidFill>
              </a:rPr>
              <a:t>B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192657</xdr:colOff>
      <xdr:row>41</xdr:row>
      <xdr:rowOff>156312</xdr:rowOff>
    </xdr:from>
    <xdr:to>
      <xdr:col>3</xdr:col>
      <xdr:colOff>410218</xdr:colOff>
      <xdr:row>54</xdr:row>
      <xdr:rowOff>19812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5363" y="7978018"/>
          <a:ext cx="4162031" cy="23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192657</xdr:colOff>
      <xdr:row>27</xdr:row>
      <xdr:rowOff>94489</xdr:rowOff>
    </xdr:from>
    <xdr:to>
      <xdr:col>3</xdr:col>
      <xdr:colOff>410218</xdr:colOff>
      <xdr:row>39</xdr:row>
      <xdr:rowOff>148489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5363" y="5249195"/>
          <a:ext cx="4162031" cy="23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3</xdr:col>
      <xdr:colOff>217561</xdr:colOff>
      <xdr:row>26</xdr:row>
      <xdr:rowOff>54000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2678206"/>
          <a:ext cx="4162031" cy="23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739027</xdr:colOff>
      <xdr:row>41</xdr:row>
      <xdr:rowOff>156312</xdr:rowOff>
    </xdr:from>
    <xdr:to>
      <xdr:col>8</xdr:col>
      <xdr:colOff>15293</xdr:colOff>
      <xdr:row>54</xdr:row>
      <xdr:rowOff>19812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66203" y="7978018"/>
          <a:ext cx="4162031" cy="23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756926</xdr:colOff>
      <xdr:row>27</xdr:row>
      <xdr:rowOff>94489</xdr:rowOff>
    </xdr:from>
    <xdr:to>
      <xdr:col>8</xdr:col>
      <xdr:colOff>33192</xdr:colOff>
      <xdr:row>39</xdr:row>
      <xdr:rowOff>148489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84102" y="5249195"/>
          <a:ext cx="4162031" cy="23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756926</xdr:colOff>
      <xdr:row>14</xdr:row>
      <xdr:rowOff>0</xdr:rowOff>
    </xdr:from>
    <xdr:to>
      <xdr:col>8</xdr:col>
      <xdr:colOff>33192</xdr:colOff>
      <xdr:row>26</xdr:row>
      <xdr:rowOff>54000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84102" y="2678206"/>
          <a:ext cx="4162031" cy="23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XXrHLQzzbdJeT8HM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351"/>
  <sheetViews>
    <sheetView tabSelected="1" view="pageBreakPreview" topLeftCell="A266" zoomScaleNormal="100" zoomScaleSheetLayoutView="100" workbookViewId="0">
      <selection activeCell="I280" sqref="I280"/>
    </sheetView>
  </sheetViews>
  <sheetFormatPr defaultColWidth="9.140625" defaultRowHeight="15.75" x14ac:dyDescent="0.25"/>
  <cols>
    <col min="1" max="1" width="11.42578125" style="37" customWidth="1"/>
    <col min="2" max="2" width="12" style="37" customWidth="1"/>
    <col min="3" max="3" width="12.7109375" style="37" customWidth="1"/>
    <col min="4" max="4" width="14.140625" style="37" customWidth="1"/>
    <col min="5" max="7" width="11.7109375" style="37" customWidth="1"/>
    <col min="8" max="8" width="12.42578125" style="37" customWidth="1"/>
    <col min="9" max="9" width="17.42578125" style="19" customWidth="1"/>
    <col min="10" max="10" width="11.42578125" style="19" customWidth="1"/>
    <col min="11" max="11" width="10.5703125" style="19" bestFit="1" customWidth="1"/>
    <col min="12" max="12" width="10.5703125" style="19" customWidth="1"/>
    <col min="13" max="13" width="11.85546875" style="19" customWidth="1"/>
    <col min="14" max="14" width="12.5703125" style="19" customWidth="1"/>
    <col min="15" max="15" width="9.85546875" style="19" customWidth="1"/>
    <col min="16" max="16" width="11.7109375" style="19" customWidth="1"/>
    <col min="17" max="247" width="9.140625" style="19"/>
    <col min="248" max="248" width="8.7109375" style="19" customWidth="1"/>
    <col min="249" max="249" width="9.85546875" style="19" customWidth="1"/>
    <col min="250" max="250" width="14.42578125" style="19" customWidth="1"/>
    <col min="251" max="251" width="7.28515625" style="19" customWidth="1"/>
    <col min="252" max="252" width="5.5703125" style="19" customWidth="1"/>
    <col min="253" max="253" width="9" style="19" customWidth="1"/>
    <col min="254" max="255" width="9.85546875" style="19" customWidth="1"/>
    <col min="256" max="256" width="11.140625" style="19" customWidth="1"/>
    <col min="257" max="257" width="2.85546875" style="19" customWidth="1"/>
    <col min="258" max="258" width="3.5703125" style="19" customWidth="1"/>
    <col min="259" max="503" width="9.140625" style="19"/>
    <col min="504" max="504" width="8.7109375" style="19" customWidth="1"/>
    <col min="505" max="505" width="9.85546875" style="19" customWidth="1"/>
    <col min="506" max="506" width="14.42578125" style="19" customWidth="1"/>
    <col min="507" max="507" width="7.28515625" style="19" customWidth="1"/>
    <col min="508" max="508" width="5.5703125" style="19" customWidth="1"/>
    <col min="509" max="509" width="9" style="19" customWidth="1"/>
    <col min="510" max="511" width="9.85546875" style="19" customWidth="1"/>
    <col min="512" max="512" width="11.140625" style="19" customWidth="1"/>
    <col min="513" max="513" width="2.85546875" style="19" customWidth="1"/>
    <col min="514" max="514" width="3.5703125" style="19" customWidth="1"/>
    <col min="515" max="759" width="9.140625" style="19"/>
    <col min="760" max="760" width="8.7109375" style="19" customWidth="1"/>
    <col min="761" max="761" width="9.85546875" style="19" customWidth="1"/>
    <col min="762" max="762" width="14.42578125" style="19" customWidth="1"/>
    <col min="763" max="763" width="7.28515625" style="19" customWidth="1"/>
    <col min="764" max="764" width="5.5703125" style="19" customWidth="1"/>
    <col min="765" max="765" width="9" style="19" customWidth="1"/>
    <col min="766" max="767" width="9.85546875" style="19" customWidth="1"/>
    <col min="768" max="768" width="11.140625" style="19" customWidth="1"/>
    <col min="769" max="769" width="2.85546875" style="19" customWidth="1"/>
    <col min="770" max="770" width="3.5703125" style="19" customWidth="1"/>
    <col min="771" max="1015" width="9.140625" style="19"/>
    <col min="1016" max="1016" width="8.7109375" style="19" customWidth="1"/>
    <col min="1017" max="1017" width="9.85546875" style="19" customWidth="1"/>
    <col min="1018" max="1018" width="14.42578125" style="19" customWidth="1"/>
    <col min="1019" max="1019" width="7.28515625" style="19" customWidth="1"/>
    <col min="1020" max="1020" width="5.5703125" style="19" customWidth="1"/>
    <col min="1021" max="1021" width="9" style="19" customWidth="1"/>
    <col min="1022" max="1023" width="9.85546875" style="19" customWidth="1"/>
    <col min="1024" max="1024" width="11.140625" style="19" customWidth="1"/>
    <col min="1025" max="1025" width="2.85546875" style="19" customWidth="1"/>
    <col min="1026" max="1026" width="3.5703125" style="19" customWidth="1"/>
    <col min="1027" max="1271" width="9.140625" style="19"/>
    <col min="1272" max="1272" width="8.7109375" style="19" customWidth="1"/>
    <col min="1273" max="1273" width="9.85546875" style="19" customWidth="1"/>
    <col min="1274" max="1274" width="14.42578125" style="19" customWidth="1"/>
    <col min="1275" max="1275" width="7.28515625" style="19" customWidth="1"/>
    <col min="1276" max="1276" width="5.5703125" style="19" customWidth="1"/>
    <col min="1277" max="1277" width="9" style="19" customWidth="1"/>
    <col min="1278" max="1279" width="9.85546875" style="19" customWidth="1"/>
    <col min="1280" max="1280" width="11.140625" style="19" customWidth="1"/>
    <col min="1281" max="1281" width="2.85546875" style="19" customWidth="1"/>
    <col min="1282" max="1282" width="3.5703125" style="19" customWidth="1"/>
    <col min="1283" max="1527" width="9.140625" style="19"/>
    <col min="1528" max="1528" width="8.7109375" style="19" customWidth="1"/>
    <col min="1529" max="1529" width="9.85546875" style="19" customWidth="1"/>
    <col min="1530" max="1530" width="14.42578125" style="19" customWidth="1"/>
    <col min="1531" max="1531" width="7.28515625" style="19" customWidth="1"/>
    <col min="1532" max="1532" width="5.5703125" style="19" customWidth="1"/>
    <col min="1533" max="1533" width="9" style="19" customWidth="1"/>
    <col min="1534" max="1535" width="9.85546875" style="19" customWidth="1"/>
    <col min="1536" max="1536" width="11.140625" style="19" customWidth="1"/>
    <col min="1537" max="1537" width="2.85546875" style="19" customWidth="1"/>
    <col min="1538" max="1538" width="3.5703125" style="19" customWidth="1"/>
    <col min="1539" max="1783" width="9.140625" style="19"/>
    <col min="1784" max="1784" width="8.7109375" style="19" customWidth="1"/>
    <col min="1785" max="1785" width="9.85546875" style="19" customWidth="1"/>
    <col min="1786" max="1786" width="14.42578125" style="19" customWidth="1"/>
    <col min="1787" max="1787" width="7.28515625" style="19" customWidth="1"/>
    <col min="1788" max="1788" width="5.5703125" style="19" customWidth="1"/>
    <col min="1789" max="1789" width="9" style="19" customWidth="1"/>
    <col min="1790" max="1791" width="9.85546875" style="19" customWidth="1"/>
    <col min="1792" max="1792" width="11.140625" style="19" customWidth="1"/>
    <col min="1793" max="1793" width="2.85546875" style="19" customWidth="1"/>
    <col min="1794" max="1794" width="3.5703125" style="19" customWidth="1"/>
    <col min="1795" max="2039" width="9.140625" style="19"/>
    <col min="2040" max="2040" width="8.7109375" style="19" customWidth="1"/>
    <col min="2041" max="2041" width="9.85546875" style="19" customWidth="1"/>
    <col min="2042" max="2042" width="14.42578125" style="19" customWidth="1"/>
    <col min="2043" max="2043" width="7.28515625" style="19" customWidth="1"/>
    <col min="2044" max="2044" width="5.5703125" style="19" customWidth="1"/>
    <col min="2045" max="2045" width="9" style="19" customWidth="1"/>
    <col min="2046" max="2047" width="9.85546875" style="19" customWidth="1"/>
    <col min="2048" max="2048" width="11.140625" style="19" customWidth="1"/>
    <col min="2049" max="2049" width="2.85546875" style="19" customWidth="1"/>
    <col min="2050" max="2050" width="3.5703125" style="19" customWidth="1"/>
    <col min="2051" max="2295" width="9.140625" style="19"/>
    <col min="2296" max="2296" width="8.7109375" style="19" customWidth="1"/>
    <col min="2297" max="2297" width="9.85546875" style="19" customWidth="1"/>
    <col min="2298" max="2298" width="14.42578125" style="19" customWidth="1"/>
    <col min="2299" max="2299" width="7.28515625" style="19" customWidth="1"/>
    <col min="2300" max="2300" width="5.5703125" style="19" customWidth="1"/>
    <col min="2301" max="2301" width="9" style="19" customWidth="1"/>
    <col min="2302" max="2303" width="9.85546875" style="19" customWidth="1"/>
    <col min="2304" max="2304" width="11.140625" style="19" customWidth="1"/>
    <col min="2305" max="2305" width="2.85546875" style="19" customWidth="1"/>
    <col min="2306" max="2306" width="3.5703125" style="19" customWidth="1"/>
    <col min="2307" max="2551" width="9.140625" style="19"/>
    <col min="2552" max="2552" width="8.7109375" style="19" customWidth="1"/>
    <col min="2553" max="2553" width="9.85546875" style="19" customWidth="1"/>
    <col min="2554" max="2554" width="14.42578125" style="19" customWidth="1"/>
    <col min="2555" max="2555" width="7.28515625" style="19" customWidth="1"/>
    <col min="2556" max="2556" width="5.5703125" style="19" customWidth="1"/>
    <col min="2557" max="2557" width="9" style="19" customWidth="1"/>
    <col min="2558" max="2559" width="9.85546875" style="19" customWidth="1"/>
    <col min="2560" max="2560" width="11.140625" style="19" customWidth="1"/>
    <col min="2561" max="2561" width="2.85546875" style="19" customWidth="1"/>
    <col min="2562" max="2562" width="3.5703125" style="19" customWidth="1"/>
    <col min="2563" max="2807" width="9.140625" style="19"/>
    <col min="2808" max="2808" width="8.7109375" style="19" customWidth="1"/>
    <col min="2809" max="2809" width="9.85546875" style="19" customWidth="1"/>
    <col min="2810" max="2810" width="14.42578125" style="19" customWidth="1"/>
    <col min="2811" max="2811" width="7.28515625" style="19" customWidth="1"/>
    <col min="2812" max="2812" width="5.5703125" style="19" customWidth="1"/>
    <col min="2813" max="2813" width="9" style="19" customWidth="1"/>
    <col min="2814" max="2815" width="9.85546875" style="19" customWidth="1"/>
    <col min="2816" max="2816" width="11.140625" style="19" customWidth="1"/>
    <col min="2817" max="2817" width="2.85546875" style="19" customWidth="1"/>
    <col min="2818" max="2818" width="3.5703125" style="19" customWidth="1"/>
    <col min="2819" max="3063" width="9.140625" style="19"/>
    <col min="3064" max="3064" width="8.7109375" style="19" customWidth="1"/>
    <col min="3065" max="3065" width="9.85546875" style="19" customWidth="1"/>
    <col min="3066" max="3066" width="14.42578125" style="19" customWidth="1"/>
    <col min="3067" max="3067" width="7.28515625" style="19" customWidth="1"/>
    <col min="3068" max="3068" width="5.5703125" style="19" customWidth="1"/>
    <col min="3069" max="3069" width="9" style="19" customWidth="1"/>
    <col min="3070" max="3071" width="9.85546875" style="19" customWidth="1"/>
    <col min="3072" max="3072" width="11.140625" style="19" customWidth="1"/>
    <col min="3073" max="3073" width="2.85546875" style="19" customWidth="1"/>
    <col min="3074" max="3074" width="3.5703125" style="19" customWidth="1"/>
    <col min="3075" max="3319" width="9.140625" style="19"/>
    <col min="3320" max="3320" width="8.7109375" style="19" customWidth="1"/>
    <col min="3321" max="3321" width="9.85546875" style="19" customWidth="1"/>
    <col min="3322" max="3322" width="14.42578125" style="19" customWidth="1"/>
    <col min="3323" max="3323" width="7.28515625" style="19" customWidth="1"/>
    <col min="3324" max="3324" width="5.5703125" style="19" customWidth="1"/>
    <col min="3325" max="3325" width="9" style="19" customWidth="1"/>
    <col min="3326" max="3327" width="9.85546875" style="19" customWidth="1"/>
    <col min="3328" max="3328" width="11.140625" style="19" customWidth="1"/>
    <col min="3329" max="3329" width="2.85546875" style="19" customWidth="1"/>
    <col min="3330" max="3330" width="3.5703125" style="19" customWidth="1"/>
    <col min="3331" max="3575" width="9.140625" style="19"/>
    <col min="3576" max="3576" width="8.7109375" style="19" customWidth="1"/>
    <col min="3577" max="3577" width="9.85546875" style="19" customWidth="1"/>
    <col min="3578" max="3578" width="14.42578125" style="19" customWidth="1"/>
    <col min="3579" max="3579" width="7.28515625" style="19" customWidth="1"/>
    <col min="3580" max="3580" width="5.5703125" style="19" customWidth="1"/>
    <col min="3581" max="3581" width="9" style="19" customWidth="1"/>
    <col min="3582" max="3583" width="9.85546875" style="19" customWidth="1"/>
    <col min="3584" max="3584" width="11.140625" style="19" customWidth="1"/>
    <col min="3585" max="3585" width="2.85546875" style="19" customWidth="1"/>
    <col min="3586" max="3586" width="3.5703125" style="19" customWidth="1"/>
    <col min="3587" max="3831" width="9.140625" style="19"/>
    <col min="3832" max="3832" width="8.7109375" style="19" customWidth="1"/>
    <col min="3833" max="3833" width="9.85546875" style="19" customWidth="1"/>
    <col min="3834" max="3834" width="14.42578125" style="19" customWidth="1"/>
    <col min="3835" max="3835" width="7.28515625" style="19" customWidth="1"/>
    <col min="3836" max="3836" width="5.5703125" style="19" customWidth="1"/>
    <col min="3837" max="3837" width="9" style="19" customWidth="1"/>
    <col min="3838" max="3839" width="9.85546875" style="19" customWidth="1"/>
    <col min="3840" max="3840" width="11.140625" style="19" customWidth="1"/>
    <col min="3841" max="3841" width="2.85546875" style="19" customWidth="1"/>
    <col min="3842" max="3842" width="3.5703125" style="19" customWidth="1"/>
    <col min="3843" max="4087" width="9.140625" style="19"/>
    <col min="4088" max="4088" width="8.7109375" style="19" customWidth="1"/>
    <col min="4089" max="4089" width="9.85546875" style="19" customWidth="1"/>
    <col min="4090" max="4090" width="14.42578125" style="19" customWidth="1"/>
    <col min="4091" max="4091" width="7.28515625" style="19" customWidth="1"/>
    <col min="4092" max="4092" width="5.5703125" style="19" customWidth="1"/>
    <col min="4093" max="4093" width="9" style="19" customWidth="1"/>
    <col min="4094" max="4095" width="9.85546875" style="19" customWidth="1"/>
    <col min="4096" max="4096" width="11.140625" style="19" customWidth="1"/>
    <col min="4097" max="4097" width="2.85546875" style="19" customWidth="1"/>
    <col min="4098" max="4098" width="3.5703125" style="19" customWidth="1"/>
    <col min="4099" max="4343" width="9.140625" style="19"/>
    <col min="4344" max="4344" width="8.7109375" style="19" customWidth="1"/>
    <col min="4345" max="4345" width="9.85546875" style="19" customWidth="1"/>
    <col min="4346" max="4346" width="14.42578125" style="19" customWidth="1"/>
    <col min="4347" max="4347" width="7.28515625" style="19" customWidth="1"/>
    <col min="4348" max="4348" width="5.5703125" style="19" customWidth="1"/>
    <col min="4349" max="4349" width="9" style="19" customWidth="1"/>
    <col min="4350" max="4351" width="9.85546875" style="19" customWidth="1"/>
    <col min="4352" max="4352" width="11.140625" style="19" customWidth="1"/>
    <col min="4353" max="4353" width="2.85546875" style="19" customWidth="1"/>
    <col min="4354" max="4354" width="3.5703125" style="19" customWidth="1"/>
    <col min="4355" max="4599" width="9.140625" style="19"/>
    <col min="4600" max="4600" width="8.7109375" style="19" customWidth="1"/>
    <col min="4601" max="4601" width="9.85546875" style="19" customWidth="1"/>
    <col min="4602" max="4602" width="14.42578125" style="19" customWidth="1"/>
    <col min="4603" max="4603" width="7.28515625" style="19" customWidth="1"/>
    <col min="4604" max="4604" width="5.5703125" style="19" customWidth="1"/>
    <col min="4605" max="4605" width="9" style="19" customWidth="1"/>
    <col min="4606" max="4607" width="9.85546875" style="19" customWidth="1"/>
    <col min="4608" max="4608" width="11.140625" style="19" customWidth="1"/>
    <col min="4609" max="4609" width="2.85546875" style="19" customWidth="1"/>
    <col min="4610" max="4610" width="3.5703125" style="19" customWidth="1"/>
    <col min="4611" max="4855" width="9.140625" style="19"/>
    <col min="4856" max="4856" width="8.7109375" style="19" customWidth="1"/>
    <col min="4857" max="4857" width="9.85546875" style="19" customWidth="1"/>
    <col min="4858" max="4858" width="14.42578125" style="19" customWidth="1"/>
    <col min="4859" max="4859" width="7.28515625" style="19" customWidth="1"/>
    <col min="4860" max="4860" width="5.5703125" style="19" customWidth="1"/>
    <col min="4861" max="4861" width="9" style="19" customWidth="1"/>
    <col min="4862" max="4863" width="9.85546875" style="19" customWidth="1"/>
    <col min="4864" max="4864" width="11.140625" style="19" customWidth="1"/>
    <col min="4865" max="4865" width="2.85546875" style="19" customWidth="1"/>
    <col min="4866" max="4866" width="3.5703125" style="19" customWidth="1"/>
    <col min="4867" max="5111" width="9.140625" style="19"/>
    <col min="5112" max="5112" width="8.7109375" style="19" customWidth="1"/>
    <col min="5113" max="5113" width="9.85546875" style="19" customWidth="1"/>
    <col min="5114" max="5114" width="14.42578125" style="19" customWidth="1"/>
    <col min="5115" max="5115" width="7.28515625" style="19" customWidth="1"/>
    <col min="5116" max="5116" width="5.5703125" style="19" customWidth="1"/>
    <col min="5117" max="5117" width="9" style="19" customWidth="1"/>
    <col min="5118" max="5119" width="9.85546875" style="19" customWidth="1"/>
    <col min="5120" max="5120" width="11.140625" style="19" customWidth="1"/>
    <col min="5121" max="5121" width="2.85546875" style="19" customWidth="1"/>
    <col min="5122" max="5122" width="3.5703125" style="19" customWidth="1"/>
    <col min="5123" max="5367" width="9.140625" style="19"/>
    <col min="5368" max="5368" width="8.7109375" style="19" customWidth="1"/>
    <col min="5369" max="5369" width="9.85546875" style="19" customWidth="1"/>
    <col min="5370" max="5370" width="14.42578125" style="19" customWidth="1"/>
    <col min="5371" max="5371" width="7.28515625" style="19" customWidth="1"/>
    <col min="5372" max="5372" width="5.5703125" style="19" customWidth="1"/>
    <col min="5373" max="5373" width="9" style="19" customWidth="1"/>
    <col min="5374" max="5375" width="9.85546875" style="19" customWidth="1"/>
    <col min="5376" max="5376" width="11.140625" style="19" customWidth="1"/>
    <col min="5377" max="5377" width="2.85546875" style="19" customWidth="1"/>
    <col min="5378" max="5378" width="3.5703125" style="19" customWidth="1"/>
    <col min="5379" max="5623" width="9.140625" style="19"/>
    <col min="5624" max="5624" width="8.7109375" style="19" customWidth="1"/>
    <col min="5625" max="5625" width="9.85546875" style="19" customWidth="1"/>
    <col min="5626" max="5626" width="14.42578125" style="19" customWidth="1"/>
    <col min="5627" max="5627" width="7.28515625" style="19" customWidth="1"/>
    <col min="5628" max="5628" width="5.5703125" style="19" customWidth="1"/>
    <col min="5629" max="5629" width="9" style="19" customWidth="1"/>
    <col min="5630" max="5631" width="9.85546875" style="19" customWidth="1"/>
    <col min="5632" max="5632" width="11.140625" style="19" customWidth="1"/>
    <col min="5633" max="5633" width="2.85546875" style="19" customWidth="1"/>
    <col min="5634" max="5634" width="3.5703125" style="19" customWidth="1"/>
    <col min="5635" max="5879" width="9.140625" style="19"/>
    <col min="5880" max="5880" width="8.7109375" style="19" customWidth="1"/>
    <col min="5881" max="5881" width="9.85546875" style="19" customWidth="1"/>
    <col min="5882" max="5882" width="14.42578125" style="19" customWidth="1"/>
    <col min="5883" max="5883" width="7.28515625" style="19" customWidth="1"/>
    <col min="5884" max="5884" width="5.5703125" style="19" customWidth="1"/>
    <col min="5885" max="5885" width="9" style="19" customWidth="1"/>
    <col min="5886" max="5887" width="9.85546875" style="19" customWidth="1"/>
    <col min="5888" max="5888" width="11.140625" style="19" customWidth="1"/>
    <col min="5889" max="5889" width="2.85546875" style="19" customWidth="1"/>
    <col min="5890" max="5890" width="3.5703125" style="19" customWidth="1"/>
    <col min="5891" max="6135" width="9.140625" style="19"/>
    <col min="6136" max="6136" width="8.7109375" style="19" customWidth="1"/>
    <col min="6137" max="6137" width="9.85546875" style="19" customWidth="1"/>
    <col min="6138" max="6138" width="14.42578125" style="19" customWidth="1"/>
    <col min="6139" max="6139" width="7.28515625" style="19" customWidth="1"/>
    <col min="6140" max="6140" width="5.5703125" style="19" customWidth="1"/>
    <col min="6141" max="6141" width="9" style="19" customWidth="1"/>
    <col min="6142" max="6143" width="9.85546875" style="19" customWidth="1"/>
    <col min="6144" max="6144" width="11.140625" style="19" customWidth="1"/>
    <col min="6145" max="6145" width="2.85546875" style="19" customWidth="1"/>
    <col min="6146" max="6146" width="3.5703125" style="19" customWidth="1"/>
    <col min="6147" max="6391" width="9.140625" style="19"/>
    <col min="6392" max="6392" width="8.7109375" style="19" customWidth="1"/>
    <col min="6393" max="6393" width="9.85546875" style="19" customWidth="1"/>
    <col min="6394" max="6394" width="14.42578125" style="19" customWidth="1"/>
    <col min="6395" max="6395" width="7.28515625" style="19" customWidth="1"/>
    <col min="6396" max="6396" width="5.5703125" style="19" customWidth="1"/>
    <col min="6397" max="6397" width="9" style="19" customWidth="1"/>
    <col min="6398" max="6399" width="9.85546875" style="19" customWidth="1"/>
    <col min="6400" max="6400" width="11.140625" style="19" customWidth="1"/>
    <col min="6401" max="6401" width="2.85546875" style="19" customWidth="1"/>
    <col min="6402" max="6402" width="3.5703125" style="19" customWidth="1"/>
    <col min="6403" max="6647" width="9.140625" style="19"/>
    <col min="6648" max="6648" width="8.7109375" style="19" customWidth="1"/>
    <col min="6649" max="6649" width="9.85546875" style="19" customWidth="1"/>
    <col min="6650" max="6650" width="14.42578125" style="19" customWidth="1"/>
    <col min="6651" max="6651" width="7.28515625" style="19" customWidth="1"/>
    <col min="6652" max="6652" width="5.5703125" style="19" customWidth="1"/>
    <col min="6653" max="6653" width="9" style="19" customWidth="1"/>
    <col min="6654" max="6655" width="9.85546875" style="19" customWidth="1"/>
    <col min="6656" max="6656" width="11.140625" style="19" customWidth="1"/>
    <col min="6657" max="6657" width="2.85546875" style="19" customWidth="1"/>
    <col min="6658" max="6658" width="3.5703125" style="19" customWidth="1"/>
    <col min="6659" max="6903" width="9.140625" style="19"/>
    <col min="6904" max="6904" width="8.7109375" style="19" customWidth="1"/>
    <col min="6905" max="6905" width="9.85546875" style="19" customWidth="1"/>
    <col min="6906" max="6906" width="14.42578125" style="19" customWidth="1"/>
    <col min="6907" max="6907" width="7.28515625" style="19" customWidth="1"/>
    <col min="6908" max="6908" width="5.5703125" style="19" customWidth="1"/>
    <col min="6909" max="6909" width="9" style="19" customWidth="1"/>
    <col min="6910" max="6911" width="9.85546875" style="19" customWidth="1"/>
    <col min="6912" max="6912" width="11.140625" style="19" customWidth="1"/>
    <col min="6913" max="6913" width="2.85546875" style="19" customWidth="1"/>
    <col min="6914" max="6914" width="3.5703125" style="19" customWidth="1"/>
    <col min="6915" max="7159" width="9.140625" style="19"/>
    <col min="7160" max="7160" width="8.7109375" style="19" customWidth="1"/>
    <col min="7161" max="7161" width="9.85546875" style="19" customWidth="1"/>
    <col min="7162" max="7162" width="14.42578125" style="19" customWidth="1"/>
    <col min="7163" max="7163" width="7.28515625" style="19" customWidth="1"/>
    <col min="7164" max="7164" width="5.5703125" style="19" customWidth="1"/>
    <col min="7165" max="7165" width="9" style="19" customWidth="1"/>
    <col min="7166" max="7167" width="9.85546875" style="19" customWidth="1"/>
    <col min="7168" max="7168" width="11.140625" style="19" customWidth="1"/>
    <col min="7169" max="7169" width="2.85546875" style="19" customWidth="1"/>
    <col min="7170" max="7170" width="3.5703125" style="19" customWidth="1"/>
    <col min="7171" max="7415" width="9.140625" style="19"/>
    <col min="7416" max="7416" width="8.7109375" style="19" customWidth="1"/>
    <col min="7417" max="7417" width="9.85546875" style="19" customWidth="1"/>
    <col min="7418" max="7418" width="14.42578125" style="19" customWidth="1"/>
    <col min="7419" max="7419" width="7.28515625" style="19" customWidth="1"/>
    <col min="7420" max="7420" width="5.5703125" style="19" customWidth="1"/>
    <col min="7421" max="7421" width="9" style="19" customWidth="1"/>
    <col min="7422" max="7423" width="9.85546875" style="19" customWidth="1"/>
    <col min="7424" max="7424" width="11.140625" style="19" customWidth="1"/>
    <col min="7425" max="7425" width="2.85546875" style="19" customWidth="1"/>
    <col min="7426" max="7426" width="3.5703125" style="19" customWidth="1"/>
    <col min="7427" max="7671" width="9.140625" style="19"/>
    <col min="7672" max="7672" width="8.7109375" style="19" customWidth="1"/>
    <col min="7673" max="7673" width="9.85546875" style="19" customWidth="1"/>
    <col min="7674" max="7674" width="14.42578125" style="19" customWidth="1"/>
    <col min="7675" max="7675" width="7.28515625" style="19" customWidth="1"/>
    <col min="7676" max="7676" width="5.5703125" style="19" customWidth="1"/>
    <col min="7677" max="7677" width="9" style="19" customWidth="1"/>
    <col min="7678" max="7679" width="9.85546875" style="19" customWidth="1"/>
    <col min="7680" max="7680" width="11.140625" style="19" customWidth="1"/>
    <col min="7681" max="7681" width="2.85546875" style="19" customWidth="1"/>
    <col min="7682" max="7682" width="3.5703125" style="19" customWidth="1"/>
    <col min="7683" max="7927" width="9.140625" style="19"/>
    <col min="7928" max="7928" width="8.7109375" style="19" customWidth="1"/>
    <col min="7929" max="7929" width="9.85546875" style="19" customWidth="1"/>
    <col min="7930" max="7930" width="14.42578125" style="19" customWidth="1"/>
    <col min="7931" max="7931" width="7.28515625" style="19" customWidth="1"/>
    <col min="7932" max="7932" width="5.5703125" style="19" customWidth="1"/>
    <col min="7933" max="7933" width="9" style="19" customWidth="1"/>
    <col min="7934" max="7935" width="9.85546875" style="19" customWidth="1"/>
    <col min="7936" max="7936" width="11.140625" style="19" customWidth="1"/>
    <col min="7937" max="7937" width="2.85546875" style="19" customWidth="1"/>
    <col min="7938" max="7938" width="3.5703125" style="19" customWidth="1"/>
    <col min="7939" max="8183" width="9.140625" style="19"/>
    <col min="8184" max="8184" width="8.7109375" style="19" customWidth="1"/>
    <col min="8185" max="8185" width="9.85546875" style="19" customWidth="1"/>
    <col min="8186" max="8186" width="14.42578125" style="19" customWidth="1"/>
    <col min="8187" max="8187" width="7.28515625" style="19" customWidth="1"/>
    <col min="8188" max="8188" width="5.5703125" style="19" customWidth="1"/>
    <col min="8189" max="8189" width="9" style="19" customWidth="1"/>
    <col min="8190" max="8191" width="9.85546875" style="19" customWidth="1"/>
    <col min="8192" max="8192" width="11.140625" style="19" customWidth="1"/>
    <col min="8193" max="8193" width="2.85546875" style="19" customWidth="1"/>
    <col min="8194" max="8194" width="3.5703125" style="19" customWidth="1"/>
    <col min="8195" max="8439" width="9.140625" style="19"/>
    <col min="8440" max="8440" width="8.7109375" style="19" customWidth="1"/>
    <col min="8441" max="8441" width="9.85546875" style="19" customWidth="1"/>
    <col min="8442" max="8442" width="14.42578125" style="19" customWidth="1"/>
    <col min="8443" max="8443" width="7.28515625" style="19" customWidth="1"/>
    <col min="8444" max="8444" width="5.5703125" style="19" customWidth="1"/>
    <col min="8445" max="8445" width="9" style="19" customWidth="1"/>
    <col min="8446" max="8447" width="9.85546875" style="19" customWidth="1"/>
    <col min="8448" max="8448" width="11.140625" style="19" customWidth="1"/>
    <col min="8449" max="8449" width="2.85546875" style="19" customWidth="1"/>
    <col min="8450" max="8450" width="3.5703125" style="19" customWidth="1"/>
    <col min="8451" max="8695" width="9.140625" style="19"/>
    <col min="8696" max="8696" width="8.7109375" style="19" customWidth="1"/>
    <col min="8697" max="8697" width="9.85546875" style="19" customWidth="1"/>
    <col min="8698" max="8698" width="14.42578125" style="19" customWidth="1"/>
    <col min="8699" max="8699" width="7.28515625" style="19" customWidth="1"/>
    <col min="8700" max="8700" width="5.5703125" style="19" customWidth="1"/>
    <col min="8701" max="8701" width="9" style="19" customWidth="1"/>
    <col min="8702" max="8703" width="9.85546875" style="19" customWidth="1"/>
    <col min="8704" max="8704" width="11.140625" style="19" customWidth="1"/>
    <col min="8705" max="8705" width="2.85546875" style="19" customWidth="1"/>
    <col min="8706" max="8706" width="3.5703125" style="19" customWidth="1"/>
    <col min="8707" max="8951" width="9.140625" style="19"/>
    <col min="8952" max="8952" width="8.7109375" style="19" customWidth="1"/>
    <col min="8953" max="8953" width="9.85546875" style="19" customWidth="1"/>
    <col min="8954" max="8954" width="14.42578125" style="19" customWidth="1"/>
    <col min="8955" max="8955" width="7.28515625" style="19" customWidth="1"/>
    <col min="8956" max="8956" width="5.5703125" style="19" customWidth="1"/>
    <col min="8957" max="8957" width="9" style="19" customWidth="1"/>
    <col min="8958" max="8959" width="9.85546875" style="19" customWidth="1"/>
    <col min="8960" max="8960" width="11.140625" style="19" customWidth="1"/>
    <col min="8961" max="8961" width="2.85546875" style="19" customWidth="1"/>
    <col min="8962" max="8962" width="3.5703125" style="19" customWidth="1"/>
    <col min="8963" max="9207" width="9.140625" style="19"/>
    <col min="9208" max="9208" width="8.7109375" style="19" customWidth="1"/>
    <col min="9209" max="9209" width="9.85546875" style="19" customWidth="1"/>
    <col min="9210" max="9210" width="14.42578125" style="19" customWidth="1"/>
    <col min="9211" max="9211" width="7.28515625" style="19" customWidth="1"/>
    <col min="9212" max="9212" width="5.5703125" style="19" customWidth="1"/>
    <col min="9213" max="9213" width="9" style="19" customWidth="1"/>
    <col min="9214" max="9215" width="9.85546875" style="19" customWidth="1"/>
    <col min="9216" max="9216" width="11.140625" style="19" customWidth="1"/>
    <col min="9217" max="9217" width="2.85546875" style="19" customWidth="1"/>
    <col min="9218" max="9218" width="3.5703125" style="19" customWidth="1"/>
    <col min="9219" max="9463" width="9.140625" style="19"/>
    <col min="9464" max="9464" width="8.7109375" style="19" customWidth="1"/>
    <col min="9465" max="9465" width="9.85546875" style="19" customWidth="1"/>
    <col min="9466" max="9466" width="14.42578125" style="19" customWidth="1"/>
    <col min="9467" max="9467" width="7.28515625" style="19" customWidth="1"/>
    <col min="9468" max="9468" width="5.5703125" style="19" customWidth="1"/>
    <col min="9469" max="9469" width="9" style="19" customWidth="1"/>
    <col min="9470" max="9471" width="9.85546875" style="19" customWidth="1"/>
    <col min="9472" max="9472" width="11.140625" style="19" customWidth="1"/>
    <col min="9473" max="9473" width="2.85546875" style="19" customWidth="1"/>
    <col min="9474" max="9474" width="3.5703125" style="19" customWidth="1"/>
    <col min="9475" max="9719" width="9.140625" style="19"/>
    <col min="9720" max="9720" width="8.7109375" style="19" customWidth="1"/>
    <col min="9721" max="9721" width="9.85546875" style="19" customWidth="1"/>
    <col min="9722" max="9722" width="14.42578125" style="19" customWidth="1"/>
    <col min="9723" max="9723" width="7.28515625" style="19" customWidth="1"/>
    <col min="9724" max="9724" width="5.5703125" style="19" customWidth="1"/>
    <col min="9725" max="9725" width="9" style="19" customWidth="1"/>
    <col min="9726" max="9727" width="9.85546875" style="19" customWidth="1"/>
    <col min="9728" max="9728" width="11.140625" style="19" customWidth="1"/>
    <col min="9729" max="9729" width="2.85546875" style="19" customWidth="1"/>
    <col min="9730" max="9730" width="3.5703125" style="19" customWidth="1"/>
    <col min="9731" max="9975" width="9.140625" style="19"/>
    <col min="9976" max="9976" width="8.7109375" style="19" customWidth="1"/>
    <col min="9977" max="9977" width="9.85546875" style="19" customWidth="1"/>
    <col min="9978" max="9978" width="14.42578125" style="19" customWidth="1"/>
    <col min="9979" max="9979" width="7.28515625" style="19" customWidth="1"/>
    <col min="9980" max="9980" width="5.5703125" style="19" customWidth="1"/>
    <col min="9981" max="9981" width="9" style="19" customWidth="1"/>
    <col min="9982" max="9983" width="9.85546875" style="19" customWidth="1"/>
    <col min="9984" max="9984" width="11.140625" style="19" customWidth="1"/>
    <col min="9985" max="9985" width="2.85546875" style="19" customWidth="1"/>
    <col min="9986" max="9986" width="3.5703125" style="19" customWidth="1"/>
    <col min="9987" max="10231" width="9.140625" style="19"/>
    <col min="10232" max="10232" width="8.7109375" style="19" customWidth="1"/>
    <col min="10233" max="10233" width="9.85546875" style="19" customWidth="1"/>
    <col min="10234" max="10234" width="14.42578125" style="19" customWidth="1"/>
    <col min="10235" max="10235" width="7.28515625" style="19" customWidth="1"/>
    <col min="10236" max="10236" width="5.5703125" style="19" customWidth="1"/>
    <col min="10237" max="10237" width="9" style="19" customWidth="1"/>
    <col min="10238" max="10239" width="9.85546875" style="19" customWidth="1"/>
    <col min="10240" max="10240" width="11.140625" style="19" customWidth="1"/>
    <col min="10241" max="10241" width="2.85546875" style="19" customWidth="1"/>
    <col min="10242" max="10242" width="3.5703125" style="19" customWidth="1"/>
    <col min="10243" max="10487" width="9.140625" style="19"/>
    <col min="10488" max="10488" width="8.7109375" style="19" customWidth="1"/>
    <col min="10489" max="10489" width="9.85546875" style="19" customWidth="1"/>
    <col min="10490" max="10490" width="14.42578125" style="19" customWidth="1"/>
    <col min="10491" max="10491" width="7.28515625" style="19" customWidth="1"/>
    <col min="10492" max="10492" width="5.5703125" style="19" customWidth="1"/>
    <col min="10493" max="10493" width="9" style="19" customWidth="1"/>
    <col min="10494" max="10495" width="9.85546875" style="19" customWidth="1"/>
    <col min="10496" max="10496" width="11.140625" style="19" customWidth="1"/>
    <col min="10497" max="10497" width="2.85546875" style="19" customWidth="1"/>
    <col min="10498" max="10498" width="3.5703125" style="19" customWidth="1"/>
    <col min="10499" max="10743" width="9.140625" style="19"/>
    <col min="10744" max="10744" width="8.7109375" style="19" customWidth="1"/>
    <col min="10745" max="10745" width="9.85546875" style="19" customWidth="1"/>
    <col min="10746" max="10746" width="14.42578125" style="19" customWidth="1"/>
    <col min="10747" max="10747" width="7.28515625" style="19" customWidth="1"/>
    <col min="10748" max="10748" width="5.5703125" style="19" customWidth="1"/>
    <col min="10749" max="10749" width="9" style="19" customWidth="1"/>
    <col min="10750" max="10751" width="9.85546875" style="19" customWidth="1"/>
    <col min="10752" max="10752" width="11.140625" style="19" customWidth="1"/>
    <col min="10753" max="10753" width="2.85546875" style="19" customWidth="1"/>
    <col min="10754" max="10754" width="3.5703125" style="19" customWidth="1"/>
    <col min="10755" max="10999" width="9.140625" style="19"/>
    <col min="11000" max="11000" width="8.7109375" style="19" customWidth="1"/>
    <col min="11001" max="11001" width="9.85546875" style="19" customWidth="1"/>
    <col min="11002" max="11002" width="14.42578125" style="19" customWidth="1"/>
    <col min="11003" max="11003" width="7.28515625" style="19" customWidth="1"/>
    <col min="11004" max="11004" width="5.5703125" style="19" customWidth="1"/>
    <col min="11005" max="11005" width="9" style="19" customWidth="1"/>
    <col min="11006" max="11007" width="9.85546875" style="19" customWidth="1"/>
    <col min="11008" max="11008" width="11.140625" style="19" customWidth="1"/>
    <col min="11009" max="11009" width="2.85546875" style="19" customWidth="1"/>
    <col min="11010" max="11010" width="3.5703125" style="19" customWidth="1"/>
    <col min="11011" max="11255" width="9.140625" style="19"/>
    <col min="11256" max="11256" width="8.7109375" style="19" customWidth="1"/>
    <col min="11257" max="11257" width="9.85546875" style="19" customWidth="1"/>
    <col min="11258" max="11258" width="14.42578125" style="19" customWidth="1"/>
    <col min="11259" max="11259" width="7.28515625" style="19" customWidth="1"/>
    <col min="11260" max="11260" width="5.5703125" style="19" customWidth="1"/>
    <col min="11261" max="11261" width="9" style="19" customWidth="1"/>
    <col min="11262" max="11263" width="9.85546875" style="19" customWidth="1"/>
    <col min="11264" max="11264" width="11.140625" style="19" customWidth="1"/>
    <col min="11265" max="11265" width="2.85546875" style="19" customWidth="1"/>
    <col min="11266" max="11266" width="3.5703125" style="19" customWidth="1"/>
    <col min="11267" max="11511" width="9.140625" style="19"/>
    <col min="11512" max="11512" width="8.7109375" style="19" customWidth="1"/>
    <col min="11513" max="11513" width="9.85546875" style="19" customWidth="1"/>
    <col min="11514" max="11514" width="14.42578125" style="19" customWidth="1"/>
    <col min="11515" max="11515" width="7.28515625" style="19" customWidth="1"/>
    <col min="11516" max="11516" width="5.5703125" style="19" customWidth="1"/>
    <col min="11517" max="11517" width="9" style="19" customWidth="1"/>
    <col min="11518" max="11519" width="9.85546875" style="19" customWidth="1"/>
    <col min="11520" max="11520" width="11.140625" style="19" customWidth="1"/>
    <col min="11521" max="11521" width="2.85546875" style="19" customWidth="1"/>
    <col min="11522" max="11522" width="3.5703125" style="19" customWidth="1"/>
    <col min="11523" max="11767" width="9.140625" style="19"/>
    <col min="11768" max="11768" width="8.7109375" style="19" customWidth="1"/>
    <col min="11769" max="11769" width="9.85546875" style="19" customWidth="1"/>
    <col min="11770" max="11770" width="14.42578125" style="19" customWidth="1"/>
    <col min="11771" max="11771" width="7.28515625" style="19" customWidth="1"/>
    <col min="11772" max="11772" width="5.5703125" style="19" customWidth="1"/>
    <col min="11773" max="11773" width="9" style="19" customWidth="1"/>
    <col min="11774" max="11775" width="9.85546875" style="19" customWidth="1"/>
    <col min="11776" max="11776" width="11.140625" style="19" customWidth="1"/>
    <col min="11777" max="11777" width="2.85546875" style="19" customWidth="1"/>
    <col min="11778" max="11778" width="3.5703125" style="19" customWidth="1"/>
    <col min="11779" max="12023" width="9.140625" style="19"/>
    <col min="12024" max="12024" width="8.7109375" style="19" customWidth="1"/>
    <col min="12025" max="12025" width="9.85546875" style="19" customWidth="1"/>
    <col min="12026" max="12026" width="14.42578125" style="19" customWidth="1"/>
    <col min="12027" max="12027" width="7.28515625" style="19" customWidth="1"/>
    <col min="12028" max="12028" width="5.5703125" style="19" customWidth="1"/>
    <col min="12029" max="12029" width="9" style="19" customWidth="1"/>
    <col min="12030" max="12031" width="9.85546875" style="19" customWidth="1"/>
    <col min="12032" max="12032" width="11.140625" style="19" customWidth="1"/>
    <col min="12033" max="12033" width="2.85546875" style="19" customWidth="1"/>
    <col min="12034" max="12034" width="3.5703125" style="19" customWidth="1"/>
    <col min="12035" max="12279" width="9.140625" style="19"/>
    <col min="12280" max="12280" width="8.7109375" style="19" customWidth="1"/>
    <col min="12281" max="12281" width="9.85546875" style="19" customWidth="1"/>
    <col min="12282" max="12282" width="14.42578125" style="19" customWidth="1"/>
    <col min="12283" max="12283" width="7.28515625" style="19" customWidth="1"/>
    <col min="12284" max="12284" width="5.5703125" style="19" customWidth="1"/>
    <col min="12285" max="12285" width="9" style="19" customWidth="1"/>
    <col min="12286" max="12287" width="9.85546875" style="19" customWidth="1"/>
    <col min="12288" max="12288" width="11.140625" style="19" customWidth="1"/>
    <col min="12289" max="12289" width="2.85546875" style="19" customWidth="1"/>
    <col min="12290" max="12290" width="3.5703125" style="19" customWidth="1"/>
    <col min="12291" max="12535" width="9.140625" style="19"/>
    <col min="12536" max="12536" width="8.7109375" style="19" customWidth="1"/>
    <col min="12537" max="12537" width="9.85546875" style="19" customWidth="1"/>
    <col min="12538" max="12538" width="14.42578125" style="19" customWidth="1"/>
    <col min="12539" max="12539" width="7.28515625" style="19" customWidth="1"/>
    <col min="12540" max="12540" width="5.5703125" style="19" customWidth="1"/>
    <col min="12541" max="12541" width="9" style="19" customWidth="1"/>
    <col min="12542" max="12543" width="9.85546875" style="19" customWidth="1"/>
    <col min="12544" max="12544" width="11.140625" style="19" customWidth="1"/>
    <col min="12545" max="12545" width="2.85546875" style="19" customWidth="1"/>
    <col min="12546" max="12546" width="3.5703125" style="19" customWidth="1"/>
    <col min="12547" max="12791" width="9.140625" style="19"/>
    <col min="12792" max="12792" width="8.7109375" style="19" customWidth="1"/>
    <col min="12793" max="12793" width="9.85546875" style="19" customWidth="1"/>
    <col min="12794" max="12794" width="14.42578125" style="19" customWidth="1"/>
    <col min="12795" max="12795" width="7.28515625" style="19" customWidth="1"/>
    <col min="12796" max="12796" width="5.5703125" style="19" customWidth="1"/>
    <col min="12797" max="12797" width="9" style="19" customWidth="1"/>
    <col min="12798" max="12799" width="9.85546875" style="19" customWidth="1"/>
    <col min="12800" max="12800" width="11.140625" style="19" customWidth="1"/>
    <col min="12801" max="12801" width="2.85546875" style="19" customWidth="1"/>
    <col min="12802" max="12802" width="3.5703125" style="19" customWidth="1"/>
    <col min="12803" max="13047" width="9.140625" style="19"/>
    <col min="13048" max="13048" width="8.7109375" style="19" customWidth="1"/>
    <col min="13049" max="13049" width="9.85546875" style="19" customWidth="1"/>
    <col min="13050" max="13050" width="14.42578125" style="19" customWidth="1"/>
    <col min="13051" max="13051" width="7.28515625" style="19" customWidth="1"/>
    <col min="13052" max="13052" width="5.5703125" style="19" customWidth="1"/>
    <col min="13053" max="13053" width="9" style="19" customWidth="1"/>
    <col min="13054" max="13055" width="9.85546875" style="19" customWidth="1"/>
    <col min="13056" max="13056" width="11.140625" style="19" customWidth="1"/>
    <col min="13057" max="13057" width="2.85546875" style="19" customWidth="1"/>
    <col min="13058" max="13058" width="3.5703125" style="19" customWidth="1"/>
    <col min="13059" max="13303" width="9.140625" style="19"/>
    <col min="13304" max="13304" width="8.7109375" style="19" customWidth="1"/>
    <col min="13305" max="13305" width="9.85546875" style="19" customWidth="1"/>
    <col min="13306" max="13306" width="14.42578125" style="19" customWidth="1"/>
    <col min="13307" max="13307" width="7.28515625" style="19" customWidth="1"/>
    <col min="13308" max="13308" width="5.5703125" style="19" customWidth="1"/>
    <col min="13309" max="13309" width="9" style="19" customWidth="1"/>
    <col min="13310" max="13311" width="9.85546875" style="19" customWidth="1"/>
    <col min="13312" max="13312" width="11.140625" style="19" customWidth="1"/>
    <col min="13313" max="13313" width="2.85546875" style="19" customWidth="1"/>
    <col min="13314" max="13314" width="3.5703125" style="19" customWidth="1"/>
    <col min="13315" max="13559" width="9.140625" style="19"/>
    <col min="13560" max="13560" width="8.7109375" style="19" customWidth="1"/>
    <col min="13561" max="13561" width="9.85546875" style="19" customWidth="1"/>
    <col min="13562" max="13562" width="14.42578125" style="19" customWidth="1"/>
    <col min="13563" max="13563" width="7.28515625" style="19" customWidth="1"/>
    <col min="13564" max="13564" width="5.5703125" style="19" customWidth="1"/>
    <col min="13565" max="13565" width="9" style="19" customWidth="1"/>
    <col min="13566" max="13567" width="9.85546875" style="19" customWidth="1"/>
    <col min="13568" max="13568" width="11.140625" style="19" customWidth="1"/>
    <col min="13569" max="13569" width="2.85546875" style="19" customWidth="1"/>
    <col min="13570" max="13570" width="3.5703125" style="19" customWidth="1"/>
    <col min="13571" max="13815" width="9.140625" style="19"/>
    <col min="13816" max="13816" width="8.7109375" style="19" customWidth="1"/>
    <col min="13817" max="13817" width="9.85546875" style="19" customWidth="1"/>
    <col min="13818" max="13818" width="14.42578125" style="19" customWidth="1"/>
    <col min="13819" max="13819" width="7.28515625" style="19" customWidth="1"/>
    <col min="13820" max="13820" width="5.5703125" style="19" customWidth="1"/>
    <col min="13821" max="13821" width="9" style="19" customWidth="1"/>
    <col min="13822" max="13823" width="9.85546875" style="19" customWidth="1"/>
    <col min="13824" max="13824" width="11.140625" style="19" customWidth="1"/>
    <col min="13825" max="13825" width="2.85546875" style="19" customWidth="1"/>
    <col min="13826" max="13826" width="3.5703125" style="19" customWidth="1"/>
    <col min="13827" max="14071" width="9.140625" style="19"/>
    <col min="14072" max="14072" width="8.7109375" style="19" customWidth="1"/>
    <col min="14073" max="14073" width="9.85546875" style="19" customWidth="1"/>
    <col min="14074" max="14074" width="14.42578125" style="19" customWidth="1"/>
    <col min="14075" max="14075" width="7.28515625" style="19" customWidth="1"/>
    <col min="14076" max="14076" width="5.5703125" style="19" customWidth="1"/>
    <col min="14077" max="14077" width="9" style="19" customWidth="1"/>
    <col min="14078" max="14079" width="9.85546875" style="19" customWidth="1"/>
    <col min="14080" max="14080" width="11.140625" style="19" customWidth="1"/>
    <col min="14081" max="14081" width="2.85546875" style="19" customWidth="1"/>
    <col min="14082" max="14082" width="3.5703125" style="19" customWidth="1"/>
    <col min="14083" max="14327" width="9.140625" style="19"/>
    <col min="14328" max="14328" width="8.7109375" style="19" customWidth="1"/>
    <col min="14329" max="14329" width="9.85546875" style="19" customWidth="1"/>
    <col min="14330" max="14330" width="14.42578125" style="19" customWidth="1"/>
    <col min="14331" max="14331" width="7.28515625" style="19" customWidth="1"/>
    <col min="14332" max="14332" width="5.5703125" style="19" customWidth="1"/>
    <col min="14333" max="14333" width="9" style="19" customWidth="1"/>
    <col min="14334" max="14335" width="9.85546875" style="19" customWidth="1"/>
    <col min="14336" max="14336" width="11.140625" style="19" customWidth="1"/>
    <col min="14337" max="14337" width="2.85546875" style="19" customWidth="1"/>
    <col min="14338" max="14338" width="3.5703125" style="19" customWidth="1"/>
    <col min="14339" max="14583" width="9.140625" style="19"/>
    <col min="14584" max="14584" width="8.7109375" style="19" customWidth="1"/>
    <col min="14585" max="14585" width="9.85546875" style="19" customWidth="1"/>
    <col min="14586" max="14586" width="14.42578125" style="19" customWidth="1"/>
    <col min="14587" max="14587" width="7.28515625" style="19" customWidth="1"/>
    <col min="14588" max="14588" width="5.5703125" style="19" customWidth="1"/>
    <col min="14589" max="14589" width="9" style="19" customWidth="1"/>
    <col min="14590" max="14591" width="9.85546875" style="19" customWidth="1"/>
    <col min="14592" max="14592" width="11.140625" style="19" customWidth="1"/>
    <col min="14593" max="14593" width="2.85546875" style="19" customWidth="1"/>
    <col min="14594" max="14594" width="3.5703125" style="19" customWidth="1"/>
    <col min="14595" max="14839" width="9.140625" style="19"/>
    <col min="14840" max="14840" width="8.7109375" style="19" customWidth="1"/>
    <col min="14841" max="14841" width="9.85546875" style="19" customWidth="1"/>
    <col min="14842" max="14842" width="14.42578125" style="19" customWidth="1"/>
    <col min="14843" max="14843" width="7.28515625" style="19" customWidth="1"/>
    <col min="14844" max="14844" width="5.5703125" style="19" customWidth="1"/>
    <col min="14845" max="14845" width="9" style="19" customWidth="1"/>
    <col min="14846" max="14847" width="9.85546875" style="19" customWidth="1"/>
    <col min="14848" max="14848" width="11.140625" style="19" customWidth="1"/>
    <col min="14849" max="14849" width="2.85546875" style="19" customWidth="1"/>
    <col min="14850" max="14850" width="3.5703125" style="19" customWidth="1"/>
    <col min="14851" max="15095" width="9.140625" style="19"/>
    <col min="15096" max="15096" width="8.7109375" style="19" customWidth="1"/>
    <col min="15097" max="15097" width="9.85546875" style="19" customWidth="1"/>
    <col min="15098" max="15098" width="14.42578125" style="19" customWidth="1"/>
    <col min="15099" max="15099" width="7.28515625" style="19" customWidth="1"/>
    <col min="15100" max="15100" width="5.5703125" style="19" customWidth="1"/>
    <col min="15101" max="15101" width="9" style="19" customWidth="1"/>
    <col min="15102" max="15103" width="9.85546875" style="19" customWidth="1"/>
    <col min="15104" max="15104" width="11.140625" style="19" customWidth="1"/>
    <col min="15105" max="15105" width="2.85546875" style="19" customWidth="1"/>
    <col min="15106" max="15106" width="3.5703125" style="19" customWidth="1"/>
    <col min="15107" max="15351" width="9.140625" style="19"/>
    <col min="15352" max="15352" width="8.7109375" style="19" customWidth="1"/>
    <col min="15353" max="15353" width="9.85546875" style="19" customWidth="1"/>
    <col min="15354" max="15354" width="14.42578125" style="19" customWidth="1"/>
    <col min="15355" max="15355" width="7.28515625" style="19" customWidth="1"/>
    <col min="15356" max="15356" width="5.5703125" style="19" customWidth="1"/>
    <col min="15357" max="15357" width="9" style="19" customWidth="1"/>
    <col min="15358" max="15359" width="9.85546875" style="19" customWidth="1"/>
    <col min="15360" max="15360" width="11.140625" style="19" customWidth="1"/>
    <col min="15361" max="15361" width="2.85546875" style="19" customWidth="1"/>
    <col min="15362" max="15362" width="3.5703125" style="19" customWidth="1"/>
    <col min="15363" max="15607" width="9.140625" style="19"/>
    <col min="15608" max="15608" width="8.7109375" style="19" customWidth="1"/>
    <col min="15609" max="15609" width="9.85546875" style="19" customWidth="1"/>
    <col min="15610" max="15610" width="14.42578125" style="19" customWidth="1"/>
    <col min="15611" max="15611" width="7.28515625" style="19" customWidth="1"/>
    <col min="15612" max="15612" width="5.5703125" style="19" customWidth="1"/>
    <col min="15613" max="15613" width="9" style="19" customWidth="1"/>
    <col min="15614" max="15615" width="9.85546875" style="19" customWidth="1"/>
    <col min="15616" max="15616" width="11.140625" style="19" customWidth="1"/>
    <col min="15617" max="15617" width="2.85546875" style="19" customWidth="1"/>
    <col min="15618" max="15618" width="3.5703125" style="19" customWidth="1"/>
    <col min="15619" max="15863" width="9.140625" style="19"/>
    <col min="15864" max="15864" width="8.7109375" style="19" customWidth="1"/>
    <col min="15865" max="15865" width="9.85546875" style="19" customWidth="1"/>
    <col min="15866" max="15866" width="14.42578125" style="19" customWidth="1"/>
    <col min="15867" max="15867" width="7.28515625" style="19" customWidth="1"/>
    <col min="15868" max="15868" width="5.5703125" style="19" customWidth="1"/>
    <col min="15869" max="15869" width="9" style="19" customWidth="1"/>
    <col min="15870" max="15871" width="9.85546875" style="19" customWidth="1"/>
    <col min="15872" max="15872" width="11.140625" style="19" customWidth="1"/>
    <col min="15873" max="15873" width="2.85546875" style="19" customWidth="1"/>
    <col min="15874" max="15874" width="3.5703125" style="19" customWidth="1"/>
    <col min="15875" max="16119" width="9.140625" style="19"/>
    <col min="16120" max="16120" width="8.7109375" style="19" customWidth="1"/>
    <col min="16121" max="16121" width="9.85546875" style="19" customWidth="1"/>
    <col min="16122" max="16122" width="14.42578125" style="19" customWidth="1"/>
    <col min="16123" max="16123" width="7.28515625" style="19" customWidth="1"/>
    <col min="16124" max="16124" width="5.5703125" style="19" customWidth="1"/>
    <col min="16125" max="16125" width="9" style="19" customWidth="1"/>
    <col min="16126" max="16127" width="9.85546875" style="19" customWidth="1"/>
    <col min="16128" max="16128" width="11.140625" style="19" customWidth="1"/>
    <col min="16129" max="16129" width="2.85546875" style="19" customWidth="1"/>
    <col min="16130" max="16130" width="3.5703125" style="19" customWidth="1"/>
    <col min="16131" max="16384" width="9.140625" style="19"/>
  </cols>
  <sheetData>
    <row r="1" spans="1:12" ht="46.5" customHeight="1" x14ac:dyDescent="0.25">
      <c r="A1" s="168" t="s">
        <v>252</v>
      </c>
      <c r="B1" s="168"/>
      <c r="C1" s="168"/>
      <c r="D1" s="168"/>
      <c r="E1" s="168"/>
      <c r="F1" s="168"/>
      <c r="G1" s="168"/>
      <c r="H1" s="168"/>
    </row>
    <row r="2" spans="1:12" ht="16.5" customHeight="1" x14ac:dyDescent="0.25">
      <c r="A2" s="164" t="s">
        <v>0</v>
      </c>
      <c r="B2" s="164"/>
      <c r="C2" s="164"/>
      <c r="D2" s="164"/>
      <c r="E2" s="164"/>
      <c r="F2" s="164"/>
      <c r="G2" s="164"/>
      <c r="H2" s="164"/>
    </row>
    <row r="3" spans="1:12" x14ac:dyDescent="0.25">
      <c r="A3" s="139" t="s">
        <v>1</v>
      </c>
      <c r="B3" s="139"/>
      <c r="C3" s="139"/>
      <c r="D3" s="139"/>
      <c r="E3" s="139" t="str">
        <f ca="1">TEXT(TODAY(),"DD/MM/YYYY")</f>
        <v>12/09/2025</v>
      </c>
      <c r="F3" s="139"/>
      <c r="G3" s="139"/>
      <c r="H3" s="139"/>
    </row>
    <row r="4" spans="1:12" ht="15" customHeight="1" x14ac:dyDescent="0.25">
      <c r="A4" s="139" t="s">
        <v>2</v>
      </c>
      <c r="B4" s="139"/>
      <c r="C4" s="139"/>
      <c r="D4" s="139"/>
      <c r="E4" s="139" t="s">
        <v>175</v>
      </c>
      <c r="F4" s="139"/>
      <c r="G4" s="139"/>
      <c r="H4" s="139"/>
    </row>
    <row r="5" spans="1:12" x14ac:dyDescent="0.25">
      <c r="A5" s="139" t="s">
        <v>3</v>
      </c>
      <c r="B5" s="139"/>
      <c r="C5" s="139"/>
      <c r="D5" s="139"/>
      <c r="E5" s="167">
        <v>45909</v>
      </c>
      <c r="F5" s="139"/>
      <c r="G5" s="139"/>
      <c r="H5" s="139"/>
    </row>
    <row r="6" spans="1:12" ht="16.5" customHeight="1" x14ac:dyDescent="0.25">
      <c r="A6" s="139" t="s">
        <v>4</v>
      </c>
      <c r="B6" s="139"/>
      <c r="C6" s="139"/>
      <c r="D6" s="139"/>
      <c r="E6" s="139" t="s">
        <v>198</v>
      </c>
      <c r="F6" s="139"/>
      <c r="G6" s="139"/>
      <c r="H6" s="139"/>
    </row>
    <row r="7" spans="1:12" ht="15" customHeight="1" x14ac:dyDescent="0.25">
      <c r="A7" s="139" t="s">
        <v>5</v>
      </c>
      <c r="B7" s="139"/>
      <c r="C7" s="139"/>
      <c r="D7" s="139"/>
      <c r="E7" s="139" t="str">
        <f>E6</f>
        <v>D G Land Developers Private Limited</v>
      </c>
      <c r="F7" s="139"/>
      <c r="G7" s="139"/>
      <c r="H7" s="139"/>
    </row>
    <row r="8" spans="1:12" x14ac:dyDescent="0.25">
      <c r="A8" s="139" t="s">
        <v>6</v>
      </c>
      <c r="B8" s="139"/>
      <c r="C8" s="139"/>
      <c r="D8" s="139"/>
      <c r="E8" s="74" t="s">
        <v>176</v>
      </c>
      <c r="F8" s="74"/>
      <c r="G8" s="74"/>
      <c r="H8" s="74"/>
    </row>
    <row r="9" spans="1:12" ht="31.5" customHeight="1" x14ac:dyDescent="0.25">
      <c r="A9" s="139" t="s">
        <v>181</v>
      </c>
      <c r="B9" s="139"/>
      <c r="C9" s="139"/>
      <c r="D9" s="139"/>
      <c r="E9" s="63" t="s">
        <v>182</v>
      </c>
      <c r="F9" s="63"/>
      <c r="G9" s="63"/>
      <c r="H9" s="63"/>
    </row>
    <row r="10" spans="1:12" x14ac:dyDescent="0.25">
      <c r="A10" s="139" t="s">
        <v>173</v>
      </c>
      <c r="B10" s="139"/>
      <c r="C10" s="139"/>
      <c r="D10" s="139"/>
      <c r="E10" s="139" t="s">
        <v>177</v>
      </c>
      <c r="F10" s="139"/>
      <c r="G10" s="139"/>
      <c r="H10" s="139"/>
    </row>
    <row r="11" spans="1:12" x14ac:dyDescent="0.25">
      <c r="A11" s="139" t="s">
        <v>174</v>
      </c>
      <c r="B11" s="139"/>
      <c r="C11" s="139"/>
      <c r="D11" s="139"/>
      <c r="E11" s="139" t="s">
        <v>261</v>
      </c>
      <c r="F11" s="139"/>
      <c r="G11" s="139"/>
      <c r="H11" s="139"/>
      <c r="I11" s="139" t="s">
        <v>257</v>
      </c>
      <c r="J11" s="139"/>
      <c r="K11" s="139"/>
      <c r="L11" s="139"/>
    </row>
    <row r="12" spans="1:12" x14ac:dyDescent="0.25">
      <c r="A12" s="139" t="s">
        <v>7</v>
      </c>
      <c r="B12" s="139"/>
      <c r="C12" s="139"/>
      <c r="D12" s="139"/>
      <c r="E12" s="139" t="s">
        <v>178</v>
      </c>
      <c r="F12" s="139"/>
      <c r="G12" s="139"/>
      <c r="H12" s="139"/>
    </row>
    <row r="13" spans="1:12" ht="32.25" customHeight="1" x14ac:dyDescent="0.25">
      <c r="A13" s="139" t="s">
        <v>8</v>
      </c>
      <c r="B13" s="139"/>
      <c r="C13" s="139"/>
      <c r="D13" s="139"/>
      <c r="E13" s="63" t="s">
        <v>110</v>
      </c>
      <c r="F13" s="63"/>
      <c r="G13" s="63"/>
      <c r="H13" s="63"/>
    </row>
    <row r="14" spans="1:12" x14ac:dyDescent="0.25">
      <c r="A14" s="139" t="s">
        <v>9</v>
      </c>
      <c r="B14" s="139"/>
      <c r="C14" s="139"/>
      <c r="D14" s="139"/>
      <c r="E14" s="63" t="s">
        <v>197</v>
      </c>
      <c r="F14" s="139"/>
      <c r="G14" s="139"/>
      <c r="H14" s="139"/>
    </row>
    <row r="15" spans="1:12" ht="51" customHeight="1" x14ac:dyDescent="0.25">
      <c r="A15" s="134" t="s">
        <v>10</v>
      </c>
      <c r="B15" s="134"/>
      <c r="C15" s="134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Sheetal Usha, CTS No.9/10A &amp; Existing Building Name - Usha Jankalyan Nagar Co-operative Housing Society Ltd, near Nisha Jankalyan Nagar Chs, Internal Road, Jankalyan Nagar, Malvani, Malad West, Mumbai, Mumbai - 400095.</v>
      </c>
      <c r="D15" s="134"/>
      <c r="E15" s="134"/>
      <c r="F15" s="134"/>
      <c r="G15" s="134"/>
      <c r="H15" s="134"/>
    </row>
    <row r="16" spans="1:12" ht="33" customHeight="1" x14ac:dyDescent="0.25">
      <c r="A16" s="63" t="s">
        <v>179</v>
      </c>
      <c r="B16" s="63"/>
      <c r="C16" s="63" t="s">
        <v>180</v>
      </c>
      <c r="D16" s="63"/>
      <c r="E16" s="63"/>
      <c r="F16" s="63"/>
      <c r="G16" s="63"/>
      <c r="H16" s="63"/>
    </row>
    <row r="17" spans="1:8" ht="15.75" customHeight="1" x14ac:dyDescent="0.25">
      <c r="A17" s="63" t="s">
        <v>172</v>
      </c>
      <c r="B17" s="63"/>
      <c r="C17" s="63" t="s">
        <v>183</v>
      </c>
      <c r="D17" s="63"/>
      <c r="E17" s="63"/>
      <c r="F17" s="63"/>
      <c r="G17" s="63"/>
      <c r="H17" s="63"/>
    </row>
    <row r="18" spans="1:8" ht="15.75" customHeight="1" x14ac:dyDescent="0.25">
      <c r="A18" s="134" t="s">
        <v>11</v>
      </c>
      <c r="B18" s="134"/>
      <c r="C18" s="139" t="s">
        <v>184</v>
      </c>
      <c r="D18" s="139"/>
      <c r="E18" s="63" t="s">
        <v>76</v>
      </c>
      <c r="F18" s="63"/>
      <c r="G18" s="63" t="s">
        <v>185</v>
      </c>
      <c r="H18" s="63"/>
    </row>
    <row r="19" spans="1:8" x14ac:dyDescent="0.25">
      <c r="A19" s="80" t="s">
        <v>13</v>
      </c>
      <c r="B19" s="80"/>
      <c r="C19" s="63" t="s">
        <v>187</v>
      </c>
      <c r="D19" s="63"/>
      <c r="E19" s="63" t="s">
        <v>12</v>
      </c>
      <c r="F19" s="63"/>
      <c r="G19" s="166" t="s">
        <v>186</v>
      </c>
      <c r="H19" s="166"/>
    </row>
    <row r="20" spans="1:8" x14ac:dyDescent="0.25">
      <c r="A20" s="80" t="s">
        <v>77</v>
      </c>
      <c r="B20" s="80"/>
      <c r="C20" s="166" t="s">
        <v>186</v>
      </c>
      <c r="D20" s="166"/>
      <c r="E20" s="63" t="s">
        <v>14</v>
      </c>
      <c r="F20" s="63"/>
      <c r="G20" s="63">
        <v>400095</v>
      </c>
      <c r="H20" s="63"/>
    </row>
    <row r="21" spans="1:8" ht="32.25" customHeight="1" x14ac:dyDescent="0.25">
      <c r="A21" s="80" t="s">
        <v>129</v>
      </c>
      <c r="B21" s="80"/>
      <c r="C21" s="63" t="s">
        <v>191</v>
      </c>
      <c r="D21" s="63"/>
      <c r="E21" s="63" t="s">
        <v>15</v>
      </c>
      <c r="F21" s="63"/>
      <c r="G21" s="63" t="s">
        <v>192</v>
      </c>
      <c r="H21" s="63"/>
    </row>
    <row r="22" spans="1:8" ht="15" customHeight="1" x14ac:dyDescent="0.25">
      <c r="A22" s="134" t="s">
        <v>80</v>
      </c>
      <c r="B22" s="134"/>
      <c r="C22" s="134"/>
      <c r="D22" s="134"/>
      <c r="E22" s="139" t="s">
        <v>16</v>
      </c>
      <c r="F22" s="139"/>
      <c r="G22" s="139"/>
      <c r="H22" s="139"/>
    </row>
    <row r="23" spans="1:8" ht="18.75" customHeight="1" x14ac:dyDescent="0.25">
      <c r="A23" s="134"/>
      <c r="B23" s="134"/>
      <c r="C23" s="134"/>
      <c r="D23" s="134"/>
      <c r="E23" s="139"/>
      <c r="F23" s="139"/>
      <c r="G23" s="139"/>
      <c r="H23" s="139"/>
    </row>
    <row r="24" spans="1:8" ht="15" customHeight="1" x14ac:dyDescent="0.25">
      <c r="A24" s="134" t="s">
        <v>17</v>
      </c>
      <c r="B24" s="134"/>
      <c r="C24" s="134"/>
      <c r="D24" s="134"/>
      <c r="E24" s="63" t="s">
        <v>18</v>
      </c>
      <c r="F24" s="63"/>
      <c r="G24" s="63"/>
      <c r="H24" s="63"/>
    </row>
    <row r="25" spans="1:8" ht="15" customHeight="1" x14ac:dyDescent="0.25">
      <c r="A25" s="80" t="s">
        <v>19</v>
      </c>
      <c r="B25" s="80"/>
      <c r="C25" s="80"/>
      <c r="D25" s="80"/>
      <c r="E25" s="63" t="str">
        <f>IF(AND(G19="Mumbai"),"Upper Class","Middle Class")</f>
        <v>Upper Class</v>
      </c>
      <c r="F25" s="63"/>
      <c r="G25" s="63"/>
      <c r="H25" s="63"/>
    </row>
    <row r="26" spans="1:8" x14ac:dyDescent="0.25">
      <c r="A26" s="80" t="s">
        <v>20</v>
      </c>
      <c r="B26" s="80"/>
      <c r="C26" s="80"/>
      <c r="D26" s="80"/>
      <c r="E26" s="63" t="s">
        <v>21</v>
      </c>
      <c r="F26" s="63"/>
      <c r="G26" s="63"/>
      <c r="H26" s="63"/>
    </row>
    <row r="27" spans="1:8" ht="15.75" customHeight="1" x14ac:dyDescent="0.25">
      <c r="A27" s="80" t="s">
        <v>22</v>
      </c>
      <c r="B27" s="80"/>
      <c r="C27" s="80"/>
      <c r="D27" s="80"/>
      <c r="E27" s="63" t="str">
        <f>IF(AND(G19="Mumbai"),"Developed","Developing")</f>
        <v>Developed</v>
      </c>
      <c r="F27" s="63"/>
      <c r="G27" s="63"/>
      <c r="H27" s="63"/>
    </row>
    <row r="28" spans="1:8" x14ac:dyDescent="0.25">
      <c r="A28" s="80" t="s">
        <v>23</v>
      </c>
      <c r="B28" s="80"/>
      <c r="C28" s="80"/>
      <c r="D28" s="80"/>
      <c r="E28" s="63" t="s">
        <v>24</v>
      </c>
      <c r="F28" s="63"/>
      <c r="G28" s="63"/>
      <c r="H28" s="63"/>
    </row>
    <row r="29" spans="1:8" ht="15.75" customHeight="1" x14ac:dyDescent="0.25">
      <c r="A29" s="80" t="s">
        <v>85</v>
      </c>
      <c r="B29" s="80"/>
      <c r="C29" s="80"/>
      <c r="D29" s="80"/>
      <c r="E29" s="63" t="s">
        <v>86</v>
      </c>
      <c r="F29" s="63"/>
      <c r="G29" s="63"/>
      <c r="H29" s="63"/>
    </row>
    <row r="30" spans="1:8" ht="15" customHeight="1" x14ac:dyDescent="0.25">
      <c r="A30" s="80" t="s">
        <v>35</v>
      </c>
      <c r="B30" s="80"/>
      <c r="C30" s="80"/>
      <c r="D30" s="80"/>
      <c r="E30" s="63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30" s="63"/>
      <c r="G30" s="63"/>
      <c r="H30" s="63"/>
    </row>
    <row r="31" spans="1:8" ht="15.75" customHeight="1" x14ac:dyDescent="0.25">
      <c r="A31" s="80" t="s">
        <v>97</v>
      </c>
      <c r="B31" s="80"/>
      <c r="C31" s="80"/>
      <c r="D31" s="80"/>
      <c r="E31" s="63" t="s">
        <v>36</v>
      </c>
      <c r="F31" s="63"/>
      <c r="G31" s="63"/>
      <c r="H31" s="63"/>
    </row>
    <row r="32" spans="1:8" s="20" customFormat="1" x14ac:dyDescent="0.25">
      <c r="A32" s="165" t="s">
        <v>98</v>
      </c>
      <c r="B32" s="165"/>
      <c r="C32" s="164" t="s">
        <v>29</v>
      </c>
      <c r="D32" s="164"/>
      <c r="E32" s="164"/>
      <c r="F32" s="164" t="s">
        <v>31</v>
      </c>
      <c r="G32" s="164"/>
      <c r="H32" s="164"/>
    </row>
    <row r="33" spans="1:8" s="20" customFormat="1" x14ac:dyDescent="0.25">
      <c r="A33" s="146" t="s">
        <v>25</v>
      </c>
      <c r="B33" s="146" t="s">
        <v>30</v>
      </c>
      <c r="C33" s="147" t="s">
        <v>30</v>
      </c>
      <c r="D33" s="147"/>
      <c r="E33" s="147"/>
      <c r="F33" s="147" t="s">
        <v>189</v>
      </c>
      <c r="G33" s="147"/>
      <c r="H33" s="147"/>
    </row>
    <row r="34" spans="1:8" x14ac:dyDescent="0.25">
      <c r="A34" s="146" t="s">
        <v>26</v>
      </c>
      <c r="B34" s="146" t="s">
        <v>30</v>
      </c>
      <c r="C34" s="147" t="s">
        <v>30</v>
      </c>
      <c r="D34" s="147"/>
      <c r="E34" s="147"/>
      <c r="F34" s="147" t="s">
        <v>191</v>
      </c>
      <c r="G34" s="147"/>
      <c r="H34" s="147"/>
    </row>
    <row r="35" spans="1:8" s="20" customFormat="1" x14ac:dyDescent="0.25">
      <c r="A35" s="146" t="s">
        <v>28</v>
      </c>
      <c r="B35" s="146" t="s">
        <v>30</v>
      </c>
      <c r="C35" s="147" t="s">
        <v>30</v>
      </c>
      <c r="D35" s="147"/>
      <c r="E35" s="147"/>
      <c r="F35" s="147" t="s">
        <v>190</v>
      </c>
      <c r="G35" s="147"/>
      <c r="H35" s="147"/>
    </row>
    <row r="36" spans="1:8" x14ac:dyDescent="0.25">
      <c r="A36" s="146" t="s">
        <v>27</v>
      </c>
      <c r="B36" s="146" t="s">
        <v>30</v>
      </c>
      <c r="C36" s="147" t="s">
        <v>30</v>
      </c>
      <c r="D36" s="147"/>
      <c r="E36" s="147"/>
      <c r="F36" s="147" t="s">
        <v>184</v>
      </c>
      <c r="G36" s="147"/>
      <c r="H36" s="147"/>
    </row>
    <row r="37" spans="1:8" x14ac:dyDescent="0.25">
      <c r="A37" s="80" t="s">
        <v>32</v>
      </c>
      <c r="B37" s="80"/>
      <c r="C37" s="80"/>
      <c r="D37" s="80"/>
      <c r="E37" s="80"/>
      <c r="F37" s="80"/>
      <c r="G37" s="80"/>
      <c r="H37" s="80"/>
    </row>
    <row r="38" spans="1:8" ht="15.75" customHeight="1" x14ac:dyDescent="0.25">
      <c r="A38" s="61" t="s">
        <v>33</v>
      </c>
      <c r="B38" s="61"/>
      <c r="C38" s="149">
        <v>19.199949700000001</v>
      </c>
      <c r="D38" s="149"/>
      <c r="E38" s="61" t="s">
        <v>34</v>
      </c>
      <c r="F38" s="61"/>
      <c r="G38" s="150">
        <v>72.820257600000005</v>
      </c>
      <c r="H38" s="150"/>
    </row>
    <row r="39" spans="1:8" x14ac:dyDescent="0.25">
      <c r="A39" s="61" t="s">
        <v>171</v>
      </c>
      <c r="B39" s="61"/>
      <c r="C39" s="62" t="s">
        <v>188</v>
      </c>
      <c r="D39" s="63"/>
      <c r="E39" s="63"/>
      <c r="F39" s="63"/>
      <c r="G39" s="63"/>
      <c r="H39" s="63"/>
    </row>
    <row r="40" spans="1:8" x14ac:dyDescent="0.25">
      <c r="A40" s="124" t="s">
        <v>37</v>
      </c>
      <c r="B40" s="124"/>
      <c r="C40" s="124"/>
      <c r="D40" s="124"/>
      <c r="E40" s="124"/>
      <c r="F40" s="124"/>
      <c r="G40" s="124"/>
      <c r="H40" s="124"/>
    </row>
    <row r="41" spans="1:8" x14ac:dyDescent="0.25">
      <c r="A41" s="80" t="s">
        <v>38</v>
      </c>
      <c r="B41" s="80"/>
      <c r="C41" s="80"/>
      <c r="D41" s="80"/>
      <c r="E41" s="148">
        <v>3845.75</v>
      </c>
      <c r="F41" s="148"/>
      <c r="G41" s="148"/>
      <c r="H41" s="148"/>
    </row>
    <row r="42" spans="1:8" x14ac:dyDescent="0.25">
      <c r="A42" s="80" t="s">
        <v>39</v>
      </c>
      <c r="B42" s="80"/>
      <c r="C42" s="80"/>
      <c r="D42" s="80"/>
      <c r="E42" s="137">
        <v>1</v>
      </c>
      <c r="F42" s="137"/>
      <c r="G42" s="137"/>
      <c r="H42" s="137"/>
    </row>
    <row r="43" spans="1:8" x14ac:dyDescent="0.25">
      <c r="A43" s="80" t="s">
        <v>40</v>
      </c>
      <c r="B43" s="80"/>
      <c r="C43" s="80"/>
      <c r="D43" s="80"/>
      <c r="E43" s="137">
        <f>E45/E41-E42</f>
        <v>0.29933563024117538</v>
      </c>
      <c r="F43" s="137"/>
      <c r="G43" s="137"/>
      <c r="H43" s="137"/>
    </row>
    <row r="44" spans="1:8" x14ac:dyDescent="0.25">
      <c r="A44" s="80" t="s">
        <v>41</v>
      </c>
      <c r="B44" s="80"/>
      <c r="C44" s="80"/>
      <c r="D44" s="80"/>
      <c r="E44" s="137">
        <f>E42+E43</f>
        <v>1.2993356302411754</v>
      </c>
      <c r="F44" s="137"/>
      <c r="G44" s="137"/>
      <c r="H44" s="137"/>
    </row>
    <row r="45" spans="1:8" x14ac:dyDescent="0.25">
      <c r="A45" s="139" t="s">
        <v>96</v>
      </c>
      <c r="B45" s="139"/>
      <c r="C45" s="139"/>
      <c r="D45" s="139"/>
      <c r="E45" s="138">
        <v>4996.92</v>
      </c>
      <c r="F45" s="138"/>
      <c r="G45" s="138"/>
      <c r="H45" s="138"/>
    </row>
    <row r="46" spans="1:8" x14ac:dyDescent="0.25">
      <c r="A46" s="139" t="s">
        <v>42</v>
      </c>
      <c r="B46" s="139"/>
      <c r="C46" s="139"/>
      <c r="D46" s="139"/>
      <c r="E46" s="139" t="s">
        <v>193</v>
      </c>
      <c r="F46" s="139"/>
      <c r="G46" s="139"/>
      <c r="H46" s="139"/>
    </row>
    <row r="47" spans="1:8" x14ac:dyDescent="0.25">
      <c r="A47" s="74" t="s">
        <v>43</v>
      </c>
      <c r="B47" s="74"/>
      <c r="C47" s="74"/>
      <c r="D47" s="74"/>
      <c r="E47" s="74"/>
      <c r="F47" s="74"/>
      <c r="G47" s="74"/>
      <c r="H47" s="74"/>
    </row>
    <row r="48" spans="1:8" ht="33.75" customHeight="1" x14ac:dyDescent="0.25">
      <c r="A48" s="82" t="s">
        <v>158</v>
      </c>
      <c r="B48" s="83"/>
      <c r="C48" s="84" t="s">
        <v>214</v>
      </c>
      <c r="D48" s="85"/>
      <c r="E48" s="85"/>
      <c r="F48" s="85"/>
      <c r="G48" s="85"/>
      <c r="H48" s="86"/>
    </row>
    <row r="49" spans="1:14" ht="32.25" customHeight="1" x14ac:dyDescent="0.25">
      <c r="A49" s="161" t="s">
        <v>44</v>
      </c>
      <c r="B49" s="163"/>
      <c r="C49" s="161" t="s">
        <v>225</v>
      </c>
      <c r="D49" s="162"/>
      <c r="E49" s="163"/>
      <c r="F49" s="18" t="s">
        <v>45</v>
      </c>
      <c r="G49" s="155">
        <v>45021</v>
      </c>
      <c r="H49" s="163"/>
    </row>
    <row r="50" spans="1:14" ht="32.25" customHeight="1" x14ac:dyDescent="0.25">
      <c r="A50" s="161" t="s">
        <v>46</v>
      </c>
      <c r="B50" s="163"/>
      <c r="C50" s="161" t="str">
        <f>C49</f>
        <v>P-9058/2021/(9/10A)/P/N
Ward/MALVANI</v>
      </c>
      <c r="D50" s="162"/>
      <c r="E50" s="163"/>
      <c r="F50" s="18" t="s">
        <v>45</v>
      </c>
      <c r="G50" s="155">
        <f>G49</f>
        <v>45021</v>
      </c>
      <c r="H50" s="156"/>
    </row>
    <row r="51" spans="1:14" s="21" customFormat="1" ht="32.25" customHeight="1" x14ac:dyDescent="0.25">
      <c r="A51" s="157" t="s">
        <v>162</v>
      </c>
      <c r="B51" s="158"/>
      <c r="C51" s="161" t="s">
        <v>226</v>
      </c>
      <c r="D51" s="162"/>
      <c r="E51" s="163"/>
      <c r="F51" s="18" t="s">
        <v>45</v>
      </c>
      <c r="G51" s="155">
        <v>45033</v>
      </c>
      <c r="H51" s="156"/>
    </row>
    <row r="52" spans="1:14" s="21" customFormat="1" ht="164.25" customHeight="1" x14ac:dyDescent="0.25">
      <c r="A52" s="159"/>
      <c r="B52" s="160"/>
      <c r="C52" s="161" t="s">
        <v>258</v>
      </c>
      <c r="D52" s="162"/>
      <c r="E52" s="163"/>
      <c r="F52" s="18" t="s">
        <v>128</v>
      </c>
      <c r="G52" s="155">
        <v>45411</v>
      </c>
      <c r="H52" s="163"/>
    </row>
    <row r="53" spans="1:14" ht="100.5" customHeight="1" x14ac:dyDescent="0.25">
      <c r="A53" s="202" t="s">
        <v>254</v>
      </c>
      <c r="B53" s="203"/>
      <c r="C53" s="202" t="s">
        <v>253</v>
      </c>
      <c r="D53" s="204"/>
      <c r="E53" s="203"/>
      <c r="F53" s="41" t="s">
        <v>45</v>
      </c>
      <c r="G53" s="205">
        <v>45125</v>
      </c>
      <c r="H53" s="206"/>
    </row>
    <row r="54" spans="1:14" x14ac:dyDescent="0.25">
      <c r="A54" s="169" t="s">
        <v>48</v>
      </c>
      <c r="B54" s="169"/>
      <c r="C54" s="169"/>
      <c r="D54" s="169"/>
      <c r="E54" s="169"/>
      <c r="F54" s="169"/>
      <c r="G54" s="169"/>
      <c r="H54" s="169"/>
    </row>
    <row r="55" spans="1:14" x14ac:dyDescent="0.25">
      <c r="A55" s="134" t="s">
        <v>95</v>
      </c>
      <c r="B55" s="134"/>
      <c r="C55" s="134"/>
      <c r="D55" s="80">
        <f>E45</f>
        <v>4996.92</v>
      </c>
      <c r="E55" s="80"/>
      <c r="F55" s="80"/>
      <c r="G55" s="80"/>
      <c r="H55" s="80"/>
    </row>
    <row r="56" spans="1:14" x14ac:dyDescent="0.25">
      <c r="A56" s="63" t="s">
        <v>49</v>
      </c>
      <c r="B56" s="139"/>
      <c r="C56" s="139"/>
      <c r="D56" s="139" t="s">
        <v>247</v>
      </c>
      <c r="E56" s="139"/>
      <c r="F56" s="139"/>
      <c r="G56" s="139"/>
      <c r="H56" s="139"/>
      <c r="I56" s="22"/>
    </row>
    <row r="57" spans="1:14" ht="31.5" customHeight="1" x14ac:dyDescent="0.25">
      <c r="A57" s="152" t="s">
        <v>50</v>
      </c>
      <c r="B57" s="153"/>
      <c r="C57" s="154"/>
      <c r="D57" s="136" t="s">
        <v>249</v>
      </c>
      <c r="E57" s="151"/>
      <c r="F57" s="151"/>
      <c r="G57" s="151"/>
      <c r="H57" s="151"/>
    </row>
    <row r="58" spans="1:14" ht="15.75" customHeight="1" x14ac:dyDescent="0.25">
      <c r="A58" s="152" t="s">
        <v>93</v>
      </c>
      <c r="B58" s="153"/>
      <c r="C58" s="153"/>
      <c r="D58" s="196" t="s">
        <v>215</v>
      </c>
      <c r="E58" s="197"/>
      <c r="F58" s="197"/>
      <c r="G58" s="197"/>
      <c r="H58" s="198"/>
      <c r="I58" s="19" t="s">
        <v>196</v>
      </c>
    </row>
    <row r="59" spans="1:14" ht="15.75" customHeight="1" x14ac:dyDescent="0.25">
      <c r="A59" s="194"/>
      <c r="B59" s="195"/>
      <c r="C59" s="195"/>
      <c r="D59" s="199" t="s">
        <v>216</v>
      </c>
      <c r="E59" s="200"/>
      <c r="F59" s="200"/>
      <c r="G59" s="200"/>
      <c r="H59" s="201"/>
      <c r="I59" s="19" t="s">
        <v>208</v>
      </c>
    </row>
    <row r="60" spans="1:14" ht="15.75" customHeight="1" x14ac:dyDescent="0.25">
      <c r="A60" s="80" t="s">
        <v>47</v>
      </c>
      <c r="B60" s="80"/>
      <c r="C60" s="80"/>
      <c r="D60" s="132" t="s">
        <v>199</v>
      </c>
      <c r="E60" s="132"/>
      <c r="F60" s="132"/>
      <c r="G60" s="132"/>
      <c r="H60" s="132"/>
      <c r="I60" s="132" t="s">
        <v>199</v>
      </c>
      <c r="J60" s="132"/>
      <c r="K60" s="132"/>
      <c r="L60" s="132"/>
      <c r="M60" s="132"/>
      <c r="N60" s="22"/>
    </row>
    <row r="61" spans="1:14" ht="15.75" customHeight="1" x14ac:dyDescent="0.25">
      <c r="A61" s="80" t="s">
        <v>91</v>
      </c>
      <c r="B61" s="80"/>
      <c r="C61" s="80"/>
      <c r="D61" s="133" t="s">
        <v>260</v>
      </c>
      <c r="E61" s="133"/>
      <c r="F61" s="133"/>
      <c r="G61" s="133"/>
      <c r="H61" s="133"/>
      <c r="I61" s="19" t="str">
        <f ca="1">(IF(G53="NA","60 Years After Completion",IF(G53&lt;&gt;"NA",""&amp;60-ROUNDDOWN((E3-G53)/360,0)&amp;" Years"," ")))</f>
        <v>58 Years</v>
      </c>
      <c r="N61" s="22"/>
    </row>
    <row r="62" spans="1:14" ht="15.75" customHeight="1" x14ac:dyDescent="0.25">
      <c r="A62" s="80" t="s">
        <v>92</v>
      </c>
      <c r="B62" s="80"/>
      <c r="C62" s="80"/>
      <c r="D62" s="134" t="s">
        <v>24</v>
      </c>
      <c r="E62" s="134"/>
      <c r="F62" s="134"/>
      <c r="G62" s="134"/>
      <c r="H62" s="134"/>
      <c r="J62" s="23"/>
      <c r="K62" s="23"/>
    </row>
    <row r="63" spans="1:14" ht="48.75" customHeight="1" x14ac:dyDescent="0.25">
      <c r="A63" s="80" t="s">
        <v>78</v>
      </c>
      <c r="B63" s="80"/>
      <c r="C63" s="80"/>
      <c r="D63" s="63" t="s">
        <v>213</v>
      </c>
      <c r="E63" s="134"/>
      <c r="F63" s="134"/>
      <c r="G63" s="134"/>
      <c r="H63" s="134"/>
    </row>
    <row r="64" spans="1:14" x14ac:dyDescent="0.25">
      <c r="A64" s="134" t="s">
        <v>155</v>
      </c>
      <c r="B64" s="134"/>
      <c r="C64" s="134"/>
      <c r="D64" s="134" t="s">
        <v>30</v>
      </c>
      <c r="E64" s="134"/>
      <c r="F64" s="134"/>
      <c r="G64" s="134"/>
      <c r="H64" s="134"/>
      <c r="I64" s="24"/>
      <c r="J64" s="24"/>
      <c r="K64" s="24"/>
      <c r="L64" s="24"/>
      <c r="M64" s="24"/>
      <c r="N64" s="24"/>
    </row>
    <row r="65" spans="1:10" ht="15.75" customHeight="1" x14ac:dyDescent="0.25">
      <c r="A65" s="135" t="s">
        <v>90</v>
      </c>
      <c r="B65" s="135"/>
      <c r="C65" s="135"/>
      <c r="D65" s="136" t="str">
        <f ca="1">(IF(G85&gt;95%,"Nothing",IF(G85&gt;0%,"Cement, Aggregate, Steel, etc",IF(G85=0%,"Work not yet Started"))))</f>
        <v>Cement, Aggregate, Steel, etc</v>
      </c>
      <c r="E65" s="136"/>
      <c r="F65" s="136"/>
      <c r="G65" s="136"/>
      <c r="H65" s="136"/>
      <c r="J65" s="23"/>
    </row>
    <row r="66" spans="1:10" ht="33.75" customHeight="1" thickBot="1" x14ac:dyDescent="0.3">
      <c r="A66" s="145" t="s">
        <v>123</v>
      </c>
      <c r="B66" s="145"/>
      <c r="C66" s="145"/>
      <c r="D66" s="136" t="str">
        <f ca="1">(IF(D65="Nothing","Yes",IF(D65="Cement, Aggregate, Steel, etc","Under Construction",IF(D65="Work not yet Started","Work not yet Started"))))</f>
        <v>Under Construction</v>
      </c>
      <c r="E66" s="136"/>
      <c r="F66" s="136" t="str">
        <f ca="1">(IF(D65="Nothing","Yes",IF(D65="Cement, Aggregate, Steel, etc","Under Construction",IF(D65="Work not yet Started","Work not yet Started"))))</f>
        <v>Under Construction</v>
      </c>
      <c r="G66" s="136"/>
      <c r="H66" s="136"/>
    </row>
    <row r="67" spans="1:10" ht="15.75" customHeight="1" x14ac:dyDescent="0.25">
      <c r="A67" s="140" t="s">
        <v>147</v>
      </c>
      <c r="B67" s="141"/>
      <c r="C67" s="142" t="str">
        <f>D58</f>
        <v>Wing A = G + 3P + 4th to 21st Floor</v>
      </c>
      <c r="D67" s="143"/>
      <c r="E67" s="143"/>
      <c r="F67" s="143"/>
      <c r="G67" s="143"/>
      <c r="H67" s="144"/>
      <c r="I67" s="43" t="str">
        <f ca="1">IF(D80=100%,"All work Completed. Possession granted to the Building.",IF(D79=100%,"All work Completed, Waiting for OC",I68&amp;""&amp;I69&amp;""&amp;J68&amp;""&amp;J67&amp;" "&amp;J69))</f>
        <v>All work Completed. Possession granted to the Building.</v>
      </c>
      <c r="J67" s="44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/>
      </c>
    </row>
    <row r="68" spans="1:10" x14ac:dyDescent="0.25">
      <c r="A68" s="16" t="s">
        <v>149</v>
      </c>
      <c r="B68" s="49">
        <v>0</v>
      </c>
      <c r="C68" s="49" t="s">
        <v>75</v>
      </c>
      <c r="D68" s="49">
        <v>1</v>
      </c>
      <c r="E68" s="49" t="s">
        <v>74</v>
      </c>
      <c r="F68" s="49">
        <v>0</v>
      </c>
      <c r="G68" s="49" t="s">
        <v>84</v>
      </c>
      <c r="H68" s="17">
        <f ca="1">--TRIM(RIGHT(SUBSTITUTE(LEFT(C67,_xlfn.AGGREGATE(16,6,FIND({0,1,2,3,4,5,6,7,8,9},C67,ROW(INDIRECT("1:"&amp;LEN(C67)))),1))," ",REPT(" ",LEN(C67))),LEN(C67)))</f>
        <v>21</v>
      </c>
      <c r="I68" s="45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Plinth, RCC Slab, Brickwork, Internal Plaster, External Plaster, Flooring, Painting, Building common Amenities</v>
      </c>
      <c r="J68" s="46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0" x14ac:dyDescent="0.25">
      <c r="A69" s="73" t="s">
        <v>94</v>
      </c>
      <c r="B69" s="74"/>
      <c r="C69" s="75" t="str">
        <f ca="1">I67</f>
        <v>All work Completed. Possession granted to the Building.</v>
      </c>
      <c r="D69" s="75"/>
      <c r="E69" s="75"/>
      <c r="F69" s="75"/>
      <c r="G69" s="75"/>
      <c r="H69" s="76"/>
      <c r="I69" s="45" t="str">
        <f ca="1">IF(I68&lt;&gt;""," Completed","")</f>
        <v xml:space="preserve"> Completed</v>
      </c>
      <c r="J69" s="46" t="str">
        <f ca="1">IF(J67&lt;&gt;"","Completed","")</f>
        <v/>
      </c>
    </row>
    <row r="70" spans="1:10" ht="15.75" customHeight="1" x14ac:dyDescent="0.25">
      <c r="A70" s="77" t="s">
        <v>51</v>
      </c>
      <c r="B70" s="78"/>
      <c r="C70" s="50" t="s">
        <v>146</v>
      </c>
      <c r="D70" s="50" t="s">
        <v>87</v>
      </c>
      <c r="E70" s="78" t="s">
        <v>89</v>
      </c>
      <c r="F70" s="78"/>
      <c r="G70" s="78" t="s">
        <v>88</v>
      </c>
      <c r="H70" s="79"/>
      <c r="I70" s="14" t="s">
        <v>148</v>
      </c>
      <c r="J70" s="25">
        <f ca="1">H68*25%</f>
        <v>5.25</v>
      </c>
    </row>
    <row r="71" spans="1:10" x14ac:dyDescent="0.25">
      <c r="A71" s="77" t="s">
        <v>135</v>
      </c>
      <c r="B71" s="78"/>
      <c r="C71" s="50">
        <f ca="1">J72</f>
        <v>21</v>
      </c>
      <c r="D71" s="51">
        <f ca="1">((100/H68)*C71)/100</f>
        <v>1</v>
      </c>
      <c r="E71" s="90">
        <f ca="1">(((C72/H68*10)+(40/(D68+F68+H68)*C73)+(7.5/(H68)*C74)+(7.5/(H68)*C75)+(10/H68*C76)+(10/H68*C77)+(5/H68*C78)+(5/H68*C79)+(5/H68*C80))/100)</f>
        <v>1</v>
      </c>
      <c r="F71" s="126"/>
      <c r="G71" s="90">
        <f ca="1">((((C71/H68)*20)+((C72/H68)*25)+(30/(H68+F68+D68)*C73)+(5/H68*C74)+(5/H68*C75)+(5/H68*C76)+(5/H68*C77)+(0/H68*C78)+(0/H68*C79)+(5/H68*C80))/100)</f>
        <v>1</v>
      </c>
      <c r="H71" s="91"/>
      <c r="I71" s="14" t="s">
        <v>105</v>
      </c>
      <c r="J71" s="26">
        <f ca="1">H68*50%</f>
        <v>10.5</v>
      </c>
    </row>
    <row r="72" spans="1:10" x14ac:dyDescent="0.25">
      <c r="A72" s="77" t="s">
        <v>52</v>
      </c>
      <c r="B72" s="78"/>
      <c r="C72" s="52">
        <v>21</v>
      </c>
      <c r="D72" s="51">
        <f ca="1">((100/H68)*C72)/100</f>
        <v>1</v>
      </c>
      <c r="E72" s="92"/>
      <c r="F72" s="127"/>
      <c r="G72" s="92"/>
      <c r="H72" s="93"/>
      <c r="I72" s="14" t="s">
        <v>106</v>
      </c>
      <c r="J72" s="26">
        <f ca="1">H68</f>
        <v>21</v>
      </c>
    </row>
    <row r="73" spans="1:10" ht="15.75" customHeight="1" x14ac:dyDescent="0.25">
      <c r="A73" s="77" t="s">
        <v>136</v>
      </c>
      <c r="B73" s="78"/>
      <c r="C73" s="50">
        <v>22</v>
      </c>
      <c r="D73" s="51">
        <f ca="1">((100/(D68+F68+H68))*C73)/100</f>
        <v>1.0000000000000002</v>
      </c>
      <c r="E73" s="92"/>
      <c r="F73" s="127"/>
      <c r="G73" s="92"/>
      <c r="H73" s="93"/>
      <c r="I73" s="14" t="s">
        <v>107</v>
      </c>
      <c r="J73" s="27">
        <f ca="1">(IF(B68&gt;1,(H68/(B68+2)),H68/4))</f>
        <v>5.25</v>
      </c>
    </row>
    <row r="74" spans="1:10" ht="15.75" customHeight="1" x14ac:dyDescent="0.25">
      <c r="A74" s="77" t="s">
        <v>143</v>
      </c>
      <c r="B74" s="78" t="s">
        <v>137</v>
      </c>
      <c r="C74" s="50">
        <v>21</v>
      </c>
      <c r="D74" s="51">
        <f ca="1">((100/H68)*C74)/100</f>
        <v>1</v>
      </c>
      <c r="E74" s="92"/>
      <c r="F74" s="127"/>
      <c r="G74" s="92"/>
      <c r="H74" s="93"/>
      <c r="I74" s="14" t="s">
        <v>108</v>
      </c>
      <c r="J74" s="27">
        <f ca="1">(IF(B68&gt;1,(H68/(B68+2)+J73),H68/4+J73))</f>
        <v>10.5</v>
      </c>
    </row>
    <row r="75" spans="1:10" ht="15.75" customHeight="1" x14ac:dyDescent="0.25">
      <c r="A75" s="77" t="s">
        <v>144</v>
      </c>
      <c r="B75" s="78" t="s">
        <v>137</v>
      </c>
      <c r="C75" s="50">
        <v>21</v>
      </c>
      <c r="D75" s="51">
        <f ca="1">((100/H68)*C75)/100</f>
        <v>1</v>
      </c>
      <c r="E75" s="92"/>
      <c r="F75" s="127"/>
      <c r="G75" s="92"/>
      <c r="H75" s="93"/>
      <c r="I75" s="14" t="s">
        <v>153</v>
      </c>
      <c r="J75" s="27">
        <f>(IF(B68&gt;1,(H68/(B68+2)+J74),0))</f>
        <v>0</v>
      </c>
    </row>
    <row r="76" spans="1:10" ht="15" customHeight="1" x14ac:dyDescent="0.25">
      <c r="A76" s="77" t="s">
        <v>142</v>
      </c>
      <c r="B76" s="78" t="s">
        <v>139</v>
      </c>
      <c r="C76" s="50">
        <v>21</v>
      </c>
      <c r="D76" s="51">
        <f ca="1">((100/(H68))*C76)/100</f>
        <v>1</v>
      </c>
      <c r="E76" s="92"/>
      <c r="F76" s="127"/>
      <c r="G76" s="92"/>
      <c r="H76" s="93"/>
      <c r="I76" s="14" t="s">
        <v>150</v>
      </c>
      <c r="J76" s="27">
        <f>(IF(B68&gt;2,(H68/(B68+2)+J75),0))</f>
        <v>0</v>
      </c>
    </row>
    <row r="77" spans="1:10" ht="15.75" customHeight="1" x14ac:dyDescent="0.25">
      <c r="A77" s="77" t="s">
        <v>138</v>
      </c>
      <c r="B77" s="78" t="s">
        <v>138</v>
      </c>
      <c r="C77" s="50">
        <v>21</v>
      </c>
      <c r="D77" s="51">
        <f ca="1">((100/H68)*C77)/100</f>
        <v>1</v>
      </c>
      <c r="E77" s="92"/>
      <c r="F77" s="127"/>
      <c r="G77" s="92"/>
      <c r="H77" s="93"/>
      <c r="I77" s="14" t="s">
        <v>151</v>
      </c>
      <c r="J77" s="28">
        <f>(IF(B68&gt;3,(H68/(B68+2)+J76),0))</f>
        <v>0</v>
      </c>
    </row>
    <row r="78" spans="1:10" ht="15.75" customHeight="1" x14ac:dyDescent="0.25">
      <c r="A78" s="77" t="s">
        <v>145</v>
      </c>
      <c r="B78" s="78"/>
      <c r="C78" s="50">
        <v>21</v>
      </c>
      <c r="D78" s="51">
        <f ca="1">((100/H68)*C78)/100</f>
        <v>1</v>
      </c>
      <c r="E78" s="92"/>
      <c r="F78" s="127"/>
      <c r="G78" s="92"/>
      <c r="H78" s="93"/>
      <c r="I78" s="14" t="s">
        <v>152</v>
      </c>
      <c r="J78" s="27">
        <f>(IF(B68&gt;4,(H68/(B68+2)+J77),0))</f>
        <v>0</v>
      </c>
    </row>
    <row r="79" spans="1:10" ht="15.75" customHeight="1" x14ac:dyDescent="0.25">
      <c r="A79" s="77" t="s">
        <v>140</v>
      </c>
      <c r="B79" s="78" t="s">
        <v>140</v>
      </c>
      <c r="C79" s="50">
        <v>21</v>
      </c>
      <c r="D79" s="51">
        <f ca="1">((100/(H68))*C79)/100</f>
        <v>1</v>
      </c>
      <c r="E79" s="92"/>
      <c r="F79" s="127"/>
      <c r="G79" s="92"/>
      <c r="H79" s="93"/>
      <c r="I79" s="14" t="s">
        <v>154</v>
      </c>
      <c r="J79" s="27">
        <f ca="1">(IF(B68=1,(H68/(B68+3)+J74),IF(B68=0,(H68/4+J74),IF(B68&gt;1,0))))</f>
        <v>15.75</v>
      </c>
    </row>
    <row r="80" spans="1:10" ht="16.5" thickBot="1" x14ac:dyDescent="0.3">
      <c r="A80" s="129" t="s">
        <v>141</v>
      </c>
      <c r="B80" s="130"/>
      <c r="C80" s="53">
        <v>21</v>
      </c>
      <c r="D80" s="54">
        <f ca="1">((100/(H68))*C80)/100</f>
        <v>1</v>
      </c>
      <c r="E80" s="94"/>
      <c r="F80" s="128"/>
      <c r="G80" s="94"/>
      <c r="H80" s="95"/>
      <c r="I80" s="15" t="s">
        <v>109</v>
      </c>
      <c r="J80" s="29">
        <f ca="1">(IF(B68&gt;1.5,(H68/(B68+2)+J74+MAX(0,J75-J74)+MAX(0,J76-J75)+MAX(0,J77-J76)+MAX(0,J78-J77)+MAX(0,J79-J78)),IF(B68=1,(H68/(B68+3)+J79),IF(B68=0,H68/4+J79))))</f>
        <v>21</v>
      </c>
    </row>
    <row r="81" spans="1:12" ht="15.75" customHeight="1" x14ac:dyDescent="0.25">
      <c r="A81" s="140" t="s">
        <v>147</v>
      </c>
      <c r="B81" s="141"/>
      <c r="C81" s="142" t="str">
        <f>D59</f>
        <v>Wing B = G + 3P + 4th to 21st Floor</v>
      </c>
      <c r="D81" s="143"/>
      <c r="E81" s="143"/>
      <c r="F81" s="143"/>
      <c r="G81" s="143"/>
      <c r="H81" s="144"/>
      <c r="I81" s="43" t="str">
        <f ca="1">IF(D94=100%,"All work Completed. Possession granted to the Building.",IF(D93=100%,"All work Completed, Waiting for OC",I82&amp;""&amp;I83&amp;""&amp;J82&amp;""&amp;J81&amp;" "&amp;J83))</f>
        <v>Excavation, Plinth, RCC Slab, Brickwork, Internal Plaster, External Plaster Completed, Flooring upto 20 Floor, Painting upto 20 Floor, Finishing upto 14 Floor Completed</v>
      </c>
      <c r="J81" s="44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>, Flooring upto 20 Floor, Painting upto 20 Floor, Finishing upto 14 Floor</v>
      </c>
    </row>
    <row r="82" spans="1:12" x14ac:dyDescent="0.25">
      <c r="A82" s="16" t="s">
        <v>149</v>
      </c>
      <c r="B82" s="49">
        <v>0</v>
      </c>
      <c r="C82" s="49" t="s">
        <v>75</v>
      </c>
      <c r="D82" s="49">
        <v>1</v>
      </c>
      <c r="E82" s="49" t="s">
        <v>74</v>
      </c>
      <c r="F82" s="49">
        <v>0</v>
      </c>
      <c r="G82" s="49" t="s">
        <v>84</v>
      </c>
      <c r="H82" s="17">
        <f ca="1">--TRIM(RIGHT(SUBSTITUTE(LEFT(C81,_xlfn.AGGREGATE(16,6,FIND({0,1,2,3,4,5,6,7,8,9},C81,ROW(INDIRECT("1:"&amp;LEN(C81)))),1))," ",REPT(" ",LEN(C81))),LEN(C81)))</f>
        <v>21</v>
      </c>
      <c r="I82" s="45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Excavation, Plinth, RCC Slab, Brickwork, Internal Plaster, External Plaster</v>
      </c>
      <c r="J82" s="46" t="str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/>
      </c>
    </row>
    <row r="83" spans="1:12" ht="48" customHeight="1" x14ac:dyDescent="0.25">
      <c r="A83" s="73" t="s">
        <v>94</v>
      </c>
      <c r="B83" s="74"/>
      <c r="C83" s="75" t="str">
        <f ca="1">I81</f>
        <v>Excavation, Plinth, RCC Slab, Brickwork, Internal Plaster, External Plaster Completed, Flooring upto 20 Floor, Painting upto 20 Floor, Finishing upto 14 Floor Completed</v>
      </c>
      <c r="D83" s="75"/>
      <c r="E83" s="75"/>
      <c r="F83" s="75"/>
      <c r="G83" s="75"/>
      <c r="H83" s="76"/>
      <c r="I83" s="45" t="str">
        <f ca="1">IF(I82&lt;&gt;""," Completed","")</f>
        <v xml:space="preserve"> Completed</v>
      </c>
      <c r="J83" s="46" t="str">
        <f ca="1">IF(J81&lt;&gt;"","Completed","")</f>
        <v>Completed</v>
      </c>
    </row>
    <row r="84" spans="1:12" ht="15.75" customHeight="1" x14ac:dyDescent="0.25">
      <c r="A84" s="77" t="s">
        <v>51</v>
      </c>
      <c r="B84" s="78"/>
      <c r="C84" s="50" t="s">
        <v>146</v>
      </c>
      <c r="D84" s="50" t="s">
        <v>87</v>
      </c>
      <c r="E84" s="78" t="s">
        <v>89</v>
      </c>
      <c r="F84" s="78"/>
      <c r="G84" s="78" t="s">
        <v>88</v>
      </c>
      <c r="H84" s="79"/>
      <c r="I84" s="14" t="s">
        <v>148</v>
      </c>
      <c r="J84" s="25">
        <f ca="1">H82*25%</f>
        <v>5.25</v>
      </c>
    </row>
    <row r="85" spans="1:12" x14ac:dyDescent="0.25">
      <c r="A85" s="77" t="s">
        <v>135</v>
      </c>
      <c r="B85" s="78"/>
      <c r="C85" s="50">
        <f ca="1">J86</f>
        <v>21</v>
      </c>
      <c r="D85" s="51">
        <f ca="1">((100/H82)*C85)/100</f>
        <v>1</v>
      </c>
      <c r="E85" s="90">
        <f ca="1">(((C86/H82*10)+(40/(D82+F82+H82)*C87)+(7.5/(H82)*C88)+(7.5/(H82)*C89)+(10/H82*C90)+(10/H82*C91)+(5/H82*C92)+(5/H82*C93)+(5/H82*C94))/100)</f>
        <v>0.92619047619047601</v>
      </c>
      <c r="F85" s="126"/>
      <c r="G85" s="90">
        <f ca="1">((((C85/H82)*20)+((C86/H82)*25)+(30/(H82+F82+D82)*C87)+(5/H82*C88)+(5/H82*C89)+(5/H82*C90)+(5/H82*C91)+(0/H82*C92)+(0/H82*C93)+(5/H82*C94))/100)</f>
        <v>0.94761904761904758</v>
      </c>
      <c r="H85" s="91"/>
      <c r="I85" s="14" t="s">
        <v>105</v>
      </c>
      <c r="J85" s="26">
        <f ca="1">H82*50%</f>
        <v>10.5</v>
      </c>
    </row>
    <row r="86" spans="1:12" x14ac:dyDescent="0.25">
      <c r="A86" s="77" t="s">
        <v>52</v>
      </c>
      <c r="B86" s="78"/>
      <c r="C86" s="52">
        <f ca="1">J94</f>
        <v>21</v>
      </c>
      <c r="D86" s="51">
        <f ca="1">((100/H82)*C86)/100</f>
        <v>1</v>
      </c>
      <c r="E86" s="92"/>
      <c r="F86" s="127"/>
      <c r="G86" s="92"/>
      <c r="H86" s="93"/>
      <c r="I86" s="14" t="s">
        <v>106</v>
      </c>
      <c r="J86" s="26">
        <f ca="1">H82</f>
        <v>21</v>
      </c>
      <c r="L86" s="19" t="s">
        <v>209</v>
      </c>
    </row>
    <row r="87" spans="1:12" ht="15.75" customHeight="1" x14ac:dyDescent="0.25">
      <c r="A87" s="77" t="s">
        <v>136</v>
      </c>
      <c r="B87" s="78"/>
      <c r="C87" s="50">
        <v>22</v>
      </c>
      <c r="D87" s="51">
        <f ca="1">((100/(D82+F82+H82))*C87)/100</f>
        <v>1.0000000000000002</v>
      </c>
      <c r="E87" s="92"/>
      <c r="F87" s="127"/>
      <c r="G87" s="92"/>
      <c r="H87" s="93"/>
      <c r="I87" s="14" t="s">
        <v>107</v>
      </c>
      <c r="J87" s="27">
        <f ca="1">(IF(B82&gt;1,(H82/(B82+2)),H82/4))</f>
        <v>5.25</v>
      </c>
      <c r="L87" s="60" t="s">
        <v>256</v>
      </c>
    </row>
    <row r="88" spans="1:12" ht="15.75" customHeight="1" x14ac:dyDescent="0.25">
      <c r="A88" s="77" t="s">
        <v>143</v>
      </c>
      <c r="B88" s="78" t="s">
        <v>137</v>
      </c>
      <c r="C88" s="50">
        <v>21</v>
      </c>
      <c r="D88" s="51">
        <f ca="1">((100/H82)*C88)/100</f>
        <v>1</v>
      </c>
      <c r="E88" s="92"/>
      <c r="F88" s="127"/>
      <c r="G88" s="92"/>
      <c r="H88" s="93"/>
      <c r="I88" s="14" t="s">
        <v>108</v>
      </c>
      <c r="J88" s="27">
        <f ca="1">(IF(B82&gt;1,(H82/(B82+2)+J87),H82/4+J87))</f>
        <v>10.5</v>
      </c>
    </row>
    <row r="89" spans="1:12" ht="15.75" customHeight="1" x14ac:dyDescent="0.25">
      <c r="A89" s="77" t="s">
        <v>144</v>
      </c>
      <c r="B89" s="78" t="s">
        <v>137</v>
      </c>
      <c r="C89" s="50">
        <v>21</v>
      </c>
      <c r="D89" s="51">
        <f ca="1">((100/H82)*C89)/100</f>
        <v>1</v>
      </c>
      <c r="E89" s="92"/>
      <c r="F89" s="127"/>
      <c r="G89" s="92"/>
      <c r="H89" s="93"/>
      <c r="I89" s="14" t="s">
        <v>153</v>
      </c>
      <c r="J89" s="27">
        <f>(IF(B82&gt;1,(H82/(B82+2)+J88),0))</f>
        <v>0</v>
      </c>
    </row>
    <row r="90" spans="1:12" ht="15" customHeight="1" x14ac:dyDescent="0.25">
      <c r="A90" s="77" t="s">
        <v>142</v>
      </c>
      <c r="B90" s="78" t="s">
        <v>139</v>
      </c>
      <c r="C90" s="50">
        <v>21</v>
      </c>
      <c r="D90" s="51">
        <f ca="1">((100/(H82))*C90)/100</f>
        <v>1</v>
      </c>
      <c r="E90" s="92"/>
      <c r="F90" s="127"/>
      <c r="G90" s="92"/>
      <c r="H90" s="93"/>
      <c r="I90" s="14" t="s">
        <v>150</v>
      </c>
      <c r="J90" s="27">
        <f>(IF(B82&gt;2,(H82/(B82+2)+J89),0))</f>
        <v>0</v>
      </c>
    </row>
    <row r="91" spans="1:12" ht="15.75" customHeight="1" x14ac:dyDescent="0.25">
      <c r="A91" s="77" t="s">
        <v>138</v>
      </c>
      <c r="B91" s="78" t="s">
        <v>138</v>
      </c>
      <c r="C91" s="50">
        <v>20</v>
      </c>
      <c r="D91" s="51">
        <f ca="1">((100/H82)*C91)/100</f>
        <v>0.95238095238095244</v>
      </c>
      <c r="E91" s="92"/>
      <c r="F91" s="127"/>
      <c r="G91" s="92"/>
      <c r="H91" s="93"/>
      <c r="I91" s="14" t="s">
        <v>151</v>
      </c>
      <c r="J91" s="28">
        <f>(IF(B82&gt;3,(H82/(B82+2)+J90),0))</f>
        <v>0</v>
      </c>
    </row>
    <row r="92" spans="1:12" ht="15.75" customHeight="1" x14ac:dyDescent="0.25">
      <c r="A92" s="77" t="s">
        <v>145</v>
      </c>
      <c r="B92" s="78"/>
      <c r="C92" s="50">
        <v>20</v>
      </c>
      <c r="D92" s="51">
        <f ca="1">((100/H82)*C92)/100</f>
        <v>0.95238095238095244</v>
      </c>
      <c r="E92" s="92"/>
      <c r="F92" s="127"/>
      <c r="G92" s="92"/>
      <c r="H92" s="93"/>
      <c r="I92" s="14" t="s">
        <v>152</v>
      </c>
      <c r="J92" s="27">
        <f>(IF(B82&gt;4,(H82/(B82+2)+J91),0))</f>
        <v>0</v>
      </c>
    </row>
    <row r="93" spans="1:12" ht="15.75" customHeight="1" x14ac:dyDescent="0.25">
      <c r="A93" s="77" t="s">
        <v>140</v>
      </c>
      <c r="B93" s="78" t="s">
        <v>140</v>
      </c>
      <c r="C93" s="50">
        <v>14</v>
      </c>
      <c r="D93" s="51">
        <f ca="1">((100/(H82))*C93)/100</f>
        <v>0.66666666666666674</v>
      </c>
      <c r="E93" s="92"/>
      <c r="F93" s="127"/>
      <c r="G93" s="92"/>
      <c r="H93" s="93"/>
      <c r="I93" s="14" t="s">
        <v>154</v>
      </c>
      <c r="J93" s="27">
        <f ca="1">(IF(B82=1,(H82/(B82+3)+J88),IF(B82=0,(H82/4+J88),IF(B82&gt;1,0))))</f>
        <v>15.75</v>
      </c>
    </row>
    <row r="94" spans="1:12" ht="16.5" thickBot="1" x14ac:dyDescent="0.3">
      <c r="A94" s="129" t="s">
        <v>141</v>
      </c>
      <c r="B94" s="130"/>
      <c r="C94" s="53">
        <v>0</v>
      </c>
      <c r="D94" s="54">
        <f ca="1">((100/(H82))*C94)/100</f>
        <v>0</v>
      </c>
      <c r="E94" s="94"/>
      <c r="F94" s="128"/>
      <c r="G94" s="94"/>
      <c r="H94" s="95"/>
      <c r="I94" s="15" t="s">
        <v>109</v>
      </c>
      <c r="J94" s="29">
        <f ca="1">(IF(B82&gt;1.5,(H82/(B82+2)+J88+MAX(0,J89-J88)+MAX(0,J90-J89)+MAX(0,J91-J90)+MAX(0,J92-J91)+MAX(0,J93-J92)),IF(B82=1,(H82/(B82+3)+J93),IF(B82=0,H82/4+J93))))</f>
        <v>21</v>
      </c>
    </row>
    <row r="95" spans="1:12" x14ac:dyDescent="0.25">
      <c r="A95" s="100" t="s">
        <v>164</v>
      </c>
      <c r="B95" s="100"/>
      <c r="C95" s="100"/>
      <c r="D95" s="100"/>
      <c r="E95" s="100"/>
      <c r="F95" s="131" t="s">
        <v>169</v>
      </c>
      <c r="G95" s="131"/>
      <c r="H95" s="131"/>
    </row>
    <row r="96" spans="1:12" x14ac:dyDescent="0.25">
      <c r="A96" s="80" t="s">
        <v>167</v>
      </c>
      <c r="B96" s="80"/>
      <c r="C96" s="80"/>
      <c r="D96" s="80"/>
      <c r="E96" s="80"/>
      <c r="F96" s="81">
        <v>14000</v>
      </c>
      <c r="G96" s="81"/>
      <c r="H96" s="81"/>
      <c r="J96" s="19" t="s">
        <v>210</v>
      </c>
      <c r="L96" s="19">
        <f>21500/1.55</f>
        <v>13870.967741935483</v>
      </c>
    </row>
    <row r="97" spans="1:12" x14ac:dyDescent="0.25">
      <c r="A97" s="80" t="s">
        <v>166</v>
      </c>
      <c r="B97" s="80"/>
      <c r="C97" s="80"/>
      <c r="D97" s="80"/>
      <c r="E97" s="80"/>
      <c r="F97" s="81">
        <v>30000</v>
      </c>
      <c r="G97" s="81"/>
      <c r="H97" s="81"/>
      <c r="J97" s="19" t="s">
        <v>211</v>
      </c>
      <c r="L97" s="19">
        <v>14500</v>
      </c>
    </row>
    <row r="98" spans="1:12" x14ac:dyDescent="0.25">
      <c r="A98" s="80" t="s">
        <v>168</v>
      </c>
      <c r="B98" s="80"/>
      <c r="C98" s="80"/>
      <c r="D98" s="80"/>
      <c r="E98" s="80"/>
      <c r="F98" s="81">
        <v>21000</v>
      </c>
      <c r="G98" s="81"/>
      <c r="H98" s="81"/>
      <c r="J98" s="19" t="s">
        <v>212</v>
      </c>
      <c r="L98" s="19">
        <f>8900000/600</f>
        <v>14833.333333333334</v>
      </c>
    </row>
    <row r="99" spans="1:12" s="30" customFormat="1" hidden="1" x14ac:dyDescent="0.25">
      <c r="A99" s="80" t="s">
        <v>165</v>
      </c>
      <c r="B99" s="80"/>
      <c r="C99" s="80"/>
      <c r="D99" s="80"/>
      <c r="E99" s="80"/>
      <c r="F99" s="101"/>
      <c r="G99" s="101"/>
      <c r="H99" s="101"/>
    </row>
    <row r="100" spans="1:12" s="30" customFormat="1" hidden="1" x14ac:dyDescent="0.25">
      <c r="A100" s="80" t="s">
        <v>99</v>
      </c>
      <c r="B100" s="80"/>
      <c r="C100" s="80"/>
      <c r="D100" s="80"/>
      <c r="E100" s="80"/>
      <c r="F100" s="101"/>
      <c r="G100" s="101"/>
      <c r="H100" s="101"/>
    </row>
    <row r="101" spans="1:12" s="30" customFormat="1" hidden="1" x14ac:dyDescent="0.25">
      <c r="A101" s="80" t="s">
        <v>100</v>
      </c>
      <c r="B101" s="80"/>
      <c r="C101" s="80"/>
      <c r="D101" s="80"/>
      <c r="E101" s="80"/>
      <c r="F101" s="101"/>
      <c r="G101" s="101"/>
      <c r="H101" s="101"/>
    </row>
    <row r="102" spans="1:12" s="30" customFormat="1" hidden="1" x14ac:dyDescent="0.25">
      <c r="A102" s="80" t="s">
        <v>170</v>
      </c>
      <c r="B102" s="80"/>
      <c r="C102" s="80"/>
      <c r="D102" s="80"/>
      <c r="E102" s="80"/>
      <c r="F102" s="101"/>
      <c r="G102" s="101"/>
      <c r="H102" s="101"/>
    </row>
    <row r="103" spans="1:12" s="30" customFormat="1" hidden="1" x14ac:dyDescent="0.25">
      <c r="A103" s="80" t="s">
        <v>101</v>
      </c>
      <c r="B103" s="80"/>
      <c r="C103" s="80"/>
      <c r="D103" s="80"/>
      <c r="E103" s="80"/>
      <c r="F103" s="101"/>
      <c r="G103" s="101"/>
      <c r="H103" s="101"/>
    </row>
    <row r="104" spans="1:12" s="30" customFormat="1" hidden="1" x14ac:dyDescent="0.25">
      <c r="A104" s="80" t="s">
        <v>102</v>
      </c>
      <c r="B104" s="80"/>
      <c r="C104" s="80"/>
      <c r="D104" s="80"/>
      <c r="E104" s="80"/>
      <c r="F104" s="101"/>
      <c r="G104" s="101"/>
      <c r="H104" s="101"/>
    </row>
    <row r="105" spans="1:12" s="30" customFormat="1" hidden="1" x14ac:dyDescent="0.25">
      <c r="A105" s="80" t="s">
        <v>103</v>
      </c>
      <c r="B105" s="80"/>
      <c r="C105" s="80"/>
      <c r="D105" s="80"/>
      <c r="E105" s="80"/>
      <c r="F105" s="101"/>
      <c r="G105" s="101"/>
      <c r="H105" s="101"/>
    </row>
    <row r="106" spans="1:12" s="30" customFormat="1" hidden="1" x14ac:dyDescent="0.25">
      <c r="A106" s="80" t="s">
        <v>104</v>
      </c>
      <c r="B106" s="80"/>
      <c r="C106" s="80"/>
      <c r="D106" s="80"/>
      <c r="E106" s="80"/>
      <c r="F106" s="101"/>
      <c r="G106" s="101"/>
      <c r="H106" s="101"/>
    </row>
    <row r="107" spans="1:12" x14ac:dyDescent="0.25">
      <c r="A107" s="80" t="s">
        <v>53</v>
      </c>
      <c r="B107" s="80"/>
      <c r="C107" s="80"/>
      <c r="D107" s="80"/>
      <c r="E107" s="80"/>
      <c r="F107" s="81">
        <v>800000</v>
      </c>
      <c r="G107" s="81"/>
      <c r="H107" s="81"/>
    </row>
    <row r="108" spans="1:12" s="31" customFormat="1" x14ac:dyDescent="0.25">
      <c r="A108" s="124" t="s">
        <v>54</v>
      </c>
      <c r="B108" s="124"/>
      <c r="C108" s="124"/>
      <c r="D108" s="124"/>
      <c r="E108" s="124"/>
      <c r="F108" s="81">
        <f>F96*0.8</f>
        <v>11200</v>
      </c>
      <c r="G108" s="81"/>
      <c r="H108" s="81"/>
    </row>
    <row r="109" spans="1:12" s="32" customFormat="1" ht="15.75" customHeight="1" x14ac:dyDescent="0.25">
      <c r="A109" s="71" t="s">
        <v>79</v>
      </c>
      <c r="B109" s="71"/>
      <c r="C109" s="71"/>
      <c r="D109" s="71"/>
      <c r="E109" s="71"/>
      <c r="F109" s="71"/>
      <c r="G109" s="71"/>
      <c r="H109" s="71"/>
    </row>
    <row r="110" spans="1:12" s="32" customFormat="1" ht="15.75" customHeight="1" x14ac:dyDescent="0.25">
      <c r="A110" s="70" t="s">
        <v>55</v>
      </c>
      <c r="B110" s="70"/>
      <c r="C110" s="69" t="s">
        <v>82</v>
      </c>
      <c r="D110" s="69"/>
      <c r="E110" s="125" t="s">
        <v>56</v>
      </c>
      <c r="F110" s="125"/>
      <c r="G110" s="70" t="s">
        <v>57</v>
      </c>
      <c r="H110" s="70"/>
    </row>
    <row r="111" spans="1:12" s="32" customFormat="1" ht="22.5" customHeight="1" x14ac:dyDescent="0.25">
      <c r="A111" s="180" t="s">
        <v>194</v>
      </c>
      <c r="B111" s="55" t="s">
        <v>195</v>
      </c>
      <c r="C111" s="65">
        <f>COUNT(D126:D136,D138:D144)</f>
        <v>18</v>
      </c>
      <c r="D111" s="66"/>
      <c r="E111" s="182">
        <f>SUM(D126:D136,D138:D144)</f>
        <v>3468.1607999999997</v>
      </c>
      <c r="F111" s="183"/>
      <c r="G111" s="182">
        <f>SUM(F126:F136,F138:F144)</f>
        <v>5549.0572800000009</v>
      </c>
      <c r="H111" s="183"/>
      <c r="J111" s="32" t="s">
        <v>222</v>
      </c>
    </row>
    <row r="112" spans="1:12" s="32" customFormat="1" x14ac:dyDescent="0.25">
      <c r="A112" s="181"/>
      <c r="B112" s="42" t="s">
        <v>245</v>
      </c>
      <c r="C112" s="65">
        <f>COUNT(D145:D146)+COUNT(D148:D151)</f>
        <v>6</v>
      </c>
      <c r="D112" s="66"/>
      <c r="E112" s="182">
        <f>SUM(D145:D146)+SUM(D148:D151)</f>
        <v>9297.4049999999988</v>
      </c>
      <c r="F112" s="183"/>
      <c r="G112" s="182">
        <f>SUM(F145:F146)+SUM(F148:F151)</f>
        <v>14875.847999999998</v>
      </c>
      <c r="H112" s="183"/>
      <c r="J112" s="32" t="s">
        <v>246</v>
      </c>
      <c r="K112" s="32">
        <v>21500</v>
      </c>
    </row>
    <row r="113" spans="1:14" s="32" customFormat="1" x14ac:dyDescent="0.25">
      <c r="A113" s="71" t="s">
        <v>157</v>
      </c>
      <c r="B113" s="71"/>
      <c r="C113" s="72">
        <f>SUM(C111:C112)</f>
        <v>24</v>
      </c>
      <c r="D113" s="69"/>
      <c r="E113" s="72">
        <f>SUM(E111:E112)</f>
        <v>12765.565799999998</v>
      </c>
      <c r="F113" s="69"/>
      <c r="G113" s="72">
        <f>SUM(G111:G112)</f>
        <v>20424.905279999999</v>
      </c>
      <c r="H113" s="69"/>
    </row>
    <row r="114" spans="1:14" s="32" customFormat="1" x14ac:dyDescent="0.25">
      <c r="A114" s="71" t="s">
        <v>73</v>
      </c>
      <c r="B114" s="71"/>
      <c r="C114" s="71"/>
      <c r="D114" s="71"/>
      <c r="E114" s="71"/>
      <c r="F114" s="71"/>
      <c r="G114" s="71"/>
      <c r="H114" s="71"/>
    </row>
    <row r="115" spans="1:14" s="32" customFormat="1" ht="15.75" customHeight="1" x14ac:dyDescent="0.25">
      <c r="A115" s="70" t="s">
        <v>55</v>
      </c>
      <c r="B115" s="70"/>
      <c r="C115" s="69" t="s">
        <v>82</v>
      </c>
      <c r="D115" s="69"/>
      <c r="E115" s="125" t="s">
        <v>56</v>
      </c>
      <c r="F115" s="125"/>
      <c r="G115" s="70" t="s">
        <v>57</v>
      </c>
      <c r="H115" s="70"/>
    </row>
    <row r="116" spans="1:14" s="32" customFormat="1" x14ac:dyDescent="0.25">
      <c r="A116" s="64" t="s">
        <v>200</v>
      </c>
      <c r="B116" s="64"/>
      <c r="C116" s="65">
        <f>COUNT(D160:D161,D163)+COUNT(D165:D168)+COUNT(D170:D173)+COUNT(D175:D178)+COUNT(D181:D183)+COUNT(D185:D188)+COUNT(D190:D193)*2+COUNT(D195:D198)+COUNT(D200:D203)*2+COUNT(D206:D208)+COUNT(D210:D213)+COUNT(D215:D218)*6</f>
        <v>73</v>
      </c>
      <c r="D116" s="66"/>
      <c r="E116" s="67">
        <f>SUM(D160:D161,D163)+SUM(D165:D168)+SUM(D170:D173)+SUM(D175:D178)+SUM(D181:D183)+SUM(D185:D188)+SUM(D190:D193)*2+SUM(D195:D198)+SUM(D200:D203)*2+SUM(D206:D208)+SUM(D210:D213)+SUM(D215:D218)*6</f>
        <v>45550.879919999992</v>
      </c>
      <c r="F116" s="68"/>
      <c r="G116" s="67">
        <f>SUM(F160:F161,F163)+SUM(F165:F168)+SUM(F170:F173)+SUM(F175:F178)+SUM(F181:F183)+SUM(F185:F188)+SUM(F190:F193)*2+SUM(F195:F198)+SUM(F200:F203)*2+SUM(F206:F208)+SUM(F210:F213)+SUM(F215:F218)*6</f>
        <v>70603.863875999989</v>
      </c>
      <c r="H116" s="68"/>
    </row>
    <row r="117" spans="1:14" s="32" customFormat="1" x14ac:dyDescent="0.25">
      <c r="A117" s="64" t="s">
        <v>206</v>
      </c>
      <c r="B117" s="64"/>
      <c r="C117" s="65">
        <f>COUNT(D223:D226)</f>
        <v>4</v>
      </c>
      <c r="D117" s="66"/>
      <c r="E117" s="67">
        <f>SUM(D223:D226)</f>
        <v>2046.2363999999998</v>
      </c>
      <c r="F117" s="68"/>
      <c r="G117" s="67">
        <f>SUM(F223:F226)</f>
        <v>3171.6664199999996</v>
      </c>
      <c r="H117" s="68"/>
    </row>
    <row r="118" spans="1:14" s="32" customFormat="1" ht="16.5" thickBot="1" x14ac:dyDescent="0.3">
      <c r="A118" s="212" t="s">
        <v>157</v>
      </c>
      <c r="B118" s="212"/>
      <c r="C118" s="213">
        <f>SUM(C116:D117)</f>
        <v>77</v>
      </c>
      <c r="D118" s="214"/>
      <c r="E118" s="213">
        <f t="shared" ref="E118" si="0">SUM(E116:F117)</f>
        <v>47597.116319999994</v>
      </c>
      <c r="F118" s="214"/>
      <c r="G118" s="213">
        <f t="shared" ref="G118" si="1">SUM(G116:H117)</f>
        <v>73775.530295999983</v>
      </c>
      <c r="H118" s="214"/>
      <c r="I118" s="59"/>
      <c r="J118" s="59"/>
    </row>
    <row r="119" spans="1:14" s="32" customFormat="1" ht="16.5" thickBot="1" x14ac:dyDescent="0.3">
      <c r="A119" s="215" t="s">
        <v>262</v>
      </c>
      <c r="B119" s="216"/>
      <c r="C119" s="217">
        <f>C113+C118</f>
        <v>101</v>
      </c>
      <c r="D119" s="216"/>
      <c r="E119" s="217">
        <f t="shared" ref="E119" si="2">E113+E118</f>
        <v>60362.68211999999</v>
      </c>
      <c r="F119" s="216"/>
      <c r="G119" s="217">
        <f t="shared" ref="G119" si="3">G113+G118</f>
        <v>94200.435575999989</v>
      </c>
      <c r="H119" s="218"/>
      <c r="I119" s="59"/>
      <c r="J119" s="59"/>
    </row>
    <row r="120" spans="1:14" s="31" customFormat="1" x14ac:dyDescent="0.25">
      <c r="A120" s="131" t="s">
        <v>58</v>
      </c>
      <c r="B120" s="131"/>
      <c r="C120" s="131"/>
      <c r="D120" s="131"/>
      <c r="E120" s="131"/>
      <c r="F120" s="131"/>
      <c r="G120" s="131"/>
      <c r="H120" s="131"/>
    </row>
    <row r="121" spans="1:14" x14ac:dyDescent="0.25">
      <c r="A121" s="61" t="s">
        <v>59</v>
      </c>
      <c r="B121" s="61"/>
      <c r="C121" s="61"/>
      <c r="D121" s="61"/>
      <c r="E121" s="61"/>
      <c r="F121" s="61"/>
      <c r="G121" s="61"/>
      <c r="H121" s="61"/>
    </row>
    <row r="122" spans="1:14" ht="47.25" customHeight="1" x14ac:dyDescent="0.25">
      <c r="A122" s="96" t="s">
        <v>125</v>
      </c>
      <c r="B122" s="96" t="s">
        <v>124</v>
      </c>
      <c r="C122" s="96" t="s">
        <v>60</v>
      </c>
      <c r="D122" s="96" t="s">
        <v>61</v>
      </c>
      <c r="E122" s="188" t="s">
        <v>163</v>
      </c>
      <c r="F122" s="40" t="s">
        <v>156</v>
      </c>
      <c r="G122" s="108" t="s">
        <v>63</v>
      </c>
      <c r="H122" s="190"/>
    </row>
    <row r="123" spans="1:14" s="34" customFormat="1" x14ac:dyDescent="0.25">
      <c r="A123" s="97"/>
      <c r="B123" s="97"/>
      <c r="C123" s="97"/>
      <c r="D123" s="97"/>
      <c r="E123" s="189"/>
      <c r="F123" s="13">
        <v>0.6</v>
      </c>
      <c r="G123" s="109"/>
      <c r="H123" s="191"/>
    </row>
    <row r="124" spans="1:14" s="34" customFormat="1" x14ac:dyDescent="0.25">
      <c r="A124" s="105" t="s">
        <v>194</v>
      </c>
      <c r="B124" s="106"/>
      <c r="C124" s="106"/>
      <c r="D124" s="106"/>
      <c r="E124" s="106"/>
      <c r="F124" s="106"/>
      <c r="G124" s="106"/>
      <c r="H124" s="107"/>
      <c r="J124" s="33"/>
    </row>
    <row r="125" spans="1:14" s="34" customFormat="1" x14ac:dyDescent="0.25">
      <c r="A125" s="105" t="s">
        <v>219</v>
      </c>
      <c r="B125" s="106"/>
      <c r="C125" s="106"/>
      <c r="D125" s="106"/>
      <c r="E125" s="106"/>
      <c r="F125" s="106"/>
      <c r="G125" s="106"/>
      <c r="H125" s="107"/>
      <c r="J125" s="33"/>
    </row>
    <row r="126" spans="1:14" s="34" customFormat="1" ht="15.75" customHeight="1" x14ac:dyDescent="0.25">
      <c r="A126" s="117">
        <v>1</v>
      </c>
      <c r="B126" s="117"/>
      <c r="C126" s="39" t="s">
        <v>195</v>
      </c>
      <c r="D126" s="48">
        <f>(23.28)*(10.764)</f>
        <v>250.58591999999999</v>
      </c>
      <c r="E126" s="48">
        <v>0</v>
      </c>
      <c r="F126" s="39">
        <f>(D126+E126)*(($F$123)+1)</f>
        <v>400.93747200000001</v>
      </c>
      <c r="G126" s="118" t="str">
        <f>A125</f>
        <v>Ground Floor For Commercial &amp; Parking</v>
      </c>
      <c r="H126" s="119"/>
      <c r="I126" s="33"/>
      <c r="L126" s="115"/>
      <c r="M126" s="115"/>
      <c r="N126" s="33"/>
    </row>
    <row r="127" spans="1:14" s="34" customFormat="1" ht="15.75" customHeight="1" x14ac:dyDescent="0.25">
      <c r="A127" s="117">
        <v>2</v>
      </c>
      <c r="B127" s="117"/>
      <c r="C127" s="39" t="s">
        <v>195</v>
      </c>
      <c r="D127" s="48">
        <f>(15.1)*(10.764)</f>
        <v>162.53639999999999</v>
      </c>
      <c r="E127" s="48">
        <v>0</v>
      </c>
      <c r="F127" s="39">
        <f t="shared" ref="F127:F129" si="4">(D127+E127)*(($F$123)+1)</f>
        <v>260.05824000000001</v>
      </c>
      <c r="G127" s="120"/>
      <c r="H127" s="121"/>
      <c r="I127" s="33"/>
      <c r="L127" s="115"/>
      <c r="M127" s="115"/>
      <c r="N127" s="33"/>
    </row>
    <row r="128" spans="1:14" s="34" customFormat="1" ht="15.75" customHeight="1" x14ac:dyDescent="0.25">
      <c r="A128" s="117">
        <v>3</v>
      </c>
      <c r="B128" s="117"/>
      <c r="C128" s="39" t="s">
        <v>195</v>
      </c>
      <c r="D128" s="48">
        <f>(24.22)*(10.764)</f>
        <v>260.70407999999998</v>
      </c>
      <c r="E128" s="48">
        <v>0</v>
      </c>
      <c r="F128" s="39">
        <f t="shared" si="4"/>
        <v>417.12652800000001</v>
      </c>
      <c r="G128" s="120"/>
      <c r="H128" s="121"/>
      <c r="I128" s="33"/>
      <c r="L128" s="115"/>
      <c r="M128" s="115"/>
      <c r="N128" s="33"/>
    </row>
    <row r="129" spans="1:14" s="34" customFormat="1" ht="15.75" customHeight="1" x14ac:dyDescent="0.25">
      <c r="A129" s="117">
        <v>4</v>
      </c>
      <c r="B129" s="117"/>
      <c r="C129" s="39" t="s">
        <v>195</v>
      </c>
      <c r="D129" s="48">
        <f>(13.27)*(10.764)</f>
        <v>142.83828</v>
      </c>
      <c r="E129" s="48">
        <v>0</v>
      </c>
      <c r="F129" s="39">
        <f t="shared" si="4"/>
        <v>228.541248</v>
      </c>
      <c r="G129" s="120"/>
      <c r="H129" s="121"/>
      <c r="I129" s="33"/>
      <c r="L129" s="115"/>
      <c r="M129" s="115"/>
      <c r="N129" s="33"/>
    </row>
    <row r="130" spans="1:14" s="34" customFormat="1" ht="15.75" customHeight="1" x14ac:dyDescent="0.25">
      <c r="A130" s="117">
        <v>5</v>
      </c>
      <c r="B130" s="117"/>
      <c r="C130" s="39" t="s">
        <v>195</v>
      </c>
      <c r="D130" s="48">
        <f>(13.27)*(10.764)</f>
        <v>142.83828</v>
      </c>
      <c r="E130" s="48">
        <v>0</v>
      </c>
      <c r="F130" s="39">
        <f t="shared" ref="F130:F135" si="5">(D130+E130)*(($F$123)+1)</f>
        <v>228.541248</v>
      </c>
      <c r="G130" s="120"/>
      <c r="H130" s="121"/>
      <c r="I130" s="33"/>
      <c r="L130" s="115"/>
      <c r="M130" s="115"/>
      <c r="N130" s="33"/>
    </row>
    <row r="131" spans="1:14" s="34" customFormat="1" ht="15.75" customHeight="1" x14ac:dyDescent="0.25">
      <c r="A131" s="117">
        <v>6</v>
      </c>
      <c r="B131" s="117"/>
      <c r="C131" s="39" t="s">
        <v>195</v>
      </c>
      <c r="D131" s="48">
        <f>(25.02)*(10.764)</f>
        <v>269.31527999999997</v>
      </c>
      <c r="E131" s="48">
        <v>0</v>
      </c>
      <c r="F131" s="39">
        <f t="shared" si="5"/>
        <v>430.904448</v>
      </c>
      <c r="G131" s="120"/>
      <c r="H131" s="121"/>
      <c r="I131" s="33"/>
      <c r="L131" s="115"/>
      <c r="M131" s="115"/>
      <c r="N131" s="33"/>
    </row>
    <row r="132" spans="1:14" s="34" customFormat="1" ht="15.75" customHeight="1" x14ac:dyDescent="0.25">
      <c r="A132" s="117">
        <v>7</v>
      </c>
      <c r="B132" s="117"/>
      <c r="C132" s="39" t="s">
        <v>195</v>
      </c>
      <c r="D132" s="48">
        <f>(29.58)*(10.764)</f>
        <v>318.39911999999998</v>
      </c>
      <c r="E132" s="48">
        <v>0</v>
      </c>
      <c r="F132" s="39">
        <f t="shared" si="5"/>
        <v>509.43859199999997</v>
      </c>
      <c r="G132" s="120"/>
      <c r="H132" s="121"/>
      <c r="I132" s="33"/>
      <c r="L132" s="115"/>
      <c r="M132" s="115"/>
      <c r="N132" s="33"/>
    </row>
    <row r="133" spans="1:14" s="34" customFormat="1" ht="15.75" customHeight="1" x14ac:dyDescent="0.25">
      <c r="A133" s="117">
        <v>8</v>
      </c>
      <c r="B133" s="117"/>
      <c r="C133" s="39" t="s">
        <v>195</v>
      </c>
      <c r="D133" s="48">
        <f>(18.38)*(10.764)</f>
        <v>197.84231999999997</v>
      </c>
      <c r="E133" s="48">
        <v>0</v>
      </c>
      <c r="F133" s="39">
        <f t="shared" si="5"/>
        <v>316.54771199999999</v>
      </c>
      <c r="G133" s="120"/>
      <c r="H133" s="121"/>
      <c r="I133" s="33"/>
      <c r="L133" s="115"/>
      <c r="M133" s="115"/>
      <c r="N133" s="33"/>
    </row>
    <row r="134" spans="1:14" s="34" customFormat="1" ht="15.75" customHeight="1" x14ac:dyDescent="0.25">
      <c r="A134" s="117">
        <v>9</v>
      </c>
      <c r="B134" s="117"/>
      <c r="C134" s="39" t="s">
        <v>195</v>
      </c>
      <c r="D134" s="48">
        <f>(13.37)*(10.764)</f>
        <v>143.91467999999998</v>
      </c>
      <c r="E134" s="48">
        <v>0</v>
      </c>
      <c r="F134" s="39">
        <f t="shared" si="5"/>
        <v>230.26348799999997</v>
      </c>
      <c r="G134" s="120"/>
      <c r="H134" s="121"/>
      <c r="I134" s="33"/>
      <c r="L134" s="115"/>
      <c r="M134" s="115"/>
      <c r="N134" s="33"/>
    </row>
    <row r="135" spans="1:14" s="34" customFormat="1" ht="15.75" customHeight="1" x14ac:dyDescent="0.25">
      <c r="A135" s="117">
        <v>10</v>
      </c>
      <c r="B135" s="117"/>
      <c r="C135" s="39" t="s">
        <v>195</v>
      </c>
      <c r="D135" s="48">
        <f>(16.37)*(10.764)</f>
        <v>176.20668000000001</v>
      </c>
      <c r="E135" s="48">
        <v>0</v>
      </c>
      <c r="F135" s="39">
        <f t="shared" si="5"/>
        <v>281.93068800000003</v>
      </c>
      <c r="G135" s="120"/>
      <c r="H135" s="121"/>
      <c r="I135" s="33"/>
      <c r="L135" s="115"/>
      <c r="M135" s="115"/>
      <c r="N135" s="33"/>
    </row>
    <row r="136" spans="1:14" s="34" customFormat="1" ht="15.75" customHeight="1" x14ac:dyDescent="0.25">
      <c r="A136" s="117">
        <v>11</v>
      </c>
      <c r="B136" s="117"/>
      <c r="C136" s="39" t="s">
        <v>195</v>
      </c>
      <c r="D136" s="48">
        <f>(17.63)*(10.764)</f>
        <v>189.76931999999996</v>
      </c>
      <c r="E136" s="48">
        <v>0</v>
      </c>
      <c r="F136" s="39">
        <f t="shared" ref="F136:F141" si="6">(D136+E136)*(($F$123)+1)</f>
        <v>303.63091199999997</v>
      </c>
      <c r="G136" s="120"/>
      <c r="H136" s="121"/>
      <c r="I136" s="33"/>
      <c r="L136" s="115"/>
      <c r="M136" s="115"/>
      <c r="N136" s="33"/>
    </row>
    <row r="137" spans="1:14" s="34" customFormat="1" ht="15.75" customHeight="1" x14ac:dyDescent="0.25">
      <c r="A137" s="98">
        <f t="shared" ref="A137:A144" si="7">A136+1</f>
        <v>12</v>
      </c>
      <c r="B137" s="99"/>
      <c r="C137" s="116" t="s">
        <v>227</v>
      </c>
      <c r="D137" s="116"/>
      <c r="E137" s="116"/>
      <c r="F137" s="99"/>
      <c r="G137" s="120"/>
      <c r="H137" s="121"/>
      <c r="I137" s="33"/>
      <c r="L137" s="115"/>
      <c r="M137" s="115"/>
      <c r="N137" s="33"/>
    </row>
    <row r="138" spans="1:14" s="34" customFormat="1" ht="15.75" customHeight="1" x14ac:dyDescent="0.25">
      <c r="A138" s="98">
        <f t="shared" si="7"/>
        <v>13</v>
      </c>
      <c r="B138" s="99"/>
      <c r="C138" s="39" t="s">
        <v>195</v>
      </c>
      <c r="D138" s="48">
        <f>(18.16)*(10.764)</f>
        <v>195.47423999999998</v>
      </c>
      <c r="E138" s="48">
        <v>0</v>
      </c>
      <c r="F138" s="39">
        <f t="shared" si="6"/>
        <v>312.75878399999999</v>
      </c>
      <c r="G138" s="120"/>
      <c r="H138" s="121"/>
      <c r="I138" s="33"/>
      <c r="L138" s="115"/>
      <c r="M138" s="115"/>
      <c r="N138" s="33"/>
    </row>
    <row r="139" spans="1:14" s="34" customFormat="1" ht="15.75" customHeight="1" x14ac:dyDescent="0.25">
      <c r="A139" s="98">
        <f t="shared" si="7"/>
        <v>14</v>
      </c>
      <c r="B139" s="99"/>
      <c r="C139" s="39" t="s">
        <v>195</v>
      </c>
      <c r="D139" s="48">
        <f>(16.5)*(10.764)</f>
        <v>177.60599999999999</v>
      </c>
      <c r="E139" s="48">
        <v>0</v>
      </c>
      <c r="F139" s="39">
        <f t="shared" si="6"/>
        <v>284.1696</v>
      </c>
      <c r="G139" s="120"/>
      <c r="H139" s="121"/>
      <c r="I139" s="33"/>
      <c r="L139" s="115"/>
      <c r="M139" s="115"/>
      <c r="N139" s="33"/>
    </row>
    <row r="140" spans="1:14" s="34" customFormat="1" ht="15.75" customHeight="1" x14ac:dyDescent="0.25">
      <c r="A140" s="98">
        <f t="shared" si="7"/>
        <v>15</v>
      </c>
      <c r="B140" s="99"/>
      <c r="C140" s="39" t="s">
        <v>195</v>
      </c>
      <c r="D140" s="48">
        <f>(12.5)*(10.764)</f>
        <v>134.54999999999998</v>
      </c>
      <c r="E140" s="48">
        <v>0</v>
      </c>
      <c r="F140" s="39">
        <f t="shared" si="6"/>
        <v>215.27999999999997</v>
      </c>
      <c r="G140" s="120"/>
      <c r="H140" s="121"/>
      <c r="I140" s="33"/>
      <c r="L140" s="115"/>
      <c r="M140" s="115"/>
      <c r="N140" s="33"/>
    </row>
    <row r="141" spans="1:14" s="34" customFormat="1" ht="15.75" customHeight="1" x14ac:dyDescent="0.25">
      <c r="A141" s="98">
        <f t="shared" si="7"/>
        <v>16</v>
      </c>
      <c r="B141" s="99"/>
      <c r="C141" s="39" t="s">
        <v>195</v>
      </c>
      <c r="D141" s="48">
        <f>(16.16)*(10.764)</f>
        <v>173.94623999999999</v>
      </c>
      <c r="E141" s="48">
        <v>0</v>
      </c>
      <c r="F141" s="39">
        <f t="shared" si="6"/>
        <v>278.313984</v>
      </c>
      <c r="G141" s="120"/>
      <c r="H141" s="121"/>
      <c r="I141" s="33"/>
      <c r="L141" s="115"/>
      <c r="M141" s="115"/>
      <c r="N141" s="33"/>
    </row>
    <row r="142" spans="1:14" s="34" customFormat="1" ht="15.75" customHeight="1" x14ac:dyDescent="0.25">
      <c r="A142" s="98">
        <f t="shared" si="7"/>
        <v>17</v>
      </c>
      <c r="B142" s="99"/>
      <c r="C142" s="39" t="s">
        <v>195</v>
      </c>
      <c r="D142" s="48">
        <f>(16.16)*(10.764)</f>
        <v>173.94623999999999</v>
      </c>
      <c r="E142" s="48">
        <v>0</v>
      </c>
      <c r="F142" s="39">
        <f t="shared" ref="F142:F144" si="8">(D142+E142)*(($F$123)+1)</f>
        <v>278.313984</v>
      </c>
      <c r="G142" s="120"/>
      <c r="H142" s="121"/>
      <c r="I142" s="33"/>
      <c r="L142" s="115"/>
      <c r="M142" s="115"/>
      <c r="N142" s="33"/>
    </row>
    <row r="143" spans="1:14" s="34" customFormat="1" ht="15.75" customHeight="1" x14ac:dyDescent="0.25">
      <c r="A143" s="98">
        <f t="shared" si="7"/>
        <v>18</v>
      </c>
      <c r="B143" s="99"/>
      <c r="C143" s="39" t="s">
        <v>195</v>
      </c>
      <c r="D143" s="48">
        <f>(10.35)*(10.764)</f>
        <v>111.4074</v>
      </c>
      <c r="E143" s="48">
        <v>0</v>
      </c>
      <c r="F143" s="39">
        <f t="shared" si="8"/>
        <v>178.25184000000002</v>
      </c>
      <c r="G143" s="120"/>
      <c r="H143" s="121"/>
      <c r="I143" s="33"/>
      <c r="L143" s="115"/>
      <c r="M143" s="115"/>
      <c r="N143" s="33"/>
    </row>
    <row r="144" spans="1:14" s="34" customFormat="1" ht="15.75" customHeight="1" x14ac:dyDescent="0.25">
      <c r="A144" s="98">
        <f t="shared" si="7"/>
        <v>19</v>
      </c>
      <c r="B144" s="99"/>
      <c r="C144" s="39" t="s">
        <v>195</v>
      </c>
      <c r="D144" s="48">
        <f>(22.88)*(10.764)</f>
        <v>246.28031999999996</v>
      </c>
      <c r="E144" s="48">
        <v>0</v>
      </c>
      <c r="F144" s="39">
        <f t="shared" si="8"/>
        <v>394.04851199999996</v>
      </c>
      <c r="G144" s="120"/>
      <c r="H144" s="121"/>
      <c r="I144" s="33"/>
      <c r="L144" s="115"/>
      <c r="M144" s="115"/>
      <c r="N144" s="33"/>
    </row>
    <row r="145" spans="1:14" s="34" customFormat="1" ht="31.5" customHeight="1" x14ac:dyDescent="0.25">
      <c r="A145" s="98">
        <v>1</v>
      </c>
      <c r="B145" s="99"/>
      <c r="C145" s="39" t="s">
        <v>228</v>
      </c>
      <c r="D145" s="48">
        <f>(84.49)*(10.764)</f>
        <v>909.45035999999993</v>
      </c>
      <c r="E145" s="48">
        <v>0</v>
      </c>
      <c r="F145" s="39">
        <f t="shared" ref="F145:F146" si="9">(D145+E145)*(($F$123)+1)</f>
        <v>1455.120576</v>
      </c>
      <c r="G145" s="120"/>
      <c r="H145" s="121"/>
      <c r="I145" s="33"/>
      <c r="L145" s="115"/>
      <c r="M145" s="115"/>
      <c r="N145" s="33"/>
    </row>
    <row r="146" spans="1:14" s="34" customFormat="1" ht="31.5" customHeight="1" x14ac:dyDescent="0.25">
      <c r="A146" s="98">
        <v>2</v>
      </c>
      <c r="B146" s="99"/>
      <c r="C146" s="39" t="s">
        <v>228</v>
      </c>
      <c r="D146" s="48">
        <f>(123.62)*(10.764)</f>
        <v>1330.6456799999999</v>
      </c>
      <c r="E146" s="48">
        <v>0</v>
      </c>
      <c r="F146" s="39">
        <f t="shared" si="9"/>
        <v>2129.0330879999997</v>
      </c>
      <c r="G146" s="122"/>
      <c r="H146" s="123"/>
      <c r="I146" s="33"/>
      <c r="L146" s="115"/>
      <c r="M146" s="115"/>
      <c r="N146" s="33"/>
    </row>
    <row r="147" spans="1:14" s="34" customFormat="1" x14ac:dyDescent="0.25">
      <c r="A147" s="105" t="s">
        <v>229</v>
      </c>
      <c r="B147" s="106"/>
      <c r="C147" s="106"/>
      <c r="D147" s="106"/>
      <c r="E147" s="106"/>
      <c r="F147" s="106"/>
      <c r="G147" s="106"/>
      <c r="H147" s="107"/>
      <c r="J147" s="33"/>
    </row>
    <row r="148" spans="1:14" s="34" customFormat="1" ht="31.5" customHeight="1" x14ac:dyDescent="0.25">
      <c r="A148" s="98">
        <v>1</v>
      </c>
      <c r="B148" s="99"/>
      <c r="C148" s="39" t="s">
        <v>228</v>
      </c>
      <c r="D148" s="48">
        <f>(280.14)*(10.764)</f>
        <v>3015.4269599999998</v>
      </c>
      <c r="E148" s="39">
        <v>0</v>
      </c>
      <c r="F148" s="39">
        <f>(D148+E148)*(($F$123)+1)</f>
        <v>4824.6831359999996</v>
      </c>
      <c r="G148" s="118" t="str">
        <f>A147</f>
        <v>1st Floor for Commercial &amp; Parking</v>
      </c>
      <c r="H148" s="119"/>
      <c r="I148" s="33"/>
      <c r="J148" s="34">
        <f>D148*20000</f>
        <v>60308539.199999996</v>
      </c>
      <c r="L148" s="115"/>
      <c r="M148" s="115"/>
      <c r="N148" s="33"/>
    </row>
    <row r="149" spans="1:14" s="34" customFormat="1" ht="31.5" x14ac:dyDescent="0.25">
      <c r="A149" s="98">
        <v>2</v>
      </c>
      <c r="B149" s="99"/>
      <c r="C149" s="39" t="s">
        <v>228</v>
      </c>
      <c r="D149" s="48">
        <f>(149.84)*(10.764)</f>
        <v>1612.8777599999999</v>
      </c>
      <c r="E149" s="39">
        <v>0</v>
      </c>
      <c r="F149" s="39">
        <f>(D149+E149)*(($F$123)+1)</f>
        <v>2580.6044160000001</v>
      </c>
      <c r="G149" s="120"/>
      <c r="H149" s="121"/>
      <c r="I149" s="33"/>
      <c r="L149" s="115"/>
      <c r="M149" s="115"/>
      <c r="N149" s="33"/>
    </row>
    <row r="150" spans="1:14" s="34" customFormat="1" ht="31.5" x14ac:dyDescent="0.25">
      <c r="A150" s="98">
        <v>3</v>
      </c>
      <c r="B150" s="99"/>
      <c r="C150" s="39" t="s">
        <v>228</v>
      </c>
      <c r="D150" s="48">
        <f>(127.8)*(10.764)</f>
        <v>1375.6391999999998</v>
      </c>
      <c r="E150" s="39">
        <v>0</v>
      </c>
      <c r="F150" s="39">
        <f>(D150+E150)*(($F$123)+1)</f>
        <v>2201.0227199999999</v>
      </c>
      <c r="G150" s="120"/>
      <c r="H150" s="121"/>
      <c r="I150" s="33"/>
      <c r="L150" s="115"/>
      <c r="M150" s="115"/>
      <c r="N150" s="33"/>
    </row>
    <row r="151" spans="1:14" s="34" customFormat="1" ht="31.5" x14ac:dyDescent="0.25">
      <c r="A151" s="98">
        <v>4</v>
      </c>
      <c r="B151" s="99"/>
      <c r="C151" s="39" t="s">
        <v>228</v>
      </c>
      <c r="D151" s="48">
        <f>(97.86)*(10.764)</f>
        <v>1053.3650399999999</v>
      </c>
      <c r="E151" s="39">
        <v>0</v>
      </c>
      <c r="F151" s="39">
        <f>(D151+E151)*(($F$123)+1)</f>
        <v>1685.3840639999999</v>
      </c>
      <c r="G151" s="122"/>
      <c r="H151" s="123"/>
      <c r="I151" s="33"/>
      <c r="L151" s="115"/>
      <c r="M151" s="115"/>
      <c r="N151" s="33"/>
    </row>
    <row r="152" spans="1:14" s="34" customFormat="1" x14ac:dyDescent="0.25">
      <c r="A152" s="98"/>
      <c r="B152" s="116"/>
      <c r="C152" s="116"/>
      <c r="D152" s="116"/>
      <c r="E152" s="116"/>
      <c r="F152" s="116"/>
      <c r="G152" s="116"/>
      <c r="H152" s="99"/>
      <c r="I152" s="33"/>
      <c r="N152" s="33"/>
    </row>
    <row r="153" spans="1:14" ht="47.25" customHeight="1" x14ac:dyDescent="0.25">
      <c r="A153" s="108" t="s">
        <v>126</v>
      </c>
      <c r="B153" s="108" t="s">
        <v>127</v>
      </c>
      <c r="C153" s="96" t="s">
        <v>60</v>
      </c>
      <c r="D153" s="96" t="s">
        <v>61</v>
      </c>
      <c r="E153" s="188" t="s">
        <v>62</v>
      </c>
      <c r="F153" s="40" t="s">
        <v>156</v>
      </c>
      <c r="G153" s="108" t="s">
        <v>63</v>
      </c>
      <c r="H153" s="190"/>
      <c r="I153" s="33"/>
    </row>
    <row r="154" spans="1:14" s="34" customFormat="1" x14ac:dyDescent="0.25">
      <c r="A154" s="109"/>
      <c r="B154" s="109"/>
      <c r="C154" s="97"/>
      <c r="D154" s="97"/>
      <c r="E154" s="189"/>
      <c r="F154" s="13">
        <v>0.55000000000000004</v>
      </c>
      <c r="G154" s="109"/>
      <c r="H154" s="191"/>
      <c r="I154" s="33"/>
    </row>
    <row r="155" spans="1:14" s="34" customFormat="1" x14ac:dyDescent="0.25">
      <c r="A155" s="176" t="s">
        <v>200</v>
      </c>
      <c r="B155" s="177"/>
      <c r="C155" s="177"/>
      <c r="D155" s="177"/>
      <c r="E155" s="177"/>
      <c r="F155" s="177"/>
      <c r="G155" s="177"/>
      <c r="H155" s="178"/>
      <c r="J155" s="33"/>
    </row>
    <row r="156" spans="1:14" s="34" customFormat="1" x14ac:dyDescent="0.25">
      <c r="A156" s="113" t="s">
        <v>220</v>
      </c>
      <c r="B156" s="114"/>
      <c r="C156" s="114"/>
      <c r="D156" s="114"/>
      <c r="E156" s="114"/>
      <c r="F156" s="114"/>
      <c r="G156" s="114"/>
      <c r="H156" s="179"/>
      <c r="J156" s="33"/>
    </row>
    <row r="157" spans="1:14" s="34" customFormat="1" x14ac:dyDescent="0.25">
      <c r="A157" s="113" t="s">
        <v>207</v>
      </c>
      <c r="B157" s="114"/>
      <c r="C157" s="114"/>
      <c r="D157" s="114"/>
      <c r="E157" s="114"/>
      <c r="F157" s="114"/>
      <c r="G157" s="114"/>
      <c r="H157" s="114"/>
      <c r="J157" s="33"/>
    </row>
    <row r="158" spans="1:14" s="34" customFormat="1" x14ac:dyDescent="0.25">
      <c r="A158" s="113" t="s">
        <v>230</v>
      </c>
      <c r="B158" s="114"/>
      <c r="C158" s="114"/>
      <c r="D158" s="114"/>
      <c r="E158" s="114"/>
      <c r="F158" s="114"/>
      <c r="G158" s="114"/>
      <c r="H158" s="114"/>
      <c r="J158" s="33"/>
    </row>
    <row r="159" spans="1:14" s="34" customFormat="1" x14ac:dyDescent="0.25">
      <c r="A159" s="113" t="s">
        <v>231</v>
      </c>
      <c r="B159" s="114"/>
      <c r="C159" s="114"/>
      <c r="D159" s="114"/>
      <c r="E159" s="114"/>
      <c r="F159" s="114"/>
      <c r="G159" s="114"/>
      <c r="H159" s="114"/>
      <c r="J159" s="33"/>
    </row>
    <row r="160" spans="1:14" s="34" customFormat="1" ht="15.75" customHeight="1" x14ac:dyDescent="0.25">
      <c r="A160" s="184">
        <v>1</v>
      </c>
      <c r="B160" s="185"/>
      <c r="C160" s="56">
        <v>2</v>
      </c>
      <c r="D160" s="57">
        <f>(47.84)*(10.764)</f>
        <v>514.94975999999997</v>
      </c>
      <c r="E160" s="58">
        <v>0</v>
      </c>
      <c r="F160" s="58">
        <f>D160*(($F$154)+1)+(IF(E160&lt;101,E160,IF(E160&lt;201,E160/2,IF(E160&lt;=301,E160/3,E160/4))))</f>
        <v>798.17212799999993</v>
      </c>
      <c r="G160" s="170" t="str">
        <f>A159</f>
        <v>3rd Floor for Residential</v>
      </c>
      <c r="H160" s="186"/>
      <c r="I160" s="33"/>
      <c r="L160" s="115"/>
      <c r="M160" s="115"/>
      <c r="N160" s="33"/>
    </row>
    <row r="161" spans="1:14" s="34" customFormat="1" ht="15.75" customHeight="1" x14ac:dyDescent="0.25">
      <c r="A161" s="98">
        <f t="shared" ref="A161:A163" si="10">A160+1</f>
        <v>2</v>
      </c>
      <c r="B161" s="99"/>
      <c r="C161" s="47">
        <v>2</v>
      </c>
      <c r="D161" s="48">
        <f>(49.61)*(10.764)</f>
        <v>534.00203999999997</v>
      </c>
      <c r="E161" s="39">
        <v>0</v>
      </c>
      <c r="F161" s="39">
        <f>D161*(($F$154)+1)+(IF(E161&lt;101,E161,IF(E161&lt;201,E161/2,IF(E161&lt;=301,E161/3,E161/4))))</f>
        <v>827.70316200000002</v>
      </c>
      <c r="G161" s="172"/>
      <c r="H161" s="187"/>
      <c r="I161" s="33"/>
      <c r="L161" s="115"/>
      <c r="M161" s="115"/>
      <c r="N161" s="33"/>
    </row>
    <row r="162" spans="1:14" s="34" customFormat="1" ht="15.75" customHeight="1" x14ac:dyDescent="0.25">
      <c r="A162" s="98">
        <f t="shared" si="10"/>
        <v>3</v>
      </c>
      <c r="B162" s="99"/>
      <c r="C162" s="98" t="s">
        <v>221</v>
      </c>
      <c r="D162" s="116"/>
      <c r="E162" s="116"/>
      <c r="F162" s="99"/>
      <c r="G162" s="172"/>
      <c r="H162" s="173"/>
      <c r="I162" s="33"/>
      <c r="L162" s="115"/>
      <c r="M162" s="115"/>
      <c r="N162" s="33"/>
    </row>
    <row r="163" spans="1:14" s="34" customFormat="1" ht="15.75" customHeight="1" x14ac:dyDescent="0.25">
      <c r="A163" s="98">
        <f t="shared" si="10"/>
        <v>4</v>
      </c>
      <c r="B163" s="99"/>
      <c r="C163" s="47">
        <v>1</v>
      </c>
      <c r="D163" s="48">
        <f>(31.43)*(10.764)</f>
        <v>338.31251999999995</v>
      </c>
      <c r="E163" s="39">
        <v>0</v>
      </c>
      <c r="F163" s="39">
        <f>D163*(($F$154)+1)+(IF(E163&lt;101,E163,IF(E163&lt;201,E163/2,IF(E163&lt;=301,E163/3,E163/4))))</f>
        <v>524.3844059999999</v>
      </c>
      <c r="G163" s="174"/>
      <c r="H163" s="175"/>
      <c r="I163" s="33"/>
      <c r="L163" s="115"/>
      <c r="M163" s="115"/>
      <c r="N163" s="33"/>
    </row>
    <row r="164" spans="1:14" s="34" customFormat="1" x14ac:dyDescent="0.25">
      <c r="A164" s="113" t="s">
        <v>237</v>
      </c>
      <c r="B164" s="114"/>
      <c r="C164" s="114"/>
      <c r="D164" s="114"/>
      <c r="E164" s="114"/>
      <c r="F164" s="114"/>
      <c r="G164" s="114"/>
      <c r="H164" s="179"/>
      <c r="J164" s="48">
        <f>10.764</f>
        <v>10.763999999999999</v>
      </c>
    </row>
    <row r="165" spans="1:14" s="34" customFormat="1" ht="15.75" customHeight="1" x14ac:dyDescent="0.25">
      <c r="A165" s="184">
        <v>1</v>
      </c>
      <c r="B165" s="185"/>
      <c r="C165" s="56">
        <v>2</v>
      </c>
      <c r="D165" s="57">
        <f>(47.84)*(10.764)</f>
        <v>514.94975999999997</v>
      </c>
      <c r="E165" s="58">
        <v>0</v>
      </c>
      <c r="F165" s="58">
        <f>D165*(($F$154)+1)+(IF(E165&lt;101,E165,IF(E165&lt;201,E165/2,IF(E165&lt;=301,E165/3,E165/4))))</f>
        <v>798.17212799999993</v>
      </c>
      <c r="G165" s="170" t="str">
        <f>A164</f>
        <v>4th Floor</v>
      </c>
      <c r="H165" s="171"/>
      <c r="I165" s="33"/>
      <c r="L165" s="115"/>
      <c r="M165" s="115"/>
      <c r="N165" s="33"/>
    </row>
    <row r="166" spans="1:14" s="34" customFormat="1" ht="15.75" customHeight="1" x14ac:dyDescent="0.25">
      <c r="A166" s="98">
        <f t="shared" ref="A166:A168" si="11">A165+1</f>
        <v>2</v>
      </c>
      <c r="B166" s="99"/>
      <c r="C166" s="47">
        <v>2</v>
      </c>
      <c r="D166" s="48">
        <f>(50.66)*(10.764)</f>
        <v>545.30423999999994</v>
      </c>
      <c r="E166" s="39">
        <v>0</v>
      </c>
      <c r="F166" s="39">
        <f>D166*(($F$154)+1)+(IF(E166&lt;101,E166,IF(E166&lt;201,E166/2,IF(E166&lt;=301,E166/3,E166/4))))</f>
        <v>845.22157199999992</v>
      </c>
      <c r="G166" s="172"/>
      <c r="H166" s="173"/>
      <c r="I166" s="33"/>
      <c r="L166" s="115"/>
      <c r="M166" s="115"/>
      <c r="N166" s="33"/>
    </row>
    <row r="167" spans="1:14" s="34" customFormat="1" ht="15.75" customHeight="1" x14ac:dyDescent="0.25">
      <c r="A167" s="98">
        <f t="shared" si="11"/>
        <v>3</v>
      </c>
      <c r="B167" s="99"/>
      <c r="C167" s="39" t="s">
        <v>238</v>
      </c>
      <c r="D167" s="48">
        <f>(67.09)*(10.764)</f>
        <v>722.15675999999996</v>
      </c>
      <c r="E167" s="39">
        <v>0</v>
      </c>
      <c r="F167" s="39">
        <f>D167*(($F$154)+1)+(IF(E167&lt;101,E167,IF(E167&lt;201,E167/2,IF(E167&lt;=301,E167/3,E167/4))))</f>
        <v>1119.3429779999999</v>
      </c>
      <c r="G167" s="172"/>
      <c r="H167" s="173"/>
      <c r="I167" s="33"/>
      <c r="L167" s="115"/>
      <c r="M167" s="115"/>
      <c r="N167" s="33"/>
    </row>
    <row r="168" spans="1:14" s="34" customFormat="1" ht="15.75" customHeight="1" x14ac:dyDescent="0.25">
      <c r="A168" s="98">
        <f t="shared" si="11"/>
        <v>4</v>
      </c>
      <c r="B168" s="99"/>
      <c r="C168" s="47">
        <v>1</v>
      </c>
      <c r="D168" s="48">
        <f>(31.43)*(10.764)</f>
        <v>338.31251999999995</v>
      </c>
      <c r="E168" s="39">
        <v>0</v>
      </c>
      <c r="F168" s="39">
        <f>D168*(($F$154)+1)+(IF(E168&lt;101,E168,IF(E168&lt;201,E168/2,IF(E168&lt;=301,E168/3,E168/4))))</f>
        <v>524.3844059999999</v>
      </c>
      <c r="G168" s="174"/>
      <c r="H168" s="175"/>
      <c r="I168" s="33"/>
      <c r="L168" s="115"/>
      <c r="M168" s="115"/>
      <c r="N168" s="33"/>
    </row>
    <row r="169" spans="1:14" s="34" customFormat="1" x14ac:dyDescent="0.25">
      <c r="A169" s="105" t="s">
        <v>201</v>
      </c>
      <c r="B169" s="106"/>
      <c r="C169" s="106"/>
      <c r="D169" s="106"/>
      <c r="E169" s="106"/>
      <c r="F169" s="106"/>
      <c r="G169" s="106"/>
      <c r="H169" s="107"/>
      <c r="J169" s="33"/>
    </row>
    <row r="170" spans="1:14" s="34" customFormat="1" x14ac:dyDescent="0.25">
      <c r="A170" s="98">
        <v>1</v>
      </c>
      <c r="B170" s="99"/>
      <c r="C170" s="47">
        <v>2</v>
      </c>
      <c r="D170" s="48">
        <f>(47.84)*(10.764)</f>
        <v>514.94975999999997</v>
      </c>
      <c r="E170" s="39">
        <v>0</v>
      </c>
      <c r="F170" s="39">
        <f>D170*(($F$154)+1)+(IF(E170&lt;101,E170,IF(E170&lt;201,E170/2,IF(E170&lt;=301,E170/3,E170/4))))</f>
        <v>798.17212799999993</v>
      </c>
      <c r="G170" s="118" t="str">
        <f>A169</f>
        <v>5th Floor</v>
      </c>
      <c r="H170" s="119"/>
      <c r="I170" s="33"/>
      <c r="L170" s="115"/>
      <c r="M170" s="115"/>
      <c r="N170" s="33"/>
    </row>
    <row r="171" spans="1:14" s="34" customFormat="1" x14ac:dyDescent="0.25">
      <c r="A171" s="98">
        <f t="shared" ref="A171:A173" si="12">A170+1</f>
        <v>2</v>
      </c>
      <c r="B171" s="99"/>
      <c r="C171" s="47">
        <v>2</v>
      </c>
      <c r="D171" s="48">
        <f>(55.52)*(10.764)</f>
        <v>597.61728000000005</v>
      </c>
      <c r="E171" s="39">
        <v>0</v>
      </c>
      <c r="F171" s="39">
        <f>D171*(($F$154)+1)+(IF(E171&lt;101,E171,IF(E171&lt;201,E171/2,IF(E171&lt;=301,E171/3,E171/4))))</f>
        <v>926.30678400000011</v>
      </c>
      <c r="G171" s="120"/>
      <c r="H171" s="121"/>
      <c r="I171" s="33"/>
      <c r="L171" s="115"/>
      <c r="M171" s="115"/>
      <c r="N171" s="33"/>
    </row>
    <row r="172" spans="1:14" s="34" customFormat="1" x14ac:dyDescent="0.25">
      <c r="A172" s="98">
        <f t="shared" si="12"/>
        <v>3</v>
      </c>
      <c r="B172" s="99"/>
      <c r="C172" s="47">
        <v>3</v>
      </c>
      <c r="D172" s="48">
        <f>(70.61)*(10.764)</f>
        <v>760.04603999999995</v>
      </c>
      <c r="E172" s="39">
        <v>0</v>
      </c>
      <c r="F172" s="39">
        <f>D172*(($F$154)+1)+(IF(E172&lt;101,E172,IF(E172&lt;201,E172/2,IF(E172&lt;=301,E172/3,E172/4))))</f>
        <v>1178.0713619999999</v>
      </c>
      <c r="G172" s="120"/>
      <c r="H172" s="121"/>
      <c r="I172" s="33"/>
      <c r="L172" s="115"/>
      <c r="M172" s="115"/>
      <c r="N172" s="33"/>
    </row>
    <row r="173" spans="1:14" s="34" customFormat="1" x14ac:dyDescent="0.25">
      <c r="A173" s="98">
        <f t="shared" si="12"/>
        <v>4</v>
      </c>
      <c r="B173" s="99"/>
      <c r="C173" s="47">
        <v>1</v>
      </c>
      <c r="D173" s="48">
        <f>(32.71)*(10.764)</f>
        <v>352.09044</v>
      </c>
      <c r="E173" s="39">
        <v>0</v>
      </c>
      <c r="F173" s="39">
        <f>D173*(($F$154)+1)+(IF(E173&lt;101,E173,IF(E173&lt;201,E173/2,IF(E173&lt;=301,E173/3,E173/4))))</f>
        <v>545.740182</v>
      </c>
      <c r="G173" s="122"/>
      <c r="H173" s="123"/>
      <c r="I173" s="33"/>
      <c r="L173" s="115"/>
      <c r="M173" s="115"/>
      <c r="N173" s="33"/>
    </row>
    <row r="174" spans="1:14" s="34" customFormat="1" x14ac:dyDescent="0.25">
      <c r="A174" s="105" t="s">
        <v>202</v>
      </c>
      <c r="B174" s="106"/>
      <c r="C174" s="106"/>
      <c r="D174" s="106"/>
      <c r="E174" s="106"/>
      <c r="F174" s="106"/>
      <c r="G174" s="106"/>
      <c r="H174" s="107"/>
      <c r="J174" s="33"/>
    </row>
    <row r="175" spans="1:14" s="34" customFormat="1" x14ac:dyDescent="0.25">
      <c r="A175" s="98">
        <v>1</v>
      </c>
      <c r="B175" s="99"/>
      <c r="C175" s="47">
        <v>2</v>
      </c>
      <c r="D175" s="48">
        <f>(57.73)*(10.764)</f>
        <v>621.40571999999997</v>
      </c>
      <c r="E175" s="39">
        <v>0</v>
      </c>
      <c r="F175" s="39">
        <f>D175*(($F$154)+1)+(IF(E175&lt;101,E175,IF(E175&lt;201,E175/2,IF(E175&lt;=301,E175/3,E175/4))))</f>
        <v>963.17886599999997</v>
      </c>
      <c r="G175" s="118" t="str">
        <f>A174</f>
        <v>6th Floor</v>
      </c>
      <c r="H175" s="119"/>
      <c r="I175" s="33"/>
      <c r="L175" s="115"/>
      <c r="M175" s="115"/>
      <c r="N175" s="33"/>
    </row>
    <row r="176" spans="1:14" s="34" customFormat="1" x14ac:dyDescent="0.25">
      <c r="A176" s="98">
        <f t="shared" ref="A176:A178" si="13">A175+1</f>
        <v>2</v>
      </c>
      <c r="B176" s="99"/>
      <c r="C176" s="47">
        <v>2</v>
      </c>
      <c r="D176" s="48">
        <f>(59.53)*(10.764)</f>
        <v>640.78091999999992</v>
      </c>
      <c r="E176" s="39">
        <v>0</v>
      </c>
      <c r="F176" s="39">
        <f>D176*(($F$154)+1)+(IF(E176&lt;101,E176,IF(E176&lt;201,E176/2,IF(E176&lt;=301,E176/3,E176/4))))</f>
        <v>993.21042599999987</v>
      </c>
      <c r="G176" s="120"/>
      <c r="H176" s="121"/>
      <c r="I176" s="33"/>
      <c r="L176" s="115"/>
      <c r="M176" s="115"/>
      <c r="N176" s="33"/>
    </row>
    <row r="177" spans="1:14" s="34" customFormat="1" x14ac:dyDescent="0.25">
      <c r="A177" s="98">
        <f t="shared" si="13"/>
        <v>3</v>
      </c>
      <c r="B177" s="99"/>
      <c r="C177" s="47">
        <v>3</v>
      </c>
      <c r="D177" s="48">
        <f>(71.57)*(10.764)</f>
        <v>770.37947999999983</v>
      </c>
      <c r="E177" s="39">
        <v>0</v>
      </c>
      <c r="F177" s="39">
        <f>D177*(($F$154)+1)+(IF(E177&lt;101,E177,IF(E177&lt;201,E177/2,IF(E177&lt;=301,E177/3,E177/4))))</f>
        <v>1194.0881939999997</v>
      </c>
      <c r="G177" s="120"/>
      <c r="H177" s="121"/>
      <c r="I177" s="33"/>
      <c r="L177" s="115"/>
      <c r="M177" s="115"/>
      <c r="N177" s="33"/>
    </row>
    <row r="178" spans="1:14" s="34" customFormat="1" x14ac:dyDescent="0.25">
      <c r="A178" s="98">
        <f t="shared" si="13"/>
        <v>4</v>
      </c>
      <c r="B178" s="99"/>
      <c r="C178" s="47">
        <v>1</v>
      </c>
      <c r="D178" s="48">
        <f>(32.71)*(10.764)</f>
        <v>352.09044</v>
      </c>
      <c r="E178" s="39">
        <v>0</v>
      </c>
      <c r="F178" s="39">
        <f>D178*(($F$154)+1)+(IF(E178&lt;101,E178,IF(E178&lt;201,E178/2,IF(E178&lt;=301,E178/3,E178/4))))</f>
        <v>545.740182</v>
      </c>
      <c r="G178" s="122"/>
      <c r="H178" s="123"/>
      <c r="I178" s="33"/>
      <c r="L178" s="115"/>
      <c r="M178" s="115"/>
      <c r="N178" s="33"/>
    </row>
    <row r="179" spans="1:14" s="34" customFormat="1" x14ac:dyDescent="0.25">
      <c r="A179" s="105" t="s">
        <v>203</v>
      </c>
      <c r="B179" s="106"/>
      <c r="C179" s="106"/>
      <c r="D179" s="106"/>
      <c r="E179" s="106"/>
      <c r="F179" s="106"/>
      <c r="G179" s="106"/>
      <c r="H179" s="107"/>
      <c r="J179" s="33"/>
    </row>
    <row r="180" spans="1:14" s="34" customFormat="1" ht="15.75" customHeight="1" x14ac:dyDescent="0.25">
      <c r="A180" s="98">
        <v>1</v>
      </c>
      <c r="B180" s="99"/>
      <c r="C180" s="98" t="s">
        <v>204</v>
      </c>
      <c r="D180" s="116"/>
      <c r="E180" s="116"/>
      <c r="F180" s="99"/>
      <c r="G180" s="118" t="str">
        <f>A179</f>
        <v>7th Floor (Part Refuge Area)</v>
      </c>
      <c r="H180" s="119"/>
      <c r="I180" s="33"/>
      <c r="L180" s="115"/>
      <c r="M180" s="115"/>
      <c r="N180" s="33"/>
    </row>
    <row r="181" spans="1:14" s="34" customFormat="1" ht="15.75" customHeight="1" x14ac:dyDescent="0.25">
      <c r="A181" s="98">
        <f t="shared" ref="A181:A183" si="14">A180+1</f>
        <v>2</v>
      </c>
      <c r="B181" s="99"/>
      <c r="C181" s="47">
        <v>2</v>
      </c>
      <c r="D181" s="48">
        <f>(59.53)*(10.764)</f>
        <v>640.78091999999992</v>
      </c>
      <c r="E181" s="39">
        <v>0</v>
      </c>
      <c r="F181" s="39">
        <f>D181*(($F$154)+1)+(IF(E181&lt;101,E181,IF(E181&lt;201,E181/2,IF(E181&lt;=301,E181/3,E181/4))))</f>
        <v>993.21042599999987</v>
      </c>
      <c r="G181" s="120"/>
      <c r="H181" s="121"/>
      <c r="I181" s="33"/>
      <c r="L181" s="115"/>
      <c r="M181" s="115"/>
      <c r="N181" s="33"/>
    </row>
    <row r="182" spans="1:14" s="34" customFormat="1" ht="15.75" customHeight="1" x14ac:dyDescent="0.25">
      <c r="A182" s="98">
        <f t="shared" si="14"/>
        <v>3</v>
      </c>
      <c r="B182" s="99"/>
      <c r="C182" s="47">
        <v>3</v>
      </c>
      <c r="D182" s="48">
        <f>(71.57)*(10.764)</f>
        <v>770.37947999999983</v>
      </c>
      <c r="E182" s="39">
        <v>0</v>
      </c>
      <c r="F182" s="39">
        <f>D182*(($F$154)+1)+(IF(E182&lt;101,E182,IF(E182&lt;201,E182/2,IF(E182&lt;=301,E182/3,E182/4))))</f>
        <v>1194.0881939999997</v>
      </c>
      <c r="G182" s="120"/>
      <c r="H182" s="121"/>
      <c r="I182" s="33"/>
      <c r="L182" s="115"/>
      <c r="M182" s="115"/>
      <c r="N182" s="33"/>
    </row>
    <row r="183" spans="1:14" s="34" customFormat="1" ht="15.75" customHeight="1" x14ac:dyDescent="0.25">
      <c r="A183" s="98">
        <f t="shared" si="14"/>
        <v>4</v>
      </c>
      <c r="B183" s="99"/>
      <c r="C183" s="47">
        <v>1</v>
      </c>
      <c r="D183" s="48">
        <f>(32.71)*(10.764)</f>
        <v>352.09044</v>
      </c>
      <c r="E183" s="39">
        <v>0</v>
      </c>
      <c r="F183" s="39">
        <f>D183*(($F$154)+1)+(IF(E183&lt;101,E183,IF(E183&lt;201,E183/2,IF(E183&lt;=301,E183/3,E183/4))))</f>
        <v>545.740182</v>
      </c>
      <c r="G183" s="122"/>
      <c r="H183" s="123"/>
      <c r="I183" s="33"/>
      <c r="L183" s="115"/>
      <c r="M183" s="115"/>
      <c r="N183" s="33"/>
    </row>
    <row r="184" spans="1:14" s="34" customFormat="1" x14ac:dyDescent="0.25">
      <c r="A184" s="105" t="s">
        <v>205</v>
      </c>
      <c r="B184" s="106"/>
      <c r="C184" s="106"/>
      <c r="D184" s="106"/>
      <c r="E184" s="106"/>
      <c r="F184" s="106"/>
      <c r="G184" s="106"/>
      <c r="H184" s="107"/>
      <c r="J184" s="33"/>
    </row>
    <row r="185" spans="1:14" s="34" customFormat="1" x14ac:dyDescent="0.25">
      <c r="A185" s="98">
        <v>1</v>
      </c>
      <c r="B185" s="99"/>
      <c r="C185" s="47">
        <v>2</v>
      </c>
      <c r="D185" s="48">
        <f>(60.38)*(10.764)</f>
        <v>649.93031999999994</v>
      </c>
      <c r="E185" s="39">
        <v>0</v>
      </c>
      <c r="F185" s="39">
        <f>D185*(($F$154)+1)+(IF(E185&lt;101,E185,IF(E185&lt;201,E185/2,IF(E185&lt;=301,E185/3,E185/4))))</f>
        <v>1007.3919959999999</v>
      </c>
      <c r="G185" s="118" t="str">
        <f>A184</f>
        <v>8th Floor</v>
      </c>
      <c r="H185" s="119"/>
      <c r="I185" s="33"/>
      <c r="L185" s="115"/>
      <c r="M185" s="115"/>
      <c r="N185" s="33"/>
    </row>
    <row r="186" spans="1:14" s="34" customFormat="1" x14ac:dyDescent="0.25">
      <c r="A186" s="98">
        <f t="shared" ref="A186:A188" si="15">A185+1</f>
        <v>2</v>
      </c>
      <c r="B186" s="99"/>
      <c r="C186" s="47">
        <v>2</v>
      </c>
      <c r="D186" s="48">
        <f>(60.49)*(10.764)</f>
        <v>651.11436000000003</v>
      </c>
      <c r="E186" s="39">
        <v>0</v>
      </c>
      <c r="F186" s="39">
        <f>D186*(($F$154)+1)+(IF(E186&lt;101,E186,IF(E186&lt;201,E186/2,IF(E186&lt;=301,E186/3,E186/4))))</f>
        <v>1009.2272580000001</v>
      </c>
      <c r="G186" s="120"/>
      <c r="H186" s="121"/>
      <c r="I186" s="33"/>
      <c r="L186" s="115"/>
      <c r="M186" s="115"/>
      <c r="N186" s="33"/>
    </row>
    <row r="187" spans="1:14" s="34" customFormat="1" x14ac:dyDescent="0.25">
      <c r="A187" s="98">
        <f t="shared" si="15"/>
        <v>3</v>
      </c>
      <c r="B187" s="99"/>
      <c r="C187" s="47">
        <v>3</v>
      </c>
      <c r="D187" s="48">
        <f>(71.57)*(10.764)</f>
        <v>770.37947999999983</v>
      </c>
      <c r="E187" s="39">
        <v>0</v>
      </c>
      <c r="F187" s="39">
        <f>D187*(($F$154)+1)+(IF(E187&lt;101,E187,IF(E187&lt;201,E187/2,IF(E187&lt;=301,E187/3,E187/4))))</f>
        <v>1194.0881939999997</v>
      </c>
      <c r="G187" s="120"/>
      <c r="H187" s="121"/>
      <c r="I187" s="33"/>
      <c r="L187" s="115"/>
      <c r="M187" s="115"/>
      <c r="N187" s="33"/>
    </row>
    <row r="188" spans="1:14" s="34" customFormat="1" x14ac:dyDescent="0.25">
      <c r="A188" s="98">
        <f t="shared" si="15"/>
        <v>4</v>
      </c>
      <c r="B188" s="99"/>
      <c r="C188" s="47">
        <v>1</v>
      </c>
      <c r="D188" s="48">
        <f>(36.9)*(10.764)</f>
        <v>397.19159999999994</v>
      </c>
      <c r="E188" s="39">
        <v>0</v>
      </c>
      <c r="F188" s="39">
        <f>D188*(($F$154)+1)+(IF(E188&lt;101,E188,IF(E188&lt;201,E188/2,IF(E188&lt;=301,E188/3,E188/4))))</f>
        <v>615.64697999999987</v>
      </c>
      <c r="G188" s="122"/>
      <c r="H188" s="123"/>
      <c r="I188" s="33"/>
      <c r="L188" s="115"/>
      <c r="M188" s="115"/>
      <c r="N188" s="33"/>
    </row>
    <row r="189" spans="1:14" s="34" customFormat="1" x14ac:dyDescent="0.25">
      <c r="A189" s="105" t="s">
        <v>239</v>
      </c>
      <c r="B189" s="106"/>
      <c r="C189" s="106"/>
      <c r="D189" s="106"/>
      <c r="E189" s="106"/>
      <c r="F189" s="106"/>
      <c r="G189" s="106"/>
      <c r="H189" s="107"/>
      <c r="J189" s="33"/>
    </row>
    <row r="190" spans="1:14" s="34" customFormat="1" x14ac:dyDescent="0.25">
      <c r="A190" s="98">
        <v>1</v>
      </c>
      <c r="B190" s="99"/>
      <c r="C190" s="47">
        <v>2</v>
      </c>
      <c r="D190" s="48">
        <f>(61.21)*(10.764)</f>
        <v>658.86443999999995</v>
      </c>
      <c r="E190" s="39">
        <v>0</v>
      </c>
      <c r="F190" s="39">
        <f>D190*(($F$154)+1)+(IF(E190&lt;101,E190,IF(E190&lt;201,E190/2,IF(E190&lt;=301,E190/3,E190/4))))</f>
        <v>1021.239882</v>
      </c>
      <c r="G190" s="118" t="str">
        <f>A189</f>
        <v>9th &amp; 10th Floor</v>
      </c>
      <c r="H190" s="119"/>
      <c r="I190" s="33"/>
      <c r="L190" s="115"/>
      <c r="M190" s="115"/>
      <c r="N190" s="33"/>
    </row>
    <row r="191" spans="1:14" s="34" customFormat="1" x14ac:dyDescent="0.25">
      <c r="A191" s="98">
        <f t="shared" ref="A191:A193" si="16">A190+1</f>
        <v>2</v>
      </c>
      <c r="B191" s="99"/>
      <c r="C191" s="47">
        <v>2</v>
      </c>
      <c r="D191" s="48">
        <f>(60.49)*(10.764)</f>
        <v>651.11436000000003</v>
      </c>
      <c r="E191" s="39">
        <v>0</v>
      </c>
      <c r="F191" s="39">
        <f>D191*(($F$154)+1)+(IF(E191&lt;101,E191,IF(E191&lt;201,E191/2,IF(E191&lt;=301,E191/3,E191/4))))</f>
        <v>1009.2272580000001</v>
      </c>
      <c r="G191" s="120"/>
      <c r="H191" s="121"/>
      <c r="I191" s="33"/>
      <c r="L191" s="115"/>
      <c r="M191" s="115"/>
      <c r="N191" s="33"/>
    </row>
    <row r="192" spans="1:14" s="34" customFormat="1" x14ac:dyDescent="0.25">
      <c r="A192" s="98">
        <f t="shared" si="16"/>
        <v>3</v>
      </c>
      <c r="B192" s="99"/>
      <c r="C192" s="47">
        <v>3</v>
      </c>
      <c r="D192" s="48">
        <f>(71.57)*(10.764)</f>
        <v>770.37947999999983</v>
      </c>
      <c r="E192" s="39">
        <v>0</v>
      </c>
      <c r="F192" s="39">
        <f>D192*(($F$154)+1)+(IF(E192&lt;101,E192,IF(E192&lt;201,E192/2,IF(E192&lt;=301,E192/3,E192/4))))</f>
        <v>1194.0881939999997</v>
      </c>
      <c r="G192" s="120"/>
      <c r="H192" s="121"/>
      <c r="I192" s="33"/>
      <c r="L192" s="115"/>
      <c r="M192" s="115"/>
      <c r="N192" s="33"/>
    </row>
    <row r="193" spans="1:14" s="34" customFormat="1" x14ac:dyDescent="0.25">
      <c r="A193" s="98">
        <f t="shared" si="16"/>
        <v>4</v>
      </c>
      <c r="B193" s="99"/>
      <c r="C193" s="47">
        <v>1</v>
      </c>
      <c r="D193" s="48">
        <f>(36.9)*(10.764)</f>
        <v>397.19159999999994</v>
      </c>
      <c r="E193" s="39">
        <v>0</v>
      </c>
      <c r="F193" s="39">
        <f>D193*(($F$154)+1)+(IF(E193&lt;101,E193,IF(E193&lt;201,E193/2,IF(E193&lt;=301,E193/3,E193/4))))</f>
        <v>615.64697999999987</v>
      </c>
      <c r="G193" s="122"/>
      <c r="H193" s="123"/>
      <c r="I193" s="33"/>
      <c r="L193" s="115"/>
      <c r="M193" s="115"/>
      <c r="N193" s="33"/>
    </row>
    <row r="194" spans="1:14" s="34" customFormat="1" x14ac:dyDescent="0.25">
      <c r="A194" s="105" t="s">
        <v>240</v>
      </c>
      <c r="B194" s="106"/>
      <c r="C194" s="106"/>
      <c r="D194" s="106"/>
      <c r="E194" s="106"/>
      <c r="F194" s="106"/>
      <c r="G194" s="106"/>
      <c r="H194" s="107"/>
      <c r="J194" s="33"/>
    </row>
    <row r="195" spans="1:14" s="34" customFormat="1" x14ac:dyDescent="0.25">
      <c r="A195" s="98">
        <v>1</v>
      </c>
      <c r="B195" s="99"/>
      <c r="C195" s="47">
        <v>2</v>
      </c>
      <c r="D195" s="48">
        <f>(61.21)*(10.764)</f>
        <v>658.86443999999995</v>
      </c>
      <c r="E195" s="39">
        <v>0</v>
      </c>
      <c r="F195" s="39">
        <f>D195*(($F$154)+1)+(IF(E195&lt;101,E195,IF(E195&lt;201,E195/2,IF(E195&lt;=301,E195/3,E195/4))))</f>
        <v>1021.239882</v>
      </c>
      <c r="G195" s="118" t="str">
        <f>A194</f>
        <v>11th Floor</v>
      </c>
      <c r="H195" s="119"/>
      <c r="I195" s="33"/>
      <c r="L195" s="115"/>
      <c r="M195" s="115"/>
      <c r="N195" s="33"/>
    </row>
    <row r="196" spans="1:14" s="34" customFormat="1" x14ac:dyDescent="0.25">
      <c r="A196" s="98">
        <f t="shared" ref="A196:A198" si="17">A195+1</f>
        <v>2</v>
      </c>
      <c r="B196" s="99"/>
      <c r="C196" s="47">
        <v>2</v>
      </c>
      <c r="D196" s="48">
        <f>(60.49)*(10.764)</f>
        <v>651.11436000000003</v>
      </c>
      <c r="E196" s="39">
        <v>0</v>
      </c>
      <c r="F196" s="39">
        <f>D196*(($F$154)+1)+(IF(E196&lt;101,E196,IF(E196&lt;201,E196/2,IF(E196&lt;=301,E196/3,E196/4))))</f>
        <v>1009.2272580000001</v>
      </c>
      <c r="G196" s="120"/>
      <c r="H196" s="121"/>
      <c r="I196" s="33"/>
      <c r="L196" s="115"/>
      <c r="M196" s="115"/>
      <c r="N196" s="33"/>
    </row>
    <row r="197" spans="1:14" s="34" customFormat="1" x14ac:dyDescent="0.25">
      <c r="A197" s="98">
        <f t="shared" si="17"/>
        <v>3</v>
      </c>
      <c r="B197" s="99"/>
      <c r="C197" s="47">
        <v>3</v>
      </c>
      <c r="D197" s="48">
        <f>(71.57)*(10.764)</f>
        <v>770.37947999999983</v>
      </c>
      <c r="E197" s="39">
        <v>0</v>
      </c>
      <c r="F197" s="39">
        <f>D197*(($F$154)+1)+(IF(E197&lt;101,E197,IF(E197&lt;201,E197/2,IF(E197&lt;=301,E197/3,E197/4))))</f>
        <v>1194.0881939999997</v>
      </c>
      <c r="G197" s="120"/>
      <c r="H197" s="121"/>
      <c r="I197" s="33"/>
      <c r="L197" s="115"/>
      <c r="M197" s="115"/>
      <c r="N197" s="33"/>
    </row>
    <row r="198" spans="1:14" s="34" customFormat="1" x14ac:dyDescent="0.25">
      <c r="A198" s="98">
        <f t="shared" si="17"/>
        <v>4</v>
      </c>
      <c r="B198" s="99"/>
      <c r="C198" s="47">
        <v>1</v>
      </c>
      <c r="D198" s="48">
        <f>(37.86)*(10.764)</f>
        <v>407.52503999999999</v>
      </c>
      <c r="E198" s="39">
        <v>0</v>
      </c>
      <c r="F198" s="39">
        <f>D198*(($F$154)+1)+(IF(E198&lt;101,E198,IF(E198&lt;201,E198/2,IF(E198&lt;=301,E198/3,E198/4))))</f>
        <v>631.66381200000001</v>
      </c>
      <c r="G198" s="122"/>
      <c r="H198" s="123"/>
      <c r="I198" s="33"/>
      <c r="L198" s="115"/>
      <c r="M198" s="115"/>
      <c r="N198" s="33"/>
    </row>
    <row r="199" spans="1:14" s="34" customFormat="1" x14ac:dyDescent="0.25">
      <c r="A199" s="105" t="s">
        <v>241</v>
      </c>
      <c r="B199" s="106"/>
      <c r="C199" s="106"/>
      <c r="D199" s="106"/>
      <c r="E199" s="106"/>
      <c r="F199" s="106"/>
      <c r="G199" s="106"/>
      <c r="H199" s="107"/>
      <c r="J199" s="33"/>
    </row>
    <row r="200" spans="1:14" s="34" customFormat="1" x14ac:dyDescent="0.25">
      <c r="A200" s="98">
        <v>1</v>
      </c>
      <c r="B200" s="99"/>
      <c r="C200" s="47">
        <v>2</v>
      </c>
      <c r="D200" s="48">
        <f>(61.71)*(10.764)</f>
        <v>664.24644000000001</v>
      </c>
      <c r="E200" s="39">
        <v>0</v>
      </c>
      <c r="F200" s="39">
        <f>D200*(($F$154)+1)+(IF(E200&lt;101,E200,IF(E200&lt;201,E200/2,IF(E200&lt;=301,E200/3,E200/4))))</f>
        <v>1029.5819820000002</v>
      </c>
      <c r="G200" s="118" t="str">
        <f>A199</f>
        <v>12th &amp; 13th Floor</v>
      </c>
      <c r="H200" s="119"/>
      <c r="I200" s="33"/>
      <c r="L200" s="115"/>
      <c r="M200" s="115"/>
      <c r="N200" s="33"/>
    </row>
    <row r="201" spans="1:14" s="34" customFormat="1" x14ac:dyDescent="0.25">
      <c r="A201" s="98">
        <f t="shared" ref="A201:A203" si="18">A200+1</f>
        <v>2</v>
      </c>
      <c r="B201" s="99"/>
      <c r="C201" s="47">
        <v>2</v>
      </c>
      <c r="D201" s="48">
        <f>(60.49)*(10.764)</f>
        <v>651.11436000000003</v>
      </c>
      <c r="E201" s="39">
        <v>0</v>
      </c>
      <c r="F201" s="39">
        <f>D201*(($F$154)+1)+(IF(E201&lt;101,E201,IF(E201&lt;201,E201/2,IF(E201&lt;=301,E201/3,E201/4))))</f>
        <v>1009.2272580000001</v>
      </c>
      <c r="G201" s="120"/>
      <c r="H201" s="121"/>
      <c r="I201" s="33"/>
      <c r="L201" s="115"/>
      <c r="M201" s="115"/>
      <c r="N201" s="33"/>
    </row>
    <row r="202" spans="1:14" s="34" customFormat="1" x14ac:dyDescent="0.25">
      <c r="A202" s="98">
        <f t="shared" si="18"/>
        <v>3</v>
      </c>
      <c r="B202" s="99"/>
      <c r="C202" s="47">
        <v>3</v>
      </c>
      <c r="D202" s="48">
        <f>(75.48)*(10.764)</f>
        <v>812.46672000000001</v>
      </c>
      <c r="E202" s="39">
        <v>0</v>
      </c>
      <c r="F202" s="39">
        <f>D202*(($F$154)+1)+(IF(E202&lt;101,E202,IF(E202&lt;201,E202/2,IF(E202&lt;=301,E202/3,E202/4))))</f>
        <v>1259.323416</v>
      </c>
      <c r="G202" s="120"/>
      <c r="H202" s="121"/>
      <c r="I202" s="33"/>
      <c r="L202" s="115"/>
      <c r="M202" s="115"/>
      <c r="N202" s="33"/>
    </row>
    <row r="203" spans="1:14" s="34" customFormat="1" x14ac:dyDescent="0.25">
      <c r="A203" s="98">
        <f t="shared" si="18"/>
        <v>4</v>
      </c>
      <c r="B203" s="99"/>
      <c r="C203" s="47">
        <v>1</v>
      </c>
      <c r="D203" s="48">
        <f>(37.86)*(10.764)</f>
        <v>407.52503999999999</v>
      </c>
      <c r="E203" s="39">
        <v>0</v>
      </c>
      <c r="F203" s="39">
        <f>D203*(($F$154)+1)+(IF(E203&lt;101,E203,IF(E203&lt;201,E203/2,IF(E203&lt;=301,E203/3,E203/4))))</f>
        <v>631.66381200000001</v>
      </c>
      <c r="G203" s="122"/>
      <c r="H203" s="123"/>
      <c r="I203" s="33"/>
      <c r="L203" s="115"/>
      <c r="M203" s="115"/>
      <c r="N203" s="33"/>
    </row>
    <row r="204" spans="1:14" s="34" customFormat="1" x14ac:dyDescent="0.25">
      <c r="A204" s="105" t="s">
        <v>242</v>
      </c>
      <c r="B204" s="106"/>
      <c r="C204" s="106"/>
      <c r="D204" s="106"/>
      <c r="E204" s="106"/>
      <c r="F204" s="106"/>
      <c r="G204" s="106"/>
      <c r="H204" s="107"/>
      <c r="J204" s="33"/>
    </row>
    <row r="205" spans="1:14" s="34" customFormat="1" x14ac:dyDescent="0.25">
      <c r="A205" s="98">
        <v>1</v>
      </c>
      <c r="B205" s="99"/>
      <c r="C205" s="208" t="s">
        <v>204</v>
      </c>
      <c r="D205" s="209"/>
      <c r="E205" s="209"/>
      <c r="F205" s="210"/>
      <c r="G205" s="118" t="str">
        <f>A204</f>
        <v>14th Floor (Part Refuge Area)</v>
      </c>
      <c r="H205" s="119"/>
      <c r="I205" s="33"/>
      <c r="L205" s="115"/>
      <c r="M205" s="115"/>
      <c r="N205" s="33"/>
    </row>
    <row r="206" spans="1:14" s="34" customFormat="1" x14ac:dyDescent="0.25">
      <c r="A206" s="98">
        <f t="shared" ref="A206:A208" si="19">A205+1</f>
        <v>2</v>
      </c>
      <c r="B206" s="99"/>
      <c r="C206" s="47">
        <v>2</v>
      </c>
      <c r="D206" s="48">
        <f>(60.49)*(10.764)</f>
        <v>651.11436000000003</v>
      </c>
      <c r="E206" s="39">
        <v>0</v>
      </c>
      <c r="F206" s="39">
        <f>D206*(($F$154)+1)+(IF(E206&lt;101,E206,IF(E206&lt;201,E206/2,IF(E206&lt;=301,E206/3,E206/4))))</f>
        <v>1009.2272580000001</v>
      </c>
      <c r="G206" s="120"/>
      <c r="H206" s="121"/>
      <c r="I206" s="33"/>
      <c r="L206" s="115"/>
      <c r="M206" s="115"/>
      <c r="N206" s="33"/>
    </row>
    <row r="207" spans="1:14" s="34" customFormat="1" x14ac:dyDescent="0.25">
      <c r="A207" s="98">
        <f t="shared" si="19"/>
        <v>3</v>
      </c>
      <c r="B207" s="99"/>
      <c r="C207" s="47">
        <v>3</v>
      </c>
      <c r="D207" s="48">
        <f>(75.48)*(10.764)</f>
        <v>812.46672000000001</v>
      </c>
      <c r="E207" s="39">
        <v>0</v>
      </c>
      <c r="F207" s="39">
        <f>D207*(($F$154)+1)+(IF(E207&lt;101,E207,IF(E207&lt;201,E207/2,IF(E207&lt;=301,E207/3,E207/4))))</f>
        <v>1259.323416</v>
      </c>
      <c r="G207" s="120"/>
      <c r="H207" s="121"/>
      <c r="I207" s="33"/>
      <c r="L207" s="115"/>
      <c r="M207" s="115"/>
      <c r="N207" s="33"/>
    </row>
    <row r="208" spans="1:14" s="34" customFormat="1" x14ac:dyDescent="0.25">
      <c r="A208" s="98">
        <f t="shared" si="19"/>
        <v>4</v>
      </c>
      <c r="B208" s="99"/>
      <c r="C208" s="47">
        <v>1</v>
      </c>
      <c r="D208" s="48">
        <f>(37.86)*(10.764)</f>
        <v>407.52503999999999</v>
      </c>
      <c r="E208" s="39">
        <v>0</v>
      </c>
      <c r="F208" s="39">
        <f>D208*(($F$154)+1)+(IF(E208&lt;101,E208,IF(E208&lt;201,E208/2,IF(E208&lt;=301,E208/3,E208/4))))</f>
        <v>631.66381200000001</v>
      </c>
      <c r="G208" s="122"/>
      <c r="H208" s="123"/>
      <c r="I208" s="33"/>
      <c r="L208" s="115"/>
      <c r="M208" s="115"/>
      <c r="N208" s="33"/>
    </row>
    <row r="209" spans="1:14" s="34" customFormat="1" x14ac:dyDescent="0.25">
      <c r="A209" s="105" t="s">
        <v>243</v>
      </c>
      <c r="B209" s="106"/>
      <c r="C209" s="106"/>
      <c r="D209" s="106"/>
      <c r="E209" s="106"/>
      <c r="F209" s="106"/>
      <c r="G209" s="106"/>
      <c r="H209" s="107"/>
      <c r="J209" s="33"/>
    </row>
    <row r="210" spans="1:14" s="34" customFormat="1" x14ac:dyDescent="0.25">
      <c r="A210" s="98">
        <v>1</v>
      </c>
      <c r="B210" s="99"/>
      <c r="C210" s="47">
        <v>2</v>
      </c>
      <c r="D210" s="48">
        <f>(65.44)*(10.764)</f>
        <v>704.3961599999999</v>
      </c>
      <c r="E210" s="39">
        <v>0</v>
      </c>
      <c r="F210" s="39">
        <f>D210*(($F$154)+1)+(IF(E210&lt;101,E210,IF(E210&lt;201,E210/2,IF(E210&lt;=301,E210/3,E210/4))))</f>
        <v>1091.814048</v>
      </c>
      <c r="G210" s="118" t="str">
        <f>A209</f>
        <v>15th Floor</v>
      </c>
      <c r="H210" s="119"/>
      <c r="I210" s="33"/>
      <c r="L210" s="115"/>
      <c r="M210" s="115"/>
      <c r="N210" s="33"/>
    </row>
    <row r="211" spans="1:14" s="34" customFormat="1" x14ac:dyDescent="0.25">
      <c r="A211" s="98">
        <f t="shared" ref="A211:A213" si="20">A210+1</f>
        <v>2</v>
      </c>
      <c r="B211" s="99"/>
      <c r="C211" s="47">
        <v>2</v>
      </c>
      <c r="D211" s="48">
        <f>(64.96)*(10.764)</f>
        <v>699.22943999999984</v>
      </c>
      <c r="E211" s="39">
        <v>0</v>
      </c>
      <c r="F211" s="39">
        <f>D211*(($F$154)+1)+(IF(E211&lt;101,E211,IF(E211&lt;201,E211/2,IF(E211&lt;=301,E211/3,E211/4))))</f>
        <v>1083.8056319999998</v>
      </c>
      <c r="G211" s="120"/>
      <c r="H211" s="121"/>
      <c r="I211" s="33"/>
      <c r="L211" s="115"/>
      <c r="M211" s="115"/>
      <c r="N211" s="33"/>
    </row>
    <row r="212" spans="1:14" s="34" customFormat="1" x14ac:dyDescent="0.25">
      <c r="A212" s="98">
        <f t="shared" si="20"/>
        <v>3</v>
      </c>
      <c r="B212" s="99"/>
      <c r="C212" s="47">
        <v>3</v>
      </c>
      <c r="D212" s="48">
        <f>(80.35)*(10.764)</f>
        <v>864.88739999999984</v>
      </c>
      <c r="E212" s="39">
        <v>0</v>
      </c>
      <c r="F212" s="39">
        <f>D212*(($F$154)+1)+(IF(E212&lt;101,E212,IF(E212&lt;201,E212/2,IF(E212&lt;=301,E212/3,E212/4))))</f>
        <v>1340.5754699999998</v>
      </c>
      <c r="G212" s="120"/>
      <c r="H212" s="121"/>
      <c r="I212" s="33"/>
      <c r="L212" s="115"/>
      <c r="M212" s="115"/>
      <c r="N212" s="33"/>
    </row>
    <row r="213" spans="1:14" s="34" customFormat="1" x14ac:dyDescent="0.25">
      <c r="A213" s="98">
        <f t="shared" si="20"/>
        <v>4</v>
      </c>
      <c r="B213" s="99"/>
      <c r="C213" s="47">
        <v>1</v>
      </c>
      <c r="D213" s="48">
        <f>(37.86)*(10.764)</f>
        <v>407.52503999999999</v>
      </c>
      <c r="E213" s="39">
        <v>0</v>
      </c>
      <c r="F213" s="39">
        <f>D213*(($F$154)+1)+(IF(E213&lt;101,E213,IF(E213&lt;201,E213/2,IF(E213&lt;=301,E213/3,E213/4))))</f>
        <v>631.66381200000001</v>
      </c>
      <c r="G213" s="122"/>
      <c r="H213" s="123"/>
      <c r="I213" s="33"/>
      <c r="L213" s="115"/>
      <c r="M213" s="115"/>
      <c r="N213" s="33"/>
    </row>
    <row r="214" spans="1:14" s="34" customFormat="1" x14ac:dyDescent="0.25">
      <c r="A214" s="105" t="s">
        <v>244</v>
      </c>
      <c r="B214" s="106"/>
      <c r="C214" s="106"/>
      <c r="D214" s="106"/>
      <c r="E214" s="106"/>
      <c r="F214" s="106"/>
      <c r="G214" s="106"/>
      <c r="H214" s="107"/>
      <c r="J214" s="33"/>
    </row>
    <row r="215" spans="1:14" s="34" customFormat="1" x14ac:dyDescent="0.25">
      <c r="A215" s="98">
        <v>1</v>
      </c>
      <c r="B215" s="99"/>
      <c r="C215" s="47">
        <v>2</v>
      </c>
      <c r="D215" s="48">
        <f>(66.75)*(10.764)</f>
        <v>718.49699999999996</v>
      </c>
      <c r="E215" s="39">
        <v>0</v>
      </c>
      <c r="F215" s="39">
        <f>D215*(($F$154)+1)+(IF(E215&lt;101,E215,IF(E215&lt;201,E215/2,IF(E215&lt;=301,E215/3,E215/4))))</f>
        <v>1113.6703499999999</v>
      </c>
      <c r="G215" s="118" t="str">
        <f>A214</f>
        <v>16th to 21st Floor</v>
      </c>
      <c r="H215" s="119"/>
      <c r="I215" s="33"/>
      <c r="L215" s="115"/>
      <c r="M215" s="115"/>
      <c r="N215" s="33"/>
    </row>
    <row r="216" spans="1:14" s="34" customFormat="1" x14ac:dyDescent="0.25">
      <c r="A216" s="98">
        <f t="shared" ref="A216:A218" si="21">A215+1</f>
        <v>2</v>
      </c>
      <c r="B216" s="99"/>
      <c r="C216" s="47">
        <v>2</v>
      </c>
      <c r="D216" s="48">
        <f>(64.96)*(10.764)</f>
        <v>699.22943999999984</v>
      </c>
      <c r="E216" s="39">
        <v>0</v>
      </c>
      <c r="F216" s="39">
        <f>D216*(($F$154)+1)+(IF(E216&lt;101,E216,IF(E216&lt;201,E216/2,IF(E216&lt;=301,E216/3,E216/4))))</f>
        <v>1083.8056319999998</v>
      </c>
      <c r="G216" s="120"/>
      <c r="H216" s="121"/>
      <c r="I216" s="33"/>
      <c r="L216" s="115"/>
      <c r="M216" s="115"/>
      <c r="N216" s="33"/>
    </row>
    <row r="217" spans="1:14" s="34" customFormat="1" x14ac:dyDescent="0.25">
      <c r="A217" s="98">
        <f t="shared" si="21"/>
        <v>3</v>
      </c>
      <c r="B217" s="99"/>
      <c r="C217" s="47">
        <v>3</v>
      </c>
      <c r="D217" s="48">
        <f>(80.35)*(10.764)</f>
        <v>864.88739999999984</v>
      </c>
      <c r="E217" s="39">
        <v>0</v>
      </c>
      <c r="F217" s="39">
        <f>D217*(($F$154)+1)+(IF(E217&lt;101,E217,IF(E217&lt;201,E217/2,IF(E217&lt;=301,E217/3,E217/4))))</f>
        <v>1340.5754699999998</v>
      </c>
      <c r="G217" s="120"/>
      <c r="H217" s="121"/>
      <c r="I217" s="33"/>
      <c r="L217" s="115"/>
      <c r="M217" s="115"/>
      <c r="N217" s="33"/>
    </row>
    <row r="218" spans="1:14" s="34" customFormat="1" x14ac:dyDescent="0.25">
      <c r="A218" s="98">
        <f t="shared" si="21"/>
        <v>4</v>
      </c>
      <c r="B218" s="99"/>
      <c r="C218" s="47">
        <v>1</v>
      </c>
      <c r="D218" s="48">
        <f>(37.86)*(10.764)</f>
        <v>407.52503999999999</v>
      </c>
      <c r="E218" s="39">
        <v>0</v>
      </c>
      <c r="F218" s="39">
        <f>D218*(($F$154)+1)+(IF(E218&lt;101,E218,IF(E218&lt;201,E218/2,IF(E218&lt;=301,E218/3,E218/4))))</f>
        <v>631.66381200000001</v>
      </c>
      <c r="G218" s="122"/>
      <c r="H218" s="123"/>
      <c r="I218" s="33"/>
      <c r="L218" s="115"/>
      <c r="M218" s="115"/>
      <c r="N218" s="33"/>
    </row>
    <row r="219" spans="1:14" s="34" customFormat="1" x14ac:dyDescent="0.25">
      <c r="A219" s="176" t="s">
        <v>206</v>
      </c>
      <c r="B219" s="177"/>
      <c r="C219" s="177"/>
      <c r="D219" s="177"/>
      <c r="E219" s="177"/>
      <c r="F219" s="177"/>
      <c r="G219" s="177"/>
      <c r="H219" s="178"/>
      <c r="J219" s="33"/>
    </row>
    <row r="220" spans="1:14" s="34" customFormat="1" x14ac:dyDescent="0.25">
      <c r="A220" s="113" t="s">
        <v>220</v>
      </c>
      <c r="B220" s="114"/>
      <c r="C220" s="114"/>
      <c r="D220" s="114"/>
      <c r="E220" s="114"/>
      <c r="F220" s="114"/>
      <c r="G220" s="114"/>
      <c r="H220" s="179"/>
      <c r="J220" s="33"/>
    </row>
    <row r="221" spans="1:14" s="34" customFormat="1" x14ac:dyDescent="0.25">
      <c r="A221" s="113" t="s">
        <v>234</v>
      </c>
      <c r="B221" s="114"/>
      <c r="C221" s="114"/>
      <c r="D221" s="114"/>
      <c r="E221" s="114"/>
      <c r="F221" s="114"/>
      <c r="G221" s="114"/>
      <c r="H221" s="179"/>
      <c r="J221" s="33"/>
    </row>
    <row r="222" spans="1:14" s="34" customFormat="1" ht="15.75" customHeight="1" x14ac:dyDescent="0.25">
      <c r="A222" s="113" t="s">
        <v>231</v>
      </c>
      <c r="B222" s="114"/>
      <c r="C222" s="114"/>
      <c r="D222" s="114"/>
      <c r="E222" s="114"/>
      <c r="F222" s="114"/>
      <c r="G222" s="114"/>
      <c r="H222" s="179"/>
      <c r="J222" s="33"/>
    </row>
    <row r="223" spans="1:14" s="34" customFormat="1" ht="15.75" customHeight="1" x14ac:dyDescent="0.25">
      <c r="A223" s="184">
        <v>1</v>
      </c>
      <c r="B223" s="185"/>
      <c r="C223" s="56">
        <v>1</v>
      </c>
      <c r="D223" s="57">
        <f>(39.3)*(10.764)</f>
        <v>423.02519999999993</v>
      </c>
      <c r="E223" s="58">
        <v>0</v>
      </c>
      <c r="F223" s="58">
        <f>D223*(($F$154)+1)+(IF(E223&lt;101,E223,IF(E223&lt;201,E223/2,IF(E223&lt;=301,E223/3,E223/4))))</f>
        <v>655.68905999999993</v>
      </c>
      <c r="G223" s="170" t="str">
        <f>A222</f>
        <v>3rd Floor for Residential</v>
      </c>
      <c r="H223" s="171"/>
      <c r="I223" s="33">
        <f>(3.05*4.73+1.22*1.99+2.29*3.2+3.05*3.2+1.22*1.99)</f>
        <v>36.370100000000001</v>
      </c>
      <c r="L223" s="115"/>
      <c r="M223" s="115"/>
      <c r="N223" s="33"/>
    </row>
    <row r="224" spans="1:14" s="34" customFormat="1" ht="15.75" customHeight="1" x14ac:dyDescent="0.25">
      <c r="A224" s="98">
        <f t="shared" ref="A224:A225" si="22">A223+1</f>
        <v>2</v>
      </c>
      <c r="B224" s="99"/>
      <c r="C224" s="47">
        <v>2</v>
      </c>
      <c r="D224" s="48">
        <f>(55.75)*(10.764)</f>
        <v>600.09299999999996</v>
      </c>
      <c r="E224" s="39">
        <v>0</v>
      </c>
      <c r="F224" s="39">
        <f>D224*(($F$154)+1)+(IF(E224&lt;101,E224,IF(E224&lt;201,E224/2,IF(E224&lt;=301,E224/3,E224/4))))</f>
        <v>930.14414999999997</v>
      </c>
      <c r="G224" s="172"/>
      <c r="H224" s="173"/>
      <c r="I224" s="33"/>
      <c r="L224" s="115"/>
      <c r="M224" s="115"/>
      <c r="N224" s="33"/>
    </row>
    <row r="225" spans="1:14" s="34" customFormat="1" ht="15.75" customHeight="1" x14ac:dyDescent="0.25">
      <c r="A225" s="98">
        <f t="shared" si="22"/>
        <v>3</v>
      </c>
      <c r="B225" s="99"/>
      <c r="C225" s="47">
        <v>2</v>
      </c>
      <c r="D225" s="48">
        <f>(55.75)*(10.764)</f>
        <v>600.09299999999996</v>
      </c>
      <c r="E225" s="39">
        <v>0</v>
      </c>
      <c r="F225" s="39">
        <f>D225*(($F$154)+1)+(IF(E225&lt;101,E225,IF(E225&lt;201,E225/2,IF(E225&lt;=301,E225/3,E225/4))))</f>
        <v>930.14414999999997</v>
      </c>
      <c r="G225" s="174"/>
      <c r="H225" s="175"/>
      <c r="I225" s="33"/>
      <c r="L225" s="115"/>
      <c r="M225" s="115"/>
      <c r="N225" s="33"/>
    </row>
    <row r="226" spans="1:14" s="34" customFormat="1" ht="15.75" customHeight="1" x14ac:dyDescent="0.25">
      <c r="A226" s="98">
        <v>4</v>
      </c>
      <c r="B226" s="99"/>
      <c r="C226" s="39" t="s">
        <v>232</v>
      </c>
      <c r="D226" s="48">
        <f>(39.3)*(10.764)</f>
        <v>423.02519999999993</v>
      </c>
      <c r="E226" s="39">
        <v>0</v>
      </c>
      <c r="F226" s="39">
        <f>D226*(($F$154)+1)+(IF(E226&lt;101,E226,IF(E226&lt;201,E226/2,IF(E226&lt;=301,E226/3,E226/4))))</f>
        <v>655.68905999999993</v>
      </c>
      <c r="G226" s="174"/>
      <c r="H226" s="175"/>
      <c r="I226" s="33"/>
      <c r="L226" s="115"/>
      <c r="M226" s="115"/>
      <c r="N226" s="33"/>
    </row>
    <row r="227" spans="1:14" s="34" customFormat="1" hidden="1" x14ac:dyDescent="0.25">
      <c r="A227" s="176" t="s">
        <v>233</v>
      </c>
      <c r="B227" s="177"/>
      <c r="C227" s="177"/>
      <c r="D227" s="177"/>
      <c r="E227" s="177"/>
      <c r="F227" s="177"/>
      <c r="G227" s="177"/>
      <c r="H227" s="178"/>
      <c r="J227" s="33"/>
    </row>
    <row r="228" spans="1:14" s="34" customFormat="1" hidden="1" x14ac:dyDescent="0.25">
      <c r="A228" s="113" t="s">
        <v>220</v>
      </c>
      <c r="B228" s="114"/>
      <c r="C228" s="114"/>
      <c r="D228" s="114"/>
      <c r="E228" s="114"/>
      <c r="F228" s="114"/>
      <c r="G228" s="114"/>
      <c r="H228" s="179"/>
      <c r="J228" s="33"/>
    </row>
    <row r="229" spans="1:14" s="34" customFormat="1" ht="15.75" hidden="1" customHeight="1" x14ac:dyDescent="0.25">
      <c r="A229" s="113" t="s">
        <v>234</v>
      </c>
      <c r="B229" s="114"/>
      <c r="C229" s="114"/>
      <c r="D229" s="114"/>
      <c r="E229" s="114"/>
      <c r="F229" s="114"/>
      <c r="G229" s="114"/>
      <c r="H229" s="179"/>
      <c r="J229" s="33"/>
    </row>
    <row r="230" spans="1:14" s="34" customFormat="1" ht="15.75" hidden="1" customHeight="1" x14ac:dyDescent="0.25">
      <c r="A230" s="113" t="s">
        <v>231</v>
      </c>
      <c r="B230" s="114"/>
      <c r="C230" s="114"/>
      <c r="D230" s="114"/>
      <c r="E230" s="114"/>
      <c r="F230" s="114"/>
      <c r="G230" s="114"/>
      <c r="H230" s="179"/>
      <c r="J230" s="33"/>
    </row>
    <row r="231" spans="1:14" s="34" customFormat="1" ht="15.75" hidden="1" customHeight="1" x14ac:dyDescent="0.25">
      <c r="A231" s="184">
        <v>1</v>
      </c>
      <c r="B231" s="185"/>
      <c r="C231" s="56" t="s">
        <v>235</v>
      </c>
      <c r="D231" s="57">
        <f>(51.39)*(10.764)</f>
        <v>553.16196000000002</v>
      </c>
      <c r="E231" s="58">
        <v>0</v>
      </c>
      <c r="F231" s="58">
        <f>D231*(($F$154)+1)+(IF(E231&lt;101,E231,IF(E231&lt;201,E231/2,IF(E231&lt;=301,E231/3,E231/4))))</f>
        <v>857.40103800000009</v>
      </c>
      <c r="G231" s="170" t="str">
        <f>A230</f>
        <v>3rd Floor for Residential</v>
      </c>
      <c r="H231" s="171"/>
      <c r="I231" s="33"/>
      <c r="L231" s="115"/>
      <c r="M231" s="115"/>
      <c r="N231" s="33"/>
    </row>
    <row r="232" spans="1:14" s="34" customFormat="1" ht="15.75" hidden="1" customHeight="1" x14ac:dyDescent="0.25">
      <c r="A232" s="98">
        <f t="shared" ref="A232:A235" si="23">A231+1</f>
        <v>2</v>
      </c>
      <c r="B232" s="99"/>
      <c r="C232" s="47">
        <v>2.5</v>
      </c>
      <c r="D232" s="48">
        <f>(68.96)*(10.764)</f>
        <v>742.28543999999988</v>
      </c>
      <c r="E232" s="39">
        <v>0</v>
      </c>
      <c r="F232" s="39">
        <f>D232*(($F$154)+1)+(IF(E232&lt;101,E232,IF(E232&lt;201,E232/2,IF(E232&lt;=301,E232/3,E232/4))))</f>
        <v>1150.5424319999997</v>
      </c>
      <c r="G232" s="172"/>
      <c r="H232" s="173"/>
      <c r="I232" s="33"/>
      <c r="L232" s="115"/>
      <c r="M232" s="115"/>
      <c r="N232" s="33"/>
    </row>
    <row r="233" spans="1:14" s="34" customFormat="1" ht="15.75" hidden="1" customHeight="1" x14ac:dyDescent="0.25">
      <c r="A233" s="98">
        <f t="shared" si="23"/>
        <v>3</v>
      </c>
      <c r="B233" s="99"/>
      <c r="C233" s="208" t="s">
        <v>236</v>
      </c>
      <c r="D233" s="209"/>
      <c r="E233" s="209"/>
      <c r="F233" s="210"/>
      <c r="G233" s="172"/>
      <c r="H233" s="173"/>
      <c r="I233" s="33"/>
      <c r="L233" s="115"/>
      <c r="M233" s="115"/>
      <c r="N233" s="33"/>
    </row>
    <row r="234" spans="1:14" s="34" customFormat="1" ht="15.75" hidden="1" customHeight="1" x14ac:dyDescent="0.25">
      <c r="A234" s="98">
        <v>4</v>
      </c>
      <c r="B234" s="99"/>
      <c r="C234" s="39" t="s">
        <v>232</v>
      </c>
      <c r="D234" s="48">
        <f>(36.25)*(10.764)</f>
        <v>390.19499999999999</v>
      </c>
      <c r="E234" s="39">
        <v>0</v>
      </c>
      <c r="F234" s="39">
        <f>D234*(($F$154)+1)+(IF(E234&lt;101,E234,IF(E234&lt;201,E234/2,IF(E234&lt;=301,E234/3,E234/4))))</f>
        <v>604.80224999999996</v>
      </c>
      <c r="G234" s="172"/>
      <c r="H234" s="173"/>
      <c r="I234" s="33"/>
      <c r="L234" s="115"/>
      <c r="M234" s="115"/>
      <c r="N234" s="33"/>
    </row>
    <row r="235" spans="1:14" s="34" customFormat="1" ht="15.75" hidden="1" customHeight="1" x14ac:dyDescent="0.25">
      <c r="A235" s="98">
        <f t="shared" si="23"/>
        <v>5</v>
      </c>
      <c r="B235" s="99"/>
      <c r="C235" s="47">
        <v>2</v>
      </c>
      <c r="D235" s="48">
        <f>(49.85)*(10.764)</f>
        <v>536.58539999999994</v>
      </c>
      <c r="E235" s="39">
        <v>0</v>
      </c>
      <c r="F235" s="39">
        <f>D235*(($F$154)+1)+(IF(E235&lt;101,E235,IF(E235&lt;201,E235/2,IF(E235&lt;=301,E235/3,E235/4))))</f>
        <v>831.70736999999997</v>
      </c>
      <c r="G235" s="172"/>
      <c r="H235" s="173"/>
      <c r="I235" s="33"/>
      <c r="L235" s="115"/>
      <c r="M235" s="115"/>
      <c r="N235" s="33"/>
    </row>
    <row r="236" spans="1:14" s="34" customFormat="1" ht="15.75" hidden="1" customHeight="1" x14ac:dyDescent="0.25">
      <c r="A236" s="98">
        <v>6</v>
      </c>
      <c r="B236" s="99"/>
      <c r="C236" s="39" t="s">
        <v>232</v>
      </c>
      <c r="D236" s="48">
        <f>(40)*(10.764)</f>
        <v>430.55999999999995</v>
      </c>
      <c r="E236" s="39">
        <v>0</v>
      </c>
      <c r="F236" s="39">
        <f>D236*(($F$154)+1)+(IF(E236&lt;101,E236,IF(E236&lt;201,E236/2,IF(E236&lt;=301,E236/3,E236/4))))</f>
        <v>667.36799999999994</v>
      </c>
      <c r="G236" s="174"/>
      <c r="H236" s="175"/>
      <c r="I236" s="33"/>
      <c r="L236" s="115"/>
      <c r="M236" s="115"/>
      <c r="N236" s="33"/>
    </row>
    <row r="237" spans="1:14" s="32" customFormat="1" x14ac:dyDescent="0.25">
      <c r="A237" s="102" t="s">
        <v>71</v>
      </c>
      <c r="B237" s="103"/>
      <c r="C237" s="103"/>
      <c r="D237" s="103"/>
      <c r="E237" s="103"/>
      <c r="F237" s="103"/>
      <c r="G237" s="103"/>
      <c r="H237" s="104"/>
    </row>
    <row r="238" spans="1:14" s="32" customFormat="1" ht="35.25" customHeight="1" x14ac:dyDescent="0.25">
      <c r="A238" s="42" t="s">
        <v>160</v>
      </c>
      <c r="B238" s="110" t="s">
        <v>264</v>
      </c>
      <c r="C238" s="111"/>
      <c r="D238" s="111"/>
      <c r="E238" s="111"/>
      <c r="F238" s="111"/>
      <c r="G238" s="111"/>
      <c r="H238" s="112"/>
    </row>
    <row r="239" spans="1:14" s="32" customFormat="1" x14ac:dyDescent="0.25">
      <c r="A239" s="42" t="s">
        <v>160</v>
      </c>
      <c r="B239" s="110" t="str">
        <f>(IF(F153="Saleable area Loading :","We have considered Saleable area of Flats as per our Calculation.","We considered Saleable area of Flat as per Builder area Sheet."))</f>
        <v>We have considered Saleable area of Flats as per our Calculation.</v>
      </c>
      <c r="C239" s="111"/>
      <c r="D239" s="111"/>
      <c r="E239" s="111"/>
      <c r="F239" s="111"/>
      <c r="G239" s="111"/>
      <c r="H239" s="112"/>
    </row>
    <row r="240" spans="1:14" s="32" customFormat="1" x14ac:dyDescent="0.25">
      <c r="A240" s="42" t="s">
        <v>160</v>
      </c>
      <c r="B240" s="110" t="str">
        <f>(IF(F122="Saleable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40" s="111"/>
      <c r="D240" s="111"/>
      <c r="E240" s="111"/>
      <c r="F240" s="111"/>
      <c r="G240" s="111"/>
      <c r="H240" s="112"/>
    </row>
    <row r="241" spans="1:8" s="32" customFormat="1" x14ac:dyDescent="0.25">
      <c r="A241" s="42" t="s">
        <v>160</v>
      </c>
      <c r="B241" s="87" t="s">
        <v>130</v>
      </c>
      <c r="C241" s="88"/>
      <c r="D241" s="88"/>
      <c r="E241" s="88"/>
      <c r="F241" s="88"/>
      <c r="G241" s="88"/>
      <c r="H241" s="89"/>
    </row>
    <row r="242" spans="1:8" s="32" customFormat="1" x14ac:dyDescent="0.25">
      <c r="A242" s="42" t="s">
        <v>160</v>
      </c>
      <c r="B242" s="87" t="s">
        <v>217</v>
      </c>
      <c r="C242" s="88"/>
      <c r="D242" s="88"/>
      <c r="E242" s="88"/>
      <c r="F242" s="88"/>
      <c r="G242" s="88"/>
      <c r="H242" s="89"/>
    </row>
    <row r="243" spans="1:8" s="32" customFormat="1" x14ac:dyDescent="0.25">
      <c r="A243" s="42" t="s">
        <v>160</v>
      </c>
      <c r="B243" s="87" t="s">
        <v>159</v>
      </c>
      <c r="C243" s="88"/>
      <c r="D243" s="88"/>
      <c r="E243" s="88"/>
      <c r="F243" s="88"/>
      <c r="G243" s="88"/>
      <c r="H243" s="89"/>
    </row>
    <row r="244" spans="1:8" s="32" customFormat="1" x14ac:dyDescent="0.25">
      <c r="A244" s="42" t="s">
        <v>160</v>
      </c>
      <c r="B244" s="87" t="s">
        <v>131</v>
      </c>
      <c r="C244" s="88"/>
      <c r="D244" s="88"/>
      <c r="E244" s="88"/>
      <c r="F244" s="88"/>
      <c r="G244" s="88"/>
      <c r="H244" s="89"/>
    </row>
    <row r="245" spans="1:8" s="32" customFormat="1" ht="34.5" customHeight="1" x14ac:dyDescent="0.25">
      <c r="A245" s="42" t="s">
        <v>160</v>
      </c>
      <c r="B245" s="87" t="s">
        <v>161</v>
      </c>
      <c r="C245" s="88"/>
      <c r="D245" s="88"/>
      <c r="E245" s="88"/>
      <c r="F245" s="88"/>
      <c r="G245" s="88"/>
      <c r="H245" s="89"/>
    </row>
    <row r="246" spans="1:8" s="32" customFormat="1" x14ac:dyDescent="0.25">
      <c r="A246" s="42" t="s">
        <v>160</v>
      </c>
      <c r="B246" s="87" t="s">
        <v>132</v>
      </c>
      <c r="C246" s="88"/>
      <c r="D246" s="88"/>
      <c r="E246" s="88"/>
      <c r="F246" s="88"/>
      <c r="G246" s="88"/>
      <c r="H246" s="89"/>
    </row>
    <row r="247" spans="1:8" s="32" customFormat="1" ht="33.75" customHeight="1" x14ac:dyDescent="0.25">
      <c r="A247" s="42" t="s">
        <v>160</v>
      </c>
      <c r="B247" s="87" t="s">
        <v>223</v>
      </c>
      <c r="C247" s="88"/>
      <c r="D247" s="88"/>
      <c r="E247" s="88"/>
      <c r="F247" s="88"/>
      <c r="G247" s="88"/>
      <c r="H247" s="89"/>
    </row>
    <row r="248" spans="1:8" s="32" customFormat="1" ht="51" customHeight="1" x14ac:dyDescent="0.25">
      <c r="A248" s="42" t="s">
        <v>160</v>
      </c>
      <c r="B248" s="87" t="s">
        <v>224</v>
      </c>
      <c r="C248" s="88"/>
      <c r="D248" s="88"/>
      <c r="E248" s="88"/>
      <c r="F248" s="88"/>
      <c r="G248" s="88"/>
      <c r="H248" s="89"/>
    </row>
    <row r="249" spans="1:8" s="32" customFormat="1" x14ac:dyDescent="0.25">
      <c r="A249" s="42" t="s">
        <v>160</v>
      </c>
      <c r="B249" s="87" t="s">
        <v>250</v>
      </c>
      <c r="C249" s="88"/>
      <c r="D249" s="88"/>
      <c r="E249" s="88"/>
      <c r="F249" s="88"/>
      <c r="G249" s="88"/>
      <c r="H249" s="89"/>
    </row>
    <row r="250" spans="1:8" s="32" customFormat="1" x14ac:dyDescent="0.25">
      <c r="A250" s="42" t="s">
        <v>160</v>
      </c>
      <c r="B250" s="87" t="s">
        <v>248</v>
      </c>
      <c r="C250" s="88"/>
      <c r="D250" s="88"/>
      <c r="E250" s="88"/>
      <c r="F250" s="88"/>
      <c r="G250" s="88"/>
      <c r="H250" s="89"/>
    </row>
    <row r="251" spans="1:8" s="32" customFormat="1" ht="15.75" customHeight="1" x14ac:dyDescent="0.25">
      <c r="A251" s="42" t="s">
        <v>160</v>
      </c>
      <c r="B251" s="87" t="s">
        <v>251</v>
      </c>
      <c r="C251" s="88"/>
      <c r="D251" s="88"/>
      <c r="E251" s="88"/>
      <c r="F251" s="88"/>
      <c r="G251" s="88"/>
      <c r="H251" s="89"/>
    </row>
    <row r="252" spans="1:8" s="32" customFormat="1" ht="33.75" customHeight="1" x14ac:dyDescent="0.25">
      <c r="A252" s="42" t="s">
        <v>160</v>
      </c>
      <c r="B252" s="87" t="s">
        <v>255</v>
      </c>
      <c r="C252" s="88"/>
      <c r="D252" s="88"/>
      <c r="E252" s="88"/>
      <c r="F252" s="88"/>
      <c r="G252" s="88"/>
      <c r="H252" s="89"/>
    </row>
    <row r="253" spans="1:8" x14ac:dyDescent="0.25">
      <c r="A253" s="169" t="s">
        <v>64</v>
      </c>
      <c r="B253" s="169"/>
      <c r="C253" s="169"/>
      <c r="D253" s="169"/>
      <c r="E253" s="169"/>
      <c r="F253" s="169"/>
      <c r="G253" s="169"/>
      <c r="H253" s="169"/>
    </row>
    <row r="254" spans="1:8" x14ac:dyDescent="0.25">
      <c r="A254" s="80" t="s">
        <v>65</v>
      </c>
      <c r="B254" s="80"/>
      <c r="C254" s="80"/>
      <c r="D254" s="80"/>
      <c r="E254" s="80"/>
      <c r="F254" s="80"/>
      <c r="G254" s="80"/>
      <c r="H254" s="80"/>
    </row>
    <row r="255" spans="1:8" ht="15.75" customHeight="1" x14ac:dyDescent="0.25">
      <c r="A255" s="207" t="s">
        <v>66</v>
      </c>
      <c r="B255" s="207"/>
      <c r="C255" s="207"/>
      <c r="D255" s="207"/>
      <c r="E255" s="207"/>
      <c r="F255" s="207"/>
      <c r="G255" s="207"/>
      <c r="H255" s="207"/>
    </row>
    <row r="256" spans="1:8" x14ac:dyDescent="0.25">
      <c r="A256" s="80" t="s">
        <v>67</v>
      </c>
      <c r="B256" s="80"/>
      <c r="C256" s="80"/>
      <c r="D256" s="80"/>
      <c r="E256" s="80"/>
      <c r="F256" s="80"/>
      <c r="G256" s="80"/>
      <c r="H256" s="80"/>
    </row>
    <row r="257" spans="1:8" x14ac:dyDescent="0.25">
      <c r="A257" s="80" t="s">
        <v>68</v>
      </c>
      <c r="B257" s="80"/>
      <c r="C257" s="80"/>
      <c r="D257" s="80"/>
      <c r="E257" s="80"/>
      <c r="F257" s="80"/>
      <c r="G257" s="80"/>
      <c r="H257" s="80"/>
    </row>
    <row r="258" spans="1:8" hidden="1" x14ac:dyDescent="0.25">
      <c r="A258" s="80" t="s">
        <v>133</v>
      </c>
      <c r="B258" s="80"/>
      <c r="C258" s="80"/>
      <c r="D258" s="80"/>
      <c r="E258" s="80"/>
      <c r="F258" s="80"/>
      <c r="G258" s="80"/>
      <c r="H258" s="80"/>
    </row>
    <row r="259" spans="1:8" ht="36.6" hidden="1" customHeight="1" x14ac:dyDescent="0.25">
      <c r="A259" s="134" t="s">
        <v>134</v>
      </c>
      <c r="B259" s="134"/>
      <c r="C259" s="134"/>
      <c r="D259" s="134"/>
      <c r="E259" s="134"/>
      <c r="F259" s="134"/>
      <c r="G259" s="134"/>
      <c r="H259" s="134"/>
    </row>
    <row r="260" spans="1:8" x14ac:dyDescent="0.25">
      <c r="A260" s="193" t="s">
        <v>81</v>
      </c>
      <c r="B260" s="193"/>
      <c r="C260" s="193" t="s">
        <v>259</v>
      </c>
      <c r="D260" s="193"/>
      <c r="E260" s="193" t="s">
        <v>111</v>
      </c>
      <c r="F260" s="193"/>
      <c r="G260" s="193" t="s">
        <v>263</v>
      </c>
      <c r="H260" s="193"/>
    </row>
    <row r="261" spans="1:8" x14ac:dyDescent="0.25">
      <c r="A261" s="192" t="s">
        <v>83</v>
      </c>
      <c r="B261" s="192"/>
      <c r="C261" s="192"/>
      <c r="D261" s="192"/>
      <c r="E261" s="192"/>
      <c r="F261" s="192"/>
      <c r="G261" s="192"/>
      <c r="H261" s="192"/>
    </row>
    <row r="262" spans="1:8" x14ac:dyDescent="0.25">
      <c r="A262" s="192"/>
      <c r="B262" s="192"/>
      <c r="C262" s="192"/>
      <c r="D262" s="192"/>
      <c r="E262" s="192"/>
      <c r="F262" s="192"/>
      <c r="G262" s="192"/>
      <c r="H262" s="192"/>
    </row>
    <row r="263" spans="1:8" x14ac:dyDescent="0.25">
      <c r="A263" s="192"/>
      <c r="B263" s="192"/>
      <c r="C263" s="192"/>
      <c r="D263" s="192"/>
      <c r="E263" s="192"/>
      <c r="F263" s="192"/>
      <c r="G263" s="192"/>
      <c r="H263" s="192"/>
    </row>
    <row r="264" spans="1:8" x14ac:dyDescent="0.25">
      <c r="A264" s="192"/>
      <c r="B264" s="192"/>
      <c r="C264" s="192"/>
      <c r="D264" s="192"/>
      <c r="E264" s="192"/>
      <c r="F264" s="192"/>
      <c r="G264" s="192"/>
      <c r="H264" s="192"/>
    </row>
    <row r="265" spans="1:8" x14ac:dyDescent="0.25">
      <c r="A265" s="35" t="s">
        <v>69</v>
      </c>
      <c r="B265" s="36"/>
      <c r="C265" s="36"/>
      <c r="D265" s="35" t="str">
        <f>E8</f>
        <v>Sheetal Usha</v>
      </c>
      <c r="F265" s="36"/>
      <c r="G265" s="36"/>
      <c r="H265" s="36"/>
    </row>
    <row r="266" spans="1:8" x14ac:dyDescent="0.25">
      <c r="A266" s="36"/>
      <c r="B266" s="36"/>
      <c r="C266" s="36"/>
      <c r="D266" s="36"/>
      <c r="E266" s="36"/>
      <c r="F266" s="36"/>
      <c r="G266" s="36"/>
      <c r="H266" s="36"/>
    </row>
    <row r="267" spans="1:8" x14ac:dyDescent="0.25">
      <c r="A267" s="36"/>
      <c r="B267" s="36"/>
      <c r="C267" s="36"/>
      <c r="D267" s="36"/>
      <c r="E267" s="36"/>
      <c r="F267" s="36"/>
      <c r="G267" s="36"/>
      <c r="H267" s="36"/>
    </row>
    <row r="268" spans="1:8" ht="15" customHeight="1" x14ac:dyDescent="0.25"/>
    <row r="281" spans="9:9" x14ac:dyDescent="0.25">
      <c r="I281"/>
    </row>
    <row r="307" spans="1:1" x14ac:dyDescent="0.25">
      <c r="A307" s="38" t="s">
        <v>218</v>
      </c>
    </row>
    <row r="341" spans="1:1" hidden="1" x14ac:dyDescent="0.25"/>
    <row r="342" spans="1:1" hidden="1" x14ac:dyDescent="0.25"/>
    <row r="343" spans="1:1" hidden="1" x14ac:dyDescent="0.25"/>
    <row r="344" spans="1:1" hidden="1" x14ac:dyDescent="0.25"/>
    <row r="345" spans="1:1" hidden="1" x14ac:dyDescent="0.25"/>
    <row r="346" spans="1:1" hidden="1" x14ac:dyDescent="0.25"/>
    <row r="347" spans="1:1" hidden="1" x14ac:dyDescent="0.25"/>
    <row r="348" spans="1:1" hidden="1" x14ac:dyDescent="0.25"/>
    <row r="349" spans="1:1" hidden="1" x14ac:dyDescent="0.25"/>
    <row r="350" spans="1:1" hidden="1" x14ac:dyDescent="0.25"/>
    <row r="351" spans="1:1" x14ac:dyDescent="0.25">
      <c r="A351" s="38" t="s">
        <v>70</v>
      </c>
    </row>
  </sheetData>
  <mergeCells count="504">
    <mergeCell ref="I11:L11"/>
    <mergeCell ref="A119:B119"/>
    <mergeCell ref="C119:D119"/>
    <mergeCell ref="E119:F119"/>
    <mergeCell ref="G119:H119"/>
    <mergeCell ref="I60:M60"/>
    <mergeCell ref="A204:H204"/>
    <mergeCell ref="A205:B205"/>
    <mergeCell ref="G205:H208"/>
    <mergeCell ref="A236:B236"/>
    <mergeCell ref="A161:B161"/>
    <mergeCell ref="A188:B188"/>
    <mergeCell ref="A165:B165"/>
    <mergeCell ref="A184:H184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51:B151"/>
    <mergeCell ref="A141:B141"/>
    <mergeCell ref="A142:B142"/>
    <mergeCell ref="A143:B143"/>
    <mergeCell ref="A144:B144"/>
    <mergeCell ref="A145:B145"/>
    <mergeCell ref="A146:B146"/>
    <mergeCell ref="A148:B148"/>
    <mergeCell ref="A214:H214"/>
    <mergeCell ref="A215:B215"/>
    <mergeCell ref="G215:H218"/>
    <mergeCell ref="L205:M205"/>
    <mergeCell ref="A206:B206"/>
    <mergeCell ref="L206:M206"/>
    <mergeCell ref="A207:B207"/>
    <mergeCell ref="L207:M207"/>
    <mergeCell ref="A208:B208"/>
    <mergeCell ref="L208:M208"/>
    <mergeCell ref="C205:F205"/>
    <mergeCell ref="A209:H209"/>
    <mergeCell ref="A210:B210"/>
    <mergeCell ref="G210:H213"/>
    <mergeCell ref="L210:M210"/>
    <mergeCell ref="A211:B211"/>
    <mergeCell ref="L211:M211"/>
    <mergeCell ref="A212:B212"/>
    <mergeCell ref="L212:M212"/>
    <mergeCell ref="A213:B213"/>
    <mergeCell ref="L213:M213"/>
    <mergeCell ref="L215:M215"/>
    <mergeCell ref="A216:B216"/>
    <mergeCell ref="L216:M216"/>
    <mergeCell ref="A217:B217"/>
    <mergeCell ref="L217:M217"/>
    <mergeCell ref="A218:B218"/>
    <mergeCell ref="L236:M236"/>
    <mergeCell ref="G231:H236"/>
    <mergeCell ref="C233:F233"/>
    <mergeCell ref="A220:H220"/>
    <mergeCell ref="A228:H228"/>
    <mergeCell ref="A235:B235"/>
    <mergeCell ref="L235:M235"/>
    <mergeCell ref="A231:B231"/>
    <mergeCell ref="L231:M231"/>
    <mergeCell ref="A232:B232"/>
    <mergeCell ref="L232:M232"/>
    <mergeCell ref="A233:B233"/>
    <mergeCell ref="L233:M233"/>
    <mergeCell ref="A234:B234"/>
    <mergeCell ref="L234:M234"/>
    <mergeCell ref="L218:M218"/>
    <mergeCell ref="A195:B195"/>
    <mergeCell ref="G195:H198"/>
    <mergeCell ref="L195:M195"/>
    <mergeCell ref="A196:B196"/>
    <mergeCell ref="L196:M196"/>
    <mergeCell ref="A197:B197"/>
    <mergeCell ref="L197:M197"/>
    <mergeCell ref="A198:B198"/>
    <mergeCell ref="L198:M198"/>
    <mergeCell ref="A200:B200"/>
    <mergeCell ref="A227:H227"/>
    <mergeCell ref="A229:H229"/>
    <mergeCell ref="A230:H230"/>
    <mergeCell ref="L161:M161"/>
    <mergeCell ref="A162:B162"/>
    <mergeCell ref="C162:F162"/>
    <mergeCell ref="L162:M162"/>
    <mergeCell ref="A163:B163"/>
    <mergeCell ref="L163:M163"/>
    <mergeCell ref="L170:M170"/>
    <mergeCell ref="L171:M171"/>
    <mergeCell ref="A178:B178"/>
    <mergeCell ref="A179:H179"/>
    <mergeCell ref="L177:M177"/>
    <mergeCell ref="L178:M178"/>
    <mergeCell ref="L181:M181"/>
    <mergeCell ref="L182:M182"/>
    <mergeCell ref="L200:M200"/>
    <mergeCell ref="A189:H189"/>
    <mergeCell ref="A190:B190"/>
    <mergeCell ref="L190:M190"/>
    <mergeCell ref="A193:B193"/>
    <mergeCell ref="A194:H194"/>
    <mergeCell ref="L183:M183"/>
    <mergeCell ref="A226:B226"/>
    <mergeCell ref="L226:M226"/>
    <mergeCell ref="A219:H219"/>
    <mergeCell ref="A221:H221"/>
    <mergeCell ref="A225:B225"/>
    <mergeCell ref="L225:M225"/>
    <mergeCell ref="A222:H222"/>
    <mergeCell ref="A223:B223"/>
    <mergeCell ref="L223:M223"/>
    <mergeCell ref="A224:B224"/>
    <mergeCell ref="L224:M224"/>
    <mergeCell ref="L186:M186"/>
    <mergeCell ref="A187:B187"/>
    <mergeCell ref="L187:M187"/>
    <mergeCell ref="L188:M188"/>
    <mergeCell ref="A186:B186"/>
    <mergeCell ref="G180:H183"/>
    <mergeCell ref="A185:B185"/>
    <mergeCell ref="A180:B180"/>
    <mergeCell ref="A181:B181"/>
    <mergeCell ref="L185:M185"/>
    <mergeCell ref="L180:M180"/>
    <mergeCell ref="A199:H199"/>
    <mergeCell ref="A17:B17"/>
    <mergeCell ref="C17:H17"/>
    <mergeCell ref="E42:H42"/>
    <mergeCell ref="A42:D42"/>
    <mergeCell ref="A258:H258"/>
    <mergeCell ref="A255:H255"/>
    <mergeCell ref="A115:B115"/>
    <mergeCell ref="D153:D154"/>
    <mergeCell ref="E153:E154"/>
    <mergeCell ref="G153:H154"/>
    <mergeCell ref="A89:B89"/>
    <mergeCell ref="A90:B90"/>
    <mergeCell ref="A91:B91"/>
    <mergeCell ref="A81:B81"/>
    <mergeCell ref="C81:H81"/>
    <mergeCell ref="A76:B76"/>
    <mergeCell ref="F96:H96"/>
    <mergeCell ref="G111:H111"/>
    <mergeCell ref="A49:B49"/>
    <mergeCell ref="C49:E49"/>
    <mergeCell ref="A164:H164"/>
    <mergeCell ref="G51:H51"/>
    <mergeCell ref="D55:H55"/>
    <mergeCell ref="C51:E51"/>
    <mergeCell ref="A58:C59"/>
    <mergeCell ref="D58:H58"/>
    <mergeCell ref="D59:H59"/>
    <mergeCell ref="C50:E50"/>
    <mergeCell ref="A53:B53"/>
    <mergeCell ref="C53:E53"/>
    <mergeCell ref="A50:B50"/>
    <mergeCell ref="A54:H54"/>
    <mergeCell ref="A55:C55"/>
    <mergeCell ref="A56:C56"/>
    <mergeCell ref="D56:H56"/>
    <mergeCell ref="G53:H53"/>
    <mergeCell ref="A261:H264"/>
    <mergeCell ref="A260:B260"/>
    <mergeCell ref="E260:F260"/>
    <mergeCell ref="C260:D260"/>
    <mergeCell ref="G260:H260"/>
    <mergeCell ref="A259:H259"/>
    <mergeCell ref="A257:H257"/>
    <mergeCell ref="B241:H241"/>
    <mergeCell ref="B248:H248"/>
    <mergeCell ref="B249:H249"/>
    <mergeCell ref="B250:H250"/>
    <mergeCell ref="B252:H252"/>
    <mergeCell ref="B245:H245"/>
    <mergeCell ref="B247:H247"/>
    <mergeCell ref="B251:H251"/>
    <mergeCell ref="A111:A112"/>
    <mergeCell ref="C112:D112"/>
    <mergeCell ref="E112:F112"/>
    <mergeCell ref="G112:H112"/>
    <mergeCell ref="A173:B173"/>
    <mergeCell ref="A174:H174"/>
    <mergeCell ref="A175:B175"/>
    <mergeCell ref="A176:B176"/>
    <mergeCell ref="C180:F180"/>
    <mergeCell ref="A158:H158"/>
    <mergeCell ref="A160:B160"/>
    <mergeCell ref="G160:H163"/>
    <mergeCell ref="C111:D111"/>
    <mergeCell ref="E111:F111"/>
    <mergeCell ref="C118:D118"/>
    <mergeCell ref="C113:D113"/>
    <mergeCell ref="B122:B123"/>
    <mergeCell ref="A122:A123"/>
    <mergeCell ref="C122:C123"/>
    <mergeCell ref="A121:H121"/>
    <mergeCell ref="E122:E123"/>
    <mergeCell ref="G122:H123"/>
    <mergeCell ref="A135:B135"/>
    <mergeCell ref="A136:B136"/>
    <mergeCell ref="A116:B116"/>
    <mergeCell ref="A256:H256"/>
    <mergeCell ref="A114:H114"/>
    <mergeCell ref="B242:H242"/>
    <mergeCell ref="A253:H253"/>
    <mergeCell ref="A254:H254"/>
    <mergeCell ref="E115:F115"/>
    <mergeCell ref="B246:H246"/>
    <mergeCell ref="A120:H120"/>
    <mergeCell ref="B238:H238"/>
    <mergeCell ref="B239:H239"/>
    <mergeCell ref="A182:B182"/>
    <mergeCell ref="A183:B183"/>
    <mergeCell ref="G165:H168"/>
    <mergeCell ref="G170:H173"/>
    <mergeCell ref="G175:H178"/>
    <mergeCell ref="G185:H188"/>
    <mergeCell ref="G190:H193"/>
    <mergeCell ref="G223:H226"/>
    <mergeCell ref="A192:B192"/>
    <mergeCell ref="A171:B171"/>
    <mergeCell ref="A157:H157"/>
    <mergeCell ref="A155:H155"/>
    <mergeCell ref="A156:H156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12:D12"/>
    <mergeCell ref="E12:H12"/>
    <mergeCell ref="A5:D5"/>
    <mergeCell ref="E5:H5"/>
    <mergeCell ref="A6:D6"/>
    <mergeCell ref="E6:H6"/>
    <mergeCell ref="A7:D7"/>
    <mergeCell ref="E7:H7"/>
    <mergeCell ref="A16:B16"/>
    <mergeCell ref="A13:D13"/>
    <mergeCell ref="E13:H13"/>
    <mergeCell ref="A14:D14"/>
    <mergeCell ref="A11:D11"/>
    <mergeCell ref="E11:H11"/>
    <mergeCell ref="A9:D9"/>
    <mergeCell ref="E9:H9"/>
    <mergeCell ref="A22:D23"/>
    <mergeCell ref="E22:H23"/>
    <mergeCell ref="E14:H14"/>
    <mergeCell ref="A15:B15"/>
    <mergeCell ref="C15:H15"/>
    <mergeCell ref="C16:H16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A37:H37"/>
    <mergeCell ref="A36:B36"/>
    <mergeCell ref="C36:E36"/>
    <mergeCell ref="A41:D41"/>
    <mergeCell ref="E41:H41"/>
    <mergeCell ref="F33:H33"/>
    <mergeCell ref="F34:H34"/>
    <mergeCell ref="A40:H40"/>
    <mergeCell ref="A60:C60"/>
    <mergeCell ref="F36:H36"/>
    <mergeCell ref="A38:B38"/>
    <mergeCell ref="E38:F38"/>
    <mergeCell ref="C38:D38"/>
    <mergeCell ref="G38:H38"/>
    <mergeCell ref="A45:D45"/>
    <mergeCell ref="A46:D46"/>
    <mergeCell ref="A47:H47"/>
    <mergeCell ref="D57:H57"/>
    <mergeCell ref="A57:C57"/>
    <mergeCell ref="G50:H50"/>
    <mergeCell ref="A51:B52"/>
    <mergeCell ref="C52:E52"/>
    <mergeCell ref="G52:H52"/>
    <mergeCell ref="G49:H49"/>
    <mergeCell ref="A43:D43"/>
    <mergeCell ref="E43:H43"/>
    <mergeCell ref="E44:H44"/>
    <mergeCell ref="E45:H45"/>
    <mergeCell ref="E46:H46"/>
    <mergeCell ref="A44:D44"/>
    <mergeCell ref="A77:B77"/>
    <mergeCell ref="A70:B70"/>
    <mergeCell ref="A73:B73"/>
    <mergeCell ref="A69:B69"/>
    <mergeCell ref="A67:B67"/>
    <mergeCell ref="C67:H67"/>
    <mergeCell ref="A75:B75"/>
    <mergeCell ref="A62:C62"/>
    <mergeCell ref="D62:H62"/>
    <mergeCell ref="C69:H69"/>
    <mergeCell ref="A72:B72"/>
    <mergeCell ref="A74:B74"/>
    <mergeCell ref="E70:F70"/>
    <mergeCell ref="A63:C63"/>
    <mergeCell ref="D63:H63"/>
    <mergeCell ref="A66:C66"/>
    <mergeCell ref="D66:H66"/>
    <mergeCell ref="A64:C64"/>
    <mergeCell ref="D60:H60"/>
    <mergeCell ref="E71:F80"/>
    <mergeCell ref="G71:H80"/>
    <mergeCell ref="A79:B79"/>
    <mergeCell ref="A80:B80"/>
    <mergeCell ref="D61:H61"/>
    <mergeCell ref="D64:H64"/>
    <mergeCell ref="A65:C65"/>
    <mergeCell ref="D65:H65"/>
    <mergeCell ref="A71:B71"/>
    <mergeCell ref="G70:H70"/>
    <mergeCell ref="A109:H109"/>
    <mergeCell ref="A107:E107"/>
    <mergeCell ref="F107:H107"/>
    <mergeCell ref="A108:E108"/>
    <mergeCell ref="F108:H108"/>
    <mergeCell ref="F105:H105"/>
    <mergeCell ref="E110:F110"/>
    <mergeCell ref="A110:B110"/>
    <mergeCell ref="A61:C61"/>
    <mergeCell ref="A85:B85"/>
    <mergeCell ref="E85:F94"/>
    <mergeCell ref="A92:B92"/>
    <mergeCell ref="A93:B93"/>
    <mergeCell ref="A94:B94"/>
    <mergeCell ref="F95:H95"/>
    <mergeCell ref="F100:H100"/>
    <mergeCell ref="F103:H103"/>
    <mergeCell ref="C110:D110"/>
    <mergeCell ref="F106:H106"/>
    <mergeCell ref="F104:H104"/>
    <mergeCell ref="G110:H110"/>
    <mergeCell ref="A105:E105"/>
    <mergeCell ref="F101:H101"/>
    <mergeCell ref="F102:H102"/>
    <mergeCell ref="A96:E96"/>
    <mergeCell ref="A201:B201"/>
    <mergeCell ref="L201:M201"/>
    <mergeCell ref="A202:B202"/>
    <mergeCell ref="L202:M202"/>
    <mergeCell ref="A203:B203"/>
    <mergeCell ref="L203:M203"/>
    <mergeCell ref="A166:B166"/>
    <mergeCell ref="L166:M166"/>
    <mergeCell ref="A167:B167"/>
    <mergeCell ref="L167:M167"/>
    <mergeCell ref="A168:B168"/>
    <mergeCell ref="L168:M168"/>
    <mergeCell ref="A170:B170"/>
    <mergeCell ref="A172:B172"/>
    <mergeCell ref="A177:B177"/>
    <mergeCell ref="L172:M172"/>
    <mergeCell ref="L173:M173"/>
    <mergeCell ref="L175:M175"/>
    <mergeCell ref="L176:M176"/>
    <mergeCell ref="L191:M191"/>
    <mergeCell ref="L193:M193"/>
    <mergeCell ref="L192:M192"/>
    <mergeCell ref="G200:H203"/>
    <mergeCell ref="A152:H152"/>
    <mergeCell ref="A153:A154"/>
    <mergeCell ref="A137:B137"/>
    <mergeCell ref="C137:F137"/>
    <mergeCell ref="A138:B138"/>
    <mergeCell ref="A139:B139"/>
    <mergeCell ref="A140:B140"/>
    <mergeCell ref="A126:B126"/>
    <mergeCell ref="L145:M145"/>
    <mergeCell ref="L146:M146"/>
    <mergeCell ref="G126:H146"/>
    <mergeCell ref="L149:M149"/>
    <mergeCell ref="L150:M150"/>
    <mergeCell ref="L151:M151"/>
    <mergeCell ref="L129:M129"/>
    <mergeCell ref="L128:M128"/>
    <mergeCell ref="L127:M127"/>
    <mergeCell ref="L126:M126"/>
    <mergeCell ref="L134:M134"/>
    <mergeCell ref="G148:H151"/>
    <mergeCell ref="A149:B149"/>
    <mergeCell ref="A150:B150"/>
    <mergeCell ref="A125:H125"/>
    <mergeCell ref="B244:H244"/>
    <mergeCell ref="B240:H240"/>
    <mergeCell ref="A147:H147"/>
    <mergeCell ref="A159:H159"/>
    <mergeCell ref="A169:H169"/>
    <mergeCell ref="L165:M165"/>
    <mergeCell ref="L138:M138"/>
    <mergeCell ref="L139:M139"/>
    <mergeCell ref="L140:M140"/>
    <mergeCell ref="L135:M135"/>
    <mergeCell ref="L136:M136"/>
    <mergeCell ref="L137:M137"/>
    <mergeCell ref="L130:M130"/>
    <mergeCell ref="L131:M131"/>
    <mergeCell ref="L132:M132"/>
    <mergeCell ref="L133:M133"/>
    <mergeCell ref="L160:M160"/>
    <mergeCell ref="L141:M141"/>
    <mergeCell ref="L148:M148"/>
    <mergeCell ref="L142:M142"/>
    <mergeCell ref="L143:M143"/>
    <mergeCell ref="L144:M144"/>
    <mergeCell ref="C153:C154"/>
    <mergeCell ref="A48:B48"/>
    <mergeCell ref="C48:H48"/>
    <mergeCell ref="B243:H243"/>
    <mergeCell ref="G85:H94"/>
    <mergeCell ref="A86:B86"/>
    <mergeCell ref="A87:B87"/>
    <mergeCell ref="A88:B88"/>
    <mergeCell ref="F97:H97"/>
    <mergeCell ref="A97:E97"/>
    <mergeCell ref="D122:D123"/>
    <mergeCell ref="A99:E99"/>
    <mergeCell ref="A100:E100"/>
    <mergeCell ref="A106:E106"/>
    <mergeCell ref="G118:H118"/>
    <mergeCell ref="E113:F113"/>
    <mergeCell ref="G113:H113"/>
    <mergeCell ref="A113:B113"/>
    <mergeCell ref="A191:B191"/>
    <mergeCell ref="A95:E95"/>
    <mergeCell ref="F99:H99"/>
    <mergeCell ref="A78:B78"/>
    <mergeCell ref="A237:H237"/>
    <mergeCell ref="A124:H124"/>
    <mergeCell ref="B153:B154"/>
    <mergeCell ref="A39:B39"/>
    <mergeCell ref="C39:H39"/>
    <mergeCell ref="A117:B117"/>
    <mergeCell ref="C117:D117"/>
    <mergeCell ref="E117:F117"/>
    <mergeCell ref="G117:H117"/>
    <mergeCell ref="C115:D115"/>
    <mergeCell ref="G115:H115"/>
    <mergeCell ref="A118:B118"/>
    <mergeCell ref="E118:F118"/>
    <mergeCell ref="A83:B83"/>
    <mergeCell ref="C83:H83"/>
    <mergeCell ref="A84:B84"/>
    <mergeCell ref="E84:F84"/>
    <mergeCell ref="G84:H84"/>
    <mergeCell ref="A101:E101"/>
    <mergeCell ref="A102:E102"/>
    <mergeCell ref="A104:E104"/>
    <mergeCell ref="F98:H98"/>
    <mergeCell ref="A103:E103"/>
    <mergeCell ref="A98:E98"/>
    <mergeCell ref="C116:D116"/>
    <mergeCell ref="E116:F116"/>
    <mergeCell ref="G116:H116"/>
  </mergeCells>
  <hyperlinks>
    <hyperlink ref="C39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94" max="16383" man="1"/>
    <brk id="264" max="16383" man="1"/>
    <brk id="306" max="16383" man="1"/>
    <brk id="350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Normal="100" workbookViewId="0">
      <selection activeCell="C60" sqref="C6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11" t="s">
        <v>112</v>
      </c>
      <c r="C3" s="211"/>
      <c r="D3" s="211"/>
      <c r="E3" s="211"/>
      <c r="F3" s="211"/>
      <c r="G3" s="211"/>
      <c r="H3" s="211"/>
    </row>
    <row r="4" spans="1:9" x14ac:dyDescent="0.25">
      <c r="A4" s="2"/>
      <c r="B4" s="3" t="s">
        <v>113</v>
      </c>
      <c r="C4" s="3" t="s">
        <v>114</v>
      </c>
      <c r="D4" s="3" t="s">
        <v>72</v>
      </c>
      <c r="E4" s="3" t="s">
        <v>115</v>
      </c>
      <c r="F4" s="3" t="s">
        <v>121</v>
      </c>
      <c r="G4" s="3" t="s">
        <v>122</v>
      </c>
      <c r="H4" s="3" t="s">
        <v>116</v>
      </c>
    </row>
    <row r="5" spans="1:9" ht="15" customHeight="1" x14ac:dyDescent="0.25">
      <c r="A5" s="2"/>
      <c r="B5" s="5" t="s">
        <v>117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117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117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117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117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118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118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119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120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2025-09-12T06:27:57Z</cp:lastPrinted>
  <dcterms:created xsi:type="dcterms:W3CDTF">2019-07-16T09:29:46Z</dcterms:created>
  <dcterms:modified xsi:type="dcterms:W3CDTF">2025-09-12T06:28:52Z</dcterms:modified>
</cp:coreProperties>
</file>