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159A079F-EB0B-4AAB-B10B-00A562E35115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Report!$A$1:$H$359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1" l="1"/>
  <c r="J123" i="1"/>
  <c r="J122" i="1"/>
  <c r="J121" i="1"/>
  <c r="B260" i="1" l="1"/>
  <c r="B259" i="1"/>
  <c r="D256" i="1"/>
  <c r="F256" i="1" s="1"/>
  <c r="H256" i="1" s="1"/>
  <c r="D255" i="1"/>
  <c r="F255" i="1" s="1"/>
  <c r="H255" i="1" s="1"/>
  <c r="D254" i="1"/>
  <c r="F254" i="1" s="1"/>
  <c r="H254" i="1" s="1"/>
  <c r="D253" i="1"/>
  <c r="F253" i="1" s="1"/>
  <c r="H253" i="1" s="1"/>
  <c r="D252" i="1"/>
  <c r="F252" i="1" s="1"/>
  <c r="H252" i="1" s="1"/>
  <c r="D251" i="1"/>
  <c r="F251" i="1" s="1"/>
  <c r="H251" i="1" s="1"/>
  <c r="D250" i="1"/>
  <c r="F250" i="1" s="1"/>
  <c r="H250" i="1" s="1"/>
  <c r="D249" i="1"/>
  <c r="F249" i="1" s="1"/>
  <c r="H249" i="1" s="1"/>
  <c r="D248" i="1"/>
  <c r="F248" i="1" s="1"/>
  <c r="H248" i="1" s="1"/>
  <c r="D246" i="1"/>
  <c r="F246" i="1" s="1"/>
  <c r="H246" i="1" s="1"/>
  <c r="D245" i="1"/>
  <c r="F245" i="1" s="1"/>
  <c r="H245" i="1" s="1"/>
  <c r="D244" i="1"/>
  <c r="F244" i="1" s="1"/>
  <c r="H244" i="1" s="1"/>
  <c r="D243" i="1"/>
  <c r="F243" i="1" s="1"/>
  <c r="H243" i="1" s="1"/>
  <c r="D242" i="1"/>
  <c r="F242" i="1" s="1"/>
  <c r="H242" i="1" s="1"/>
  <c r="D241" i="1"/>
  <c r="F241" i="1" s="1"/>
  <c r="H241" i="1" s="1"/>
  <c r="D240" i="1"/>
  <c r="F240" i="1" s="1"/>
  <c r="H240" i="1" s="1"/>
  <c r="D239" i="1"/>
  <c r="F239" i="1" s="1"/>
  <c r="H239" i="1" s="1"/>
  <c r="D238" i="1"/>
  <c r="F238" i="1" s="1"/>
  <c r="H238" i="1" s="1"/>
  <c r="A238" i="1"/>
  <c r="A239" i="1" s="1"/>
  <c r="A240" i="1" s="1"/>
  <c r="A241" i="1" s="1"/>
  <c r="A242" i="1" s="1"/>
  <c r="A243" i="1" s="1"/>
  <c r="A244" i="1" s="1"/>
  <c r="A245" i="1" s="1"/>
  <c r="A246" i="1" s="1"/>
  <c r="D233" i="1"/>
  <c r="F233" i="1" s="1"/>
  <c r="H233" i="1" s="1"/>
  <c r="D232" i="1"/>
  <c r="F232" i="1" s="1"/>
  <c r="H232" i="1" s="1"/>
  <c r="D231" i="1"/>
  <c r="F231" i="1" s="1"/>
  <c r="H231" i="1" s="1"/>
  <c r="D230" i="1"/>
  <c r="F230" i="1" s="1"/>
  <c r="H230" i="1" s="1"/>
  <c r="D229" i="1"/>
  <c r="F229" i="1" s="1"/>
  <c r="H229" i="1" s="1"/>
  <c r="D228" i="1"/>
  <c r="F228" i="1" s="1"/>
  <c r="H228" i="1" s="1"/>
  <c r="D227" i="1"/>
  <c r="F227" i="1" s="1"/>
  <c r="H227" i="1" s="1"/>
  <c r="D220" i="1"/>
  <c r="F220" i="1" s="1"/>
  <c r="H220" i="1" s="1"/>
  <c r="D221" i="1"/>
  <c r="F221" i="1" s="1"/>
  <c r="H221" i="1" s="1"/>
  <c r="D222" i="1"/>
  <c r="F222" i="1" s="1"/>
  <c r="H222" i="1" s="1"/>
  <c r="D223" i="1"/>
  <c r="F223" i="1" s="1"/>
  <c r="H223" i="1" s="1"/>
  <c r="D224" i="1"/>
  <c r="F224" i="1" s="1"/>
  <c r="H224" i="1" s="1"/>
  <c r="D225" i="1"/>
  <c r="F225" i="1" s="1"/>
  <c r="H225" i="1" s="1"/>
  <c r="D219" i="1"/>
  <c r="F219" i="1" s="1"/>
  <c r="H219" i="1" s="1"/>
  <c r="E214" i="1"/>
  <c r="E213" i="1"/>
  <c r="E212" i="1"/>
  <c r="E211" i="1"/>
  <c r="E210" i="1"/>
  <c r="E209" i="1"/>
  <c r="E195" i="1"/>
  <c r="E194" i="1"/>
  <c r="E193" i="1"/>
  <c r="E192" i="1"/>
  <c r="E191" i="1"/>
  <c r="E190" i="1"/>
  <c r="D214" i="1"/>
  <c r="F214" i="1" s="1"/>
  <c r="H214" i="1" s="1"/>
  <c r="D213" i="1"/>
  <c r="D212" i="1"/>
  <c r="D211" i="1"/>
  <c r="D210" i="1"/>
  <c r="D209" i="1"/>
  <c r="F209" i="1" s="1"/>
  <c r="H209" i="1" s="1"/>
  <c r="D195" i="1"/>
  <c r="D194" i="1"/>
  <c r="D193" i="1"/>
  <c r="F193" i="1" s="1"/>
  <c r="H193" i="1" s="1"/>
  <c r="D192" i="1"/>
  <c r="D191" i="1"/>
  <c r="D190" i="1"/>
  <c r="D206" i="1"/>
  <c r="F206" i="1" s="1"/>
  <c r="H206" i="1" s="1"/>
  <c r="D207" i="1"/>
  <c r="F207" i="1" s="1"/>
  <c r="H207" i="1" s="1"/>
  <c r="D205" i="1"/>
  <c r="F205" i="1" s="1"/>
  <c r="H205" i="1" s="1"/>
  <c r="D204" i="1"/>
  <c r="F204" i="1" s="1"/>
  <c r="H204" i="1" s="1"/>
  <c r="D203" i="1"/>
  <c r="F203" i="1" s="1"/>
  <c r="D202" i="1"/>
  <c r="F202" i="1" s="1"/>
  <c r="H202" i="1" s="1"/>
  <c r="D188" i="1"/>
  <c r="F188" i="1" s="1"/>
  <c r="H188" i="1" s="1"/>
  <c r="D187" i="1"/>
  <c r="F187" i="1" s="1"/>
  <c r="H187" i="1" s="1"/>
  <c r="D186" i="1"/>
  <c r="F186" i="1" s="1"/>
  <c r="H186" i="1" s="1"/>
  <c r="D185" i="1"/>
  <c r="F185" i="1" s="1"/>
  <c r="H185" i="1" s="1"/>
  <c r="D184" i="1"/>
  <c r="F184" i="1" s="1"/>
  <c r="H184" i="1" s="1"/>
  <c r="D183" i="1"/>
  <c r="F183" i="1" s="1"/>
  <c r="H183" i="1" s="1"/>
  <c r="E42" i="1"/>
  <c r="C14" i="1"/>
  <c r="F167" i="1"/>
  <c r="H167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O209" i="1"/>
  <c r="O190" i="1"/>
  <c r="O227" i="1"/>
  <c r="P209" i="1"/>
  <c r="P183" i="1"/>
  <c r="P248" i="1"/>
  <c r="O183" i="1"/>
  <c r="O202" i="1"/>
  <c r="P202" i="1"/>
  <c r="P227" i="1"/>
  <c r="P190" i="1"/>
  <c r="O248" i="1"/>
  <c r="F210" i="1" l="1"/>
  <c r="H210" i="1" s="1"/>
  <c r="F213" i="1"/>
  <c r="H213" i="1" s="1"/>
  <c r="G146" i="1"/>
  <c r="H203" i="1"/>
  <c r="G145" i="1"/>
  <c r="E146" i="1"/>
  <c r="C143" i="1"/>
  <c r="C144" i="1"/>
  <c r="C145" i="1"/>
  <c r="C146" i="1"/>
  <c r="E145" i="1"/>
  <c r="O249" i="1"/>
  <c r="N248" i="1"/>
  <c r="A248" i="1" s="1"/>
  <c r="P249" i="1"/>
  <c r="P250" i="1" s="1"/>
  <c r="P251" i="1" s="1"/>
  <c r="P252" i="1" s="1"/>
  <c r="P253" i="1" s="1"/>
  <c r="P254" i="1" s="1"/>
  <c r="P255" i="1" s="1"/>
  <c r="P256" i="1" s="1"/>
  <c r="P228" i="1"/>
  <c r="P229" i="1" s="1"/>
  <c r="P230" i="1" s="1"/>
  <c r="P231" i="1" s="1"/>
  <c r="P232" i="1" s="1"/>
  <c r="P233" i="1" s="1"/>
  <c r="O228" i="1"/>
  <c r="N227" i="1"/>
  <c r="A227" i="1" s="1"/>
  <c r="F211" i="1"/>
  <c r="H211" i="1" s="1"/>
  <c r="F194" i="1"/>
  <c r="H194" i="1" s="1"/>
  <c r="F212" i="1"/>
  <c r="H212" i="1" s="1"/>
  <c r="F195" i="1"/>
  <c r="H195" i="1" s="1"/>
  <c r="F192" i="1"/>
  <c r="H192" i="1" s="1"/>
  <c r="F191" i="1"/>
  <c r="H191" i="1" s="1"/>
  <c r="F190" i="1"/>
  <c r="H190" i="1" s="1"/>
  <c r="P210" i="1"/>
  <c r="P211" i="1" s="1"/>
  <c r="P212" i="1" s="1"/>
  <c r="P213" i="1" s="1"/>
  <c r="P214" i="1" s="1"/>
  <c r="N209" i="1"/>
  <c r="A209" i="1" s="1"/>
  <c r="O210" i="1"/>
  <c r="P191" i="1"/>
  <c r="P192" i="1" s="1"/>
  <c r="P193" i="1" s="1"/>
  <c r="P194" i="1" s="1"/>
  <c r="P195" i="1" s="1"/>
  <c r="N190" i="1"/>
  <c r="A190" i="1" s="1"/>
  <c r="O191" i="1"/>
  <c r="P203" i="1"/>
  <c r="P204" i="1" s="1"/>
  <c r="P205" i="1" s="1"/>
  <c r="P206" i="1" s="1"/>
  <c r="P207" i="1" s="1"/>
  <c r="N202" i="1"/>
  <c r="A202" i="1" s="1"/>
  <c r="O203" i="1"/>
  <c r="O184" i="1"/>
  <c r="N183" i="1"/>
  <c r="A183" i="1" s="1"/>
  <c r="P184" i="1"/>
  <c r="P185" i="1" s="1"/>
  <c r="P186" i="1" s="1"/>
  <c r="P187" i="1" s="1"/>
  <c r="P188" i="1" s="1"/>
  <c r="C85" i="1"/>
  <c r="J82" i="1"/>
  <c r="J81" i="1"/>
  <c r="J80" i="1"/>
  <c r="J79" i="1"/>
  <c r="L77" i="1"/>
  <c r="H72" i="1"/>
  <c r="G143" i="1" l="1"/>
  <c r="E144" i="1"/>
  <c r="E143" i="1"/>
  <c r="E147" i="1" s="1"/>
  <c r="C147" i="1"/>
  <c r="G144" i="1"/>
  <c r="N249" i="1"/>
  <c r="A249" i="1" s="1"/>
  <c r="O250" i="1"/>
  <c r="O229" i="1"/>
  <c r="N228" i="1"/>
  <c r="A228" i="1" s="1"/>
  <c r="N210" i="1"/>
  <c r="A210" i="1" s="1"/>
  <c r="O211" i="1"/>
  <c r="N191" i="1"/>
  <c r="A191" i="1" s="1"/>
  <c r="O192" i="1"/>
  <c r="O204" i="1"/>
  <c r="N203" i="1"/>
  <c r="A203" i="1" s="1"/>
  <c r="N184" i="1"/>
  <c r="A184" i="1" s="1"/>
  <c r="O185" i="1"/>
  <c r="D83" i="1"/>
  <c r="D79" i="1"/>
  <c r="J75" i="1"/>
  <c r="D82" i="1"/>
  <c r="D78" i="1"/>
  <c r="D84" i="1"/>
  <c r="J76" i="1"/>
  <c r="C75" i="1" s="1"/>
  <c r="D75" i="1" s="1"/>
  <c r="D81" i="1"/>
  <c r="J77" i="1"/>
  <c r="J78" i="1" s="1"/>
  <c r="J83" i="1" s="1"/>
  <c r="J84" i="1" s="1"/>
  <c r="C76" i="1" s="1"/>
  <c r="D77" i="1"/>
  <c r="D80" i="1"/>
  <c r="J74" i="1"/>
  <c r="L91" i="1"/>
  <c r="H114" i="1"/>
  <c r="J118" i="1" l="1"/>
  <c r="C117" i="1" s="1"/>
  <c r="D117" i="1" s="1"/>
  <c r="J116" i="1"/>
  <c r="D126" i="1"/>
  <c r="D122" i="1"/>
  <c r="D119" i="1"/>
  <c r="D125" i="1"/>
  <c r="D121" i="1"/>
  <c r="J117" i="1"/>
  <c r="D123" i="1"/>
  <c r="D124" i="1"/>
  <c r="D120" i="1"/>
  <c r="J119" i="1"/>
  <c r="J120" i="1" s="1"/>
  <c r="J125" i="1" s="1"/>
  <c r="J126" i="1" s="1"/>
  <c r="C118" i="1" s="1"/>
  <c r="G147" i="1"/>
  <c r="N250" i="1"/>
  <c r="A250" i="1" s="1"/>
  <c r="O251" i="1"/>
  <c r="O230" i="1"/>
  <c r="N229" i="1"/>
  <c r="A229" i="1" s="1"/>
  <c r="O212" i="1"/>
  <c r="N211" i="1"/>
  <c r="A211" i="1" s="1"/>
  <c r="O193" i="1"/>
  <c r="N192" i="1"/>
  <c r="A192" i="1" s="1"/>
  <c r="O205" i="1"/>
  <c r="N204" i="1"/>
  <c r="A204" i="1" s="1"/>
  <c r="O186" i="1"/>
  <c r="N185" i="1"/>
  <c r="A185" i="1" s="1"/>
  <c r="E75" i="1"/>
  <c r="I71" i="1" s="1"/>
  <c r="C73" i="1" s="1"/>
  <c r="D76" i="1"/>
  <c r="G75" i="1"/>
  <c r="E3" i="1"/>
  <c r="E117" i="1" l="1"/>
  <c r="I113" i="1" s="1"/>
  <c r="C115" i="1" s="1"/>
  <c r="D118" i="1"/>
  <c r="G117" i="1"/>
  <c r="N251" i="1"/>
  <c r="A251" i="1" s="1"/>
  <c r="O252" i="1"/>
  <c r="N230" i="1"/>
  <c r="A230" i="1" s="1"/>
  <c r="O231" i="1"/>
  <c r="N212" i="1"/>
  <c r="A212" i="1" s="1"/>
  <c r="O213" i="1"/>
  <c r="N193" i="1"/>
  <c r="A193" i="1" s="1"/>
  <c r="O194" i="1"/>
  <c r="N205" i="1"/>
  <c r="A205" i="1" s="1"/>
  <c r="O206" i="1"/>
  <c r="N186" i="1"/>
  <c r="A186" i="1" s="1"/>
  <c r="O187" i="1"/>
  <c r="E7" i="1"/>
  <c r="N252" i="1" l="1"/>
  <c r="A252" i="1" s="1"/>
  <c r="O253" i="1"/>
  <c r="O232" i="1"/>
  <c r="N231" i="1"/>
  <c r="A231" i="1" s="1"/>
  <c r="O214" i="1"/>
  <c r="N214" i="1" s="1"/>
  <c r="A214" i="1" s="1"/>
  <c r="N213" i="1"/>
  <c r="A213" i="1" s="1"/>
  <c r="O195" i="1"/>
  <c r="N195" i="1" s="1"/>
  <c r="A195" i="1" s="1"/>
  <c r="N194" i="1"/>
  <c r="A194" i="1" s="1"/>
  <c r="O207" i="1"/>
  <c r="N207" i="1" s="1"/>
  <c r="A207" i="1" s="1"/>
  <c r="N206" i="1"/>
  <c r="A206" i="1" s="1"/>
  <c r="O188" i="1"/>
  <c r="N188" i="1" s="1"/>
  <c r="A188" i="1" s="1"/>
  <c r="N187" i="1"/>
  <c r="A187" i="1" s="1"/>
  <c r="O254" i="1" l="1"/>
  <c r="N253" i="1"/>
  <c r="A253" i="1" s="1"/>
  <c r="N232" i="1"/>
  <c r="A232" i="1" s="1"/>
  <c r="O233" i="1"/>
  <c r="N233" i="1" s="1"/>
  <c r="A233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8" i="1"/>
  <c r="A219" i="1"/>
  <c r="A220" i="1" s="1"/>
  <c r="A221" i="1" s="1"/>
  <c r="A222" i="1" s="1"/>
  <c r="A223" i="1" s="1"/>
  <c r="A224" i="1" s="1"/>
  <c r="A225" i="1" s="1"/>
  <c r="A168" i="1"/>
  <c r="A169" i="1" s="1"/>
  <c r="A170" i="1" s="1"/>
  <c r="A171" i="1" s="1"/>
  <c r="A172" i="1" s="1"/>
  <c r="A173" i="1" s="1"/>
  <c r="F137" i="1"/>
  <c r="J110" i="1"/>
  <c r="J109" i="1"/>
  <c r="J108" i="1"/>
  <c r="J107" i="1"/>
  <c r="J96" i="1"/>
  <c r="J95" i="1"/>
  <c r="J94" i="1"/>
  <c r="J93" i="1"/>
  <c r="D65" i="1"/>
  <c r="D58" i="1"/>
  <c r="G47" i="1"/>
  <c r="C47" i="1"/>
  <c r="E25" i="1"/>
  <c r="E23" i="1"/>
  <c r="H100" i="1"/>
  <c r="H86" i="1"/>
  <c r="N254" i="1" l="1"/>
  <c r="A254" i="1" s="1"/>
  <c r="O255" i="1"/>
  <c r="A260" i="1"/>
  <c r="J89" i="1"/>
  <c r="D98" i="1"/>
  <c r="D96" i="1"/>
  <c r="D94" i="1"/>
  <c r="D92" i="1"/>
  <c r="J90" i="1"/>
  <c r="C89" i="1" s="1"/>
  <c r="D89" i="1" s="1"/>
  <c r="J88" i="1"/>
  <c r="J91" i="1"/>
  <c r="J92" i="1" s="1"/>
  <c r="J97" i="1" s="1"/>
  <c r="J98" i="1" s="1"/>
  <c r="C90" i="1" s="1"/>
  <c r="D97" i="1"/>
  <c r="D93" i="1"/>
  <c r="D95" i="1"/>
  <c r="D91" i="1"/>
  <c r="J105" i="1"/>
  <c r="J106" i="1" s="1"/>
  <c r="J111" i="1" s="1"/>
  <c r="J112" i="1" s="1"/>
  <c r="C104" i="1" s="1"/>
  <c r="D111" i="1"/>
  <c r="D109" i="1"/>
  <c r="D107" i="1"/>
  <c r="D105" i="1"/>
  <c r="J103" i="1"/>
  <c r="D112" i="1"/>
  <c r="J104" i="1"/>
  <c r="C103" i="1" s="1"/>
  <c r="D103" i="1" s="1"/>
  <c r="D106" i="1"/>
  <c r="D108" i="1"/>
  <c r="D110" i="1"/>
  <c r="J102" i="1"/>
  <c r="O256" i="1" l="1"/>
  <c r="N256" i="1" s="1"/>
  <c r="A256" i="1" s="1"/>
  <c r="N255" i="1"/>
  <c r="A255" i="1" s="1"/>
  <c r="E103" i="1"/>
  <c r="I99" i="1" s="1"/>
  <c r="D104" i="1"/>
  <c r="E89" i="1"/>
  <c r="I85" i="1" s="1"/>
  <c r="D90" i="1"/>
  <c r="G103" i="1"/>
  <c r="G89" i="1"/>
  <c r="D69" i="1" s="1"/>
  <c r="C101" i="1" l="1"/>
  <c r="C87" i="1"/>
  <c r="F70" i="1"/>
  <c r="D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17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<sst xmlns="http://schemas.openxmlformats.org/spreadsheetml/2006/main" count="487" uniqueCount="250">
  <si>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</si>
  <si>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</si>
  <si>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</si>
  <si>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</si>
  <si>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</si>
  <si>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</si>
  <si>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</si>
  <si>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</si>
  <si>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</si>
  <si>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</si>
  <si>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</si>
  <si>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</si>
  <si>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</si>
  <si>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</si>
  <si>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</si>
  <si>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</si>
  <si>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</si>
  <si>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</si>
  <si>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</si>
  <si>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</si>
  <si>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</si>
  <si>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</si>
  <si>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</si>
  <si>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</si>
  <si>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</si>
  <si>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</si>
  <si>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</si>
  <si>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</si>
  <si>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</si>
  <si>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</si>
  <si>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</si>
  <si>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</si>
  <si>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</si>
  <si>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</si>
  <si>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</si>
  <si>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</si>
  <si>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</si>
  <si>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</si>
  <si>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</si>
  <si>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</si>
  <si>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</si>
  <si>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</si>
  <si>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</si>
  <si>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</si>
  <si>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</si>
  <si>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</si>
  <si>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</si>
  <si>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</si>
  <si>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</si>
  <si>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</si>
  <si>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</si>
  <si>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</si>
  <si>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</si>
  <si>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</si>
  <si>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</si>
  <si>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</si>
  <si>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</si>
  <si>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</si>
  <si>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</si>
  <si>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</si>
  <si>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</si>
  <si>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</si>
  <si>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</si>
  <si>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</si>
  <si>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</si>
  <si>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</si>
  <si>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</si>
  <si>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</si>
  <si>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</si>
  <si>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</si>
  <si>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</si>
  <si>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</si>
  <si>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</si>
  <si>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</si>
  <si>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</si>
  <si>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</si>
  <si>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</si>
  <si>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</si>
  <si>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</si>
  <si>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</si>
  <si>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</si>
  <si>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</si>
  <si>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</si>
  <si>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</si>
  <si>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</si>
  <si>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</si>
  <si>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</si>
  <si>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</si>
  <si>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</si>
  <si>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</si>
  <si>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</si>
  <si>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</si>
  <si>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</si>
  <si>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</si>
  <si>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</si>
  <si>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</si>
  <si>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</si>
  <si>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</si>
  <si>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</si>
  <si>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</si>
  <si>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</si>
  <si>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</si>
  <si>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</si>
  <si>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</si>
  <si>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</si>
  <si>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</si>
  <si>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</si>
  <si>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</si>
  <si>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</si>
  <si>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</si>
  <si>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</si>
  <si>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</si>
  <si>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</si>
  <si>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</si>
  <si>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</si>
  <si>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</si>
  <si>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</si>
  <si>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</si>
  <si>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</si>
  <si>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</si>
  <si>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</si>
  <si>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</si>
  <si>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</si>
  <si>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</si>
  <si>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</si>
  <si>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</si>
  <si>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</si>
  <si>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</si>
  <si>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</si>
  <si>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</si>
  <si>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</si>
  <si>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</si>
  <si>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</si>
  <si>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</si>
  <si>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</si>
  <si>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</si>
  <si>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</si>
  <si>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</si>
  <si>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</si>
  <si>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</si>
  <si>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</si>
  <si>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</si>
  <si>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</si>
  <si>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</si>
  <si>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</si>
  <si>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</si>
  <si>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</si>
  <si>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</si>
  <si>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</si>
  <si>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</si>
  <si>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</si>
  <si>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</si>
  <si>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Axis Goregaon</t>
  </si>
  <si>
    <t>Royal Pristo</t>
  </si>
  <si>
    <t>Slum</t>
  </si>
  <si>
    <t>Royal Crystal</t>
  </si>
  <si>
    <t>Triveni Nagar Road</t>
  </si>
  <si>
    <t>Lotus Apartment</t>
  </si>
  <si>
    <t>Kurar</t>
  </si>
  <si>
    <t>Borivali</t>
  </si>
  <si>
    <t>Mumbai</t>
  </si>
  <si>
    <t>Malad</t>
  </si>
  <si>
    <t>2.8Km from Malad Railway Station</t>
  </si>
  <si>
    <t>CTS No</t>
  </si>
  <si>
    <t>Santoshi Mata Mandir Road</t>
  </si>
  <si>
    <t>04 Wings</t>
  </si>
  <si>
    <t>As per RERA - 30/12/2026</t>
  </si>
  <si>
    <t>Recommended rate of the flat Per Sq. Ft. ( on Carpet area)</t>
  </si>
  <si>
    <t>80/-</t>
  </si>
  <si>
    <t>Floor Rise Rate Per Sq.ft (From 2nd Floor)</t>
  </si>
  <si>
    <t>Electrical Meter Charges</t>
  </si>
  <si>
    <t>10000/-</t>
  </si>
  <si>
    <t>One Time Membership Fee for Gym</t>
  </si>
  <si>
    <t>50,000/-</t>
  </si>
  <si>
    <t>Society Formation</t>
  </si>
  <si>
    <t>5000/-</t>
  </si>
  <si>
    <t>Residential + Commercial</t>
  </si>
  <si>
    <t>Wing A to D</t>
  </si>
  <si>
    <t>Maintenance Charges for 18th months</t>
  </si>
  <si>
    <t>3,00,000/-</t>
  </si>
  <si>
    <t>Development Charges</t>
  </si>
  <si>
    <t>M/s. Royal Realtors</t>
  </si>
  <si>
    <t>Wing A &amp; B  = B + Gr/St + 3P + 1st to 20th Floor
Wing C &amp; D  = B + Gr/St + 1st to 24th Floor</t>
  </si>
  <si>
    <t>Wing C &amp; D  = B + Gr/St + 1st to 24th Floor</t>
  </si>
  <si>
    <t xml:space="preserve">Market inquiry </t>
  </si>
  <si>
    <t>17000 to 18500</t>
  </si>
  <si>
    <t>7,00,000/-</t>
  </si>
  <si>
    <t>Site Meet Person Details ( Name &amp; Contect No.)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</si>
  <si>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E mail : vsjcapf@gmail.com. Web site : www.vsjadon.com</t>
  </si>
  <si>
    <t>Location Link</t>
  </si>
  <si>
    <t>https://goo.gl/maps/v1CcX64S7Fi7dU74A</t>
  </si>
  <si>
    <t>Latitude,Longitude</t>
  </si>
  <si>
    <t>19.1843663,72.8638845</t>
  </si>
  <si>
    <t>PN/PVT/175/20160116/AP/Sale</t>
  </si>
  <si>
    <t>Valid Up to: This further CC is extended to sale wing A &amp; B from 5th to 20th upper floor (including brickwork) along with LMR &amp; OHWT as per approved plans dated 11/12/2020.</t>
  </si>
  <si>
    <t>Valid Up to: This further CC is extended to sale wing C &amp; D from 5th to 18th upper floor (including brickwork) as per approved amended plans dated 11/12/2020.</t>
  </si>
  <si>
    <t>Wing A = B + Gr/St + 3P + 1st to 20th Floor</t>
  </si>
  <si>
    <t xml:space="preserve">Valid Up to:This CC is further extended for only RCC Framework to 15th to 18th floors of sale wing A to D as per approved amended plans dated 11/12/2020.
</t>
  </si>
  <si>
    <t>Valid Up to: This further CC is extended to sale wing A &amp; B for 1st to 4th upper floors (Including brickwork) &amp; only RCC framework for 19th to 20th upper floors &amp; for sale wing C &amp; D only RCC framework 19th to 24th upper floor as per approved amended plans dated 11/12/2020.</t>
  </si>
  <si>
    <t>Shop No. (Sale Plan)</t>
  </si>
  <si>
    <t>Carpet area</t>
  </si>
  <si>
    <t>Attached Loft area</t>
  </si>
  <si>
    <t>Flat No. (Sale Plan)</t>
  </si>
  <si>
    <t xml:space="preserve">Approved Plans, </t>
  </si>
  <si>
    <t>712, 713, 714, 715, 716, 717/A, 717/1 to 7 &amp; 13, 717/B, 719, 720, 720/1 to 2, 721, 721/1 to 6, 722, 723, 724, 724/1 to 2 &amp; 725</t>
  </si>
  <si>
    <t>SRA/ENG/PN/PVT/175/20160116/AP/S</t>
  </si>
  <si>
    <t>Wing A &amp; B</t>
  </si>
  <si>
    <t>Basement Floor for Parking</t>
  </si>
  <si>
    <t>Wing C</t>
  </si>
  <si>
    <t>Lower Ground Floor for Parking &amp; Tanks</t>
  </si>
  <si>
    <t>Wing D</t>
  </si>
  <si>
    <t>Lower Ground Floor for Commercial and Entrance Lobby</t>
  </si>
  <si>
    <t>Ground Floor for Commercial and Entrance Lobby</t>
  </si>
  <si>
    <t>Upper Ground Floor for Part Fitness Area  and Entrance Lobby</t>
  </si>
  <si>
    <t>Upper Ground Floor for Residential and Entrance Lobby</t>
  </si>
  <si>
    <t>1st Podium Floor for Commercial and Parking</t>
  </si>
  <si>
    <t>1st Podium Floor for Parking</t>
  </si>
  <si>
    <t>2nd &amp; 3rd Podium Floor for Commercial and Parking</t>
  </si>
  <si>
    <t>2nd &amp; 3rd Podium Floor for Parking</t>
  </si>
  <si>
    <t>2BHK</t>
  </si>
  <si>
    <t>1BHK</t>
  </si>
  <si>
    <t>Sale Wing B</t>
  </si>
  <si>
    <t>Sale Wing A</t>
  </si>
  <si>
    <t>1st to 15th Floor
Refuge Area prrovided alternate Midlanding area from forth Floor</t>
  </si>
  <si>
    <r>
      <t xml:space="preserve">Flat No.
</t>
    </r>
    <r>
      <rPr>
        <b/>
        <sz val="11"/>
        <rFont val="Times New Roman"/>
        <family val="1"/>
      </rPr>
      <t>(Approved Plan)</t>
    </r>
  </si>
  <si>
    <t>Balcony Area</t>
  </si>
  <si>
    <t>1st Floor for Residential</t>
  </si>
  <si>
    <t>16th to 20th Floor
Refuge Area provided alternate Midlanding area from forth Floor</t>
  </si>
  <si>
    <t>2nd to 24th Floor
Refuge Area provided alternate Midlanding area from Seventh Floor</t>
  </si>
  <si>
    <t>Total</t>
  </si>
  <si>
    <t>Wing A</t>
  </si>
  <si>
    <t>Wing B</t>
  </si>
  <si>
    <t>Flats = 624</t>
  </si>
  <si>
    <t>We considered Gross carpet area = Net carpet + Balcony Area.</t>
  </si>
  <si>
    <t>*</t>
  </si>
  <si>
    <t>Construction work is in process at the time of Visit.</t>
  </si>
  <si>
    <t>18500 to 21000</t>
  </si>
  <si>
    <t>Shailesh</t>
  </si>
  <si>
    <t>Verbal</t>
  </si>
  <si>
    <t>Recommended Rates of the Property have been revised on 11/12/2024.</t>
  </si>
  <si>
    <t>Sanket Salvi</t>
  </si>
  <si>
    <t>Mr. Mitesh Gada 022-67193333/7710033007</t>
  </si>
  <si>
    <t>Ms. Janvi Ambre 7400063333</t>
  </si>
  <si>
    <t>P51800019529</t>
  </si>
  <si>
    <t>Wing A &amp; B  = B + Gr/St + 3P + 1st to 20th Floor</t>
  </si>
  <si>
    <t>Wing B = B + Gr/St + 3P + 1st to 20th Floor</t>
  </si>
  <si>
    <t>Wing C = B + Gr/St + 1st to 24th Floor</t>
  </si>
  <si>
    <t>Wing D = B + Gr/St + 1st to 24th Floor</t>
  </si>
  <si>
    <t>Ms Priti Gadige 9852301111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</si>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</sst>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32"/>
      <color rgb="FFFF000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8" fillId="0" borderId="13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4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8" fillId="0" borderId="12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horizontal="left" vertical="center"/>
    </xf>
    <xf numFmtId="0" fontId="7" fillId="2" borderId="0" xfId="1" applyFont="1" applyFill="1"/>
    <xf numFmtId="14" fontId="7" fillId="2" borderId="0" xfId="1" applyNumberFormat="1" applyFont="1" applyFill="1"/>
    <xf numFmtId="1" fontId="17" fillId="0" borderId="2" xfId="1" applyNumberFormat="1" applyFont="1" applyBorder="1" applyAlignment="1" applyProtection="1">
      <alignment horizontal="center" vertical="top" wrapText="1"/>
      <protection locked="0"/>
    </xf>
    <xf numFmtId="9" fontId="17" fillId="0" borderId="18" xfId="8" applyFont="1" applyFill="1" applyBorder="1" applyAlignment="1" applyProtection="1">
      <alignment horizontal="center"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2" fillId="0" borderId="0" xfId="1" applyNumberFormat="1" applyFont="1" applyAlignment="1">
      <alignment horizontal="center" vertical="center"/>
    </xf>
    <xf numFmtId="9" fontId="13" fillId="0" borderId="18" xfId="8" applyFont="1" applyFill="1" applyBorder="1" applyAlignment="1" applyProtection="1">
      <alignment horizontal="center" vertical="top" wrapText="1"/>
      <protection locked="0"/>
    </xf>
    <xf numFmtId="0" fontId="12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6" fillId="0" borderId="0" xfId="1" applyNumberFormat="1" applyFont="1"/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3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2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3" borderId="8" xfId="0" applyNumberFormat="1" applyFont="1" applyFill="1" applyBorder="1" applyAlignment="1" applyProtection="1">
      <alignment vertical="top" wrapText="1"/>
      <protection locked="0"/>
    </xf>
    <xf numFmtId="1" fontId="8" fillId="3" borderId="22" xfId="0" applyNumberFormat="1" applyFont="1" applyFill="1" applyBorder="1" applyAlignment="1" applyProtection="1">
      <alignment vertical="top" wrapText="1"/>
      <protection locked="0"/>
    </xf>
    <xf numFmtId="1" fontId="8" fillId="3" borderId="9" xfId="0" applyNumberFormat="1" applyFont="1" applyFill="1" applyBorder="1" applyAlignment="1" applyProtection="1">
      <alignment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7" fillId="0" borderId="2" xfId="1" applyNumberFormat="1" applyFont="1" applyBorder="1" applyAlignment="1" applyProtection="1">
      <alignment horizontal="center" vertical="top" wrapText="1"/>
      <protection locked="0"/>
    </xf>
    <xf numFmtId="1" fontId="17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27" fillId="0" borderId="2" xfId="1" applyNumberFormat="1" applyFont="1" applyBorder="1" applyAlignment="1" applyProtection="1">
      <alignment horizontal="center" vertical="top" wrapText="1"/>
      <protection locked="0"/>
    </xf>
    <xf numFmtId="1" fontId="27" fillId="0" borderId="18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2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8" xfId="9" applyFill="1" applyBorder="1" applyAlignment="1" applyProtection="1">
      <alignment horizontal="left"/>
      <protection locked="0"/>
    </xf>
    <xf numFmtId="0" fontId="7" fillId="0" borderId="22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top" wrapText="1"/>
      <protection locked="0"/>
    </xf>
    <xf numFmtId="1" fontId="13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30" fillId="0" borderId="2" xfId="1" applyNumberFormat="1" applyFont="1" applyBorder="1" applyAlignment="1" applyProtection="1">
      <alignment horizontal="center" vertical="top" wrapText="1"/>
      <protection locked="0"/>
    </xf>
    <xf numFmtId="1" fontId="30" fillId="0" borderId="18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20" fontId="7" fillId="0" borderId="0" xfId="1" applyNumberFormat="1" applyFont="1"/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672353</xdr:colOff>
      <xdr:row>320</xdr:row>
      <xdr:rowOff>134470</xdr:rowOff>
    </xdr:from>
    <xdr:to>
      <xdr:col>7</xdr:col>
      <xdr:colOff>85593</xdr:colOff>
      <xdr:row>338</xdr:row>
      <xdr:rowOff>103763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2353" y="34200352"/>
          <a:ext cx="554285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672353</xdr:colOff>
      <xdr:row>339</xdr:row>
      <xdr:rowOff>7896</xdr:rowOff>
    </xdr:from>
    <xdr:to>
      <xdr:col>7</xdr:col>
      <xdr:colOff>85593</xdr:colOff>
      <xdr:row>356</xdr:row>
      <xdr:rowOff>174260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2353" y="36938620"/>
          <a:ext cx="5115102" cy="35165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935653</xdr:colOff>
      <xdr:row>46</xdr:row>
      <xdr:rowOff>20359</xdr:rowOff>
    </xdr:from>
    <xdr:to>
      <xdr:col>20</xdr:col>
      <xdr:colOff>90382</xdr:colOff>
      <xdr:row>57</xdr:row>
      <xdr:rowOff>136282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0278" y="10497859"/>
          <a:ext cx="5803179" cy="3783048"/>
        </a:xfrm>
        <a:prstGeom prst="rect">
          <a:avLst/>
        </a:prstGeom>
      </xdr:spPr>
    </xdr:pic>
    <xdr:clientData/>
  </xdr:twoCellAnchor>
  <xdr:twoCellAnchor editAs="oneCell">
    <xdr:from>
      <xdr:col>10</xdr:col>
      <xdr:colOff>279498</xdr:colOff>
      <xdr:row>23</xdr:row>
      <xdr:rowOff>198578</xdr:rowOff>
    </xdr:from>
    <xdr:to>
      <xdr:col>21</xdr:col>
      <xdr:colOff>302560</xdr:colOff>
      <xdr:row>45</xdr:row>
      <xdr:rowOff>184418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39939" y="5655843"/>
          <a:ext cx="5345856" cy="4412163"/>
        </a:xfrm>
        <a:prstGeom prst="rect">
          <a:avLst/>
        </a:prstGeom>
      </xdr:spPr>
    </xdr:pic>
    <xdr:clientData/>
  </xdr:twoCellAnchor>
  <xdr:twoCellAnchor>
    <xdr:from>
      <xdr:col>8</xdr:col>
      <xdr:colOff>748665</xdr:colOff>
      <xdr:row>277</xdr:row>
      <xdr:rowOff>70485</xdr:rowOff>
    </xdr:from>
    <xdr:to>
      <xdr:col>20</xdr:col>
      <xdr:colOff>167639</xdr:colOff>
      <xdr:row>317</xdr:row>
      <xdr:rowOff>30210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273290" y="53639085"/>
          <a:ext cx="6067424" cy="7941675"/>
          <a:chOff x="238125" y="54244875"/>
          <a:chExt cx="6105524" cy="7941675"/>
        </a:xfrm>
      </xdr:grpSpPr>
      <xdr:pic>
        <xdr:nvPicPr>
          <xdr:cNvPr id="16" name="Picture 15" descr="https://vsjcllp.vsjadon.com/upload/insp-220701-1525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33750" y="600265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20701-845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0" y="57359549"/>
            <a:ext cx="1933940" cy="2581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20701-847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6250" y="57359549"/>
            <a:ext cx="1933940" cy="2581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20701-861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09725" y="600265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4143374" y="54244875"/>
            <a:ext cx="2200275" cy="3024188"/>
            <a:chOff x="4143374" y="54244875"/>
            <a:chExt cx="2200275" cy="3024188"/>
          </a:xfrm>
        </xdr:grpSpPr>
        <xdr:pic>
          <xdr:nvPicPr>
            <xdr:cNvPr id="17" name="Picture 16" descr="https://vsjcllp.vsjadon.com/upload/insp-220701-843.jpg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43374" y="54244875"/>
              <a:ext cx="2200275" cy="302418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4" name="TextBox 20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 txBox="1"/>
          </xdr:nvSpPr>
          <xdr:spPr>
            <a:xfrm>
              <a:off x="4886324" y="54340125"/>
              <a:ext cx="313713" cy="35606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A</a:t>
              </a:r>
            </a:p>
          </xdr:txBody>
        </xdr:sp>
        <xdr:sp macro="" textlink="">
          <xdr:nvSpPr>
            <xdr:cNvPr id="35" name="TextBox 20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5476874" y="54711600"/>
              <a:ext cx="313713" cy="35606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B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238125" y="57359549"/>
            <a:ext cx="1933940" cy="2581275"/>
            <a:chOff x="238125" y="57359549"/>
            <a:chExt cx="1933940" cy="2581275"/>
          </a:xfrm>
        </xdr:grpSpPr>
        <xdr:pic>
          <xdr:nvPicPr>
            <xdr:cNvPr id="29" name="Picture 28" descr="https://vsjcllp.vsjadon.com/upload/insp-220701-849.jpg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8125" y="57359549"/>
              <a:ext cx="1933940" cy="25812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6" name="TextBox 20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 txBox="1"/>
          </xdr:nvSpPr>
          <xdr:spPr>
            <a:xfrm>
              <a:off x="352425" y="57445274"/>
              <a:ext cx="313713" cy="35606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C</a:t>
              </a:r>
            </a:p>
          </xdr:txBody>
        </xdr:sp>
        <xdr:sp macro="" textlink="">
          <xdr:nvSpPr>
            <xdr:cNvPr id="37" name="TextBox 20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 txBox="1"/>
          </xdr:nvSpPr>
          <xdr:spPr>
            <a:xfrm>
              <a:off x="1590675" y="57445274"/>
              <a:ext cx="313713" cy="35606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D</a:t>
              </a:r>
            </a:p>
          </xdr:txBody>
        </xdr:sp>
      </xdr:grpSp>
    </xdr:grpSp>
    <xdr:clientData/>
  </xdr:twoCellAnchor>
  <xdr:twoCellAnchor>
    <xdr:from>
      <xdr:col>8</xdr:col>
      <xdr:colOff>634365</xdr:colOff>
      <xdr:row>277</xdr:row>
      <xdr:rowOff>952</xdr:rowOff>
    </xdr:from>
    <xdr:to>
      <xdr:col>16</xdr:col>
      <xdr:colOff>302076</xdr:colOff>
      <xdr:row>292</xdr:row>
      <xdr:rowOff>118110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158990" y="53569552"/>
          <a:ext cx="3877761" cy="3098483"/>
          <a:chOff x="123825" y="54173437"/>
          <a:chExt cx="3912051" cy="3100388"/>
        </a:xfrm>
      </xdr:grpSpPr>
      <xdr:pic>
        <xdr:nvPicPr>
          <xdr:cNvPr id="33" name="Picture 32" descr="https://vsjcllp.vsjadon.com/upload/insp-220701-862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825" y="54249637"/>
            <a:ext cx="3912051" cy="30241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0" name="TextBox 20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847725" y="54830662"/>
            <a:ext cx="313713" cy="35606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</a:t>
            </a:r>
          </a:p>
        </xdr:txBody>
      </xdr:sp>
      <xdr:sp macro="" textlink="">
        <xdr:nvSpPr>
          <xdr:cNvPr id="41" name="TextBox 2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1800225" y="54382987"/>
            <a:ext cx="313713" cy="35606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  <xdr:sp macro="" textlink="">
        <xdr:nvSpPr>
          <xdr:cNvPr id="42" name="TextBox 20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2314575" y="54173437"/>
            <a:ext cx="313713" cy="35606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D</a:t>
            </a:r>
          </a:p>
        </xdr:txBody>
      </xdr:sp>
      <xdr:sp macro="" textlink="">
        <xdr:nvSpPr>
          <xdr:cNvPr id="43" name="TextBox 20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1352550" y="54811612"/>
            <a:ext cx="313713" cy="35606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</xdr:grpSp>
    <xdr:clientData/>
  </xdr:twoCellAnchor>
  <xdr:twoCellAnchor>
    <xdr:from>
      <xdr:col>8</xdr:col>
      <xdr:colOff>653415</xdr:colOff>
      <xdr:row>279</xdr:row>
      <xdr:rowOff>47625</xdr:rowOff>
    </xdr:from>
    <xdr:to>
      <xdr:col>20</xdr:col>
      <xdr:colOff>164428</xdr:colOff>
      <xdr:row>316</xdr:row>
      <xdr:rowOff>85725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178040" y="54016275"/>
          <a:ext cx="6159463" cy="7419975"/>
          <a:chOff x="806540" y="203040"/>
          <a:chExt cx="6102313" cy="7156520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9547" y="555956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67251" y="555956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13681" y="288130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0822" y="288130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540" y="288130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01681" y="20304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5681" y="203040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190500</xdr:colOff>
      <xdr:row>278</xdr:row>
      <xdr:rowOff>86548</xdr:rowOff>
    </xdr:from>
    <xdr:to>
      <xdr:col>7</xdr:col>
      <xdr:colOff>563656</xdr:colOff>
      <xdr:row>315</xdr:row>
      <xdr:rowOff>163063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AC719440-3D42-47A5-AA99-75E68136C221}"/>
            </a:ext>
          </a:extLst>
        </xdr:cNvPr>
        <xdr:cNvGrpSpPr/>
      </xdr:nvGrpSpPr>
      <xdr:grpSpPr>
        <a:xfrm>
          <a:off x="190500" y="53855173"/>
          <a:ext cx="6069106" cy="7458390"/>
          <a:chOff x="190500" y="53855173"/>
          <a:chExt cx="6069106" cy="7458390"/>
        </a:xfrm>
      </xdr:grpSpPr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3EF18FE2-52FC-4A2D-808A-E485D89C0372}"/>
              </a:ext>
            </a:extLst>
          </xdr:cNvPr>
          <xdr:cNvGrpSpPr/>
        </xdr:nvGrpSpPr>
        <xdr:grpSpPr>
          <a:xfrm>
            <a:off x="190500" y="53921025"/>
            <a:ext cx="6069106" cy="7392538"/>
            <a:chOff x="394447" y="473866"/>
            <a:chExt cx="6069106" cy="7392538"/>
          </a:xfrm>
        </xdr:grpSpPr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CBF11D82-D049-4A31-9FD4-C3F1A3CCA0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4447" y="473866"/>
              <a:ext cx="3836444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FDB4C396-153A-4412-8D0A-26A6B15677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5803" y="473866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B14CA1D5-E9B4-4C8E-B945-78D5D73982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24753" y="3450135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08E61044-921B-476C-9427-A25D4DF85F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81297" y="588640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0A38C864-81D7-417D-B492-3E1CF5B452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61812" y="3450135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F59B051B-D9B1-4816-819E-5B006A9CDF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84698" y="588640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239DF00E-63E4-4746-AED1-E233D8AC3C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88099" y="588640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0" name="TextBox 20">
            <a:extLst>
              <a:ext uri="{FF2B5EF4-FFF2-40B4-BE49-F238E27FC236}">
                <a16:creationId xmlns:a16="http://schemas.microsoft.com/office/drawing/2014/main" id="{C8CD5BF7-7E2F-4D6B-A333-DE69B2942B42}"/>
              </a:ext>
            </a:extLst>
          </xdr:cNvPr>
          <xdr:cNvSpPr txBox="1"/>
        </xdr:nvSpPr>
        <xdr:spPr>
          <a:xfrm>
            <a:off x="2577465" y="54169498"/>
            <a:ext cx="310963" cy="3558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  <xdr:sp macro="" textlink="">
        <xdr:nvSpPr>
          <xdr:cNvPr id="51" name="TextBox 20">
            <a:extLst>
              <a:ext uri="{FF2B5EF4-FFF2-40B4-BE49-F238E27FC236}">
                <a16:creationId xmlns:a16="http://schemas.microsoft.com/office/drawing/2014/main" id="{BAF61CD7-1DCB-4C14-A8A0-2381BF648FA1}"/>
              </a:ext>
            </a:extLst>
          </xdr:cNvPr>
          <xdr:cNvSpPr txBox="1"/>
        </xdr:nvSpPr>
        <xdr:spPr>
          <a:xfrm>
            <a:off x="3087307" y="54217252"/>
            <a:ext cx="310963" cy="3558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D</a:t>
            </a:r>
          </a:p>
        </xdr:txBody>
      </xdr:sp>
      <xdr:sp macro="" textlink="">
        <xdr:nvSpPr>
          <xdr:cNvPr id="52" name="TextBox 20">
            <a:extLst>
              <a:ext uri="{FF2B5EF4-FFF2-40B4-BE49-F238E27FC236}">
                <a16:creationId xmlns:a16="http://schemas.microsoft.com/office/drawing/2014/main" id="{E8A22B16-A84F-4D0F-98A6-288E52988A92}"/>
              </a:ext>
            </a:extLst>
          </xdr:cNvPr>
          <xdr:cNvSpPr txBox="1"/>
        </xdr:nvSpPr>
        <xdr:spPr>
          <a:xfrm>
            <a:off x="1177290" y="53855173"/>
            <a:ext cx="310963" cy="3558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</a:t>
            </a:r>
          </a:p>
        </xdr:txBody>
      </xdr:sp>
      <xdr:sp macro="" textlink="">
        <xdr:nvSpPr>
          <xdr:cNvPr id="53" name="TextBox 20">
            <a:extLst>
              <a:ext uri="{FF2B5EF4-FFF2-40B4-BE49-F238E27FC236}">
                <a16:creationId xmlns:a16="http://schemas.microsoft.com/office/drawing/2014/main" id="{13253FB7-505E-463A-AD09-9DA8C84BF104}"/>
              </a:ext>
            </a:extLst>
          </xdr:cNvPr>
          <xdr:cNvSpPr txBox="1"/>
        </xdr:nvSpPr>
        <xdr:spPr>
          <a:xfrm>
            <a:off x="1786890" y="54274273"/>
            <a:ext cx="310963" cy="3558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54" name="TextBox 20">
            <a:extLst>
              <a:ext uri="{FF2B5EF4-FFF2-40B4-BE49-F238E27FC236}">
                <a16:creationId xmlns:a16="http://schemas.microsoft.com/office/drawing/2014/main" id="{5DD60117-ECC4-4233-817C-CDCAA1CE67CD}"/>
              </a:ext>
            </a:extLst>
          </xdr:cNvPr>
          <xdr:cNvSpPr txBox="1"/>
        </xdr:nvSpPr>
        <xdr:spPr>
          <a:xfrm>
            <a:off x="5182807" y="53960077"/>
            <a:ext cx="310963" cy="3558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D</a:t>
            </a:r>
          </a:p>
        </xdr:txBody>
      </xdr:sp>
      <xdr:sp macro="" textlink="">
        <xdr:nvSpPr>
          <xdr:cNvPr id="55" name="TextBox 20">
            <a:extLst>
              <a:ext uri="{FF2B5EF4-FFF2-40B4-BE49-F238E27FC236}">
                <a16:creationId xmlns:a16="http://schemas.microsoft.com/office/drawing/2014/main" id="{4AEF9244-8BCC-49D4-9DD8-6947FA88734C}"/>
              </a:ext>
            </a:extLst>
          </xdr:cNvPr>
          <xdr:cNvSpPr txBox="1"/>
        </xdr:nvSpPr>
        <xdr:spPr>
          <a:xfrm>
            <a:off x="1615440" y="56978550"/>
            <a:ext cx="280035" cy="36619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</a:t>
            </a:r>
          </a:p>
        </xdr:txBody>
      </xdr:sp>
      <xdr:sp macro="" textlink="">
        <xdr:nvSpPr>
          <xdr:cNvPr id="56" name="TextBox 20">
            <a:extLst>
              <a:ext uri="{FF2B5EF4-FFF2-40B4-BE49-F238E27FC236}">
                <a16:creationId xmlns:a16="http://schemas.microsoft.com/office/drawing/2014/main" id="{AF5CB0E4-A854-4BA6-AC2F-B45B630BB520}"/>
              </a:ext>
            </a:extLst>
          </xdr:cNvPr>
          <xdr:cNvSpPr txBox="1"/>
        </xdr:nvSpPr>
        <xdr:spPr>
          <a:xfrm>
            <a:off x="2348865" y="57016650"/>
            <a:ext cx="280035" cy="36619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57" name="TextBox 20">
            <a:extLst>
              <a:ext uri="{FF2B5EF4-FFF2-40B4-BE49-F238E27FC236}">
                <a16:creationId xmlns:a16="http://schemas.microsoft.com/office/drawing/2014/main" id="{6C23B758-4CA7-4732-B29A-579F875CA98A}"/>
              </a:ext>
            </a:extLst>
          </xdr:cNvPr>
          <xdr:cNvSpPr txBox="1"/>
        </xdr:nvSpPr>
        <xdr:spPr>
          <a:xfrm>
            <a:off x="4177665" y="57007948"/>
            <a:ext cx="310963" cy="3558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  <xdr:sp macro="" textlink="">
        <xdr:nvSpPr>
          <xdr:cNvPr id="58" name="TextBox 20">
            <a:extLst>
              <a:ext uri="{FF2B5EF4-FFF2-40B4-BE49-F238E27FC236}">
                <a16:creationId xmlns:a16="http://schemas.microsoft.com/office/drawing/2014/main" id="{F004E0C9-DEC8-4F77-AD76-5F8AC7A3E581}"/>
              </a:ext>
            </a:extLst>
          </xdr:cNvPr>
          <xdr:cNvSpPr txBox="1"/>
        </xdr:nvSpPr>
        <xdr:spPr>
          <a:xfrm>
            <a:off x="4687507" y="57055702"/>
            <a:ext cx="310963" cy="3558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1CcX64S7Fi7dU74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20"/>
  <sheetViews>
    <sheetView tabSelected="1" view="pageBreakPreview" topLeftCell="A31" zoomScaleNormal="100" zoomScaleSheetLayoutView="100" zoomScalePageLayoutView="85" workbookViewId="0">
      <selection activeCell="I44" sqref="I44"/>
    </sheetView>
  </sheetViews>
  <sheetFormatPr defaultColWidth="9.140625" defaultRowHeight="15.75" x14ac:dyDescent="0.25"/>
  <cols>
    <col min="1" max="1" width="11.42578125" style="45" customWidth="1"/>
    <col min="2" max="2" width="12" style="45" customWidth="1"/>
    <col min="3" max="3" width="12.7109375" style="45" customWidth="1"/>
    <col min="4" max="4" width="14.140625" style="45" customWidth="1"/>
    <col min="5" max="7" width="11.7109375" style="45" customWidth="1"/>
    <col min="8" max="8" width="12.42578125" style="45" customWidth="1"/>
    <col min="9" max="9" width="17.42578125" style="24" customWidth="1"/>
    <col min="10" max="10" width="11.42578125" style="24" customWidth="1"/>
    <col min="11" max="11" width="10.5703125" style="24" bestFit="1" customWidth="1"/>
    <col min="12" max="12" width="11.85546875" style="24" bestFit="1" customWidth="1"/>
    <col min="13" max="13" width="11.85546875" style="24" customWidth="1"/>
    <col min="14" max="14" width="12.5703125" style="24" hidden="1" customWidth="1"/>
    <col min="15" max="15" width="9.85546875" style="24" hidden="1" customWidth="1"/>
    <col min="16" max="16" width="11.7109375" style="24" hidden="1" customWidth="1"/>
    <col min="17" max="247" width="9.140625" style="24"/>
    <col min="248" max="248" width="8.7109375" style="24" customWidth="1"/>
    <col min="249" max="249" width="9.85546875" style="24" customWidth="1"/>
    <col min="250" max="250" width="14.42578125" style="24" customWidth="1"/>
    <col min="251" max="251" width="7.28515625" style="24" customWidth="1"/>
    <col min="252" max="252" width="5.5703125" style="24" customWidth="1"/>
    <col min="253" max="253" width="9" style="24" customWidth="1"/>
    <col min="254" max="255" width="9.85546875" style="24" customWidth="1"/>
    <col min="256" max="256" width="11.140625" style="24" customWidth="1"/>
    <col min="257" max="257" width="2.85546875" style="24" customWidth="1"/>
    <col min="258" max="258" width="3.5703125" style="24" customWidth="1"/>
    <col min="259" max="503" width="9.140625" style="24"/>
    <col min="504" max="504" width="8.7109375" style="24" customWidth="1"/>
    <col min="505" max="505" width="9.85546875" style="24" customWidth="1"/>
    <col min="506" max="506" width="14.42578125" style="24" customWidth="1"/>
    <col min="507" max="507" width="7.28515625" style="24" customWidth="1"/>
    <col min="508" max="508" width="5.5703125" style="24" customWidth="1"/>
    <col min="509" max="509" width="9" style="24" customWidth="1"/>
    <col min="510" max="511" width="9.85546875" style="24" customWidth="1"/>
    <col min="512" max="512" width="11.140625" style="24" customWidth="1"/>
    <col min="513" max="513" width="2.85546875" style="24" customWidth="1"/>
    <col min="514" max="514" width="3.5703125" style="24" customWidth="1"/>
    <col min="515" max="759" width="9.140625" style="24"/>
    <col min="760" max="760" width="8.7109375" style="24" customWidth="1"/>
    <col min="761" max="761" width="9.85546875" style="24" customWidth="1"/>
    <col min="762" max="762" width="14.42578125" style="24" customWidth="1"/>
    <col min="763" max="763" width="7.28515625" style="24" customWidth="1"/>
    <col min="764" max="764" width="5.5703125" style="24" customWidth="1"/>
    <col min="765" max="765" width="9" style="24" customWidth="1"/>
    <col min="766" max="767" width="9.85546875" style="24" customWidth="1"/>
    <col min="768" max="768" width="11.140625" style="24" customWidth="1"/>
    <col min="769" max="769" width="2.85546875" style="24" customWidth="1"/>
    <col min="770" max="770" width="3.5703125" style="24" customWidth="1"/>
    <col min="771" max="1015" width="9.140625" style="24"/>
    <col min="1016" max="1016" width="8.7109375" style="24" customWidth="1"/>
    <col min="1017" max="1017" width="9.85546875" style="24" customWidth="1"/>
    <col min="1018" max="1018" width="14.42578125" style="24" customWidth="1"/>
    <col min="1019" max="1019" width="7.28515625" style="24" customWidth="1"/>
    <col min="1020" max="1020" width="5.5703125" style="24" customWidth="1"/>
    <col min="1021" max="1021" width="9" style="24" customWidth="1"/>
    <col min="1022" max="1023" width="9.85546875" style="24" customWidth="1"/>
    <col min="1024" max="1024" width="11.140625" style="24" customWidth="1"/>
    <col min="1025" max="1025" width="2.85546875" style="24" customWidth="1"/>
    <col min="1026" max="1026" width="3.5703125" style="24" customWidth="1"/>
    <col min="1027" max="1271" width="9.140625" style="24"/>
    <col min="1272" max="1272" width="8.7109375" style="24" customWidth="1"/>
    <col min="1273" max="1273" width="9.85546875" style="24" customWidth="1"/>
    <col min="1274" max="1274" width="14.42578125" style="24" customWidth="1"/>
    <col min="1275" max="1275" width="7.28515625" style="24" customWidth="1"/>
    <col min="1276" max="1276" width="5.5703125" style="24" customWidth="1"/>
    <col min="1277" max="1277" width="9" style="24" customWidth="1"/>
    <col min="1278" max="1279" width="9.85546875" style="24" customWidth="1"/>
    <col min="1280" max="1280" width="11.140625" style="24" customWidth="1"/>
    <col min="1281" max="1281" width="2.85546875" style="24" customWidth="1"/>
    <col min="1282" max="1282" width="3.5703125" style="24" customWidth="1"/>
    <col min="1283" max="1527" width="9.140625" style="24"/>
    <col min="1528" max="1528" width="8.7109375" style="24" customWidth="1"/>
    <col min="1529" max="1529" width="9.85546875" style="24" customWidth="1"/>
    <col min="1530" max="1530" width="14.42578125" style="24" customWidth="1"/>
    <col min="1531" max="1531" width="7.28515625" style="24" customWidth="1"/>
    <col min="1532" max="1532" width="5.5703125" style="24" customWidth="1"/>
    <col min="1533" max="1533" width="9" style="24" customWidth="1"/>
    <col min="1534" max="1535" width="9.85546875" style="24" customWidth="1"/>
    <col min="1536" max="1536" width="11.140625" style="24" customWidth="1"/>
    <col min="1537" max="1537" width="2.85546875" style="24" customWidth="1"/>
    <col min="1538" max="1538" width="3.5703125" style="24" customWidth="1"/>
    <col min="1539" max="1783" width="9.140625" style="24"/>
    <col min="1784" max="1784" width="8.7109375" style="24" customWidth="1"/>
    <col min="1785" max="1785" width="9.85546875" style="24" customWidth="1"/>
    <col min="1786" max="1786" width="14.42578125" style="24" customWidth="1"/>
    <col min="1787" max="1787" width="7.28515625" style="24" customWidth="1"/>
    <col min="1788" max="1788" width="5.5703125" style="24" customWidth="1"/>
    <col min="1789" max="1789" width="9" style="24" customWidth="1"/>
    <col min="1790" max="1791" width="9.85546875" style="24" customWidth="1"/>
    <col min="1792" max="1792" width="11.140625" style="24" customWidth="1"/>
    <col min="1793" max="1793" width="2.85546875" style="24" customWidth="1"/>
    <col min="1794" max="1794" width="3.5703125" style="24" customWidth="1"/>
    <col min="1795" max="2039" width="9.140625" style="24"/>
    <col min="2040" max="2040" width="8.7109375" style="24" customWidth="1"/>
    <col min="2041" max="2041" width="9.85546875" style="24" customWidth="1"/>
    <col min="2042" max="2042" width="14.42578125" style="24" customWidth="1"/>
    <col min="2043" max="2043" width="7.28515625" style="24" customWidth="1"/>
    <col min="2044" max="2044" width="5.5703125" style="24" customWidth="1"/>
    <col min="2045" max="2045" width="9" style="24" customWidth="1"/>
    <col min="2046" max="2047" width="9.85546875" style="24" customWidth="1"/>
    <col min="2048" max="2048" width="11.140625" style="24" customWidth="1"/>
    <col min="2049" max="2049" width="2.85546875" style="24" customWidth="1"/>
    <col min="2050" max="2050" width="3.5703125" style="24" customWidth="1"/>
    <col min="2051" max="2295" width="9.140625" style="24"/>
    <col min="2296" max="2296" width="8.7109375" style="24" customWidth="1"/>
    <col min="2297" max="2297" width="9.85546875" style="24" customWidth="1"/>
    <col min="2298" max="2298" width="14.42578125" style="24" customWidth="1"/>
    <col min="2299" max="2299" width="7.28515625" style="24" customWidth="1"/>
    <col min="2300" max="2300" width="5.5703125" style="24" customWidth="1"/>
    <col min="2301" max="2301" width="9" style="24" customWidth="1"/>
    <col min="2302" max="2303" width="9.85546875" style="24" customWidth="1"/>
    <col min="2304" max="2304" width="11.140625" style="24" customWidth="1"/>
    <col min="2305" max="2305" width="2.85546875" style="24" customWidth="1"/>
    <col min="2306" max="2306" width="3.5703125" style="24" customWidth="1"/>
    <col min="2307" max="2551" width="9.140625" style="24"/>
    <col min="2552" max="2552" width="8.7109375" style="24" customWidth="1"/>
    <col min="2553" max="2553" width="9.85546875" style="24" customWidth="1"/>
    <col min="2554" max="2554" width="14.42578125" style="24" customWidth="1"/>
    <col min="2555" max="2555" width="7.28515625" style="24" customWidth="1"/>
    <col min="2556" max="2556" width="5.5703125" style="24" customWidth="1"/>
    <col min="2557" max="2557" width="9" style="24" customWidth="1"/>
    <col min="2558" max="2559" width="9.85546875" style="24" customWidth="1"/>
    <col min="2560" max="2560" width="11.140625" style="24" customWidth="1"/>
    <col min="2561" max="2561" width="2.85546875" style="24" customWidth="1"/>
    <col min="2562" max="2562" width="3.5703125" style="24" customWidth="1"/>
    <col min="2563" max="2807" width="9.140625" style="24"/>
    <col min="2808" max="2808" width="8.7109375" style="24" customWidth="1"/>
    <col min="2809" max="2809" width="9.85546875" style="24" customWidth="1"/>
    <col min="2810" max="2810" width="14.42578125" style="24" customWidth="1"/>
    <col min="2811" max="2811" width="7.28515625" style="24" customWidth="1"/>
    <col min="2812" max="2812" width="5.5703125" style="24" customWidth="1"/>
    <col min="2813" max="2813" width="9" style="24" customWidth="1"/>
    <col min="2814" max="2815" width="9.85546875" style="24" customWidth="1"/>
    <col min="2816" max="2816" width="11.140625" style="24" customWidth="1"/>
    <col min="2817" max="2817" width="2.85546875" style="24" customWidth="1"/>
    <col min="2818" max="2818" width="3.5703125" style="24" customWidth="1"/>
    <col min="2819" max="3063" width="9.140625" style="24"/>
    <col min="3064" max="3064" width="8.7109375" style="24" customWidth="1"/>
    <col min="3065" max="3065" width="9.85546875" style="24" customWidth="1"/>
    <col min="3066" max="3066" width="14.42578125" style="24" customWidth="1"/>
    <col min="3067" max="3067" width="7.28515625" style="24" customWidth="1"/>
    <col min="3068" max="3068" width="5.5703125" style="24" customWidth="1"/>
    <col min="3069" max="3069" width="9" style="24" customWidth="1"/>
    <col min="3070" max="3071" width="9.85546875" style="24" customWidth="1"/>
    <col min="3072" max="3072" width="11.140625" style="24" customWidth="1"/>
    <col min="3073" max="3073" width="2.85546875" style="24" customWidth="1"/>
    <col min="3074" max="3074" width="3.5703125" style="24" customWidth="1"/>
    <col min="3075" max="3319" width="9.140625" style="24"/>
    <col min="3320" max="3320" width="8.7109375" style="24" customWidth="1"/>
    <col min="3321" max="3321" width="9.85546875" style="24" customWidth="1"/>
    <col min="3322" max="3322" width="14.42578125" style="24" customWidth="1"/>
    <col min="3323" max="3323" width="7.28515625" style="24" customWidth="1"/>
    <col min="3324" max="3324" width="5.5703125" style="24" customWidth="1"/>
    <col min="3325" max="3325" width="9" style="24" customWidth="1"/>
    <col min="3326" max="3327" width="9.85546875" style="24" customWidth="1"/>
    <col min="3328" max="3328" width="11.140625" style="24" customWidth="1"/>
    <col min="3329" max="3329" width="2.85546875" style="24" customWidth="1"/>
    <col min="3330" max="3330" width="3.5703125" style="24" customWidth="1"/>
    <col min="3331" max="3575" width="9.140625" style="24"/>
    <col min="3576" max="3576" width="8.7109375" style="24" customWidth="1"/>
    <col min="3577" max="3577" width="9.85546875" style="24" customWidth="1"/>
    <col min="3578" max="3578" width="14.42578125" style="24" customWidth="1"/>
    <col min="3579" max="3579" width="7.28515625" style="24" customWidth="1"/>
    <col min="3580" max="3580" width="5.5703125" style="24" customWidth="1"/>
    <col min="3581" max="3581" width="9" style="24" customWidth="1"/>
    <col min="3582" max="3583" width="9.85546875" style="24" customWidth="1"/>
    <col min="3584" max="3584" width="11.140625" style="24" customWidth="1"/>
    <col min="3585" max="3585" width="2.85546875" style="24" customWidth="1"/>
    <col min="3586" max="3586" width="3.5703125" style="24" customWidth="1"/>
    <col min="3587" max="3831" width="9.140625" style="24"/>
    <col min="3832" max="3832" width="8.7109375" style="24" customWidth="1"/>
    <col min="3833" max="3833" width="9.85546875" style="24" customWidth="1"/>
    <col min="3834" max="3834" width="14.42578125" style="24" customWidth="1"/>
    <col min="3835" max="3835" width="7.28515625" style="24" customWidth="1"/>
    <col min="3836" max="3836" width="5.5703125" style="24" customWidth="1"/>
    <col min="3837" max="3837" width="9" style="24" customWidth="1"/>
    <col min="3838" max="3839" width="9.85546875" style="24" customWidth="1"/>
    <col min="3840" max="3840" width="11.140625" style="24" customWidth="1"/>
    <col min="3841" max="3841" width="2.85546875" style="24" customWidth="1"/>
    <col min="3842" max="3842" width="3.5703125" style="24" customWidth="1"/>
    <col min="3843" max="4087" width="9.140625" style="24"/>
    <col min="4088" max="4088" width="8.7109375" style="24" customWidth="1"/>
    <col min="4089" max="4089" width="9.85546875" style="24" customWidth="1"/>
    <col min="4090" max="4090" width="14.42578125" style="24" customWidth="1"/>
    <col min="4091" max="4091" width="7.28515625" style="24" customWidth="1"/>
    <col min="4092" max="4092" width="5.5703125" style="24" customWidth="1"/>
    <col min="4093" max="4093" width="9" style="24" customWidth="1"/>
    <col min="4094" max="4095" width="9.85546875" style="24" customWidth="1"/>
    <col min="4096" max="4096" width="11.140625" style="24" customWidth="1"/>
    <col min="4097" max="4097" width="2.85546875" style="24" customWidth="1"/>
    <col min="4098" max="4098" width="3.5703125" style="24" customWidth="1"/>
    <col min="4099" max="4343" width="9.140625" style="24"/>
    <col min="4344" max="4344" width="8.7109375" style="24" customWidth="1"/>
    <col min="4345" max="4345" width="9.85546875" style="24" customWidth="1"/>
    <col min="4346" max="4346" width="14.42578125" style="24" customWidth="1"/>
    <col min="4347" max="4347" width="7.28515625" style="24" customWidth="1"/>
    <col min="4348" max="4348" width="5.5703125" style="24" customWidth="1"/>
    <col min="4349" max="4349" width="9" style="24" customWidth="1"/>
    <col min="4350" max="4351" width="9.85546875" style="24" customWidth="1"/>
    <col min="4352" max="4352" width="11.140625" style="24" customWidth="1"/>
    <col min="4353" max="4353" width="2.85546875" style="24" customWidth="1"/>
    <col min="4354" max="4354" width="3.5703125" style="24" customWidth="1"/>
    <col min="4355" max="4599" width="9.140625" style="24"/>
    <col min="4600" max="4600" width="8.7109375" style="24" customWidth="1"/>
    <col min="4601" max="4601" width="9.85546875" style="24" customWidth="1"/>
    <col min="4602" max="4602" width="14.42578125" style="24" customWidth="1"/>
    <col min="4603" max="4603" width="7.28515625" style="24" customWidth="1"/>
    <col min="4604" max="4604" width="5.5703125" style="24" customWidth="1"/>
    <col min="4605" max="4605" width="9" style="24" customWidth="1"/>
    <col min="4606" max="4607" width="9.85546875" style="24" customWidth="1"/>
    <col min="4608" max="4608" width="11.140625" style="24" customWidth="1"/>
    <col min="4609" max="4609" width="2.85546875" style="24" customWidth="1"/>
    <col min="4610" max="4610" width="3.5703125" style="24" customWidth="1"/>
    <col min="4611" max="4855" width="9.140625" style="24"/>
    <col min="4856" max="4856" width="8.7109375" style="24" customWidth="1"/>
    <col min="4857" max="4857" width="9.85546875" style="24" customWidth="1"/>
    <col min="4858" max="4858" width="14.42578125" style="24" customWidth="1"/>
    <col min="4859" max="4859" width="7.28515625" style="24" customWidth="1"/>
    <col min="4860" max="4860" width="5.5703125" style="24" customWidth="1"/>
    <col min="4861" max="4861" width="9" style="24" customWidth="1"/>
    <col min="4862" max="4863" width="9.85546875" style="24" customWidth="1"/>
    <col min="4864" max="4864" width="11.140625" style="24" customWidth="1"/>
    <col min="4865" max="4865" width="2.85546875" style="24" customWidth="1"/>
    <col min="4866" max="4866" width="3.5703125" style="24" customWidth="1"/>
    <col min="4867" max="5111" width="9.140625" style="24"/>
    <col min="5112" max="5112" width="8.7109375" style="24" customWidth="1"/>
    <col min="5113" max="5113" width="9.85546875" style="24" customWidth="1"/>
    <col min="5114" max="5114" width="14.42578125" style="24" customWidth="1"/>
    <col min="5115" max="5115" width="7.28515625" style="24" customWidth="1"/>
    <col min="5116" max="5116" width="5.5703125" style="24" customWidth="1"/>
    <col min="5117" max="5117" width="9" style="24" customWidth="1"/>
    <col min="5118" max="5119" width="9.85546875" style="24" customWidth="1"/>
    <col min="5120" max="5120" width="11.140625" style="24" customWidth="1"/>
    <col min="5121" max="5121" width="2.85546875" style="24" customWidth="1"/>
    <col min="5122" max="5122" width="3.5703125" style="24" customWidth="1"/>
    <col min="5123" max="5367" width="9.140625" style="24"/>
    <col min="5368" max="5368" width="8.7109375" style="24" customWidth="1"/>
    <col min="5369" max="5369" width="9.85546875" style="24" customWidth="1"/>
    <col min="5370" max="5370" width="14.42578125" style="24" customWidth="1"/>
    <col min="5371" max="5371" width="7.28515625" style="24" customWidth="1"/>
    <col min="5372" max="5372" width="5.5703125" style="24" customWidth="1"/>
    <col min="5373" max="5373" width="9" style="24" customWidth="1"/>
    <col min="5374" max="5375" width="9.85546875" style="24" customWidth="1"/>
    <col min="5376" max="5376" width="11.140625" style="24" customWidth="1"/>
    <col min="5377" max="5377" width="2.85546875" style="24" customWidth="1"/>
    <col min="5378" max="5378" width="3.5703125" style="24" customWidth="1"/>
    <col min="5379" max="5623" width="9.140625" style="24"/>
    <col min="5624" max="5624" width="8.7109375" style="24" customWidth="1"/>
    <col min="5625" max="5625" width="9.85546875" style="24" customWidth="1"/>
    <col min="5626" max="5626" width="14.42578125" style="24" customWidth="1"/>
    <col min="5627" max="5627" width="7.28515625" style="24" customWidth="1"/>
    <col min="5628" max="5628" width="5.5703125" style="24" customWidth="1"/>
    <col min="5629" max="5629" width="9" style="24" customWidth="1"/>
    <col min="5630" max="5631" width="9.85546875" style="24" customWidth="1"/>
    <col min="5632" max="5632" width="11.140625" style="24" customWidth="1"/>
    <col min="5633" max="5633" width="2.85546875" style="24" customWidth="1"/>
    <col min="5634" max="5634" width="3.5703125" style="24" customWidth="1"/>
    <col min="5635" max="5879" width="9.140625" style="24"/>
    <col min="5880" max="5880" width="8.7109375" style="24" customWidth="1"/>
    <col min="5881" max="5881" width="9.85546875" style="24" customWidth="1"/>
    <col min="5882" max="5882" width="14.42578125" style="24" customWidth="1"/>
    <col min="5883" max="5883" width="7.28515625" style="24" customWidth="1"/>
    <col min="5884" max="5884" width="5.5703125" style="24" customWidth="1"/>
    <col min="5885" max="5885" width="9" style="24" customWidth="1"/>
    <col min="5886" max="5887" width="9.85546875" style="24" customWidth="1"/>
    <col min="5888" max="5888" width="11.140625" style="24" customWidth="1"/>
    <col min="5889" max="5889" width="2.85546875" style="24" customWidth="1"/>
    <col min="5890" max="5890" width="3.5703125" style="24" customWidth="1"/>
    <col min="5891" max="6135" width="9.140625" style="24"/>
    <col min="6136" max="6136" width="8.7109375" style="24" customWidth="1"/>
    <col min="6137" max="6137" width="9.85546875" style="24" customWidth="1"/>
    <col min="6138" max="6138" width="14.42578125" style="24" customWidth="1"/>
    <col min="6139" max="6139" width="7.28515625" style="24" customWidth="1"/>
    <col min="6140" max="6140" width="5.5703125" style="24" customWidth="1"/>
    <col min="6141" max="6141" width="9" style="24" customWidth="1"/>
    <col min="6142" max="6143" width="9.85546875" style="24" customWidth="1"/>
    <col min="6144" max="6144" width="11.140625" style="24" customWidth="1"/>
    <col min="6145" max="6145" width="2.85546875" style="24" customWidth="1"/>
    <col min="6146" max="6146" width="3.5703125" style="24" customWidth="1"/>
    <col min="6147" max="6391" width="9.140625" style="24"/>
    <col min="6392" max="6392" width="8.7109375" style="24" customWidth="1"/>
    <col min="6393" max="6393" width="9.85546875" style="24" customWidth="1"/>
    <col min="6394" max="6394" width="14.42578125" style="24" customWidth="1"/>
    <col min="6395" max="6395" width="7.28515625" style="24" customWidth="1"/>
    <col min="6396" max="6396" width="5.5703125" style="24" customWidth="1"/>
    <col min="6397" max="6397" width="9" style="24" customWidth="1"/>
    <col min="6398" max="6399" width="9.85546875" style="24" customWidth="1"/>
    <col min="6400" max="6400" width="11.140625" style="24" customWidth="1"/>
    <col min="6401" max="6401" width="2.85546875" style="24" customWidth="1"/>
    <col min="6402" max="6402" width="3.5703125" style="24" customWidth="1"/>
    <col min="6403" max="6647" width="9.140625" style="24"/>
    <col min="6648" max="6648" width="8.7109375" style="24" customWidth="1"/>
    <col min="6649" max="6649" width="9.85546875" style="24" customWidth="1"/>
    <col min="6650" max="6650" width="14.42578125" style="24" customWidth="1"/>
    <col min="6651" max="6651" width="7.28515625" style="24" customWidth="1"/>
    <col min="6652" max="6652" width="5.5703125" style="24" customWidth="1"/>
    <col min="6653" max="6653" width="9" style="24" customWidth="1"/>
    <col min="6654" max="6655" width="9.85546875" style="24" customWidth="1"/>
    <col min="6656" max="6656" width="11.140625" style="24" customWidth="1"/>
    <col min="6657" max="6657" width="2.85546875" style="24" customWidth="1"/>
    <col min="6658" max="6658" width="3.5703125" style="24" customWidth="1"/>
    <col min="6659" max="6903" width="9.140625" style="24"/>
    <col min="6904" max="6904" width="8.7109375" style="24" customWidth="1"/>
    <col min="6905" max="6905" width="9.85546875" style="24" customWidth="1"/>
    <col min="6906" max="6906" width="14.42578125" style="24" customWidth="1"/>
    <col min="6907" max="6907" width="7.28515625" style="24" customWidth="1"/>
    <col min="6908" max="6908" width="5.5703125" style="24" customWidth="1"/>
    <col min="6909" max="6909" width="9" style="24" customWidth="1"/>
    <col min="6910" max="6911" width="9.85546875" style="24" customWidth="1"/>
    <col min="6912" max="6912" width="11.140625" style="24" customWidth="1"/>
    <col min="6913" max="6913" width="2.85546875" style="24" customWidth="1"/>
    <col min="6914" max="6914" width="3.5703125" style="24" customWidth="1"/>
    <col min="6915" max="7159" width="9.140625" style="24"/>
    <col min="7160" max="7160" width="8.7109375" style="24" customWidth="1"/>
    <col min="7161" max="7161" width="9.85546875" style="24" customWidth="1"/>
    <col min="7162" max="7162" width="14.42578125" style="24" customWidth="1"/>
    <col min="7163" max="7163" width="7.28515625" style="24" customWidth="1"/>
    <col min="7164" max="7164" width="5.5703125" style="24" customWidth="1"/>
    <col min="7165" max="7165" width="9" style="24" customWidth="1"/>
    <col min="7166" max="7167" width="9.85546875" style="24" customWidth="1"/>
    <col min="7168" max="7168" width="11.140625" style="24" customWidth="1"/>
    <col min="7169" max="7169" width="2.85546875" style="24" customWidth="1"/>
    <col min="7170" max="7170" width="3.5703125" style="24" customWidth="1"/>
    <col min="7171" max="7415" width="9.140625" style="24"/>
    <col min="7416" max="7416" width="8.7109375" style="24" customWidth="1"/>
    <col min="7417" max="7417" width="9.85546875" style="24" customWidth="1"/>
    <col min="7418" max="7418" width="14.42578125" style="24" customWidth="1"/>
    <col min="7419" max="7419" width="7.28515625" style="24" customWidth="1"/>
    <col min="7420" max="7420" width="5.5703125" style="24" customWidth="1"/>
    <col min="7421" max="7421" width="9" style="24" customWidth="1"/>
    <col min="7422" max="7423" width="9.85546875" style="24" customWidth="1"/>
    <col min="7424" max="7424" width="11.140625" style="24" customWidth="1"/>
    <col min="7425" max="7425" width="2.85546875" style="24" customWidth="1"/>
    <col min="7426" max="7426" width="3.5703125" style="24" customWidth="1"/>
    <col min="7427" max="7671" width="9.140625" style="24"/>
    <col min="7672" max="7672" width="8.7109375" style="24" customWidth="1"/>
    <col min="7673" max="7673" width="9.85546875" style="24" customWidth="1"/>
    <col min="7674" max="7674" width="14.42578125" style="24" customWidth="1"/>
    <col min="7675" max="7675" width="7.28515625" style="24" customWidth="1"/>
    <col min="7676" max="7676" width="5.5703125" style="24" customWidth="1"/>
    <col min="7677" max="7677" width="9" style="24" customWidth="1"/>
    <col min="7678" max="7679" width="9.85546875" style="24" customWidth="1"/>
    <col min="7680" max="7680" width="11.140625" style="24" customWidth="1"/>
    <col min="7681" max="7681" width="2.85546875" style="24" customWidth="1"/>
    <col min="7682" max="7682" width="3.5703125" style="24" customWidth="1"/>
    <col min="7683" max="7927" width="9.140625" style="24"/>
    <col min="7928" max="7928" width="8.7109375" style="24" customWidth="1"/>
    <col min="7929" max="7929" width="9.85546875" style="24" customWidth="1"/>
    <col min="7930" max="7930" width="14.42578125" style="24" customWidth="1"/>
    <col min="7931" max="7931" width="7.28515625" style="24" customWidth="1"/>
    <col min="7932" max="7932" width="5.5703125" style="24" customWidth="1"/>
    <col min="7933" max="7933" width="9" style="24" customWidth="1"/>
    <col min="7934" max="7935" width="9.85546875" style="24" customWidth="1"/>
    <col min="7936" max="7936" width="11.140625" style="24" customWidth="1"/>
    <col min="7937" max="7937" width="2.85546875" style="24" customWidth="1"/>
    <col min="7938" max="7938" width="3.5703125" style="24" customWidth="1"/>
    <col min="7939" max="8183" width="9.140625" style="24"/>
    <col min="8184" max="8184" width="8.7109375" style="24" customWidth="1"/>
    <col min="8185" max="8185" width="9.85546875" style="24" customWidth="1"/>
    <col min="8186" max="8186" width="14.42578125" style="24" customWidth="1"/>
    <col min="8187" max="8187" width="7.28515625" style="24" customWidth="1"/>
    <col min="8188" max="8188" width="5.5703125" style="24" customWidth="1"/>
    <col min="8189" max="8189" width="9" style="24" customWidth="1"/>
    <col min="8190" max="8191" width="9.85546875" style="24" customWidth="1"/>
    <col min="8192" max="8192" width="11.140625" style="24" customWidth="1"/>
    <col min="8193" max="8193" width="2.85546875" style="24" customWidth="1"/>
    <col min="8194" max="8194" width="3.5703125" style="24" customWidth="1"/>
    <col min="8195" max="8439" width="9.140625" style="24"/>
    <col min="8440" max="8440" width="8.7109375" style="24" customWidth="1"/>
    <col min="8441" max="8441" width="9.85546875" style="24" customWidth="1"/>
    <col min="8442" max="8442" width="14.42578125" style="24" customWidth="1"/>
    <col min="8443" max="8443" width="7.28515625" style="24" customWidth="1"/>
    <col min="8444" max="8444" width="5.5703125" style="24" customWidth="1"/>
    <col min="8445" max="8445" width="9" style="24" customWidth="1"/>
    <col min="8446" max="8447" width="9.85546875" style="24" customWidth="1"/>
    <col min="8448" max="8448" width="11.140625" style="24" customWidth="1"/>
    <col min="8449" max="8449" width="2.85546875" style="24" customWidth="1"/>
    <col min="8450" max="8450" width="3.5703125" style="24" customWidth="1"/>
    <col min="8451" max="8695" width="9.140625" style="24"/>
    <col min="8696" max="8696" width="8.7109375" style="24" customWidth="1"/>
    <col min="8697" max="8697" width="9.85546875" style="24" customWidth="1"/>
    <col min="8698" max="8698" width="14.42578125" style="24" customWidth="1"/>
    <col min="8699" max="8699" width="7.28515625" style="24" customWidth="1"/>
    <col min="8700" max="8700" width="5.5703125" style="24" customWidth="1"/>
    <col min="8701" max="8701" width="9" style="24" customWidth="1"/>
    <col min="8702" max="8703" width="9.85546875" style="24" customWidth="1"/>
    <col min="8704" max="8704" width="11.140625" style="24" customWidth="1"/>
    <col min="8705" max="8705" width="2.85546875" style="24" customWidth="1"/>
    <col min="8706" max="8706" width="3.5703125" style="24" customWidth="1"/>
    <col min="8707" max="8951" width="9.140625" style="24"/>
    <col min="8952" max="8952" width="8.7109375" style="24" customWidth="1"/>
    <col min="8953" max="8953" width="9.85546875" style="24" customWidth="1"/>
    <col min="8954" max="8954" width="14.42578125" style="24" customWidth="1"/>
    <col min="8955" max="8955" width="7.28515625" style="24" customWidth="1"/>
    <col min="8956" max="8956" width="5.5703125" style="24" customWidth="1"/>
    <col min="8957" max="8957" width="9" style="24" customWidth="1"/>
    <col min="8958" max="8959" width="9.85546875" style="24" customWidth="1"/>
    <col min="8960" max="8960" width="11.140625" style="24" customWidth="1"/>
    <col min="8961" max="8961" width="2.85546875" style="24" customWidth="1"/>
    <col min="8962" max="8962" width="3.5703125" style="24" customWidth="1"/>
    <col min="8963" max="9207" width="9.140625" style="24"/>
    <col min="9208" max="9208" width="8.7109375" style="24" customWidth="1"/>
    <col min="9209" max="9209" width="9.85546875" style="24" customWidth="1"/>
    <col min="9210" max="9210" width="14.42578125" style="24" customWidth="1"/>
    <col min="9211" max="9211" width="7.28515625" style="24" customWidth="1"/>
    <col min="9212" max="9212" width="5.5703125" style="24" customWidth="1"/>
    <col min="9213" max="9213" width="9" style="24" customWidth="1"/>
    <col min="9214" max="9215" width="9.85546875" style="24" customWidth="1"/>
    <col min="9216" max="9216" width="11.140625" style="24" customWidth="1"/>
    <col min="9217" max="9217" width="2.85546875" style="24" customWidth="1"/>
    <col min="9218" max="9218" width="3.5703125" style="24" customWidth="1"/>
    <col min="9219" max="9463" width="9.140625" style="24"/>
    <col min="9464" max="9464" width="8.7109375" style="24" customWidth="1"/>
    <col min="9465" max="9465" width="9.85546875" style="24" customWidth="1"/>
    <col min="9466" max="9466" width="14.42578125" style="24" customWidth="1"/>
    <col min="9467" max="9467" width="7.28515625" style="24" customWidth="1"/>
    <col min="9468" max="9468" width="5.5703125" style="24" customWidth="1"/>
    <col min="9469" max="9469" width="9" style="24" customWidth="1"/>
    <col min="9470" max="9471" width="9.85546875" style="24" customWidth="1"/>
    <col min="9472" max="9472" width="11.140625" style="24" customWidth="1"/>
    <col min="9473" max="9473" width="2.85546875" style="24" customWidth="1"/>
    <col min="9474" max="9474" width="3.5703125" style="24" customWidth="1"/>
    <col min="9475" max="9719" width="9.140625" style="24"/>
    <col min="9720" max="9720" width="8.7109375" style="24" customWidth="1"/>
    <col min="9721" max="9721" width="9.85546875" style="24" customWidth="1"/>
    <col min="9722" max="9722" width="14.42578125" style="24" customWidth="1"/>
    <col min="9723" max="9723" width="7.28515625" style="24" customWidth="1"/>
    <col min="9724" max="9724" width="5.5703125" style="24" customWidth="1"/>
    <col min="9725" max="9725" width="9" style="24" customWidth="1"/>
    <col min="9726" max="9727" width="9.85546875" style="24" customWidth="1"/>
    <col min="9728" max="9728" width="11.140625" style="24" customWidth="1"/>
    <col min="9729" max="9729" width="2.85546875" style="24" customWidth="1"/>
    <col min="9730" max="9730" width="3.5703125" style="24" customWidth="1"/>
    <col min="9731" max="9975" width="9.140625" style="24"/>
    <col min="9976" max="9976" width="8.7109375" style="24" customWidth="1"/>
    <col min="9977" max="9977" width="9.85546875" style="24" customWidth="1"/>
    <col min="9978" max="9978" width="14.42578125" style="24" customWidth="1"/>
    <col min="9979" max="9979" width="7.28515625" style="24" customWidth="1"/>
    <col min="9980" max="9980" width="5.5703125" style="24" customWidth="1"/>
    <col min="9981" max="9981" width="9" style="24" customWidth="1"/>
    <col min="9982" max="9983" width="9.85546875" style="24" customWidth="1"/>
    <col min="9984" max="9984" width="11.140625" style="24" customWidth="1"/>
    <col min="9985" max="9985" width="2.85546875" style="24" customWidth="1"/>
    <col min="9986" max="9986" width="3.5703125" style="24" customWidth="1"/>
    <col min="9987" max="10231" width="9.140625" style="24"/>
    <col min="10232" max="10232" width="8.7109375" style="24" customWidth="1"/>
    <col min="10233" max="10233" width="9.85546875" style="24" customWidth="1"/>
    <col min="10234" max="10234" width="14.42578125" style="24" customWidth="1"/>
    <col min="10235" max="10235" width="7.28515625" style="24" customWidth="1"/>
    <col min="10236" max="10236" width="5.5703125" style="24" customWidth="1"/>
    <col min="10237" max="10237" width="9" style="24" customWidth="1"/>
    <col min="10238" max="10239" width="9.85546875" style="24" customWidth="1"/>
    <col min="10240" max="10240" width="11.140625" style="24" customWidth="1"/>
    <col min="10241" max="10241" width="2.85546875" style="24" customWidth="1"/>
    <col min="10242" max="10242" width="3.5703125" style="24" customWidth="1"/>
    <col min="10243" max="10487" width="9.140625" style="24"/>
    <col min="10488" max="10488" width="8.7109375" style="24" customWidth="1"/>
    <col min="10489" max="10489" width="9.85546875" style="24" customWidth="1"/>
    <col min="10490" max="10490" width="14.42578125" style="24" customWidth="1"/>
    <col min="10491" max="10491" width="7.28515625" style="24" customWidth="1"/>
    <col min="10492" max="10492" width="5.5703125" style="24" customWidth="1"/>
    <col min="10493" max="10493" width="9" style="24" customWidth="1"/>
    <col min="10494" max="10495" width="9.85546875" style="24" customWidth="1"/>
    <col min="10496" max="10496" width="11.140625" style="24" customWidth="1"/>
    <col min="10497" max="10497" width="2.85546875" style="24" customWidth="1"/>
    <col min="10498" max="10498" width="3.5703125" style="24" customWidth="1"/>
    <col min="10499" max="10743" width="9.140625" style="24"/>
    <col min="10744" max="10744" width="8.7109375" style="24" customWidth="1"/>
    <col min="10745" max="10745" width="9.85546875" style="24" customWidth="1"/>
    <col min="10746" max="10746" width="14.42578125" style="24" customWidth="1"/>
    <col min="10747" max="10747" width="7.28515625" style="24" customWidth="1"/>
    <col min="10748" max="10748" width="5.5703125" style="24" customWidth="1"/>
    <col min="10749" max="10749" width="9" style="24" customWidth="1"/>
    <col min="10750" max="10751" width="9.85546875" style="24" customWidth="1"/>
    <col min="10752" max="10752" width="11.140625" style="24" customWidth="1"/>
    <col min="10753" max="10753" width="2.85546875" style="24" customWidth="1"/>
    <col min="10754" max="10754" width="3.5703125" style="24" customWidth="1"/>
    <col min="10755" max="10999" width="9.140625" style="24"/>
    <col min="11000" max="11000" width="8.7109375" style="24" customWidth="1"/>
    <col min="11001" max="11001" width="9.85546875" style="24" customWidth="1"/>
    <col min="11002" max="11002" width="14.42578125" style="24" customWidth="1"/>
    <col min="11003" max="11003" width="7.28515625" style="24" customWidth="1"/>
    <col min="11004" max="11004" width="5.5703125" style="24" customWidth="1"/>
    <col min="11005" max="11005" width="9" style="24" customWidth="1"/>
    <col min="11006" max="11007" width="9.85546875" style="24" customWidth="1"/>
    <col min="11008" max="11008" width="11.140625" style="24" customWidth="1"/>
    <col min="11009" max="11009" width="2.85546875" style="24" customWidth="1"/>
    <col min="11010" max="11010" width="3.5703125" style="24" customWidth="1"/>
    <col min="11011" max="11255" width="9.140625" style="24"/>
    <col min="11256" max="11256" width="8.7109375" style="24" customWidth="1"/>
    <col min="11257" max="11257" width="9.85546875" style="24" customWidth="1"/>
    <col min="11258" max="11258" width="14.42578125" style="24" customWidth="1"/>
    <col min="11259" max="11259" width="7.28515625" style="24" customWidth="1"/>
    <col min="11260" max="11260" width="5.5703125" style="24" customWidth="1"/>
    <col min="11261" max="11261" width="9" style="24" customWidth="1"/>
    <col min="11262" max="11263" width="9.85546875" style="24" customWidth="1"/>
    <col min="11264" max="11264" width="11.140625" style="24" customWidth="1"/>
    <col min="11265" max="11265" width="2.85546875" style="24" customWidth="1"/>
    <col min="11266" max="11266" width="3.5703125" style="24" customWidth="1"/>
    <col min="11267" max="11511" width="9.140625" style="24"/>
    <col min="11512" max="11512" width="8.7109375" style="24" customWidth="1"/>
    <col min="11513" max="11513" width="9.85546875" style="24" customWidth="1"/>
    <col min="11514" max="11514" width="14.42578125" style="24" customWidth="1"/>
    <col min="11515" max="11515" width="7.28515625" style="24" customWidth="1"/>
    <col min="11516" max="11516" width="5.5703125" style="24" customWidth="1"/>
    <col min="11517" max="11517" width="9" style="24" customWidth="1"/>
    <col min="11518" max="11519" width="9.85546875" style="24" customWidth="1"/>
    <col min="11520" max="11520" width="11.140625" style="24" customWidth="1"/>
    <col min="11521" max="11521" width="2.85546875" style="24" customWidth="1"/>
    <col min="11522" max="11522" width="3.5703125" style="24" customWidth="1"/>
    <col min="11523" max="11767" width="9.140625" style="24"/>
    <col min="11768" max="11768" width="8.7109375" style="24" customWidth="1"/>
    <col min="11769" max="11769" width="9.85546875" style="24" customWidth="1"/>
    <col min="11770" max="11770" width="14.42578125" style="24" customWidth="1"/>
    <col min="11771" max="11771" width="7.28515625" style="24" customWidth="1"/>
    <col min="11772" max="11772" width="5.5703125" style="24" customWidth="1"/>
    <col min="11773" max="11773" width="9" style="24" customWidth="1"/>
    <col min="11774" max="11775" width="9.85546875" style="24" customWidth="1"/>
    <col min="11776" max="11776" width="11.140625" style="24" customWidth="1"/>
    <col min="11777" max="11777" width="2.85546875" style="24" customWidth="1"/>
    <col min="11778" max="11778" width="3.5703125" style="24" customWidth="1"/>
    <col min="11779" max="12023" width="9.140625" style="24"/>
    <col min="12024" max="12024" width="8.7109375" style="24" customWidth="1"/>
    <col min="12025" max="12025" width="9.85546875" style="24" customWidth="1"/>
    <col min="12026" max="12026" width="14.42578125" style="24" customWidth="1"/>
    <col min="12027" max="12027" width="7.28515625" style="24" customWidth="1"/>
    <col min="12028" max="12028" width="5.5703125" style="24" customWidth="1"/>
    <col min="12029" max="12029" width="9" style="24" customWidth="1"/>
    <col min="12030" max="12031" width="9.85546875" style="24" customWidth="1"/>
    <col min="12032" max="12032" width="11.140625" style="24" customWidth="1"/>
    <col min="12033" max="12033" width="2.85546875" style="24" customWidth="1"/>
    <col min="12034" max="12034" width="3.5703125" style="24" customWidth="1"/>
    <col min="12035" max="12279" width="9.140625" style="24"/>
    <col min="12280" max="12280" width="8.7109375" style="24" customWidth="1"/>
    <col min="12281" max="12281" width="9.85546875" style="24" customWidth="1"/>
    <col min="12282" max="12282" width="14.42578125" style="24" customWidth="1"/>
    <col min="12283" max="12283" width="7.28515625" style="24" customWidth="1"/>
    <col min="12284" max="12284" width="5.5703125" style="24" customWidth="1"/>
    <col min="12285" max="12285" width="9" style="24" customWidth="1"/>
    <col min="12286" max="12287" width="9.85546875" style="24" customWidth="1"/>
    <col min="12288" max="12288" width="11.140625" style="24" customWidth="1"/>
    <col min="12289" max="12289" width="2.85546875" style="24" customWidth="1"/>
    <col min="12290" max="12290" width="3.5703125" style="24" customWidth="1"/>
    <col min="12291" max="12535" width="9.140625" style="24"/>
    <col min="12536" max="12536" width="8.7109375" style="24" customWidth="1"/>
    <col min="12537" max="12537" width="9.85546875" style="24" customWidth="1"/>
    <col min="12538" max="12538" width="14.42578125" style="24" customWidth="1"/>
    <col min="12539" max="12539" width="7.28515625" style="24" customWidth="1"/>
    <col min="12540" max="12540" width="5.5703125" style="24" customWidth="1"/>
    <col min="12541" max="12541" width="9" style="24" customWidth="1"/>
    <col min="12542" max="12543" width="9.85546875" style="24" customWidth="1"/>
    <col min="12544" max="12544" width="11.140625" style="24" customWidth="1"/>
    <col min="12545" max="12545" width="2.85546875" style="24" customWidth="1"/>
    <col min="12546" max="12546" width="3.5703125" style="24" customWidth="1"/>
    <col min="12547" max="12791" width="9.140625" style="24"/>
    <col min="12792" max="12792" width="8.7109375" style="24" customWidth="1"/>
    <col min="12793" max="12793" width="9.85546875" style="24" customWidth="1"/>
    <col min="12794" max="12794" width="14.42578125" style="24" customWidth="1"/>
    <col min="12795" max="12795" width="7.28515625" style="24" customWidth="1"/>
    <col min="12796" max="12796" width="5.5703125" style="24" customWidth="1"/>
    <col min="12797" max="12797" width="9" style="24" customWidth="1"/>
    <col min="12798" max="12799" width="9.85546875" style="24" customWidth="1"/>
    <col min="12800" max="12800" width="11.140625" style="24" customWidth="1"/>
    <col min="12801" max="12801" width="2.85546875" style="24" customWidth="1"/>
    <col min="12802" max="12802" width="3.5703125" style="24" customWidth="1"/>
    <col min="12803" max="13047" width="9.140625" style="24"/>
    <col min="13048" max="13048" width="8.7109375" style="24" customWidth="1"/>
    <col min="13049" max="13049" width="9.85546875" style="24" customWidth="1"/>
    <col min="13050" max="13050" width="14.42578125" style="24" customWidth="1"/>
    <col min="13051" max="13051" width="7.28515625" style="24" customWidth="1"/>
    <col min="13052" max="13052" width="5.5703125" style="24" customWidth="1"/>
    <col min="13053" max="13053" width="9" style="24" customWidth="1"/>
    <col min="13054" max="13055" width="9.85546875" style="24" customWidth="1"/>
    <col min="13056" max="13056" width="11.140625" style="24" customWidth="1"/>
    <col min="13057" max="13057" width="2.85546875" style="24" customWidth="1"/>
    <col min="13058" max="13058" width="3.5703125" style="24" customWidth="1"/>
    <col min="13059" max="13303" width="9.140625" style="24"/>
    <col min="13304" max="13304" width="8.7109375" style="24" customWidth="1"/>
    <col min="13305" max="13305" width="9.85546875" style="24" customWidth="1"/>
    <col min="13306" max="13306" width="14.42578125" style="24" customWidth="1"/>
    <col min="13307" max="13307" width="7.28515625" style="24" customWidth="1"/>
    <col min="13308" max="13308" width="5.5703125" style="24" customWidth="1"/>
    <col min="13309" max="13309" width="9" style="24" customWidth="1"/>
    <col min="13310" max="13311" width="9.85546875" style="24" customWidth="1"/>
    <col min="13312" max="13312" width="11.140625" style="24" customWidth="1"/>
    <col min="13313" max="13313" width="2.85546875" style="24" customWidth="1"/>
    <col min="13314" max="13314" width="3.5703125" style="24" customWidth="1"/>
    <col min="13315" max="13559" width="9.140625" style="24"/>
    <col min="13560" max="13560" width="8.7109375" style="24" customWidth="1"/>
    <col min="13561" max="13561" width="9.85546875" style="24" customWidth="1"/>
    <col min="13562" max="13562" width="14.42578125" style="24" customWidth="1"/>
    <col min="13563" max="13563" width="7.28515625" style="24" customWidth="1"/>
    <col min="13564" max="13564" width="5.5703125" style="24" customWidth="1"/>
    <col min="13565" max="13565" width="9" style="24" customWidth="1"/>
    <col min="13566" max="13567" width="9.85546875" style="24" customWidth="1"/>
    <col min="13568" max="13568" width="11.140625" style="24" customWidth="1"/>
    <col min="13569" max="13569" width="2.85546875" style="24" customWidth="1"/>
    <col min="13570" max="13570" width="3.5703125" style="24" customWidth="1"/>
    <col min="13571" max="13815" width="9.140625" style="24"/>
    <col min="13816" max="13816" width="8.7109375" style="24" customWidth="1"/>
    <col min="13817" max="13817" width="9.85546875" style="24" customWidth="1"/>
    <col min="13818" max="13818" width="14.42578125" style="24" customWidth="1"/>
    <col min="13819" max="13819" width="7.28515625" style="24" customWidth="1"/>
    <col min="13820" max="13820" width="5.5703125" style="24" customWidth="1"/>
    <col min="13821" max="13821" width="9" style="24" customWidth="1"/>
    <col min="13822" max="13823" width="9.85546875" style="24" customWidth="1"/>
    <col min="13824" max="13824" width="11.140625" style="24" customWidth="1"/>
    <col min="13825" max="13825" width="2.85546875" style="24" customWidth="1"/>
    <col min="13826" max="13826" width="3.5703125" style="24" customWidth="1"/>
    <col min="13827" max="14071" width="9.140625" style="24"/>
    <col min="14072" max="14072" width="8.7109375" style="24" customWidth="1"/>
    <col min="14073" max="14073" width="9.85546875" style="24" customWidth="1"/>
    <col min="14074" max="14074" width="14.42578125" style="24" customWidth="1"/>
    <col min="14075" max="14075" width="7.28515625" style="24" customWidth="1"/>
    <col min="14076" max="14076" width="5.5703125" style="24" customWidth="1"/>
    <col min="14077" max="14077" width="9" style="24" customWidth="1"/>
    <col min="14078" max="14079" width="9.85546875" style="24" customWidth="1"/>
    <col min="14080" max="14080" width="11.140625" style="24" customWidth="1"/>
    <col min="14081" max="14081" width="2.85546875" style="24" customWidth="1"/>
    <col min="14082" max="14082" width="3.5703125" style="24" customWidth="1"/>
    <col min="14083" max="14327" width="9.140625" style="24"/>
    <col min="14328" max="14328" width="8.7109375" style="24" customWidth="1"/>
    <col min="14329" max="14329" width="9.85546875" style="24" customWidth="1"/>
    <col min="14330" max="14330" width="14.42578125" style="24" customWidth="1"/>
    <col min="14331" max="14331" width="7.28515625" style="24" customWidth="1"/>
    <col min="14332" max="14332" width="5.5703125" style="24" customWidth="1"/>
    <col min="14333" max="14333" width="9" style="24" customWidth="1"/>
    <col min="14334" max="14335" width="9.85546875" style="24" customWidth="1"/>
    <col min="14336" max="14336" width="11.140625" style="24" customWidth="1"/>
    <col min="14337" max="14337" width="2.85546875" style="24" customWidth="1"/>
    <col min="14338" max="14338" width="3.5703125" style="24" customWidth="1"/>
    <col min="14339" max="14583" width="9.140625" style="24"/>
    <col min="14584" max="14584" width="8.7109375" style="24" customWidth="1"/>
    <col min="14585" max="14585" width="9.85546875" style="24" customWidth="1"/>
    <col min="14586" max="14586" width="14.42578125" style="24" customWidth="1"/>
    <col min="14587" max="14587" width="7.28515625" style="24" customWidth="1"/>
    <col min="14588" max="14588" width="5.5703125" style="24" customWidth="1"/>
    <col min="14589" max="14589" width="9" style="24" customWidth="1"/>
    <col min="14590" max="14591" width="9.85546875" style="24" customWidth="1"/>
    <col min="14592" max="14592" width="11.140625" style="24" customWidth="1"/>
    <col min="14593" max="14593" width="2.85546875" style="24" customWidth="1"/>
    <col min="14594" max="14594" width="3.5703125" style="24" customWidth="1"/>
    <col min="14595" max="14839" width="9.140625" style="24"/>
    <col min="14840" max="14840" width="8.7109375" style="24" customWidth="1"/>
    <col min="14841" max="14841" width="9.85546875" style="24" customWidth="1"/>
    <col min="14842" max="14842" width="14.42578125" style="24" customWidth="1"/>
    <col min="14843" max="14843" width="7.28515625" style="24" customWidth="1"/>
    <col min="14844" max="14844" width="5.5703125" style="24" customWidth="1"/>
    <col min="14845" max="14845" width="9" style="24" customWidth="1"/>
    <col min="14846" max="14847" width="9.85546875" style="24" customWidth="1"/>
    <col min="14848" max="14848" width="11.140625" style="24" customWidth="1"/>
    <col min="14849" max="14849" width="2.85546875" style="24" customWidth="1"/>
    <col min="14850" max="14850" width="3.5703125" style="24" customWidth="1"/>
    <col min="14851" max="15095" width="9.140625" style="24"/>
    <col min="15096" max="15096" width="8.7109375" style="24" customWidth="1"/>
    <col min="15097" max="15097" width="9.85546875" style="24" customWidth="1"/>
    <col min="15098" max="15098" width="14.42578125" style="24" customWidth="1"/>
    <col min="15099" max="15099" width="7.28515625" style="24" customWidth="1"/>
    <col min="15100" max="15100" width="5.5703125" style="24" customWidth="1"/>
    <col min="15101" max="15101" width="9" style="24" customWidth="1"/>
    <col min="15102" max="15103" width="9.85546875" style="24" customWidth="1"/>
    <col min="15104" max="15104" width="11.140625" style="24" customWidth="1"/>
    <col min="15105" max="15105" width="2.85546875" style="24" customWidth="1"/>
    <col min="15106" max="15106" width="3.5703125" style="24" customWidth="1"/>
    <col min="15107" max="15351" width="9.140625" style="24"/>
    <col min="15352" max="15352" width="8.7109375" style="24" customWidth="1"/>
    <col min="15353" max="15353" width="9.85546875" style="24" customWidth="1"/>
    <col min="15354" max="15354" width="14.42578125" style="24" customWidth="1"/>
    <col min="15355" max="15355" width="7.28515625" style="24" customWidth="1"/>
    <col min="15356" max="15356" width="5.5703125" style="24" customWidth="1"/>
    <col min="15357" max="15357" width="9" style="24" customWidth="1"/>
    <col min="15358" max="15359" width="9.85546875" style="24" customWidth="1"/>
    <col min="15360" max="15360" width="11.140625" style="24" customWidth="1"/>
    <col min="15361" max="15361" width="2.85546875" style="24" customWidth="1"/>
    <col min="15362" max="15362" width="3.5703125" style="24" customWidth="1"/>
    <col min="15363" max="15607" width="9.140625" style="24"/>
    <col min="15608" max="15608" width="8.7109375" style="24" customWidth="1"/>
    <col min="15609" max="15609" width="9.85546875" style="24" customWidth="1"/>
    <col min="15610" max="15610" width="14.42578125" style="24" customWidth="1"/>
    <col min="15611" max="15611" width="7.28515625" style="24" customWidth="1"/>
    <col min="15612" max="15612" width="5.5703125" style="24" customWidth="1"/>
    <col min="15613" max="15613" width="9" style="24" customWidth="1"/>
    <col min="15614" max="15615" width="9.85546875" style="24" customWidth="1"/>
    <col min="15616" max="15616" width="11.140625" style="24" customWidth="1"/>
    <col min="15617" max="15617" width="2.85546875" style="24" customWidth="1"/>
    <col min="15618" max="15618" width="3.5703125" style="24" customWidth="1"/>
    <col min="15619" max="15863" width="9.140625" style="24"/>
    <col min="15864" max="15864" width="8.7109375" style="24" customWidth="1"/>
    <col min="15865" max="15865" width="9.85546875" style="24" customWidth="1"/>
    <col min="15866" max="15866" width="14.42578125" style="24" customWidth="1"/>
    <col min="15867" max="15867" width="7.28515625" style="24" customWidth="1"/>
    <col min="15868" max="15868" width="5.5703125" style="24" customWidth="1"/>
    <col min="15869" max="15869" width="9" style="24" customWidth="1"/>
    <col min="15870" max="15871" width="9.85546875" style="24" customWidth="1"/>
    <col min="15872" max="15872" width="11.140625" style="24" customWidth="1"/>
    <col min="15873" max="15873" width="2.85546875" style="24" customWidth="1"/>
    <col min="15874" max="15874" width="3.5703125" style="24" customWidth="1"/>
    <col min="15875" max="16119" width="9.140625" style="24"/>
    <col min="16120" max="16120" width="8.7109375" style="24" customWidth="1"/>
    <col min="16121" max="16121" width="9.85546875" style="24" customWidth="1"/>
    <col min="16122" max="16122" width="14.42578125" style="24" customWidth="1"/>
    <col min="16123" max="16123" width="7.28515625" style="24" customWidth="1"/>
    <col min="16124" max="16124" width="5.5703125" style="24" customWidth="1"/>
    <col min="16125" max="16125" width="9" style="24" customWidth="1"/>
    <col min="16126" max="16127" width="9.85546875" style="24" customWidth="1"/>
    <col min="16128" max="16128" width="11.140625" style="24" customWidth="1"/>
    <col min="16129" max="16129" width="2.85546875" style="24" customWidth="1"/>
    <col min="16130" max="16130" width="3.5703125" style="24" customWidth="1"/>
    <col min="16131" max="16384" width="9.140625" style="24"/>
  </cols>
  <sheetData>
    <row r="1" spans="1:12" ht="46.5" customHeight="1" x14ac:dyDescent="0.25">
      <c r="A1" s="148" t="s">
        <v>188</v>
      </c>
      <c r="B1" s="148"/>
      <c r="C1" s="148"/>
      <c r="D1" s="148"/>
      <c r="E1" s="148"/>
      <c r="F1" s="148"/>
      <c r="G1" s="148"/>
      <c r="H1" s="148"/>
    </row>
    <row r="2" spans="1:12" ht="16.5" customHeight="1" x14ac:dyDescent="0.25">
      <c r="A2" s="111" t="s">
        <v>0</v>
      </c>
      <c r="B2" s="111"/>
      <c r="C2" s="111"/>
      <c r="D2" s="111"/>
      <c r="E2" s="111"/>
      <c r="F2" s="111"/>
      <c r="G2" s="111"/>
      <c r="H2" s="111"/>
    </row>
    <row r="3" spans="1:12" x14ac:dyDescent="0.25">
      <c r="A3" s="72" t="s">
        <v>1</v>
      </c>
      <c r="B3" s="72"/>
      <c r="C3" s="72"/>
      <c r="D3" s="72"/>
      <c r="E3" s="149" t="str">
        <f ca="1">TEXT(TODAY(),"DD/MM/YYYY")</f>
        <v>12/09/2025</v>
      </c>
      <c r="F3" s="149"/>
      <c r="G3" s="149"/>
      <c r="H3" s="149"/>
    </row>
    <row r="4" spans="1:12" ht="15" customHeight="1" x14ac:dyDescent="0.25">
      <c r="A4" s="72" t="s">
        <v>2</v>
      </c>
      <c r="B4" s="72"/>
      <c r="C4" s="72"/>
      <c r="D4" s="72"/>
      <c r="E4" s="151" t="s">
        <v>152</v>
      </c>
      <c r="F4" s="151"/>
      <c r="G4" s="151"/>
      <c r="H4" s="151"/>
    </row>
    <row r="5" spans="1:12" x14ac:dyDescent="0.25">
      <c r="A5" s="72" t="s">
        <v>3</v>
      </c>
      <c r="B5" s="72"/>
      <c r="C5" s="72"/>
      <c r="D5" s="72"/>
      <c r="E5" s="149">
        <v>45909</v>
      </c>
      <c r="F5" s="149"/>
      <c r="G5" s="149"/>
      <c r="H5" s="149"/>
    </row>
    <row r="6" spans="1:12" ht="16.5" customHeight="1" x14ac:dyDescent="0.25">
      <c r="A6" s="72" t="s">
        <v>4</v>
      </c>
      <c r="B6" s="72"/>
      <c r="C6" s="72"/>
      <c r="D6" s="72"/>
      <c r="E6" s="100" t="s">
        <v>181</v>
      </c>
      <c r="F6" s="100"/>
      <c r="G6" s="100"/>
      <c r="H6" s="100"/>
    </row>
    <row r="7" spans="1:12" ht="15" customHeight="1" x14ac:dyDescent="0.25">
      <c r="A7" s="72" t="s">
        <v>5</v>
      </c>
      <c r="B7" s="72"/>
      <c r="C7" s="72"/>
      <c r="D7" s="72"/>
      <c r="E7" s="100" t="str">
        <f>E6</f>
        <v>M/s. Royal Realtors</v>
      </c>
      <c r="F7" s="100"/>
      <c r="G7" s="100"/>
      <c r="H7" s="100"/>
    </row>
    <row r="8" spans="1:12" x14ac:dyDescent="0.25">
      <c r="A8" s="72" t="s">
        <v>6</v>
      </c>
      <c r="B8" s="72"/>
      <c r="C8" s="72"/>
      <c r="D8" s="72"/>
      <c r="E8" s="150" t="s">
        <v>153</v>
      </c>
      <c r="F8" s="86"/>
      <c r="G8" s="86"/>
      <c r="H8" s="86"/>
    </row>
    <row r="9" spans="1:12" x14ac:dyDescent="0.25">
      <c r="A9" s="72" t="s">
        <v>122</v>
      </c>
      <c r="B9" s="72"/>
      <c r="C9" s="72"/>
      <c r="D9" s="72"/>
      <c r="E9" s="72" t="s">
        <v>241</v>
      </c>
      <c r="F9" s="72"/>
      <c r="G9" s="72"/>
      <c r="H9" s="72"/>
    </row>
    <row r="10" spans="1:12" x14ac:dyDescent="0.25">
      <c r="A10" s="72" t="s">
        <v>187</v>
      </c>
      <c r="B10" s="72"/>
      <c r="C10" s="72"/>
      <c r="D10" s="72"/>
      <c r="E10" s="72" t="s">
        <v>248</v>
      </c>
      <c r="F10" s="72"/>
      <c r="G10" s="72"/>
      <c r="H10" s="72"/>
      <c r="I10" s="72" t="s">
        <v>242</v>
      </c>
      <c r="J10" s="72"/>
      <c r="K10" s="72"/>
      <c r="L10" s="72"/>
    </row>
    <row r="11" spans="1:12" x14ac:dyDescent="0.25">
      <c r="A11" s="65" t="s">
        <v>7</v>
      </c>
      <c r="B11" s="65"/>
      <c r="C11" s="65"/>
      <c r="D11" s="65"/>
      <c r="E11" s="65" t="s">
        <v>177</v>
      </c>
      <c r="F11" s="65"/>
      <c r="G11" s="65"/>
      <c r="H11" s="65"/>
    </row>
    <row r="12" spans="1:12" x14ac:dyDescent="0.25">
      <c r="A12" s="72" t="s">
        <v>8</v>
      </c>
      <c r="B12" s="72"/>
      <c r="C12" s="72"/>
      <c r="D12" s="72"/>
      <c r="E12" s="66" t="s">
        <v>203</v>
      </c>
      <c r="F12" s="66"/>
      <c r="G12" s="66"/>
      <c r="H12" s="66"/>
    </row>
    <row r="13" spans="1:12" x14ac:dyDescent="0.25">
      <c r="A13" s="72" t="s">
        <v>9</v>
      </c>
      <c r="B13" s="72"/>
      <c r="C13" s="72"/>
      <c r="D13" s="72"/>
      <c r="E13" s="66" t="s">
        <v>243</v>
      </c>
      <c r="F13" s="65"/>
      <c r="G13" s="65"/>
      <c r="H13" s="65"/>
    </row>
    <row r="14" spans="1:12" ht="51" customHeight="1" x14ac:dyDescent="0.25">
      <c r="A14" s="100" t="s">
        <v>10</v>
      </c>
      <c r="B14" s="100"/>
      <c r="C14" s="100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Royal Pristo, CTS No.712, 713, 714, 715, 716, 717/A, 717/1 to 7 &amp; 13, 717/B, 719, 720, 720/1 to 2, 721, 721/1 to 6, 722, 723, 724, 724/1 to 2 &amp; 725, near Lotus Apartment, Santoshi Mata Mandir Road, Kurar, Malad, Borivali, Mumbai.</v>
      </c>
      <c r="D14" s="100"/>
      <c r="E14" s="100"/>
      <c r="F14" s="100"/>
      <c r="G14" s="100"/>
      <c r="H14" s="100"/>
      <c r="K14" s="178"/>
      <c r="L14" s="178"/>
    </row>
    <row r="15" spans="1:12" ht="33.75" customHeight="1" x14ac:dyDescent="0.25">
      <c r="A15" s="66" t="s">
        <v>163</v>
      </c>
      <c r="B15" s="66"/>
      <c r="C15" s="66" t="s">
        <v>204</v>
      </c>
      <c r="D15" s="66"/>
      <c r="E15" s="66"/>
      <c r="F15" s="66"/>
      <c r="G15" s="66"/>
      <c r="H15" s="66"/>
      <c r="L15" s="178"/>
    </row>
    <row r="16" spans="1:12" ht="15.75" customHeight="1" x14ac:dyDescent="0.25">
      <c r="A16" s="100" t="s">
        <v>11</v>
      </c>
      <c r="B16" s="100"/>
      <c r="C16" s="66" t="s">
        <v>164</v>
      </c>
      <c r="D16" s="65"/>
      <c r="E16" s="100" t="s">
        <v>77</v>
      </c>
      <c r="F16" s="100"/>
      <c r="G16" s="66" t="s">
        <v>158</v>
      </c>
      <c r="H16" s="66"/>
    </row>
    <row r="17" spans="1:8" x14ac:dyDescent="0.25">
      <c r="A17" s="72" t="s">
        <v>13</v>
      </c>
      <c r="B17" s="72"/>
      <c r="C17" s="66" t="s">
        <v>161</v>
      </c>
      <c r="D17" s="66"/>
      <c r="E17" s="100" t="s">
        <v>12</v>
      </c>
      <c r="F17" s="100"/>
      <c r="G17" s="152" t="s">
        <v>160</v>
      </c>
      <c r="H17" s="152"/>
    </row>
    <row r="18" spans="1:8" x14ac:dyDescent="0.25">
      <c r="A18" s="72" t="s">
        <v>78</v>
      </c>
      <c r="B18" s="72"/>
      <c r="C18" s="66" t="s">
        <v>159</v>
      </c>
      <c r="D18" s="66"/>
      <c r="E18" s="100" t="s">
        <v>14</v>
      </c>
      <c r="F18" s="100"/>
      <c r="G18" s="66">
        <v>400097</v>
      </c>
      <c r="H18" s="66"/>
    </row>
    <row r="19" spans="1:8" ht="32.25" customHeight="1" x14ac:dyDescent="0.25">
      <c r="A19" s="72" t="s">
        <v>123</v>
      </c>
      <c r="B19" s="72"/>
      <c r="C19" s="100" t="s">
        <v>157</v>
      </c>
      <c r="D19" s="100"/>
      <c r="E19" s="100" t="s">
        <v>15</v>
      </c>
      <c r="F19" s="100"/>
      <c r="G19" s="66" t="s">
        <v>162</v>
      </c>
      <c r="H19" s="66"/>
    </row>
    <row r="20" spans="1:8" ht="15" customHeight="1" x14ac:dyDescent="0.25">
      <c r="A20" s="100" t="s">
        <v>81</v>
      </c>
      <c r="B20" s="100"/>
      <c r="C20" s="100"/>
      <c r="D20" s="100"/>
      <c r="E20" s="65" t="s">
        <v>16</v>
      </c>
      <c r="F20" s="65"/>
      <c r="G20" s="65"/>
      <c r="H20" s="65"/>
    </row>
    <row r="21" spans="1:8" ht="18.75" customHeight="1" x14ac:dyDescent="0.25">
      <c r="A21" s="100"/>
      <c r="B21" s="100"/>
      <c r="C21" s="100"/>
      <c r="D21" s="100"/>
      <c r="E21" s="65"/>
      <c r="F21" s="65"/>
      <c r="G21" s="65"/>
      <c r="H21" s="65"/>
    </row>
    <row r="22" spans="1:8" ht="15" customHeight="1" x14ac:dyDescent="0.25">
      <c r="A22" s="100" t="s">
        <v>17</v>
      </c>
      <c r="B22" s="100"/>
      <c r="C22" s="100"/>
      <c r="D22" s="100"/>
      <c r="E22" s="66" t="s">
        <v>18</v>
      </c>
      <c r="F22" s="66"/>
      <c r="G22" s="66"/>
      <c r="H22" s="66"/>
    </row>
    <row r="23" spans="1:8" ht="15" customHeight="1" x14ac:dyDescent="0.25">
      <c r="A23" s="72" t="s">
        <v>19</v>
      </c>
      <c r="B23" s="72"/>
      <c r="C23" s="72"/>
      <c r="D23" s="72"/>
      <c r="E23" s="66" t="str">
        <f>IF(AND(G17="Mumbai"),"Upper Class","Middle Class")</f>
        <v>Upper Class</v>
      </c>
      <c r="F23" s="66"/>
      <c r="G23" s="66"/>
      <c r="H23" s="66"/>
    </row>
    <row r="24" spans="1:8" x14ac:dyDescent="0.25">
      <c r="A24" s="72" t="s">
        <v>20</v>
      </c>
      <c r="B24" s="72"/>
      <c r="C24" s="72"/>
      <c r="D24" s="72"/>
      <c r="E24" s="66" t="s">
        <v>21</v>
      </c>
      <c r="F24" s="66"/>
      <c r="G24" s="66"/>
      <c r="H24" s="66"/>
    </row>
    <row r="25" spans="1:8" ht="15.75" customHeight="1" x14ac:dyDescent="0.25">
      <c r="A25" s="72" t="s">
        <v>22</v>
      </c>
      <c r="B25" s="72"/>
      <c r="C25" s="72"/>
      <c r="D25" s="72"/>
      <c r="E25" s="66" t="str">
        <f>IF(AND(G17="Mumbai"),"Developed","Developing")</f>
        <v>Developed</v>
      </c>
      <c r="F25" s="66"/>
      <c r="G25" s="66"/>
      <c r="H25" s="66"/>
    </row>
    <row r="26" spans="1:8" x14ac:dyDescent="0.25">
      <c r="A26" s="72" t="s">
        <v>23</v>
      </c>
      <c r="B26" s="72"/>
      <c r="C26" s="72"/>
      <c r="D26" s="72"/>
      <c r="E26" s="66" t="s">
        <v>24</v>
      </c>
      <c r="F26" s="66"/>
      <c r="G26" s="66"/>
      <c r="H26" s="66"/>
    </row>
    <row r="27" spans="1:8" x14ac:dyDescent="0.25">
      <c r="A27" s="72" t="s">
        <v>86</v>
      </c>
      <c r="B27" s="72"/>
      <c r="C27" s="72"/>
      <c r="D27" s="72"/>
      <c r="E27" s="66" t="s">
        <v>87</v>
      </c>
      <c r="F27" s="66"/>
      <c r="G27" s="66"/>
      <c r="H27" s="66"/>
    </row>
    <row r="28" spans="1:8" ht="15" customHeight="1" x14ac:dyDescent="0.25">
      <c r="A28" s="100" t="s">
        <v>33</v>
      </c>
      <c r="B28" s="100"/>
      <c r="C28" s="100"/>
      <c r="D28" s="100"/>
      <c r="E28" s="151" t="s">
        <v>176</v>
      </c>
      <c r="F28" s="151"/>
      <c r="G28" s="151"/>
      <c r="H28" s="151"/>
    </row>
    <row r="29" spans="1:8" x14ac:dyDescent="0.25">
      <c r="A29" s="100" t="s">
        <v>98</v>
      </c>
      <c r="B29" s="100"/>
      <c r="C29" s="100"/>
      <c r="D29" s="100"/>
      <c r="E29" s="100" t="s">
        <v>34</v>
      </c>
      <c r="F29" s="100"/>
      <c r="G29" s="100"/>
      <c r="H29" s="100"/>
    </row>
    <row r="30" spans="1:8" s="25" customFormat="1" x14ac:dyDescent="0.25">
      <c r="A30" s="155" t="s">
        <v>99</v>
      </c>
      <c r="B30" s="155"/>
      <c r="C30" s="154" t="s">
        <v>29</v>
      </c>
      <c r="D30" s="154"/>
      <c r="E30" s="154"/>
      <c r="F30" s="154" t="s">
        <v>31</v>
      </c>
      <c r="G30" s="154"/>
      <c r="H30" s="154"/>
    </row>
    <row r="31" spans="1:8" s="25" customFormat="1" x14ac:dyDescent="0.25">
      <c r="A31" s="153" t="s">
        <v>25</v>
      </c>
      <c r="B31" s="153" t="s">
        <v>30</v>
      </c>
      <c r="C31" s="143" t="s">
        <v>30</v>
      </c>
      <c r="D31" s="143"/>
      <c r="E31" s="143"/>
      <c r="F31" s="143" t="s">
        <v>157</v>
      </c>
      <c r="G31" s="143"/>
      <c r="H31" s="143"/>
    </row>
    <row r="32" spans="1:8" x14ac:dyDescent="0.25">
      <c r="A32" s="153" t="s">
        <v>26</v>
      </c>
      <c r="B32" s="153" t="s">
        <v>30</v>
      </c>
      <c r="C32" s="143" t="s">
        <v>30</v>
      </c>
      <c r="D32" s="143"/>
      <c r="E32" s="143"/>
      <c r="F32" s="143" t="s">
        <v>156</v>
      </c>
      <c r="G32" s="143"/>
      <c r="H32" s="143"/>
    </row>
    <row r="33" spans="1:8" s="25" customFormat="1" x14ac:dyDescent="0.25">
      <c r="A33" s="153" t="s">
        <v>28</v>
      </c>
      <c r="B33" s="153" t="s">
        <v>30</v>
      </c>
      <c r="C33" s="143" t="s">
        <v>30</v>
      </c>
      <c r="D33" s="143"/>
      <c r="E33" s="143"/>
      <c r="F33" s="143" t="s">
        <v>154</v>
      </c>
      <c r="G33" s="143"/>
      <c r="H33" s="143"/>
    </row>
    <row r="34" spans="1:8" x14ac:dyDescent="0.25">
      <c r="A34" s="153" t="s">
        <v>27</v>
      </c>
      <c r="B34" s="153" t="s">
        <v>30</v>
      </c>
      <c r="C34" s="143" t="s">
        <v>30</v>
      </c>
      <c r="D34" s="143"/>
      <c r="E34" s="143"/>
      <c r="F34" s="79" t="s">
        <v>155</v>
      </c>
      <c r="G34" s="143"/>
      <c r="H34" s="143"/>
    </row>
    <row r="35" spans="1:8" x14ac:dyDescent="0.25">
      <c r="A35" s="72" t="s">
        <v>32</v>
      </c>
      <c r="B35" s="72"/>
      <c r="C35" s="72"/>
      <c r="D35" s="72"/>
      <c r="E35" s="72"/>
      <c r="F35" s="72"/>
      <c r="G35" s="72"/>
      <c r="H35" s="72"/>
    </row>
    <row r="36" spans="1:8" ht="15.75" customHeight="1" x14ac:dyDescent="0.25">
      <c r="A36" s="86" t="s">
        <v>191</v>
      </c>
      <c r="B36" s="86"/>
      <c r="C36" s="156" t="s">
        <v>192</v>
      </c>
      <c r="D36" s="157"/>
      <c r="E36" s="157"/>
      <c r="F36" s="157"/>
      <c r="G36" s="157"/>
      <c r="H36" s="158"/>
    </row>
    <row r="37" spans="1:8" ht="15.75" customHeight="1" x14ac:dyDescent="0.25">
      <c r="A37" s="86" t="s">
        <v>189</v>
      </c>
      <c r="B37" s="86"/>
      <c r="C37" s="161" t="s">
        <v>190</v>
      </c>
      <c r="D37" s="162"/>
      <c r="E37" s="162"/>
      <c r="F37" s="162"/>
      <c r="G37" s="162"/>
      <c r="H37" s="163"/>
    </row>
    <row r="38" spans="1:8" x14ac:dyDescent="0.25">
      <c r="A38" s="86" t="s">
        <v>35</v>
      </c>
      <c r="B38" s="86"/>
      <c r="C38" s="86"/>
      <c r="D38" s="86"/>
      <c r="E38" s="86"/>
      <c r="F38" s="86"/>
      <c r="G38" s="86"/>
      <c r="H38" s="86"/>
    </row>
    <row r="39" spans="1:8" x14ac:dyDescent="0.25">
      <c r="A39" s="72" t="s">
        <v>36</v>
      </c>
      <c r="B39" s="72"/>
      <c r="C39" s="72"/>
      <c r="D39" s="72"/>
      <c r="E39" s="160">
        <v>12553.1</v>
      </c>
      <c r="F39" s="160"/>
      <c r="G39" s="160"/>
      <c r="H39" s="160"/>
    </row>
    <row r="40" spans="1:8" x14ac:dyDescent="0.25">
      <c r="A40" s="72" t="s">
        <v>37</v>
      </c>
      <c r="B40" s="72"/>
      <c r="C40" s="72"/>
      <c r="D40" s="72"/>
      <c r="E40" s="71">
        <v>4</v>
      </c>
      <c r="F40" s="71"/>
      <c r="G40" s="71"/>
      <c r="H40" s="71"/>
    </row>
    <row r="41" spans="1:8" x14ac:dyDescent="0.25">
      <c r="A41" s="72" t="s">
        <v>38</v>
      </c>
      <c r="B41" s="72"/>
      <c r="C41" s="72"/>
      <c r="D41" s="72"/>
      <c r="E41" s="71">
        <v>0</v>
      </c>
      <c r="F41" s="71"/>
      <c r="G41" s="71"/>
      <c r="H41" s="71"/>
    </row>
    <row r="42" spans="1:8" x14ac:dyDescent="0.25">
      <c r="A42" s="72" t="s">
        <v>39</v>
      </c>
      <c r="B42" s="72"/>
      <c r="C42" s="72"/>
      <c r="D42" s="72"/>
      <c r="E42" s="71">
        <f>E40+E41</f>
        <v>4</v>
      </c>
      <c r="F42" s="71"/>
      <c r="G42" s="71"/>
      <c r="H42" s="71"/>
    </row>
    <row r="43" spans="1:8" x14ac:dyDescent="0.25">
      <c r="A43" s="72" t="s">
        <v>97</v>
      </c>
      <c r="B43" s="72"/>
      <c r="C43" s="72"/>
      <c r="D43" s="72"/>
      <c r="E43" s="166">
        <v>47665.31</v>
      </c>
      <c r="F43" s="166"/>
      <c r="G43" s="166"/>
      <c r="H43" s="166"/>
    </row>
    <row r="44" spans="1:8" x14ac:dyDescent="0.25">
      <c r="A44" s="65" t="s">
        <v>40</v>
      </c>
      <c r="B44" s="65"/>
      <c r="C44" s="65"/>
      <c r="D44" s="65"/>
      <c r="E44" s="65" t="s">
        <v>165</v>
      </c>
      <c r="F44" s="65"/>
      <c r="G44" s="65"/>
      <c r="H44" s="65"/>
    </row>
    <row r="45" spans="1:8" x14ac:dyDescent="0.25">
      <c r="A45" s="86" t="s">
        <v>41</v>
      </c>
      <c r="B45" s="86"/>
      <c r="C45" s="86"/>
      <c r="D45" s="86"/>
      <c r="E45" s="86"/>
      <c r="F45" s="86"/>
      <c r="G45" s="86"/>
      <c r="H45" s="86"/>
    </row>
    <row r="46" spans="1:8" x14ac:dyDescent="0.25">
      <c r="A46" s="66" t="s">
        <v>42</v>
      </c>
      <c r="B46" s="66"/>
      <c r="C46" s="66" t="s">
        <v>205</v>
      </c>
      <c r="D46" s="66"/>
      <c r="E46" s="66"/>
      <c r="F46" s="22" t="s">
        <v>43</v>
      </c>
      <c r="G46" s="67">
        <v>44176</v>
      </c>
      <c r="H46" s="67"/>
    </row>
    <row r="47" spans="1:8" x14ac:dyDescent="0.25">
      <c r="A47" s="65" t="s">
        <v>44</v>
      </c>
      <c r="B47" s="65"/>
      <c r="C47" s="66" t="str">
        <f>C46</f>
        <v>SRA/ENG/PN/PVT/175/20160116/AP/S</v>
      </c>
      <c r="D47" s="66"/>
      <c r="E47" s="66"/>
      <c r="F47" s="22" t="s">
        <v>43</v>
      </c>
      <c r="G47" s="67">
        <f>G46</f>
        <v>44176</v>
      </c>
      <c r="H47" s="67"/>
    </row>
    <row r="48" spans="1:8" s="27" customFormat="1" x14ac:dyDescent="0.25">
      <c r="A48" s="66" t="s">
        <v>45</v>
      </c>
      <c r="B48" s="66"/>
      <c r="C48" s="66" t="s">
        <v>193</v>
      </c>
      <c r="D48" s="65"/>
      <c r="E48" s="65"/>
      <c r="F48" s="26" t="s">
        <v>43</v>
      </c>
      <c r="G48" s="67">
        <v>44476</v>
      </c>
      <c r="H48" s="67"/>
    </row>
    <row r="49" spans="1:14" s="27" customFormat="1" ht="33" customHeight="1" x14ac:dyDescent="0.25">
      <c r="A49" s="66"/>
      <c r="B49" s="66"/>
      <c r="C49" s="68" t="s">
        <v>197</v>
      </c>
      <c r="D49" s="69"/>
      <c r="E49" s="69"/>
      <c r="F49" s="69"/>
      <c r="G49" s="69"/>
      <c r="H49" s="70"/>
    </row>
    <row r="50" spans="1:14" s="27" customFormat="1" x14ac:dyDescent="0.25">
      <c r="A50" s="66" t="s">
        <v>45</v>
      </c>
      <c r="B50" s="66"/>
      <c r="C50" s="66" t="s">
        <v>193</v>
      </c>
      <c r="D50" s="65"/>
      <c r="E50" s="65"/>
      <c r="F50" s="26" t="s">
        <v>43</v>
      </c>
      <c r="G50" s="67">
        <v>44915</v>
      </c>
      <c r="H50" s="67"/>
    </row>
    <row r="51" spans="1:14" s="27" customFormat="1" ht="63.75" customHeight="1" x14ac:dyDescent="0.25">
      <c r="A51" s="66"/>
      <c r="B51" s="66"/>
      <c r="C51" s="68" t="s">
        <v>198</v>
      </c>
      <c r="D51" s="69"/>
      <c r="E51" s="69"/>
      <c r="F51" s="69"/>
      <c r="G51" s="69"/>
      <c r="H51" s="70"/>
    </row>
    <row r="52" spans="1:14" s="27" customFormat="1" x14ac:dyDescent="0.25">
      <c r="A52" s="66" t="s">
        <v>45</v>
      </c>
      <c r="B52" s="66"/>
      <c r="C52" s="66" t="s">
        <v>193</v>
      </c>
      <c r="D52" s="65"/>
      <c r="E52" s="65"/>
      <c r="F52" s="26" t="s">
        <v>43</v>
      </c>
      <c r="G52" s="67">
        <v>45224</v>
      </c>
      <c r="H52" s="67"/>
    </row>
    <row r="53" spans="1:14" s="27" customFormat="1" ht="46.5" customHeight="1" x14ac:dyDescent="0.25">
      <c r="A53" s="66"/>
      <c r="B53" s="66"/>
      <c r="C53" s="68" t="s">
        <v>194</v>
      </c>
      <c r="D53" s="69"/>
      <c r="E53" s="69"/>
      <c r="F53" s="69"/>
      <c r="G53" s="69"/>
      <c r="H53" s="70"/>
    </row>
    <row r="54" spans="1:14" s="27" customFormat="1" x14ac:dyDescent="0.25">
      <c r="A54" s="66" t="s">
        <v>45</v>
      </c>
      <c r="B54" s="66"/>
      <c r="C54" s="66" t="s">
        <v>193</v>
      </c>
      <c r="D54" s="65"/>
      <c r="E54" s="65"/>
      <c r="F54" s="26" t="s">
        <v>43</v>
      </c>
      <c r="G54" s="67">
        <v>45337</v>
      </c>
      <c r="H54" s="67"/>
    </row>
    <row r="55" spans="1:14" s="27" customFormat="1" ht="35.25" customHeight="1" x14ac:dyDescent="0.25">
      <c r="A55" s="66"/>
      <c r="B55" s="66"/>
      <c r="C55" s="68" t="s">
        <v>195</v>
      </c>
      <c r="D55" s="69"/>
      <c r="E55" s="69"/>
      <c r="F55" s="69"/>
      <c r="G55" s="69"/>
      <c r="H55" s="70"/>
    </row>
    <row r="56" spans="1:14" x14ac:dyDescent="0.25">
      <c r="A56" s="98" t="s">
        <v>46</v>
      </c>
      <c r="B56" s="98"/>
      <c r="C56" s="98" t="s">
        <v>107</v>
      </c>
      <c r="D56" s="85"/>
      <c r="E56" s="85" t="s">
        <v>47</v>
      </c>
      <c r="F56" s="20" t="s">
        <v>43</v>
      </c>
      <c r="G56" s="101" t="s">
        <v>30</v>
      </c>
      <c r="H56" s="101"/>
    </row>
    <row r="57" spans="1:14" x14ac:dyDescent="0.25">
      <c r="A57" s="99" t="s">
        <v>49</v>
      </c>
      <c r="B57" s="99"/>
      <c r="C57" s="99"/>
      <c r="D57" s="99"/>
      <c r="E57" s="99"/>
      <c r="F57" s="99"/>
      <c r="G57" s="99"/>
      <c r="H57" s="99"/>
    </row>
    <row r="58" spans="1:14" x14ac:dyDescent="0.25">
      <c r="A58" s="100" t="s">
        <v>96</v>
      </c>
      <c r="B58" s="100"/>
      <c r="C58" s="100"/>
      <c r="D58" s="72">
        <f>E43</f>
        <v>47665.31</v>
      </c>
      <c r="E58" s="72"/>
      <c r="F58" s="72"/>
      <c r="G58" s="72"/>
      <c r="H58" s="72"/>
    </row>
    <row r="59" spans="1:14" x14ac:dyDescent="0.25">
      <c r="A59" s="66" t="s">
        <v>50</v>
      </c>
      <c r="B59" s="65"/>
      <c r="C59" s="65"/>
      <c r="D59" s="65" t="s">
        <v>232</v>
      </c>
      <c r="E59" s="65"/>
      <c r="F59" s="65"/>
      <c r="G59" s="65"/>
      <c r="H59" s="65"/>
      <c r="I59" s="28"/>
    </row>
    <row r="60" spans="1:14" ht="33" customHeight="1" x14ac:dyDescent="0.25">
      <c r="A60" s="94" t="s">
        <v>51</v>
      </c>
      <c r="B60" s="95"/>
      <c r="C60" s="147"/>
      <c r="D60" s="117" t="s">
        <v>182</v>
      </c>
      <c r="E60" s="146"/>
      <c r="F60" s="146"/>
      <c r="G60" s="146"/>
      <c r="H60" s="146"/>
    </row>
    <row r="61" spans="1:14" ht="15.75" customHeight="1" x14ac:dyDescent="0.25">
      <c r="A61" s="94" t="s">
        <v>94</v>
      </c>
      <c r="B61" s="95"/>
      <c r="C61" s="95"/>
      <c r="D61" s="65" t="s">
        <v>196</v>
      </c>
      <c r="E61" s="65"/>
      <c r="F61" s="65"/>
      <c r="G61" s="65"/>
      <c r="H61" s="65"/>
    </row>
    <row r="62" spans="1:14" ht="15.75" customHeight="1" x14ac:dyDescent="0.25">
      <c r="A62" s="96"/>
      <c r="B62" s="97"/>
      <c r="C62" s="97"/>
      <c r="D62" s="65" t="s">
        <v>245</v>
      </c>
      <c r="E62" s="65"/>
      <c r="F62" s="65"/>
      <c r="G62" s="65"/>
      <c r="H62" s="65"/>
    </row>
    <row r="63" spans="1:14" ht="15.75" customHeight="1" x14ac:dyDescent="0.25">
      <c r="A63" s="96"/>
      <c r="B63" s="97"/>
      <c r="C63" s="97"/>
      <c r="D63" s="65" t="s">
        <v>183</v>
      </c>
      <c r="E63" s="65"/>
      <c r="F63" s="65"/>
      <c r="G63" s="65"/>
      <c r="H63" s="65"/>
    </row>
    <row r="64" spans="1:14" ht="15.75" customHeight="1" x14ac:dyDescent="0.25">
      <c r="A64" s="72" t="s">
        <v>48</v>
      </c>
      <c r="B64" s="72"/>
      <c r="C64" s="72"/>
      <c r="D64" s="164" t="s">
        <v>166</v>
      </c>
      <c r="E64" s="164"/>
      <c r="F64" s="164"/>
      <c r="G64" s="164"/>
      <c r="H64" s="164"/>
      <c r="J64" s="29"/>
      <c r="K64" s="28"/>
      <c r="N64" s="28"/>
    </row>
    <row r="65" spans="1:14" ht="15.75" customHeight="1" x14ac:dyDescent="0.25">
      <c r="A65" s="72" t="s">
        <v>92</v>
      </c>
      <c r="B65" s="72"/>
      <c r="C65" s="72"/>
      <c r="D65" s="165" t="str">
        <f>(IF(G56="NA","60 Years After Completion",IF(G56&lt;&gt;"NA",""&amp;60-ROUNDDOWN((E3-G56)/360,0)&amp;" Years"," ")))</f>
        <v>60 Years After Completion</v>
      </c>
      <c r="E65" s="165"/>
      <c r="F65" s="165"/>
      <c r="G65" s="165"/>
      <c r="H65" s="165"/>
      <c r="N65" s="28"/>
    </row>
    <row r="66" spans="1:14" ht="15.75" customHeight="1" x14ac:dyDescent="0.25">
      <c r="A66" s="72" t="s">
        <v>93</v>
      </c>
      <c r="B66" s="72"/>
      <c r="C66" s="72"/>
      <c r="D66" s="100" t="s">
        <v>24</v>
      </c>
      <c r="E66" s="100"/>
      <c r="F66" s="100"/>
      <c r="G66" s="100"/>
      <c r="H66" s="100"/>
      <c r="J66" s="15"/>
      <c r="K66" s="15"/>
    </row>
    <row r="67" spans="1:14" ht="15" hidden="1" customHeight="1" x14ac:dyDescent="0.25">
      <c r="A67" s="72" t="s">
        <v>79</v>
      </c>
      <c r="B67" s="72"/>
      <c r="C67" s="72"/>
      <c r="D67" s="66" t="s">
        <v>149</v>
      </c>
      <c r="E67" s="100"/>
      <c r="F67" s="100"/>
      <c r="G67" s="100"/>
      <c r="H67" s="100"/>
    </row>
    <row r="68" spans="1:14" x14ac:dyDescent="0.25">
      <c r="A68" s="100" t="s">
        <v>150</v>
      </c>
      <c r="B68" s="100"/>
      <c r="C68" s="100"/>
      <c r="D68" s="100" t="s">
        <v>30</v>
      </c>
      <c r="E68" s="100"/>
      <c r="F68" s="100"/>
      <c r="G68" s="100"/>
      <c r="H68" s="100"/>
      <c r="I68" s="30"/>
      <c r="J68" s="30"/>
      <c r="K68" s="30"/>
      <c r="L68" s="30"/>
      <c r="M68" s="30"/>
      <c r="N68" s="30"/>
    </row>
    <row r="69" spans="1:14" ht="15.75" customHeight="1" x14ac:dyDescent="0.25">
      <c r="A69" s="116" t="s">
        <v>91</v>
      </c>
      <c r="B69" s="116"/>
      <c r="C69" s="116"/>
      <c r="D69" s="117" t="str">
        <f ca="1">(IF(G89&gt;95%,"Nothing",IF(G89&gt;0%,"Cement, Aggregate, Steel, etc",IF(G89=0%,"Work not yet Started"))))</f>
        <v>Cement, Aggregate, Steel, etc</v>
      </c>
      <c r="E69" s="117"/>
      <c r="F69" s="117"/>
      <c r="G69" s="117"/>
      <c r="H69" s="117"/>
      <c r="J69" s="15"/>
    </row>
    <row r="70" spans="1:14" ht="33.75" customHeight="1" thickBot="1" x14ac:dyDescent="0.3">
      <c r="A70" s="145" t="s">
        <v>120</v>
      </c>
      <c r="B70" s="145"/>
      <c r="C70" s="145"/>
      <c r="D70" s="117" t="str">
        <f ca="1">(IF(D69="Nothing","Yes",IF(D69="Cement, Aggregate, Steel, etc","Under Construction",IF(D69="Work not yet Started","Work not yet Started"))))</f>
        <v>Under Construction</v>
      </c>
      <c r="E70" s="117"/>
      <c r="F70" s="117" t="str">
        <f ca="1">(IF(D69="Nothing","Yes",IF(D69="Cement, Aggregate, Steel, etc","Under Construction",IF(D69="Work not yet Started","Work not yet Started"))))</f>
        <v>Under Construction</v>
      </c>
      <c r="G70" s="117"/>
      <c r="H70" s="117"/>
    </row>
    <row r="71" spans="1:14" ht="15.75" customHeight="1" x14ac:dyDescent="0.25">
      <c r="A71" s="120" t="s">
        <v>141</v>
      </c>
      <c r="B71" s="121"/>
      <c r="C71" s="122" t="s">
        <v>244</v>
      </c>
      <c r="D71" s="123"/>
      <c r="E71" s="123"/>
      <c r="F71" s="123"/>
      <c r="G71" s="123"/>
      <c r="H71" s="124"/>
      <c r="I71" s="14" t="str">
        <f ca="1">(IF(E75&gt;99%,"All work completed. Please provide OC.",IF(E75&gt;89.8%,"Plinth, RCC, Brick, Plaster, Flooring, Painting work Completed. Finishing work is in process.",IF(E75&lt;94%,(IF(C75=0,"Work not yet Started.",IF(D75=25%,"Piling work in process",IF(D75=50%,"Excavation work in process",IF(D75=100%,"Excavation work Completed. ","0")))&amp;(IF(C76=0%,"",IF(C76=J77,"Footing work is process",IF(C76=J78,"Footing work Completed",IF(C76=J79,"1st Basement Completed",IF(C76=J80,"1st &amp; 2nd Basement Completed",IF(C76=J81,"1st to 3rd Basement Completed",IF(C76=J82,"1st to 4th Basement Completed",IF(C76=J83,"Plinth work is process",IF(C76=J84,"Plinth work completed","0")))))))))))&amp;(IF(C77=(D72+F72+H72),", RCC Slab Completed",IF(C77&gt;0,", RCC upto "&amp;C77&amp;" Slab Completed",""))&amp;(IF(C78=H72,", Brickwork Completed",IF(C78&gt;0,", Brickwork upto "&amp;C78&amp;" Floor Completed",""))&amp;(IF(C79=H72,", Internal Plaster Completed",IF(C79&gt;0,", Internal Plaster upto "&amp;C79&amp;" Floor Completed",""))&amp;(IF(C80=H72,", External Plaster Completed",IF(C80&gt;0,", External Plaster upto "&amp;C80&amp;" Floor Completed",""))&amp;(IF(C81=H72,", Flooring Completed",IF(C81&gt;0,", Flooring upto "&amp;C81&amp;" Floor Completed",""))&amp;(IF(C82=H72,", Painting Completed",IF(C82&gt;0,", Painting upto "&amp;C82&amp;" Floor Completed",""))&amp;(IF(C83&gt;0,", Finishing upto "&amp;C83&amp;" Floor Completed","")&amp;(IF(C77&gt;0.5,".",""))))))))))))))</f>
        <v>Plinth, RCC, Brick, Plaster, Flooring, Painting work Completed. Finishing work is in process.</v>
      </c>
      <c r="J71" s="31"/>
    </row>
    <row r="72" spans="1:14" x14ac:dyDescent="0.25">
      <c r="A72" s="17" t="s">
        <v>143</v>
      </c>
      <c r="B72" s="21">
        <v>0</v>
      </c>
      <c r="C72" s="21" t="s">
        <v>76</v>
      </c>
      <c r="D72" s="21">
        <v>1</v>
      </c>
      <c r="E72" s="21" t="s">
        <v>75</v>
      </c>
      <c r="F72" s="21">
        <v>3</v>
      </c>
      <c r="G72" s="21" t="s">
        <v>85</v>
      </c>
      <c r="H72" s="18">
        <f ca="1">--TRIM(RIGHT(SUBSTITUTE(LEFT(C71,_xlfn.AGGREGATE(16,6,FIND({0,1,2,3,4,5,6,7,8,9},C71,ROW(INDIRECT("1:"&amp;LEN(C71)))),1))," ",REPT(" ",LEN(C71))),LEN(C71)))</f>
        <v>20</v>
      </c>
      <c r="I72" s="15"/>
      <c r="J72" s="32"/>
    </row>
    <row r="73" spans="1:14" ht="33.75" customHeight="1" x14ac:dyDescent="0.25">
      <c r="A73" s="119" t="s">
        <v>95</v>
      </c>
      <c r="B73" s="85"/>
      <c r="C73" s="98" t="str">
        <f ca="1">I71</f>
        <v>Plinth, RCC, Brick, Plaster, Flooring, Painting work Completed. Finishing work is in process.</v>
      </c>
      <c r="D73" s="98"/>
      <c r="E73" s="98"/>
      <c r="F73" s="98"/>
      <c r="G73" s="98"/>
      <c r="H73" s="144"/>
      <c r="I73" s="15" t="s">
        <v>106</v>
      </c>
      <c r="J73" s="32"/>
    </row>
    <row r="74" spans="1:14" ht="15.75" customHeight="1" x14ac:dyDescent="0.25">
      <c r="A74" s="78" t="s">
        <v>52</v>
      </c>
      <c r="B74" s="79"/>
      <c r="C74" s="47" t="s">
        <v>140</v>
      </c>
      <c r="D74" s="47" t="s">
        <v>88</v>
      </c>
      <c r="E74" s="79" t="s">
        <v>90</v>
      </c>
      <c r="F74" s="79"/>
      <c r="G74" s="79" t="s">
        <v>89</v>
      </c>
      <c r="H74" s="118"/>
      <c r="I74" s="13" t="s">
        <v>142</v>
      </c>
      <c r="J74" s="33">
        <f ca="1">H72*25%</f>
        <v>5</v>
      </c>
    </row>
    <row r="75" spans="1:14" x14ac:dyDescent="0.25">
      <c r="A75" s="78" t="s">
        <v>129</v>
      </c>
      <c r="B75" s="79"/>
      <c r="C75" s="48">
        <f ca="1">J76</f>
        <v>20</v>
      </c>
      <c r="D75" s="49">
        <f ca="1">((100/H72)*C75)/100</f>
        <v>1</v>
      </c>
      <c r="E75" s="138">
        <f ca="1">(((C76/H72*10)+(40/(D72+F72+H72)*C77)+(7.5/(H72)*C78)+(7.5/(H72)*C79)+(10/H72*C80)+(10/H72*C81)+(5/H72*C82)+(5/H72*C83)+(5/H72*C84))/100)</f>
        <v>0.92749999999999999</v>
      </c>
      <c r="F75" s="138"/>
      <c r="G75" s="138">
        <f ca="1">((((C75/H72)*20)+((C76/H72)*25)+(30/(H72+F72+D72)*C77)+(5/H72*C78)+(5/H72*C79)+(5/H72*C80)+(5/H72*C81)+(0/H72*C82)+(0/H72*C83)+(5/H72*C84))/100)</f>
        <v>0.95</v>
      </c>
      <c r="H75" s="139"/>
      <c r="I75" s="13" t="s">
        <v>101</v>
      </c>
      <c r="J75" s="34">
        <f ca="1">H72*50%</f>
        <v>10</v>
      </c>
    </row>
    <row r="76" spans="1:14" x14ac:dyDescent="0.25">
      <c r="A76" s="78" t="s">
        <v>53</v>
      </c>
      <c r="B76" s="79"/>
      <c r="C76" s="50">
        <f ca="1">J84</f>
        <v>20</v>
      </c>
      <c r="D76" s="49">
        <f ca="1">((100/H72)*C76)/100</f>
        <v>1</v>
      </c>
      <c r="E76" s="138"/>
      <c r="F76" s="138"/>
      <c r="G76" s="138"/>
      <c r="H76" s="139"/>
      <c r="I76" s="13" t="s">
        <v>102</v>
      </c>
      <c r="J76" s="34">
        <f ca="1">H72</f>
        <v>20</v>
      </c>
    </row>
    <row r="77" spans="1:14" ht="15.75" customHeight="1" x14ac:dyDescent="0.25">
      <c r="A77" s="142" t="s">
        <v>130</v>
      </c>
      <c r="B77" s="143"/>
      <c r="C77" s="50">
        <v>24</v>
      </c>
      <c r="D77" s="49">
        <f ca="1">((100/(D72+F72+H72))*C77)/100</f>
        <v>1</v>
      </c>
      <c r="E77" s="138"/>
      <c r="F77" s="138"/>
      <c r="G77" s="138"/>
      <c r="H77" s="139"/>
      <c r="I77" s="13" t="s">
        <v>103</v>
      </c>
      <c r="J77" s="35">
        <f ca="1">(IF(B72&gt;1,(H72/(B72+2)),H72/4))</f>
        <v>5</v>
      </c>
      <c r="L77" s="24">
        <f>19+4</f>
        <v>23</v>
      </c>
    </row>
    <row r="78" spans="1:14" ht="15.75" customHeight="1" x14ac:dyDescent="0.25">
      <c r="A78" s="78" t="s">
        <v>137</v>
      </c>
      <c r="B78" s="79" t="s">
        <v>131</v>
      </c>
      <c r="C78" s="48">
        <v>20</v>
      </c>
      <c r="D78" s="49">
        <f ca="1">((100/H72)*C78)/100</f>
        <v>1</v>
      </c>
      <c r="E78" s="138"/>
      <c r="F78" s="138"/>
      <c r="G78" s="138"/>
      <c r="H78" s="139"/>
      <c r="I78" s="13" t="s">
        <v>104</v>
      </c>
      <c r="J78" s="35">
        <f ca="1">(IF(B72&gt;1,(H72/(B72+2)+J77),H72/4+J77))</f>
        <v>10</v>
      </c>
    </row>
    <row r="79" spans="1:14" ht="15.75" customHeight="1" x14ac:dyDescent="0.25">
      <c r="A79" s="78" t="s">
        <v>138</v>
      </c>
      <c r="B79" s="79" t="s">
        <v>131</v>
      </c>
      <c r="C79" s="48">
        <v>20</v>
      </c>
      <c r="D79" s="49">
        <f ca="1">((100/H72)*C79)/100</f>
        <v>1</v>
      </c>
      <c r="E79" s="138"/>
      <c r="F79" s="138"/>
      <c r="G79" s="138"/>
      <c r="H79" s="139"/>
      <c r="I79" s="13" t="s">
        <v>147</v>
      </c>
      <c r="J79" s="35">
        <f>(IF(B72&gt;1,(H72/(B72+2)+J78),0))</f>
        <v>0</v>
      </c>
    </row>
    <row r="80" spans="1:14" ht="15" customHeight="1" x14ac:dyDescent="0.25">
      <c r="A80" s="78" t="s">
        <v>136</v>
      </c>
      <c r="B80" s="79" t="s">
        <v>133</v>
      </c>
      <c r="C80" s="48">
        <v>20</v>
      </c>
      <c r="D80" s="49">
        <f ca="1">((100/(H72))*C80)/100</f>
        <v>1</v>
      </c>
      <c r="E80" s="138"/>
      <c r="F80" s="138"/>
      <c r="G80" s="138"/>
      <c r="H80" s="139"/>
      <c r="I80" s="13" t="s">
        <v>144</v>
      </c>
      <c r="J80" s="35">
        <f>(IF(B72&gt;2,(H72/(B72+2)+J79),0))</f>
        <v>0</v>
      </c>
    </row>
    <row r="81" spans="1:12" ht="15.75" customHeight="1" x14ac:dyDescent="0.25">
      <c r="A81" s="78" t="s">
        <v>132</v>
      </c>
      <c r="B81" s="79" t="s">
        <v>132</v>
      </c>
      <c r="C81" s="48">
        <v>20</v>
      </c>
      <c r="D81" s="49">
        <f ca="1">((100/H72)*C81)/100</f>
        <v>1</v>
      </c>
      <c r="E81" s="138"/>
      <c r="F81" s="138"/>
      <c r="G81" s="138"/>
      <c r="H81" s="139"/>
      <c r="I81" s="13" t="s">
        <v>145</v>
      </c>
      <c r="J81" s="36">
        <f>(IF(B72&gt;3,(H72/(B72+2)+J80),0))</f>
        <v>0</v>
      </c>
    </row>
    <row r="82" spans="1:12" ht="15.75" customHeight="1" x14ac:dyDescent="0.25">
      <c r="A82" s="78" t="s">
        <v>139</v>
      </c>
      <c r="B82" s="79"/>
      <c r="C82" s="48">
        <v>19</v>
      </c>
      <c r="D82" s="49">
        <f ca="1">((100/H72)*C82)/100</f>
        <v>0.95</v>
      </c>
      <c r="E82" s="138"/>
      <c r="F82" s="138"/>
      <c r="G82" s="138"/>
      <c r="H82" s="139"/>
      <c r="I82" s="13" t="s">
        <v>146</v>
      </c>
      <c r="J82" s="35">
        <f>(IF(B72&gt;4,(H72/(B72+2)+J81),0))</f>
        <v>0</v>
      </c>
    </row>
    <row r="83" spans="1:12" ht="15.75" customHeight="1" x14ac:dyDescent="0.25">
      <c r="A83" s="78" t="s">
        <v>134</v>
      </c>
      <c r="B83" s="79" t="s">
        <v>134</v>
      </c>
      <c r="C83" s="48">
        <v>12</v>
      </c>
      <c r="D83" s="49">
        <f ca="1">((100/(H72))*C83)/100</f>
        <v>0.6</v>
      </c>
      <c r="E83" s="138"/>
      <c r="F83" s="138"/>
      <c r="G83" s="138"/>
      <c r="H83" s="139"/>
      <c r="I83" s="13" t="s">
        <v>148</v>
      </c>
      <c r="J83" s="35">
        <f ca="1">(IF(B72=1,(H72/(B72+3)+J78),IF(B72=0,(H72/4+J78),IF(B72&gt;1,0))))</f>
        <v>15</v>
      </c>
    </row>
    <row r="84" spans="1:12" ht="16.5" thickBot="1" x14ac:dyDescent="0.3">
      <c r="A84" s="125" t="s">
        <v>135</v>
      </c>
      <c r="B84" s="126"/>
      <c r="C84" s="51">
        <v>0</v>
      </c>
      <c r="D84" s="52">
        <f ca="1">((100/(H72))*C84)/100</f>
        <v>0</v>
      </c>
      <c r="E84" s="140"/>
      <c r="F84" s="140"/>
      <c r="G84" s="140"/>
      <c r="H84" s="141"/>
      <c r="I84" s="16" t="s">
        <v>105</v>
      </c>
      <c r="J84" s="37">
        <f ca="1">(IF(B72&gt;1.5,(H72/(B72+2)+J78+MAX(0,J79-J78)+MAX(0,J80-J79)+MAX(0,J81-J80)+MAX(0,J82-J81)+MAX(0,J83-J82)),IF(B72=1,(H72/(B72+3)+J83),IF(B72=0,H72/4+J83))))</f>
        <v>20</v>
      </c>
    </row>
    <row r="85" spans="1:12" ht="15.75" hidden="1" customHeight="1" x14ac:dyDescent="0.25">
      <c r="A85" s="120" t="s">
        <v>141</v>
      </c>
      <c r="B85" s="121"/>
      <c r="C85" s="122" t="str">
        <f>D62</f>
        <v>Wing B = B + Gr/St + 3P + 1st to 20th Floor</v>
      </c>
      <c r="D85" s="123"/>
      <c r="E85" s="123"/>
      <c r="F85" s="123"/>
      <c r="G85" s="123"/>
      <c r="H85" s="124"/>
      <c r="I85" s="14" t="str">
        <f ca="1">(IF(E89&gt;99%,"All work completed. Please provide OC.",IF(E89&gt;89.8%,"Plinth, RCC, Brick, Plaster, Flooring, Painting work Completed. Finishing work is in process.",IF(E89&lt;94%,(IF(C89=0,"Work not yet Started.",IF(D89=25%,"Piling work in process",IF(D89=50%,"Excavation work in process",IF(D89=100%,"Excavation work Completed. ","0")))&amp;(IF(C90=0%,"",IF(C90=J91,"Footing work is process",IF(C90=J92,"Footing work Completed",IF(C90=J93,"1st Basement Completed",IF(C90=J94,"1st &amp; 2nd Basement Completed",IF(C90=J95,"1st to 3rd Basement Completed",IF(C90=J96,"1st to 4th Basement Completed",IF(C90=J97,"Plinth work is process",IF(C90=J98,"Plinth work completed","0")))))))))))&amp;(IF(C91=(D86+F86+H86),", RCC Slab Completed",IF(C91&gt;0,", RCC upto "&amp;C91&amp;" Slab Completed",""))&amp;(IF(C92=H86,", Brickwork Completed",IF(C92&gt;0,", Brickwork upto "&amp;C92&amp;" Floor Completed",""))&amp;(IF(C93=H86,", Internal Plaster Completed",IF(C93&gt;0,", Internal Plaster upto "&amp;C93&amp;" Floor Completed",""))&amp;(IF(C94=H86,", External Plaster Completed",IF(C94&gt;0,", External Plaster upto "&amp;C94&amp;" Floor Completed",""))&amp;(IF(C95=H86,", Flooring Completed",IF(C95&gt;0,", Flooring upto "&amp;C95&amp;" Floor Completed",""))&amp;(IF(C96=H86,", Painting Completed",IF(C96&gt;0,", Painting upto "&amp;C96&amp;" Floor Completed",""))&amp;(IF(C97&gt;0,", Finishing upto "&amp;C97&amp;" Floor Completed","")&amp;(IF(C91&gt;0.5,".",""))))))))))))))</f>
        <v>Excavation work Completed. Plinth work completed, RCC Slab Completed, Brickwork Completed, Internal Plaster Completed, External Plaster Completed, Flooring upto 14 Floor Completed, Painting upto 14 Floor Completed.</v>
      </c>
      <c r="J85" s="31"/>
    </row>
    <row r="86" spans="1:12" hidden="1" x14ac:dyDescent="0.25">
      <c r="A86" s="17">
        <v>1</v>
      </c>
      <c r="B86" s="21">
        <v>0</v>
      </c>
      <c r="C86" s="21" t="s">
        <v>76</v>
      </c>
      <c r="D86" s="21">
        <v>1</v>
      </c>
      <c r="E86" s="21" t="s">
        <v>75</v>
      </c>
      <c r="F86" s="21">
        <v>3</v>
      </c>
      <c r="G86" s="21" t="s">
        <v>85</v>
      </c>
      <c r="H86" s="18">
        <f ca="1">--TRIM(RIGHT(SUBSTITUTE(LEFT(C85,_xlfn.AGGREGATE(16,6,FIND({0,1,2,3,4,5,6,7,8,9},C85,ROW(INDIRECT("1:"&amp;LEN(C85)))),1))," ",REPT(" ",LEN(C85))),LEN(C85)))</f>
        <v>20</v>
      </c>
      <c r="I86" s="15"/>
      <c r="J86" s="32"/>
    </row>
    <row r="87" spans="1:12" ht="66" hidden="1" customHeight="1" x14ac:dyDescent="0.25">
      <c r="A87" s="119" t="s">
        <v>95</v>
      </c>
      <c r="B87" s="85"/>
      <c r="C87" s="98" t="str">
        <f ca="1">I85</f>
        <v>Excavation work Completed. Plinth work completed, RCC Slab Completed, Brickwork Completed, Internal Plaster Completed, External Plaster Completed, Flooring upto 14 Floor Completed, Painting upto 14 Floor Completed.</v>
      </c>
      <c r="D87" s="98"/>
      <c r="E87" s="98"/>
      <c r="F87" s="98"/>
      <c r="G87" s="98"/>
      <c r="H87" s="144"/>
      <c r="I87" s="15" t="s">
        <v>106</v>
      </c>
      <c r="J87" s="32"/>
    </row>
    <row r="88" spans="1:12" ht="15.75" hidden="1" customHeight="1" x14ac:dyDescent="0.25">
      <c r="A88" s="78" t="s">
        <v>52</v>
      </c>
      <c r="B88" s="79"/>
      <c r="C88" s="47" t="s">
        <v>140</v>
      </c>
      <c r="D88" s="47" t="s">
        <v>88</v>
      </c>
      <c r="E88" s="79" t="s">
        <v>90</v>
      </c>
      <c r="F88" s="79"/>
      <c r="G88" s="79" t="s">
        <v>89</v>
      </c>
      <c r="H88" s="118"/>
      <c r="I88" s="13" t="s">
        <v>142</v>
      </c>
      <c r="J88" s="33">
        <f ca="1">H86*25%</f>
        <v>5</v>
      </c>
    </row>
    <row r="89" spans="1:12" hidden="1" x14ac:dyDescent="0.25">
      <c r="A89" s="78" t="s">
        <v>129</v>
      </c>
      <c r="B89" s="79"/>
      <c r="C89" s="48">
        <f ca="1">J90</f>
        <v>20</v>
      </c>
      <c r="D89" s="49">
        <f ca="1">((100/H86)*C89)/100</f>
        <v>1</v>
      </c>
      <c r="E89" s="138">
        <f ca="1">(((C90/H86*10)+(40/(D86+F86+H86)*C91)+(7.5/(H86)*C92)+(7.5/(H86)*C93)+(10/H86*C94)+(10/H86*C95)+(5/H86*C96)+(5/H86*C97)+(5/H86*C98))/100)</f>
        <v>0.85499999999999998</v>
      </c>
      <c r="F89" s="138"/>
      <c r="G89" s="138">
        <f ca="1">((((C89/H86)*20)+((C90/H86)*25)+(30/(H86+F86+D86)*C91)+(5/H86*C92)+(5/H86*C93)+(5/H86*C94)+(5/H86*C95)+(0/H86*C96)+(0/H86*C97)+(5/H86*C98))/100)</f>
        <v>0.93500000000000005</v>
      </c>
      <c r="H89" s="139"/>
      <c r="I89" s="13" t="s">
        <v>101</v>
      </c>
      <c r="J89" s="34">
        <f ca="1">H86*50%</f>
        <v>10</v>
      </c>
    </row>
    <row r="90" spans="1:12" hidden="1" x14ac:dyDescent="0.25">
      <c r="A90" s="78" t="s">
        <v>53</v>
      </c>
      <c r="B90" s="79"/>
      <c r="C90" s="50">
        <f ca="1">J98</f>
        <v>20</v>
      </c>
      <c r="D90" s="49">
        <f ca="1">((100/H86)*C90)/100</f>
        <v>1</v>
      </c>
      <c r="E90" s="138"/>
      <c r="F90" s="138"/>
      <c r="G90" s="138"/>
      <c r="H90" s="139"/>
      <c r="I90" s="13" t="s">
        <v>102</v>
      </c>
      <c r="J90" s="34">
        <f ca="1">H86</f>
        <v>20</v>
      </c>
    </row>
    <row r="91" spans="1:12" ht="15.75" hidden="1" customHeight="1" x14ac:dyDescent="0.25">
      <c r="A91" s="142" t="s">
        <v>130</v>
      </c>
      <c r="B91" s="143"/>
      <c r="C91" s="50">
        <v>24</v>
      </c>
      <c r="D91" s="49">
        <f ca="1">((100/(D86+F86+H86))*C91)/100</f>
        <v>1</v>
      </c>
      <c r="E91" s="138"/>
      <c r="F91" s="138"/>
      <c r="G91" s="138"/>
      <c r="H91" s="139"/>
      <c r="I91" s="13" t="s">
        <v>103</v>
      </c>
      <c r="J91" s="35">
        <f ca="1">(IF(B86&gt;1,(H86/(B86+2)),H86/4))</f>
        <v>5</v>
      </c>
      <c r="L91" s="24">
        <f>19+4</f>
        <v>23</v>
      </c>
    </row>
    <row r="92" spans="1:12" ht="15.75" hidden="1" customHeight="1" x14ac:dyDescent="0.25">
      <c r="A92" s="78" t="s">
        <v>137</v>
      </c>
      <c r="B92" s="79" t="s">
        <v>131</v>
      </c>
      <c r="C92" s="48">
        <v>20</v>
      </c>
      <c r="D92" s="49">
        <f ca="1">((100/H86)*C92)/100</f>
        <v>1</v>
      </c>
      <c r="E92" s="138"/>
      <c r="F92" s="138"/>
      <c r="G92" s="138"/>
      <c r="H92" s="139"/>
      <c r="I92" s="13" t="s">
        <v>104</v>
      </c>
      <c r="J92" s="35">
        <f ca="1">(IF(B86&gt;1,(H86/(B86+2)+J91),H86/4+J91))</f>
        <v>10</v>
      </c>
    </row>
    <row r="93" spans="1:12" ht="15.75" hidden="1" customHeight="1" x14ac:dyDescent="0.25">
      <c r="A93" s="78" t="s">
        <v>138</v>
      </c>
      <c r="B93" s="79" t="s">
        <v>131</v>
      </c>
      <c r="C93" s="48">
        <v>20</v>
      </c>
      <c r="D93" s="49">
        <f ca="1">((100/H86)*C93)/100</f>
        <v>1</v>
      </c>
      <c r="E93" s="138"/>
      <c r="F93" s="138"/>
      <c r="G93" s="138"/>
      <c r="H93" s="139"/>
      <c r="I93" s="13" t="s">
        <v>147</v>
      </c>
      <c r="J93" s="35">
        <f>(IF(B86&gt;1,(H86/(B86+2)+J92),0))</f>
        <v>0</v>
      </c>
    </row>
    <row r="94" spans="1:12" ht="15" hidden="1" customHeight="1" x14ac:dyDescent="0.25">
      <c r="A94" s="78" t="s">
        <v>136</v>
      </c>
      <c r="B94" s="79" t="s">
        <v>133</v>
      </c>
      <c r="C94" s="48">
        <v>20</v>
      </c>
      <c r="D94" s="49">
        <f ca="1">((100/(H86))*C94)/100</f>
        <v>1</v>
      </c>
      <c r="E94" s="138"/>
      <c r="F94" s="138"/>
      <c r="G94" s="138"/>
      <c r="H94" s="139"/>
      <c r="I94" s="13" t="s">
        <v>144</v>
      </c>
      <c r="J94" s="35">
        <f>(IF(B86&gt;2,(H86/(B86+2)+J93),0))</f>
        <v>0</v>
      </c>
    </row>
    <row r="95" spans="1:12" ht="15.75" hidden="1" customHeight="1" x14ac:dyDescent="0.25">
      <c r="A95" s="78" t="s">
        <v>132</v>
      </c>
      <c r="B95" s="79" t="s">
        <v>132</v>
      </c>
      <c r="C95" s="48">
        <v>14</v>
      </c>
      <c r="D95" s="49">
        <f ca="1">((100/H86)*C95)/100</f>
        <v>0.7</v>
      </c>
      <c r="E95" s="138"/>
      <c r="F95" s="138"/>
      <c r="G95" s="138"/>
      <c r="H95" s="139"/>
      <c r="I95" s="13" t="s">
        <v>145</v>
      </c>
      <c r="J95" s="36">
        <f>(IF(B86&gt;3,(H86/(B86+2)+J94),0))</f>
        <v>0</v>
      </c>
    </row>
    <row r="96" spans="1:12" ht="15.75" hidden="1" customHeight="1" x14ac:dyDescent="0.25">
      <c r="A96" s="78" t="s">
        <v>139</v>
      </c>
      <c r="B96" s="79"/>
      <c r="C96" s="48">
        <v>14</v>
      </c>
      <c r="D96" s="49">
        <f ca="1">((100/H86)*C96)/100</f>
        <v>0.7</v>
      </c>
      <c r="E96" s="138"/>
      <c r="F96" s="138"/>
      <c r="G96" s="138"/>
      <c r="H96" s="139"/>
      <c r="I96" s="13" t="s">
        <v>146</v>
      </c>
      <c r="J96" s="35">
        <f>(IF(B86&gt;4,(H86/(B86+2)+J95),0))</f>
        <v>0</v>
      </c>
    </row>
    <row r="97" spans="1:10" ht="15.75" hidden="1" customHeight="1" x14ac:dyDescent="0.25">
      <c r="A97" s="78" t="s">
        <v>134</v>
      </c>
      <c r="B97" s="79" t="s">
        <v>134</v>
      </c>
      <c r="C97" s="48">
        <v>0</v>
      </c>
      <c r="D97" s="49">
        <f ca="1">((100/(H86))*C97)/100</f>
        <v>0</v>
      </c>
      <c r="E97" s="138"/>
      <c r="F97" s="138"/>
      <c r="G97" s="138"/>
      <c r="H97" s="139"/>
      <c r="I97" s="13" t="s">
        <v>148</v>
      </c>
      <c r="J97" s="35">
        <f ca="1">(IF(B86=1,(H86/(B86+3)+J92),IF(B86=0,(H86/4+J92),IF(B86&gt;1,0))))</f>
        <v>15</v>
      </c>
    </row>
    <row r="98" spans="1:10" ht="16.5" hidden="1" thickBot="1" x14ac:dyDescent="0.3">
      <c r="A98" s="125" t="s">
        <v>135</v>
      </c>
      <c r="B98" s="126"/>
      <c r="C98" s="51">
        <v>0</v>
      </c>
      <c r="D98" s="52">
        <f ca="1">((100/(H86))*C98)/100</f>
        <v>0</v>
      </c>
      <c r="E98" s="140"/>
      <c r="F98" s="140"/>
      <c r="G98" s="140"/>
      <c r="H98" s="141"/>
      <c r="I98" s="16" t="s">
        <v>105</v>
      </c>
      <c r="J98" s="37">
        <f ca="1">(IF(B86&gt;1.5,(H86/(B86+2)+J92+MAX(0,J93-J92)+MAX(0,J94-J93)+MAX(0,J95-J94)+MAX(0,J96-J95)+MAX(0,J97-J96)),IF(B86=1,(H86/(B86+3)+J97),IF(B86=0,H86/4+J97))))</f>
        <v>20</v>
      </c>
    </row>
    <row r="99" spans="1:10" ht="15.75" customHeight="1" x14ac:dyDescent="0.25">
      <c r="A99" s="80" t="s">
        <v>141</v>
      </c>
      <c r="B99" s="81"/>
      <c r="C99" s="82" t="s">
        <v>246</v>
      </c>
      <c r="D99" s="83"/>
      <c r="E99" s="83"/>
      <c r="F99" s="83"/>
      <c r="G99" s="83"/>
      <c r="H99" s="84"/>
      <c r="I99" s="14" t="str">
        <f ca="1">(IF(E103&gt;99%,"All work completed. Please provide OC.",IF(E103&gt;89.8%,"Plinth, RCC, Brick, Plaster, Flooring, Painting work Completed. Finishing work is in process.",IF(E103&lt;94%,(IF(C103=0,"Work not yet Started.",IF(D103=25%,"Piling work in process",IF(D103=50%,"Excavation work in process",IF(D103=100%,"Excavation work Completed. ","0")))&amp;(IF(C104=0%,"",IF(C104=J105,"Footing work is process",IF(C104=J106,"Footing work Completed",IF(C104=J107,"1st Basement Completed",IF(C104=J108,"1st &amp; 2nd Basement Completed",IF(C104=J109,"1st to 3rd Basement Completed",IF(C104=J110,"1st to 4th Basement Completed",IF(C104=J111,"Plinth work is process",IF(C104=J112,"Plinth work completed","0")))))))))))&amp;(IF(C105=(D100+F100+H100),", RCC Slab Completed",IF(C105&gt;0,", RCC upto "&amp;C105&amp;" Slab Completed",""))&amp;(IF(C106=H100,", Brickwork Completed",IF(C106&gt;0,", Brickwork upto "&amp;C106&amp;" Floor Completed",""))&amp;(IF(C107=H100,", Internal Plaster Completed",IF(C107&gt;0,", Internal Plaster upto "&amp;C107&amp;" Floor Completed",""))&amp;(IF(C108=H100,", External Plaster Completed",IF(C108&gt;0,", External Plaster upto "&amp;C108&amp;" Floor Completed",""))&amp;(IF(C109=H100,", Flooring Completed",IF(C109&gt;0,", Flooring upto "&amp;C109&amp;" Floor Completed",""))&amp;(IF(C110=H100,", Painting Completed",IF(C110&gt;0,", Painting upto "&amp;C110&amp;" Floor Completed",""))&amp;(IF(C111&gt;0,", Finishing upto "&amp;C111&amp;" Floor Completed","")&amp;(IF(C105&gt;0.5,".",""))))))))))))))</f>
        <v>Excavation work Completed. Plinth work completed, RCC Slab Completed, Brickwork Completed, Internal Plaster Completed, External Plaster Completed, Flooring upto 22 Floor Completed, Painting upto 18 Floor Completed.</v>
      </c>
      <c r="J99" s="31"/>
    </row>
    <row r="100" spans="1:10" x14ac:dyDescent="0.25">
      <c r="A100" s="17" t="s">
        <v>143</v>
      </c>
      <c r="B100" s="21">
        <v>1</v>
      </c>
      <c r="C100" s="21" t="s">
        <v>76</v>
      </c>
      <c r="D100" s="21">
        <v>1</v>
      </c>
      <c r="E100" s="21" t="s">
        <v>75</v>
      </c>
      <c r="F100" s="21">
        <v>0</v>
      </c>
      <c r="G100" s="21" t="s">
        <v>85</v>
      </c>
      <c r="H100" s="18">
        <f ca="1">--TRIM(RIGHT(SUBSTITUTE(LEFT(C99,_xlfn.AGGREGATE(16,6,FIND({0,1,2,3,4,5,6,7,8,9},C99,ROW(INDIRECT("1:"&amp;LEN(C99)))),1))," ",REPT(" ",LEN(C99))),LEN(C99)))</f>
        <v>24</v>
      </c>
      <c r="I100" s="15"/>
      <c r="J100" s="32"/>
    </row>
    <row r="101" spans="1:10" ht="64.5" customHeight="1" x14ac:dyDescent="0.25">
      <c r="A101" s="119" t="s">
        <v>95</v>
      </c>
      <c r="B101" s="85"/>
      <c r="C101" s="98" t="str">
        <f ca="1">I99</f>
        <v>Excavation work Completed. Plinth work completed, RCC Slab Completed, Brickwork Completed, Internal Plaster Completed, External Plaster Completed, Flooring upto 22 Floor Completed, Painting upto 18 Floor Completed.</v>
      </c>
      <c r="D101" s="98"/>
      <c r="E101" s="98"/>
      <c r="F101" s="98"/>
      <c r="G101" s="98"/>
      <c r="H101" s="144"/>
      <c r="I101" s="15" t="s">
        <v>106</v>
      </c>
      <c r="J101" s="32"/>
    </row>
    <row r="102" spans="1:10" ht="15.75" customHeight="1" x14ac:dyDescent="0.25">
      <c r="A102" s="78" t="s">
        <v>52</v>
      </c>
      <c r="B102" s="79"/>
      <c r="C102" s="47" t="s">
        <v>140</v>
      </c>
      <c r="D102" s="47" t="s">
        <v>88</v>
      </c>
      <c r="E102" s="79" t="s">
        <v>90</v>
      </c>
      <c r="F102" s="79"/>
      <c r="G102" s="79" t="s">
        <v>89</v>
      </c>
      <c r="H102" s="118"/>
      <c r="I102" s="13" t="s">
        <v>142</v>
      </c>
      <c r="J102" s="33">
        <f ca="1">H100*25%</f>
        <v>6</v>
      </c>
    </row>
    <row r="103" spans="1:10" x14ac:dyDescent="0.25">
      <c r="A103" s="78" t="s">
        <v>129</v>
      </c>
      <c r="B103" s="79"/>
      <c r="C103" s="48">
        <f ca="1">J104</f>
        <v>24</v>
      </c>
      <c r="D103" s="49">
        <f ca="1">((100/H100)*C103)/100</f>
        <v>1</v>
      </c>
      <c r="E103" s="138">
        <f ca="1">(((C104/H100*10)+(40/(D100+F100+H100)*C105)+(7.5/(H100)*C106)+(7.5/(H100)*C107)+(10/H100*C108)+(10/H100*C109)+(5/H100*C110)+(5/H100*C111)+(5/H100*C112))/100)</f>
        <v>0.87916666666666676</v>
      </c>
      <c r="F103" s="138"/>
      <c r="G103" s="138">
        <f ca="1">((((C103/H100)*20)+((C104/H100)*25)+(30/(H100+F100+D100)*C105)+(5/H100*C106)+(5/H100*C107)+(5/H100*C108)+(5/H100*C109)+(0/H100*C110)+(0/H100*C111)+(5/H100*C112))/100)</f>
        <v>0.9458333333333333</v>
      </c>
      <c r="H103" s="139"/>
      <c r="I103" s="13" t="s">
        <v>101</v>
      </c>
      <c r="J103" s="34">
        <f ca="1">H100*50%</f>
        <v>12</v>
      </c>
    </row>
    <row r="104" spans="1:10" x14ac:dyDescent="0.25">
      <c r="A104" s="78" t="s">
        <v>53</v>
      </c>
      <c r="B104" s="79"/>
      <c r="C104" s="50">
        <f ca="1">J112</f>
        <v>24</v>
      </c>
      <c r="D104" s="49">
        <f ca="1">((100/H100)*C104)/100</f>
        <v>1</v>
      </c>
      <c r="E104" s="138"/>
      <c r="F104" s="138"/>
      <c r="G104" s="138"/>
      <c r="H104" s="139"/>
      <c r="I104" s="13" t="s">
        <v>102</v>
      </c>
      <c r="J104" s="34">
        <f ca="1">H100</f>
        <v>24</v>
      </c>
    </row>
    <row r="105" spans="1:10" ht="15.75" customHeight="1" x14ac:dyDescent="0.25">
      <c r="A105" s="142" t="s">
        <v>130</v>
      </c>
      <c r="B105" s="143"/>
      <c r="C105" s="50">
        <v>25</v>
      </c>
      <c r="D105" s="49">
        <f ca="1">((100/(D100+F100+H100))*C105)/100</f>
        <v>1</v>
      </c>
      <c r="E105" s="138"/>
      <c r="F105" s="138"/>
      <c r="G105" s="138"/>
      <c r="H105" s="139"/>
      <c r="I105" s="13" t="s">
        <v>103</v>
      </c>
      <c r="J105" s="35">
        <f ca="1">(IF(B100&gt;1,(H100/(B100+2)),H100/4))</f>
        <v>6</v>
      </c>
    </row>
    <row r="106" spans="1:10" ht="15.75" customHeight="1" x14ac:dyDescent="0.25">
      <c r="A106" s="78" t="s">
        <v>137</v>
      </c>
      <c r="B106" s="79" t="s">
        <v>131</v>
      </c>
      <c r="C106" s="48">
        <v>24</v>
      </c>
      <c r="D106" s="49">
        <f ca="1">((100/H100)*C106)/100</f>
        <v>1</v>
      </c>
      <c r="E106" s="138"/>
      <c r="F106" s="138"/>
      <c r="G106" s="138"/>
      <c r="H106" s="139"/>
      <c r="I106" s="13" t="s">
        <v>104</v>
      </c>
      <c r="J106" s="35">
        <f ca="1">(IF(B100&gt;1,(H100/(B100+2)+J105),H100/4+J105))</f>
        <v>12</v>
      </c>
    </row>
    <row r="107" spans="1:10" ht="15.75" customHeight="1" x14ac:dyDescent="0.25">
      <c r="A107" s="78" t="s">
        <v>138</v>
      </c>
      <c r="B107" s="79" t="s">
        <v>131</v>
      </c>
      <c r="C107" s="48">
        <v>24</v>
      </c>
      <c r="D107" s="49">
        <f ca="1">((100/H100)*C107)/100</f>
        <v>1</v>
      </c>
      <c r="E107" s="138"/>
      <c r="F107" s="138"/>
      <c r="G107" s="138"/>
      <c r="H107" s="139"/>
      <c r="I107" s="13" t="s">
        <v>147</v>
      </c>
      <c r="J107" s="35">
        <f>(IF(B100&gt;1,(H100/(B100+2)+J106),0))</f>
        <v>0</v>
      </c>
    </row>
    <row r="108" spans="1:10" ht="15" customHeight="1" x14ac:dyDescent="0.25">
      <c r="A108" s="78" t="s">
        <v>136</v>
      </c>
      <c r="B108" s="79" t="s">
        <v>133</v>
      </c>
      <c r="C108" s="48">
        <v>24</v>
      </c>
      <c r="D108" s="49">
        <f ca="1">((100/(H100))*C108)/100</f>
        <v>1</v>
      </c>
      <c r="E108" s="138"/>
      <c r="F108" s="138"/>
      <c r="G108" s="138"/>
      <c r="H108" s="139"/>
      <c r="I108" s="13" t="s">
        <v>144</v>
      </c>
      <c r="J108" s="35">
        <f>(IF(B100&gt;2,(H100/(B100+2)+J107),0))</f>
        <v>0</v>
      </c>
    </row>
    <row r="109" spans="1:10" ht="15.75" customHeight="1" x14ac:dyDescent="0.25">
      <c r="A109" s="78" t="s">
        <v>132</v>
      </c>
      <c r="B109" s="79" t="s">
        <v>132</v>
      </c>
      <c r="C109" s="48">
        <v>22</v>
      </c>
      <c r="D109" s="49">
        <f ca="1">((100/H100)*C109)/100</f>
        <v>0.91666666666666674</v>
      </c>
      <c r="E109" s="138"/>
      <c r="F109" s="138"/>
      <c r="G109" s="138"/>
      <c r="H109" s="139"/>
      <c r="I109" s="13" t="s">
        <v>145</v>
      </c>
      <c r="J109" s="36">
        <f>(IF(B100&gt;3,(H100/(B100+2)+J108),0))</f>
        <v>0</v>
      </c>
    </row>
    <row r="110" spans="1:10" ht="15.75" customHeight="1" x14ac:dyDescent="0.25">
      <c r="A110" s="78" t="s">
        <v>139</v>
      </c>
      <c r="B110" s="79"/>
      <c r="C110" s="48">
        <v>18</v>
      </c>
      <c r="D110" s="49">
        <f ca="1">((100/H100)*C110)/100</f>
        <v>0.75</v>
      </c>
      <c r="E110" s="138"/>
      <c r="F110" s="138"/>
      <c r="G110" s="138"/>
      <c r="H110" s="139"/>
      <c r="I110" s="13" t="s">
        <v>146</v>
      </c>
      <c r="J110" s="35">
        <f>(IF(B100&gt;4,(H100/(B100+2)+J109),0))</f>
        <v>0</v>
      </c>
    </row>
    <row r="111" spans="1:10" ht="15.75" customHeight="1" x14ac:dyDescent="0.25">
      <c r="A111" s="78" t="s">
        <v>134</v>
      </c>
      <c r="B111" s="79" t="s">
        <v>134</v>
      </c>
      <c r="C111" s="48">
        <v>0</v>
      </c>
      <c r="D111" s="49">
        <f ca="1">((100/(H100))*C111)/100</f>
        <v>0</v>
      </c>
      <c r="E111" s="138"/>
      <c r="F111" s="138"/>
      <c r="G111" s="138"/>
      <c r="H111" s="139"/>
      <c r="I111" s="13" t="s">
        <v>148</v>
      </c>
      <c r="J111" s="35">
        <f ca="1">(IF(B100=1,(H100/(B100+3)+J106),IF(B100=0,(H100/4+J106),IF(B100&gt;1,0))))</f>
        <v>18</v>
      </c>
    </row>
    <row r="112" spans="1:10" ht="16.5" thickBot="1" x14ac:dyDescent="0.3">
      <c r="A112" s="125" t="s">
        <v>135</v>
      </c>
      <c r="B112" s="126"/>
      <c r="C112" s="51">
        <v>0</v>
      </c>
      <c r="D112" s="52">
        <f ca="1">((100/(H100))*C112)/100</f>
        <v>0</v>
      </c>
      <c r="E112" s="140"/>
      <c r="F112" s="140"/>
      <c r="G112" s="140"/>
      <c r="H112" s="141"/>
      <c r="I112" s="16" t="s">
        <v>105</v>
      </c>
      <c r="J112" s="37">
        <f ca="1">(IF(B100&gt;1.5,(H100/(B100+2)+J106+MAX(0,J107-J106)+MAX(0,J108-J107)+MAX(0,J109-J108)+MAX(0,J110-J109)+MAX(0,J111-J110)),IF(B100=1,(H100/(B100+3)+J111),IF(B100=0,H100/4+J111))))</f>
        <v>24</v>
      </c>
    </row>
    <row r="113" spans="1:12" ht="15.75" customHeight="1" x14ac:dyDescent="0.25">
      <c r="A113" s="80" t="s">
        <v>141</v>
      </c>
      <c r="B113" s="81"/>
      <c r="C113" s="82" t="s">
        <v>247</v>
      </c>
      <c r="D113" s="83"/>
      <c r="E113" s="83"/>
      <c r="F113" s="83"/>
      <c r="G113" s="83"/>
      <c r="H113" s="84"/>
      <c r="I113" s="14" t="str">
        <f ca="1">(IF(E117&gt;99%,"All work completed. Please provide OC.",IF(E117&gt;89.8%,"Plinth, RCC, Brick, Plaster, Flooring, Painting work Completed. Finishing work is in process.",IF(E117&lt;94%,(IF(C117=0,"Work not yet Started.",IF(D117=25%,"Piling work in process",IF(D117=50%,"Excavation work in process",IF(D117=100%,"Excavation work Completed. ","0")))&amp;(IF(C118=0%,"",IF(C118=J119,"Footing work is process",IF(C118=J120,"Footing work Completed",IF(C118=J121,"1st Basement Completed",IF(C118=J122,"1st &amp; 2nd Basement Completed",IF(C118=J123,"1st to 3rd Basement Completed",IF(C118=J124,"1st to 4th Basement Completed",IF(C118=J125,"Plinth work is process",IF(C118=J126,"Plinth work completed","0")))))))))))&amp;(IF(C119=(D114+F114+H114),", RCC Slab Completed",IF(C119&gt;0,", RCC upto "&amp;C119&amp;" Slab Completed",""))&amp;(IF(C120=H114,", Brickwork Completed",IF(C120&gt;0,", Brickwork upto "&amp;C120&amp;" Floor Completed",""))&amp;(IF(C121=H114,", Internal Plaster Completed",IF(C121&gt;0,", Internal Plaster upto "&amp;C121&amp;" Floor Completed",""))&amp;(IF(C122=H114,", External Plaster Completed",IF(C122&gt;0,", External Plaster upto "&amp;C122&amp;" Floor Completed",""))&amp;(IF(C123=H114,", Flooring Completed",IF(C123&gt;0,", Flooring upto "&amp;C123&amp;" Floor Completed",""))&amp;(IF(C124=H114,", Painting Completed",IF(C124&gt;0,", Painting upto "&amp;C124&amp;" Floor Completed",""))&amp;(IF(C125&gt;0,", Finishing upto "&amp;C125&amp;" Floor Completed","")&amp;(IF(C119&gt;0.5,".",""))))))))))))))</f>
        <v>Excavation work Completed. Plinth work completed, RCC Slab Completed, Brickwork Completed, Internal Plaster Completed, External Plaster Completed, Flooring upto 18 Floor Completed, Painting upto 9 Floor Completed.</v>
      </c>
      <c r="J113" s="31"/>
    </row>
    <row r="114" spans="1:12" x14ac:dyDescent="0.25">
      <c r="A114" s="17" t="s">
        <v>143</v>
      </c>
      <c r="B114" s="21">
        <v>1</v>
      </c>
      <c r="C114" s="21" t="s">
        <v>76</v>
      </c>
      <c r="D114" s="21">
        <v>1</v>
      </c>
      <c r="E114" s="21" t="s">
        <v>75</v>
      </c>
      <c r="F114" s="21">
        <v>0</v>
      </c>
      <c r="G114" s="21" t="s">
        <v>85</v>
      </c>
      <c r="H114" s="18">
        <f ca="1">--TRIM(RIGHT(SUBSTITUTE(LEFT(C113,_xlfn.AGGREGATE(16,6,FIND({0,1,2,3,4,5,6,7,8,9},C113,ROW(INDIRECT("1:"&amp;LEN(C113)))),1))," ",REPT(" ",LEN(C113))),LEN(C113)))</f>
        <v>24</v>
      </c>
      <c r="I114" s="15"/>
      <c r="J114" s="32"/>
    </row>
    <row r="115" spans="1:12" ht="64.5" customHeight="1" x14ac:dyDescent="0.25">
      <c r="A115" s="119" t="s">
        <v>95</v>
      </c>
      <c r="B115" s="85"/>
      <c r="C115" s="98" t="str">
        <f ca="1">I113</f>
        <v>Excavation work Completed. Plinth work completed, RCC Slab Completed, Brickwork Completed, Internal Plaster Completed, External Plaster Completed, Flooring upto 18 Floor Completed, Painting upto 9 Floor Completed.</v>
      </c>
      <c r="D115" s="98"/>
      <c r="E115" s="98"/>
      <c r="F115" s="98"/>
      <c r="G115" s="98"/>
      <c r="H115" s="144"/>
      <c r="I115" s="15" t="s">
        <v>106</v>
      </c>
      <c r="J115" s="32"/>
    </row>
    <row r="116" spans="1:12" ht="15.75" customHeight="1" x14ac:dyDescent="0.25">
      <c r="A116" s="78" t="s">
        <v>52</v>
      </c>
      <c r="B116" s="79"/>
      <c r="C116" s="47" t="s">
        <v>140</v>
      </c>
      <c r="D116" s="47" t="s">
        <v>88</v>
      </c>
      <c r="E116" s="79" t="s">
        <v>90</v>
      </c>
      <c r="F116" s="79"/>
      <c r="G116" s="79" t="s">
        <v>89</v>
      </c>
      <c r="H116" s="118"/>
      <c r="I116" s="13" t="s">
        <v>142</v>
      </c>
      <c r="J116" s="33">
        <f ca="1">H114*25%</f>
        <v>6</v>
      </c>
    </row>
    <row r="117" spans="1:12" x14ac:dyDescent="0.25">
      <c r="A117" s="78" t="s">
        <v>129</v>
      </c>
      <c r="B117" s="79"/>
      <c r="C117" s="48">
        <f ca="1">J118</f>
        <v>24</v>
      </c>
      <c r="D117" s="49">
        <f ca="1">((100/H114)*C117)/100</f>
        <v>1</v>
      </c>
      <c r="E117" s="138">
        <f ca="1">(((C118/H114*10)+(40/(D114+F114+H114)*C119)+(7.5/(H114)*C120)+(7.5/(H114)*C121)+(10/H114*C122)+(10/H114*C123)+(5/H114*C124)+(5/H114*C125)+(5/H114*C126))/100)</f>
        <v>0.84375</v>
      </c>
      <c r="F117" s="138"/>
      <c r="G117" s="138">
        <f ca="1">((((C117/H114)*20)+((C118/H114)*25)+(30/(H114+F114+D114)*C119)+(5/H114*C120)+(5/H114*C121)+(5/H114*C122)+(5/H114*C123)+(0/H114*C124)+(0/H114*C125)+(5/H114*C126))/100)</f>
        <v>0.9375</v>
      </c>
      <c r="H117" s="139"/>
      <c r="I117" s="13" t="s">
        <v>101</v>
      </c>
      <c r="J117" s="34">
        <f ca="1">H114*50%</f>
        <v>12</v>
      </c>
    </row>
    <row r="118" spans="1:12" x14ac:dyDescent="0.25">
      <c r="A118" s="78" t="s">
        <v>53</v>
      </c>
      <c r="B118" s="79"/>
      <c r="C118" s="50">
        <f ca="1">J126</f>
        <v>24</v>
      </c>
      <c r="D118" s="49">
        <f ca="1">((100/H114)*C118)/100</f>
        <v>1</v>
      </c>
      <c r="E118" s="138"/>
      <c r="F118" s="138"/>
      <c r="G118" s="138"/>
      <c r="H118" s="139"/>
      <c r="I118" s="13" t="s">
        <v>102</v>
      </c>
      <c r="J118" s="34">
        <f ca="1">H114</f>
        <v>24</v>
      </c>
    </row>
    <row r="119" spans="1:12" ht="15.75" customHeight="1" x14ac:dyDescent="0.25">
      <c r="A119" s="142" t="s">
        <v>130</v>
      </c>
      <c r="B119" s="143"/>
      <c r="C119" s="50">
        <v>25</v>
      </c>
      <c r="D119" s="49">
        <f ca="1">((100/(D114+F114+H114))*C119)/100</f>
        <v>1</v>
      </c>
      <c r="E119" s="138"/>
      <c r="F119" s="138"/>
      <c r="G119" s="138"/>
      <c r="H119" s="139"/>
      <c r="I119" s="13" t="s">
        <v>103</v>
      </c>
      <c r="J119" s="35">
        <f ca="1">(IF(B114&gt;1,(H114/(B114+2)),H114/4))</f>
        <v>6</v>
      </c>
    </row>
    <row r="120" spans="1:12" ht="15.75" customHeight="1" x14ac:dyDescent="0.25">
      <c r="A120" s="78" t="s">
        <v>137</v>
      </c>
      <c r="B120" s="79" t="s">
        <v>131</v>
      </c>
      <c r="C120" s="48">
        <v>24</v>
      </c>
      <c r="D120" s="49">
        <f ca="1">((100/H114)*C120)/100</f>
        <v>1</v>
      </c>
      <c r="E120" s="138"/>
      <c r="F120" s="138"/>
      <c r="G120" s="138"/>
      <c r="H120" s="139"/>
      <c r="I120" s="13" t="s">
        <v>104</v>
      </c>
      <c r="J120" s="35">
        <f ca="1">(IF(B114&gt;1,(H114/(B114+2)+J119),H114/4+J119))</f>
        <v>12</v>
      </c>
    </row>
    <row r="121" spans="1:12" ht="15.75" customHeight="1" x14ac:dyDescent="0.25">
      <c r="A121" s="78" t="s">
        <v>138</v>
      </c>
      <c r="B121" s="79" t="s">
        <v>131</v>
      </c>
      <c r="C121" s="48">
        <v>24</v>
      </c>
      <c r="D121" s="49">
        <f ca="1">((100/H114)*C121)/100</f>
        <v>1</v>
      </c>
      <c r="E121" s="138"/>
      <c r="F121" s="138"/>
      <c r="G121" s="138"/>
      <c r="H121" s="139"/>
      <c r="I121" s="13" t="s">
        <v>147</v>
      </c>
      <c r="J121" s="35">
        <f>(IF(B114&gt;1,(H114/(B114+2)+J120),0))</f>
        <v>0</v>
      </c>
    </row>
    <row r="122" spans="1:12" ht="15" customHeight="1" x14ac:dyDescent="0.25">
      <c r="A122" s="78" t="s">
        <v>136</v>
      </c>
      <c r="B122" s="79" t="s">
        <v>133</v>
      </c>
      <c r="C122" s="48">
        <v>24</v>
      </c>
      <c r="D122" s="49">
        <f ca="1">((100/(H114))*C122)/100</f>
        <v>1</v>
      </c>
      <c r="E122" s="138"/>
      <c r="F122" s="138"/>
      <c r="G122" s="138"/>
      <c r="H122" s="139"/>
      <c r="I122" s="13" t="s">
        <v>144</v>
      </c>
      <c r="J122" s="35">
        <f>(IF(B114&gt;2,(H114/(B114+2)+J121),0))</f>
        <v>0</v>
      </c>
    </row>
    <row r="123" spans="1:12" ht="15.75" customHeight="1" x14ac:dyDescent="0.25">
      <c r="A123" s="78" t="s">
        <v>132</v>
      </c>
      <c r="B123" s="79" t="s">
        <v>132</v>
      </c>
      <c r="C123" s="48">
        <v>18</v>
      </c>
      <c r="D123" s="49">
        <f ca="1">((100/H114)*C123)/100</f>
        <v>0.75</v>
      </c>
      <c r="E123" s="138"/>
      <c r="F123" s="138"/>
      <c r="G123" s="138"/>
      <c r="H123" s="139"/>
      <c r="I123" s="13" t="s">
        <v>145</v>
      </c>
      <c r="J123" s="36">
        <f>(IF(B114&gt;3,(H114/(B114+2)+J122),0))</f>
        <v>0</v>
      </c>
    </row>
    <row r="124" spans="1:12" ht="15.75" customHeight="1" x14ac:dyDescent="0.25">
      <c r="A124" s="78" t="s">
        <v>139</v>
      </c>
      <c r="B124" s="79"/>
      <c r="C124" s="48">
        <v>9</v>
      </c>
      <c r="D124" s="49">
        <f ca="1">((100/H114)*C124)/100</f>
        <v>0.375</v>
      </c>
      <c r="E124" s="138"/>
      <c r="F124" s="138"/>
      <c r="G124" s="138"/>
      <c r="H124" s="139"/>
      <c r="I124" s="13" t="s">
        <v>146</v>
      </c>
      <c r="J124" s="35">
        <f>(IF(B114&gt;4,(H114/(B114+2)+J123),0))</f>
        <v>0</v>
      </c>
    </row>
    <row r="125" spans="1:12" ht="15.75" customHeight="1" x14ac:dyDescent="0.25">
      <c r="A125" s="78" t="s">
        <v>134</v>
      </c>
      <c r="B125" s="79" t="s">
        <v>134</v>
      </c>
      <c r="C125" s="48">
        <v>0</v>
      </c>
      <c r="D125" s="49">
        <f ca="1">((100/(H114))*C125)/100</f>
        <v>0</v>
      </c>
      <c r="E125" s="138"/>
      <c r="F125" s="138"/>
      <c r="G125" s="138"/>
      <c r="H125" s="139"/>
      <c r="I125" s="13" t="s">
        <v>148</v>
      </c>
      <c r="J125" s="35">
        <f ca="1">(IF(B114=1,(H114/(B114+3)+J120),IF(B114=0,(H114/4+J120),IF(B114&gt;1,0))))</f>
        <v>18</v>
      </c>
    </row>
    <row r="126" spans="1:12" ht="16.5" thickBot="1" x14ac:dyDescent="0.3">
      <c r="A126" s="125" t="s">
        <v>135</v>
      </c>
      <c r="B126" s="126"/>
      <c r="C126" s="51">
        <v>0</v>
      </c>
      <c r="D126" s="52">
        <f ca="1">((100/(H114))*C126)/100</f>
        <v>0</v>
      </c>
      <c r="E126" s="140"/>
      <c r="F126" s="140"/>
      <c r="G126" s="140"/>
      <c r="H126" s="141"/>
      <c r="I126" s="16" t="s">
        <v>105</v>
      </c>
      <c r="J126" s="37">
        <f ca="1">(IF(B114&gt;1.5,(H114/(B114+2)+J120+MAX(0,J121-J120)+MAX(0,J122-J121)+MAX(0,J123-J122)+MAX(0,J124-J123)+MAX(0,J125-J124)),IF(B114=1,(H114/(B114+3)+J125),IF(B114=0,H114/4+J125))))</f>
        <v>24</v>
      </c>
    </row>
    <row r="127" spans="1:12" x14ac:dyDescent="0.25">
      <c r="A127" s="86" t="s">
        <v>54</v>
      </c>
      <c r="B127" s="86"/>
      <c r="C127" s="86"/>
      <c r="D127" s="86"/>
      <c r="E127" s="86"/>
      <c r="F127" s="86"/>
      <c r="G127" s="86"/>
      <c r="H127" s="86"/>
    </row>
    <row r="128" spans="1:12" x14ac:dyDescent="0.25">
      <c r="A128" s="72" t="s">
        <v>167</v>
      </c>
      <c r="B128" s="72"/>
      <c r="C128" s="72"/>
      <c r="D128" s="72"/>
      <c r="E128" s="72"/>
      <c r="F128" s="85">
        <v>21000</v>
      </c>
      <c r="G128" s="85"/>
      <c r="H128" s="85"/>
      <c r="I128" s="54" t="s">
        <v>185</v>
      </c>
      <c r="J128" s="54" t="s">
        <v>184</v>
      </c>
      <c r="K128" s="54"/>
      <c r="L128" s="55">
        <v>44747</v>
      </c>
    </row>
    <row r="129" spans="1:12" s="38" customFormat="1" x14ac:dyDescent="0.25">
      <c r="A129" s="72" t="s">
        <v>169</v>
      </c>
      <c r="B129" s="72"/>
      <c r="C129" s="72"/>
      <c r="D129" s="72"/>
      <c r="E129" s="72"/>
      <c r="F129" s="65" t="s">
        <v>168</v>
      </c>
      <c r="G129" s="65"/>
      <c r="H129" s="65"/>
      <c r="I129" s="38" t="s">
        <v>236</v>
      </c>
      <c r="J129" s="38" t="s">
        <v>237</v>
      </c>
      <c r="K129" s="38" t="s">
        <v>238</v>
      </c>
      <c r="L129" s="63">
        <v>45637</v>
      </c>
    </row>
    <row r="130" spans="1:12" s="38" customFormat="1" x14ac:dyDescent="0.25">
      <c r="A130" s="72" t="s">
        <v>180</v>
      </c>
      <c r="B130" s="72"/>
      <c r="C130" s="72"/>
      <c r="D130" s="72"/>
      <c r="E130" s="72"/>
      <c r="F130" s="65" t="s">
        <v>179</v>
      </c>
      <c r="G130" s="65"/>
      <c r="H130" s="65"/>
    </row>
    <row r="131" spans="1:12" s="38" customFormat="1" hidden="1" x14ac:dyDescent="0.25">
      <c r="A131" s="72" t="s">
        <v>100</v>
      </c>
      <c r="B131" s="72"/>
      <c r="C131" s="72"/>
      <c r="D131" s="72"/>
      <c r="E131" s="72"/>
      <c r="F131" s="65" t="s">
        <v>30</v>
      </c>
      <c r="G131" s="65"/>
      <c r="H131" s="65"/>
    </row>
    <row r="132" spans="1:12" s="38" customFormat="1" x14ac:dyDescent="0.25">
      <c r="A132" s="72" t="s">
        <v>174</v>
      </c>
      <c r="B132" s="72"/>
      <c r="C132" s="72"/>
      <c r="D132" s="72"/>
      <c r="E132" s="72"/>
      <c r="F132" s="65" t="s">
        <v>175</v>
      </c>
      <c r="G132" s="65"/>
      <c r="H132" s="65"/>
    </row>
    <row r="133" spans="1:12" s="38" customFormat="1" x14ac:dyDescent="0.25">
      <c r="A133" s="72" t="s">
        <v>170</v>
      </c>
      <c r="B133" s="72"/>
      <c r="C133" s="72"/>
      <c r="D133" s="72"/>
      <c r="E133" s="72"/>
      <c r="F133" s="65" t="s">
        <v>171</v>
      </c>
      <c r="G133" s="65"/>
      <c r="H133" s="65"/>
    </row>
    <row r="134" spans="1:12" s="38" customFormat="1" x14ac:dyDescent="0.25">
      <c r="A134" s="72" t="s">
        <v>172</v>
      </c>
      <c r="B134" s="72"/>
      <c r="C134" s="72"/>
      <c r="D134" s="72"/>
      <c r="E134" s="72"/>
      <c r="F134" s="65" t="s">
        <v>173</v>
      </c>
      <c r="G134" s="65"/>
      <c r="H134" s="65"/>
    </row>
    <row r="135" spans="1:12" s="38" customFormat="1" x14ac:dyDescent="0.25">
      <c r="A135" s="72" t="s">
        <v>178</v>
      </c>
      <c r="B135" s="72"/>
      <c r="C135" s="72"/>
      <c r="D135" s="72"/>
      <c r="E135" s="72"/>
      <c r="F135" s="65" t="s">
        <v>173</v>
      </c>
      <c r="G135" s="65"/>
      <c r="H135" s="65"/>
    </row>
    <row r="136" spans="1:12" x14ac:dyDescent="0.25">
      <c r="A136" s="72" t="s">
        <v>55</v>
      </c>
      <c r="B136" s="72"/>
      <c r="C136" s="72"/>
      <c r="D136" s="72"/>
      <c r="E136" s="72"/>
      <c r="F136" s="66" t="s">
        <v>186</v>
      </c>
      <c r="G136" s="66"/>
      <c r="H136" s="66"/>
    </row>
    <row r="137" spans="1:12" s="39" customFormat="1" x14ac:dyDescent="0.25">
      <c r="A137" s="86" t="s">
        <v>56</v>
      </c>
      <c r="B137" s="86"/>
      <c r="C137" s="86"/>
      <c r="D137" s="86"/>
      <c r="E137" s="86"/>
      <c r="F137" s="65">
        <f>F128*0.8</f>
        <v>16800</v>
      </c>
      <c r="G137" s="65"/>
      <c r="H137" s="65"/>
    </row>
    <row r="138" spans="1:12" s="40" customFormat="1" ht="15.75" hidden="1" customHeight="1" x14ac:dyDescent="0.25">
      <c r="A138" s="134" t="s">
        <v>80</v>
      </c>
      <c r="B138" s="134"/>
      <c r="C138" s="134"/>
      <c r="D138" s="134"/>
      <c r="E138" s="134"/>
      <c r="F138" s="134"/>
      <c r="G138" s="134"/>
      <c r="H138" s="134"/>
    </row>
    <row r="139" spans="1:12" s="40" customFormat="1" ht="15.75" hidden="1" customHeight="1" x14ac:dyDescent="0.25">
      <c r="A139" s="75" t="s">
        <v>57</v>
      </c>
      <c r="B139" s="75"/>
      <c r="C139" s="133" t="s">
        <v>83</v>
      </c>
      <c r="D139" s="133"/>
      <c r="E139" s="135" t="s">
        <v>58</v>
      </c>
      <c r="F139" s="135"/>
      <c r="G139" s="75" t="s">
        <v>59</v>
      </c>
      <c r="H139" s="75"/>
    </row>
    <row r="140" spans="1:12" s="40" customFormat="1" hidden="1" x14ac:dyDescent="0.25">
      <c r="A140" s="102"/>
      <c r="B140" s="102"/>
      <c r="C140" s="136"/>
      <c r="D140" s="136"/>
      <c r="E140" s="137"/>
      <c r="F140" s="137"/>
      <c r="G140" s="87"/>
      <c r="H140" s="87"/>
    </row>
    <row r="141" spans="1:12" s="40" customFormat="1" x14ac:dyDescent="0.25">
      <c r="A141" s="134" t="s">
        <v>74</v>
      </c>
      <c r="B141" s="134"/>
      <c r="C141" s="134"/>
      <c r="D141" s="134"/>
      <c r="E141" s="134"/>
      <c r="F141" s="134"/>
      <c r="G141" s="134"/>
      <c r="H141" s="134"/>
    </row>
    <row r="142" spans="1:12" s="40" customFormat="1" ht="15.75" customHeight="1" x14ac:dyDescent="0.25">
      <c r="A142" s="75" t="s">
        <v>57</v>
      </c>
      <c r="B142" s="75"/>
      <c r="C142" s="133" t="s">
        <v>83</v>
      </c>
      <c r="D142" s="133"/>
      <c r="E142" s="135" t="s">
        <v>58</v>
      </c>
      <c r="F142" s="135"/>
      <c r="G142" s="75" t="s">
        <v>59</v>
      </c>
      <c r="H142" s="75"/>
    </row>
    <row r="143" spans="1:12" s="40" customFormat="1" x14ac:dyDescent="0.25">
      <c r="A143" s="102" t="s">
        <v>230</v>
      </c>
      <c r="B143" s="102"/>
      <c r="C143" s="127">
        <f>COUNT(D183:D188)*15+COUNT(D190:D195)*5</f>
        <v>120</v>
      </c>
      <c r="D143" s="127"/>
      <c r="E143" s="127">
        <f>SUM(F183:F188)*15+SUM(F190:F195)*5</f>
        <v>66589.333199999994</v>
      </c>
      <c r="F143" s="127"/>
      <c r="G143" s="127">
        <f>SUM(H183:H188)*15+SUM(H190:H195)*5</f>
        <v>99883.999799999991</v>
      </c>
      <c r="H143" s="127"/>
    </row>
    <row r="144" spans="1:12" s="40" customFormat="1" x14ac:dyDescent="0.25">
      <c r="A144" s="102" t="s">
        <v>231</v>
      </c>
      <c r="B144" s="102"/>
      <c r="C144" s="127">
        <f>COUNT(D202:D207)*15+COUNT(D209:D214)*5</f>
        <v>120</v>
      </c>
      <c r="D144" s="127"/>
      <c r="E144" s="127">
        <f>SUM(F202:F207)*15+SUM(F209:F214)*5</f>
        <v>66296.552399999986</v>
      </c>
      <c r="F144" s="127"/>
      <c r="G144" s="127">
        <f>SUM(H202:H207)*15+SUM(H209:H214)*5</f>
        <v>99444.828599999979</v>
      </c>
      <c r="H144" s="127"/>
    </row>
    <row r="145" spans="1:10" s="40" customFormat="1" x14ac:dyDescent="0.25">
      <c r="A145" s="102" t="s">
        <v>208</v>
      </c>
      <c r="B145" s="102"/>
      <c r="C145" s="127">
        <f>COUNT(D219:D225)+COUNT(D227:D233)*23</f>
        <v>168</v>
      </c>
      <c r="D145" s="127"/>
      <c r="E145" s="127">
        <f>SUM(F219:F225)+SUM(F227:F233)*23</f>
        <v>54250.560000000005</v>
      </c>
      <c r="F145" s="127"/>
      <c r="G145" s="127">
        <f>SUM(H219:H225)+SUM(H227:H233)*23</f>
        <v>81375.839999999997</v>
      </c>
      <c r="H145" s="127"/>
    </row>
    <row r="146" spans="1:10" s="40" customFormat="1" x14ac:dyDescent="0.25">
      <c r="A146" s="102" t="s">
        <v>210</v>
      </c>
      <c r="B146" s="102"/>
      <c r="C146" s="127">
        <f>COUNT(D238:D246)+COUNT(D248:D256)*23</f>
        <v>216</v>
      </c>
      <c r="D146" s="127"/>
      <c r="E146" s="127">
        <f>SUM(F238:F246)+SUM(F248:F256)*23</f>
        <v>69750.720000000001</v>
      </c>
      <c r="F146" s="127"/>
      <c r="G146" s="127">
        <f>SUM(H238:H246)+SUM(H248:H256)*23</f>
        <v>104626.08</v>
      </c>
      <c r="H146" s="127"/>
    </row>
    <row r="147" spans="1:10" s="62" customFormat="1" x14ac:dyDescent="0.25">
      <c r="A147" s="134" t="s">
        <v>229</v>
      </c>
      <c r="B147" s="134"/>
      <c r="C147" s="175">
        <f>SUM(C143:C146)</f>
        <v>624</v>
      </c>
      <c r="D147" s="133"/>
      <c r="E147" s="176">
        <f>SUM(E143:E146)</f>
        <v>256887.16559999998</v>
      </c>
      <c r="F147" s="135"/>
      <c r="G147" s="75">
        <f>SUM(G143:G146)</f>
        <v>385330.74839999998</v>
      </c>
      <c r="H147" s="75"/>
    </row>
    <row r="148" spans="1:10" s="39" customFormat="1" x14ac:dyDescent="0.25">
      <c r="A148" s="111" t="s">
        <v>60</v>
      </c>
      <c r="B148" s="111"/>
      <c r="C148" s="111"/>
      <c r="D148" s="111"/>
      <c r="E148" s="111"/>
      <c r="F148" s="111"/>
      <c r="G148" s="111"/>
      <c r="H148" s="111"/>
    </row>
    <row r="149" spans="1:10" x14ac:dyDescent="0.25">
      <c r="A149" s="111" t="s">
        <v>61</v>
      </c>
      <c r="B149" s="111"/>
      <c r="C149" s="111"/>
      <c r="D149" s="111"/>
      <c r="E149" s="111"/>
      <c r="F149" s="111"/>
      <c r="G149" s="111"/>
      <c r="H149" s="111"/>
    </row>
    <row r="150" spans="1:10" ht="47.25" hidden="1" customHeight="1" x14ac:dyDescent="0.25">
      <c r="A150" s="114" t="s">
        <v>121</v>
      </c>
      <c r="B150" s="112" t="s">
        <v>199</v>
      </c>
      <c r="C150" s="114" t="s">
        <v>62</v>
      </c>
      <c r="D150" s="112" t="s">
        <v>200</v>
      </c>
      <c r="E150" s="131" t="s">
        <v>201</v>
      </c>
      <c r="F150" s="114" t="s">
        <v>63</v>
      </c>
      <c r="G150" s="171" t="s">
        <v>64</v>
      </c>
      <c r="H150" s="56" t="s">
        <v>151</v>
      </c>
    </row>
    <row r="151" spans="1:10" s="42" customFormat="1" hidden="1" x14ac:dyDescent="0.25">
      <c r="A151" s="115"/>
      <c r="B151" s="113"/>
      <c r="C151" s="115"/>
      <c r="D151" s="113"/>
      <c r="E151" s="132"/>
      <c r="F151" s="115"/>
      <c r="G151" s="172"/>
      <c r="H151" s="57">
        <v>0.45</v>
      </c>
    </row>
    <row r="152" spans="1:10" s="42" customFormat="1" hidden="1" x14ac:dyDescent="0.25">
      <c r="A152" s="128" t="s">
        <v>206</v>
      </c>
      <c r="B152" s="129"/>
      <c r="C152" s="129"/>
      <c r="D152" s="129"/>
      <c r="E152" s="129"/>
      <c r="F152" s="129"/>
      <c r="G152" s="129"/>
      <c r="H152" s="130"/>
      <c r="J152" s="41"/>
    </row>
    <row r="153" spans="1:10" s="42" customFormat="1" hidden="1" x14ac:dyDescent="0.25">
      <c r="A153" s="128" t="s">
        <v>207</v>
      </c>
      <c r="B153" s="129"/>
      <c r="C153" s="129"/>
      <c r="D153" s="129"/>
      <c r="E153" s="129"/>
      <c r="F153" s="129"/>
      <c r="G153" s="129"/>
      <c r="H153" s="130"/>
      <c r="J153" s="41"/>
    </row>
    <row r="154" spans="1:10" s="42" customFormat="1" hidden="1" x14ac:dyDescent="0.25">
      <c r="A154" s="128" t="s">
        <v>212</v>
      </c>
      <c r="B154" s="129"/>
      <c r="C154" s="129"/>
      <c r="D154" s="129"/>
      <c r="E154" s="129"/>
      <c r="F154" s="129"/>
      <c r="G154" s="129"/>
      <c r="H154" s="130"/>
      <c r="J154" s="41"/>
    </row>
    <row r="155" spans="1:10" s="42" customFormat="1" hidden="1" x14ac:dyDescent="0.25">
      <c r="A155" s="128" t="s">
        <v>215</v>
      </c>
      <c r="B155" s="129"/>
      <c r="C155" s="129"/>
      <c r="D155" s="129"/>
      <c r="E155" s="129"/>
      <c r="F155" s="129"/>
      <c r="G155" s="129"/>
      <c r="H155" s="130"/>
      <c r="J155" s="41"/>
    </row>
    <row r="156" spans="1:10" s="42" customFormat="1" hidden="1" x14ac:dyDescent="0.25">
      <c r="A156" s="128" t="s">
        <v>217</v>
      </c>
      <c r="B156" s="129"/>
      <c r="C156" s="129"/>
      <c r="D156" s="129"/>
      <c r="E156" s="129"/>
      <c r="F156" s="129"/>
      <c r="G156" s="129"/>
      <c r="H156" s="130"/>
      <c r="J156" s="41"/>
    </row>
    <row r="157" spans="1:10" s="42" customFormat="1" hidden="1" x14ac:dyDescent="0.25">
      <c r="A157" s="128" t="s">
        <v>208</v>
      </c>
      <c r="B157" s="129"/>
      <c r="C157" s="129"/>
      <c r="D157" s="129"/>
      <c r="E157" s="129"/>
      <c r="F157" s="129"/>
      <c r="G157" s="129"/>
      <c r="H157" s="130"/>
      <c r="J157" s="41"/>
    </row>
    <row r="158" spans="1:10" s="42" customFormat="1" hidden="1" x14ac:dyDescent="0.25">
      <c r="A158" s="128" t="s">
        <v>209</v>
      </c>
      <c r="B158" s="129"/>
      <c r="C158" s="129"/>
      <c r="D158" s="129"/>
      <c r="E158" s="129"/>
      <c r="F158" s="129"/>
      <c r="G158" s="129"/>
      <c r="H158" s="130"/>
      <c r="J158" s="41"/>
    </row>
    <row r="159" spans="1:10" s="42" customFormat="1" hidden="1" x14ac:dyDescent="0.25">
      <c r="A159" s="128" t="s">
        <v>213</v>
      </c>
      <c r="B159" s="129"/>
      <c r="C159" s="129"/>
      <c r="D159" s="129"/>
      <c r="E159" s="129"/>
      <c r="F159" s="129"/>
      <c r="G159" s="129"/>
      <c r="H159" s="130"/>
      <c r="J159" s="41"/>
    </row>
    <row r="160" spans="1:10" s="42" customFormat="1" hidden="1" x14ac:dyDescent="0.25">
      <c r="A160" s="128" t="s">
        <v>216</v>
      </c>
      <c r="B160" s="129"/>
      <c r="C160" s="129"/>
      <c r="D160" s="129"/>
      <c r="E160" s="129"/>
      <c r="F160" s="129"/>
      <c r="G160" s="129"/>
      <c r="H160" s="130"/>
      <c r="J160" s="41"/>
    </row>
    <row r="161" spans="1:14" s="42" customFormat="1" hidden="1" x14ac:dyDescent="0.25">
      <c r="A161" s="128" t="s">
        <v>218</v>
      </c>
      <c r="B161" s="129"/>
      <c r="C161" s="129"/>
      <c r="D161" s="129"/>
      <c r="E161" s="129"/>
      <c r="F161" s="129"/>
      <c r="G161" s="129"/>
      <c r="H161" s="130"/>
      <c r="J161" s="41"/>
    </row>
    <row r="162" spans="1:14" s="42" customFormat="1" hidden="1" x14ac:dyDescent="0.25">
      <c r="A162" s="128" t="s">
        <v>210</v>
      </c>
      <c r="B162" s="129"/>
      <c r="C162" s="129"/>
      <c r="D162" s="129"/>
      <c r="E162" s="129"/>
      <c r="F162" s="129"/>
      <c r="G162" s="129"/>
      <c r="H162" s="130"/>
      <c r="J162" s="41"/>
    </row>
    <row r="163" spans="1:14" s="42" customFormat="1" hidden="1" x14ac:dyDescent="0.25">
      <c r="A163" s="128" t="s">
        <v>211</v>
      </c>
      <c r="B163" s="129"/>
      <c r="C163" s="129"/>
      <c r="D163" s="129"/>
      <c r="E163" s="129"/>
      <c r="F163" s="129"/>
      <c r="G163" s="129"/>
      <c r="H163" s="130"/>
      <c r="J163" s="41"/>
    </row>
    <row r="164" spans="1:14" s="42" customFormat="1" hidden="1" x14ac:dyDescent="0.25">
      <c r="A164" s="128" t="s">
        <v>214</v>
      </c>
      <c r="B164" s="129"/>
      <c r="C164" s="129"/>
      <c r="D164" s="129"/>
      <c r="E164" s="129"/>
      <c r="F164" s="129"/>
      <c r="G164" s="129"/>
      <c r="H164" s="130"/>
      <c r="J164" s="41"/>
    </row>
    <row r="165" spans="1:14" s="42" customFormat="1" hidden="1" x14ac:dyDescent="0.25">
      <c r="A165" s="128" t="s">
        <v>216</v>
      </c>
      <c r="B165" s="129"/>
      <c r="C165" s="129"/>
      <c r="D165" s="129"/>
      <c r="E165" s="129"/>
      <c r="F165" s="129"/>
      <c r="G165" s="129"/>
      <c r="H165" s="130"/>
      <c r="J165" s="41"/>
    </row>
    <row r="166" spans="1:14" s="42" customFormat="1" hidden="1" x14ac:dyDescent="0.25">
      <c r="A166" s="128" t="s">
        <v>218</v>
      </c>
      <c r="B166" s="129"/>
      <c r="C166" s="129"/>
      <c r="D166" s="129"/>
      <c r="E166" s="129"/>
      <c r="F166" s="129"/>
      <c r="G166" s="129"/>
      <c r="H166" s="130"/>
      <c r="J166" s="41"/>
    </row>
    <row r="167" spans="1:14" s="42" customFormat="1" ht="15.75" hidden="1" customHeight="1" x14ac:dyDescent="0.25">
      <c r="A167" s="103">
        <v>1</v>
      </c>
      <c r="B167" s="104"/>
      <c r="C167" s="19"/>
      <c r="D167" s="19">
        <v>0</v>
      </c>
      <c r="E167" s="19">
        <v>0</v>
      </c>
      <c r="F167" s="19">
        <f>D167+(IF(E167&lt;201,E167,IF(E167&lt;301,E167/2,E167/3)))</f>
        <v>0</v>
      </c>
      <c r="G167" s="19">
        <v>0</v>
      </c>
      <c r="H167" s="19">
        <f>(F167+(IF(G167&lt;101,G167,IF(G167&lt;201,G167/2,IF(G167&lt;=301,G167/3,G167/4)))))*(($H$151)+1)</f>
        <v>0</v>
      </c>
      <c r="I167" s="41"/>
      <c r="L167" s="159"/>
      <c r="M167" s="159"/>
      <c r="N167" s="41"/>
    </row>
    <row r="168" spans="1:14" s="42" customFormat="1" hidden="1" x14ac:dyDescent="0.25">
      <c r="A168" s="103">
        <f t="shared" ref="A168:A173" si="0">A167+1</f>
        <v>2</v>
      </c>
      <c r="B168" s="104"/>
      <c r="C168" s="19"/>
      <c r="D168" s="19">
        <v>0</v>
      </c>
      <c r="E168" s="19">
        <v>0</v>
      </c>
      <c r="F168" s="19">
        <f t="shared" ref="F168:F173" si="1">D168+(IF(E168&lt;201,E168,IF(E168&lt;301,E168/2,E168/3)))</f>
        <v>0</v>
      </c>
      <c r="G168" s="19">
        <v>0</v>
      </c>
      <c r="H168" s="19">
        <f t="shared" ref="H168:H173" si="2">(F168+(IF(G168&lt;101,G168,IF(G168&lt;201,G168/2,IF(G168&lt;=301,G168/3,G168/4)))))*(($H$151)+1)</f>
        <v>0</v>
      </c>
      <c r="I168" s="41"/>
      <c r="L168" s="159"/>
      <c r="M168" s="159"/>
      <c r="N168" s="41"/>
    </row>
    <row r="169" spans="1:14" s="42" customFormat="1" hidden="1" x14ac:dyDescent="0.25">
      <c r="A169" s="103">
        <f t="shared" si="0"/>
        <v>3</v>
      </c>
      <c r="B169" s="104"/>
      <c r="C169" s="19"/>
      <c r="D169" s="19">
        <v>0</v>
      </c>
      <c r="E169" s="19">
        <v>0</v>
      </c>
      <c r="F169" s="19">
        <f t="shared" si="1"/>
        <v>0</v>
      </c>
      <c r="G169" s="19">
        <v>0</v>
      </c>
      <c r="H169" s="19">
        <f t="shared" si="2"/>
        <v>0</v>
      </c>
      <c r="I169" s="41"/>
      <c r="L169" s="159"/>
      <c r="M169" s="159"/>
      <c r="N169" s="41"/>
    </row>
    <row r="170" spans="1:14" s="42" customFormat="1" hidden="1" x14ac:dyDescent="0.25">
      <c r="A170" s="103">
        <f t="shared" si="0"/>
        <v>4</v>
      </c>
      <c r="B170" s="104"/>
      <c r="C170" s="19"/>
      <c r="D170" s="19">
        <v>0</v>
      </c>
      <c r="E170" s="19">
        <v>0</v>
      </c>
      <c r="F170" s="19">
        <f t="shared" si="1"/>
        <v>0</v>
      </c>
      <c r="G170" s="19">
        <v>0</v>
      </c>
      <c r="H170" s="19">
        <f t="shared" si="2"/>
        <v>0</v>
      </c>
      <c r="I170" s="41"/>
      <c r="L170" s="159"/>
      <c r="M170" s="159"/>
      <c r="N170" s="41"/>
    </row>
    <row r="171" spans="1:14" s="42" customFormat="1" ht="15.75" hidden="1" customHeight="1" x14ac:dyDescent="0.25">
      <c r="A171" s="103">
        <f t="shared" si="0"/>
        <v>5</v>
      </c>
      <c r="B171" s="104"/>
      <c r="C171" s="19"/>
      <c r="D171" s="19">
        <v>0</v>
      </c>
      <c r="E171" s="19">
        <v>0</v>
      </c>
      <c r="F171" s="19">
        <f t="shared" si="1"/>
        <v>0</v>
      </c>
      <c r="G171" s="19">
        <v>0</v>
      </c>
      <c r="H171" s="19">
        <f t="shared" si="2"/>
        <v>0</v>
      </c>
      <c r="I171" s="41"/>
      <c r="L171" s="159"/>
      <c r="M171" s="159"/>
      <c r="N171" s="41"/>
    </row>
    <row r="172" spans="1:14" s="42" customFormat="1" ht="15.75" hidden="1" customHeight="1" x14ac:dyDescent="0.25">
      <c r="A172" s="103">
        <f t="shared" si="0"/>
        <v>6</v>
      </c>
      <c r="B172" s="104"/>
      <c r="C172" s="19"/>
      <c r="D172" s="19">
        <v>0</v>
      </c>
      <c r="E172" s="19">
        <v>0</v>
      </c>
      <c r="F172" s="19">
        <f t="shared" si="1"/>
        <v>0</v>
      </c>
      <c r="G172" s="19">
        <v>0</v>
      </c>
      <c r="H172" s="19">
        <f t="shared" si="2"/>
        <v>0</v>
      </c>
      <c r="I172" s="41"/>
      <c r="L172" s="159"/>
      <c r="M172" s="159"/>
      <c r="N172" s="41"/>
    </row>
    <row r="173" spans="1:14" s="42" customFormat="1" ht="15.75" hidden="1" customHeight="1" x14ac:dyDescent="0.25">
      <c r="A173" s="103">
        <f t="shared" si="0"/>
        <v>7</v>
      </c>
      <c r="B173" s="104"/>
      <c r="C173" s="19"/>
      <c r="D173" s="19">
        <v>0</v>
      </c>
      <c r="E173" s="19">
        <v>0</v>
      </c>
      <c r="F173" s="19">
        <f t="shared" si="1"/>
        <v>0</v>
      </c>
      <c r="G173" s="19">
        <v>0</v>
      </c>
      <c r="H173" s="19">
        <f t="shared" si="2"/>
        <v>0</v>
      </c>
      <c r="I173" s="41"/>
      <c r="L173" s="159"/>
      <c r="M173" s="159"/>
      <c r="N173" s="41"/>
    </row>
    <row r="174" spans="1:14" s="42" customFormat="1" x14ac:dyDescent="0.25">
      <c r="A174" s="103"/>
      <c r="B174" s="167"/>
      <c r="C174" s="167"/>
      <c r="D174" s="167"/>
      <c r="E174" s="167"/>
      <c r="F174" s="167"/>
      <c r="G174" s="167"/>
      <c r="H174" s="104"/>
      <c r="I174" s="41"/>
      <c r="N174" s="41"/>
    </row>
    <row r="175" spans="1:14" s="27" customFormat="1" ht="47.25" x14ac:dyDescent="0.25">
      <c r="A175" s="168" t="s">
        <v>224</v>
      </c>
      <c r="B175" s="76" t="s">
        <v>202</v>
      </c>
      <c r="C175" s="76" t="s">
        <v>62</v>
      </c>
      <c r="D175" s="76" t="s">
        <v>200</v>
      </c>
      <c r="E175" s="76" t="s">
        <v>225</v>
      </c>
      <c r="F175" s="76" t="s">
        <v>63</v>
      </c>
      <c r="G175" s="173" t="s">
        <v>64</v>
      </c>
      <c r="H175" s="58" t="s">
        <v>151</v>
      </c>
      <c r="I175" s="59"/>
    </row>
    <row r="176" spans="1:14" s="61" customFormat="1" x14ac:dyDescent="0.25">
      <c r="A176" s="169"/>
      <c r="B176" s="77"/>
      <c r="C176" s="77"/>
      <c r="D176" s="77"/>
      <c r="E176" s="77"/>
      <c r="F176" s="77"/>
      <c r="G176" s="174"/>
      <c r="H176" s="60">
        <v>0.5</v>
      </c>
      <c r="I176" s="59"/>
    </row>
    <row r="177" spans="1:16" s="42" customFormat="1" x14ac:dyDescent="0.25">
      <c r="A177" s="128" t="s">
        <v>222</v>
      </c>
      <c r="B177" s="129"/>
      <c r="C177" s="129"/>
      <c r="D177" s="129"/>
      <c r="E177" s="129"/>
      <c r="F177" s="129"/>
      <c r="G177" s="129"/>
      <c r="H177" s="130"/>
      <c r="J177" s="41"/>
    </row>
    <row r="178" spans="1:16" s="42" customFormat="1" x14ac:dyDescent="0.25">
      <c r="A178" s="128" t="s">
        <v>207</v>
      </c>
      <c r="B178" s="129"/>
      <c r="C178" s="129"/>
      <c r="D178" s="129"/>
      <c r="E178" s="129"/>
      <c r="F178" s="129"/>
      <c r="G178" s="129"/>
      <c r="H178" s="130"/>
      <c r="J178" s="41"/>
    </row>
    <row r="179" spans="1:16" s="42" customFormat="1" x14ac:dyDescent="0.25">
      <c r="A179" s="128" t="s">
        <v>212</v>
      </c>
      <c r="B179" s="129"/>
      <c r="C179" s="129"/>
      <c r="D179" s="129"/>
      <c r="E179" s="129"/>
      <c r="F179" s="129"/>
      <c r="G179" s="129"/>
      <c r="H179" s="130"/>
      <c r="J179" s="41"/>
    </row>
    <row r="180" spans="1:16" s="42" customFormat="1" x14ac:dyDescent="0.25">
      <c r="A180" s="128" t="s">
        <v>215</v>
      </c>
      <c r="B180" s="129"/>
      <c r="C180" s="129"/>
      <c r="D180" s="129"/>
      <c r="E180" s="129"/>
      <c r="F180" s="129"/>
      <c r="G180" s="129"/>
      <c r="H180" s="130"/>
      <c r="J180" s="41"/>
    </row>
    <row r="181" spans="1:16" s="42" customFormat="1" x14ac:dyDescent="0.25">
      <c r="A181" s="128" t="s">
        <v>217</v>
      </c>
      <c r="B181" s="129"/>
      <c r="C181" s="129"/>
      <c r="D181" s="129"/>
      <c r="E181" s="129"/>
      <c r="F181" s="129"/>
      <c r="G181" s="129"/>
      <c r="H181" s="130"/>
      <c r="J181" s="41"/>
    </row>
    <row r="182" spans="1:16" s="42" customFormat="1" ht="37.5" customHeight="1" x14ac:dyDescent="0.25">
      <c r="A182" s="128" t="s">
        <v>223</v>
      </c>
      <c r="B182" s="129"/>
      <c r="C182" s="129"/>
      <c r="D182" s="129"/>
      <c r="E182" s="129"/>
      <c r="F182" s="129"/>
      <c r="G182" s="129"/>
      <c r="H182" s="130"/>
      <c r="I182" s="41"/>
    </row>
    <row r="183" spans="1:16" s="42" customFormat="1" ht="15.75" customHeight="1" x14ac:dyDescent="0.25">
      <c r="A183" s="103" t="str">
        <f t="shared" ref="A183:A188" ca="1" si="3">N183</f>
        <v>101 to 1501</v>
      </c>
      <c r="B183" s="104"/>
      <c r="C183" s="19" t="s">
        <v>219</v>
      </c>
      <c r="D183" s="19">
        <f>59.99*10.764</f>
        <v>645.73235999999997</v>
      </c>
      <c r="E183" s="19">
        <v>0</v>
      </c>
      <c r="F183" s="19">
        <f>D183+E183</f>
        <v>645.73235999999997</v>
      </c>
      <c r="G183" s="19">
        <v>0</v>
      </c>
      <c r="H183" s="19">
        <f>F183*(($H$176)+1)+(IF(G183&lt;101,G183,IF(G183&lt;201,G183/2,IF(G183&lt;=301,G183/3,G183/4))))</f>
        <v>968.59853999999996</v>
      </c>
      <c r="I183" s="41"/>
      <c r="N183" s="42" t="str">
        <f t="shared" ref="N183:N188" ca="1" si="4">O183&amp;""&amp;" to "&amp;""&amp;P183</f>
        <v>101 to 1501</v>
      </c>
      <c r="O183" s="42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10^ROW(INDIRECT("1:"&amp;LEN((LEFT(A182,SUM(LEN(A182)-LEN(SUBSTITUTE(A182,{"0","1","2"},""))))))))/10))*100+1</f>
        <v>101</v>
      </c>
      <c r="P183" s="42">
        <f ca="1">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",LEN(A182))),LEN(A182)))))))/10))*100+1</f>
        <v>1501</v>
      </c>
    </row>
    <row r="184" spans="1:16" s="42" customFormat="1" x14ac:dyDescent="0.25">
      <c r="A184" s="103" t="str">
        <f t="shared" ca="1" si="3"/>
        <v>102 to 1502</v>
      </c>
      <c r="B184" s="104"/>
      <c r="C184" s="19" t="s">
        <v>219</v>
      </c>
      <c r="D184" s="19">
        <f t="shared" ref="D184" si="5">59.99*10.764</f>
        <v>645.73235999999997</v>
      </c>
      <c r="E184" s="19">
        <v>0</v>
      </c>
      <c r="F184" s="19">
        <f t="shared" ref="F184:F188" si="6">D184+E184</f>
        <v>645.73235999999997</v>
      </c>
      <c r="G184" s="19">
        <v>0</v>
      </c>
      <c r="H184" s="19">
        <f t="shared" ref="H184:H188" si="7">F184*(($H$176)+1)+(IF(G184&lt;101,G184,IF(G184&lt;201,G184/2,IF(G184&lt;=301,G184/3,G184/4))))</f>
        <v>968.59853999999996</v>
      </c>
      <c r="I184" s="41"/>
      <c r="N184" s="42" t="str">
        <f t="shared" ca="1" si="4"/>
        <v>102 to 1502</v>
      </c>
      <c r="O184" s="42">
        <f t="shared" ref="O184:P184" ca="1" si="8">O183+1</f>
        <v>102</v>
      </c>
      <c r="P184" s="42">
        <f t="shared" ca="1" si="8"/>
        <v>1502</v>
      </c>
    </row>
    <row r="185" spans="1:16" s="42" customFormat="1" x14ac:dyDescent="0.25">
      <c r="A185" s="103" t="str">
        <f t="shared" ca="1" si="3"/>
        <v>103 to 1503</v>
      </c>
      <c r="B185" s="104"/>
      <c r="C185" s="19" t="s">
        <v>219</v>
      </c>
      <c r="D185" s="19">
        <f>59.64*10.764</f>
        <v>641.96496000000002</v>
      </c>
      <c r="E185" s="19">
        <v>0</v>
      </c>
      <c r="F185" s="19">
        <f t="shared" si="6"/>
        <v>641.96496000000002</v>
      </c>
      <c r="G185" s="19">
        <v>0</v>
      </c>
      <c r="H185" s="19">
        <f t="shared" si="7"/>
        <v>962.94744000000003</v>
      </c>
      <c r="I185" s="41"/>
      <c r="N185" s="42" t="str">
        <f t="shared" ca="1" si="4"/>
        <v>103 to 1503</v>
      </c>
      <c r="O185" s="42">
        <f t="shared" ref="O185:P185" ca="1" si="9">O184+1</f>
        <v>103</v>
      </c>
      <c r="P185" s="42">
        <f t="shared" ca="1" si="9"/>
        <v>1503</v>
      </c>
    </row>
    <row r="186" spans="1:16" s="42" customFormat="1" x14ac:dyDescent="0.25">
      <c r="A186" s="103" t="str">
        <f t="shared" ca="1" si="3"/>
        <v>104 to 1504</v>
      </c>
      <c r="B186" s="104"/>
      <c r="C186" s="19" t="s">
        <v>220</v>
      </c>
      <c r="D186" s="19">
        <f>42.29*10.764</f>
        <v>455.20955999999995</v>
      </c>
      <c r="E186" s="19">
        <v>0</v>
      </c>
      <c r="F186" s="19">
        <f t="shared" si="6"/>
        <v>455.20955999999995</v>
      </c>
      <c r="G186" s="19">
        <v>0</v>
      </c>
      <c r="H186" s="19">
        <f t="shared" si="7"/>
        <v>682.8143399999999</v>
      </c>
      <c r="I186" s="41"/>
      <c r="N186" s="42" t="str">
        <f t="shared" ca="1" si="4"/>
        <v>104 to 1504</v>
      </c>
      <c r="O186" s="42">
        <f t="shared" ref="O186:P186" ca="1" si="10">O185+1</f>
        <v>104</v>
      </c>
      <c r="P186" s="42">
        <f t="shared" ca="1" si="10"/>
        <v>1504</v>
      </c>
    </row>
    <row r="187" spans="1:16" s="42" customFormat="1" x14ac:dyDescent="0.25">
      <c r="A187" s="103" t="str">
        <f t="shared" ca="1" si="3"/>
        <v>105 to 1505</v>
      </c>
      <c r="B187" s="104"/>
      <c r="C187" s="19" t="s">
        <v>220</v>
      </c>
      <c r="D187" s="19">
        <f>41.96*10.764</f>
        <v>451.65744000000001</v>
      </c>
      <c r="E187" s="19">
        <v>0</v>
      </c>
      <c r="F187" s="19">
        <f t="shared" si="6"/>
        <v>451.65744000000001</v>
      </c>
      <c r="G187" s="19">
        <v>0</v>
      </c>
      <c r="H187" s="19">
        <f t="shared" si="7"/>
        <v>677.48616000000004</v>
      </c>
      <c r="I187" s="41"/>
      <c r="N187" s="42" t="str">
        <f t="shared" ca="1" si="4"/>
        <v>105 to 1505</v>
      </c>
      <c r="O187" s="42">
        <f t="shared" ref="O187:P187" ca="1" si="11">O186+1</f>
        <v>105</v>
      </c>
      <c r="P187" s="42">
        <f t="shared" ca="1" si="11"/>
        <v>1505</v>
      </c>
    </row>
    <row r="188" spans="1:16" s="42" customFormat="1" x14ac:dyDescent="0.25">
      <c r="A188" s="103" t="str">
        <f t="shared" ca="1" si="3"/>
        <v>106 to 1506</v>
      </c>
      <c r="B188" s="104"/>
      <c r="C188" s="19" t="s">
        <v>220</v>
      </c>
      <c r="D188" s="19">
        <f>40.61*10.764</f>
        <v>437.12603999999999</v>
      </c>
      <c r="E188" s="19">
        <v>0</v>
      </c>
      <c r="F188" s="19">
        <f t="shared" si="6"/>
        <v>437.12603999999999</v>
      </c>
      <c r="G188" s="19">
        <v>0</v>
      </c>
      <c r="H188" s="19">
        <f t="shared" si="7"/>
        <v>655.68905999999993</v>
      </c>
      <c r="I188" s="41"/>
      <c r="N188" s="42" t="str">
        <f t="shared" ca="1" si="4"/>
        <v>106 to 1506</v>
      </c>
      <c r="O188" s="42">
        <f ca="1">O187+1</f>
        <v>106</v>
      </c>
      <c r="P188" s="42">
        <f ca="1">P187+1</f>
        <v>1506</v>
      </c>
    </row>
    <row r="189" spans="1:16" s="42" customFormat="1" ht="37.5" customHeight="1" x14ac:dyDescent="0.25">
      <c r="A189" s="128" t="s">
        <v>227</v>
      </c>
      <c r="B189" s="129"/>
      <c r="C189" s="129"/>
      <c r="D189" s="129"/>
      <c r="E189" s="129"/>
      <c r="F189" s="129"/>
      <c r="G189" s="129"/>
      <c r="H189" s="130"/>
      <c r="I189" s="41"/>
    </row>
    <row r="190" spans="1:16" s="42" customFormat="1" ht="15.75" customHeight="1" x14ac:dyDescent="0.25">
      <c r="A190" s="103" t="str">
        <f t="shared" ref="A190:A195" ca="1" si="12">N190</f>
        <v>1601 to 2001</v>
      </c>
      <c r="B190" s="104"/>
      <c r="C190" s="19" t="s">
        <v>219</v>
      </c>
      <c r="D190" s="19">
        <f>59.99*10.764</f>
        <v>645.73235999999997</v>
      </c>
      <c r="E190" s="19">
        <f>3.2*10.764</f>
        <v>34.444800000000001</v>
      </c>
      <c r="F190" s="19">
        <f>D190+E190</f>
        <v>680.17715999999996</v>
      </c>
      <c r="G190" s="19">
        <v>0</v>
      </c>
      <c r="H190" s="19">
        <f>F190*(($H$176)+1)+(IF(G190&lt;101,G190,IF(G190&lt;201,G190/2,IF(G190&lt;=301,G190/3,G190/4))))</f>
        <v>1020.2657399999999</v>
      </c>
      <c r="I190" s="41"/>
      <c r="N190" s="42" t="str">
        <f t="shared" ref="N190:N195" ca="1" si="13">O190&amp;""&amp;" to "&amp;""&amp;P190</f>
        <v>1601 to 2001</v>
      </c>
      <c r="O190" s="42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10^ROW(INDIRECT("1:"&amp;LEN((LEFT(A189,SUM(LEN(A189)-LEN(SUBSTITUTE(A189,{"0","1","2"},""))))))))/10))*100+1</f>
        <v>1601</v>
      </c>
      <c r="P190" s="42">
        <f ca="1">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",LEN(A189))),LEN(A189)))))))/10))*100+1</f>
        <v>2001</v>
      </c>
    </row>
    <row r="191" spans="1:16" s="42" customFormat="1" x14ac:dyDescent="0.25">
      <c r="A191" s="103" t="str">
        <f t="shared" ca="1" si="12"/>
        <v>1602 to 2002</v>
      </c>
      <c r="B191" s="104"/>
      <c r="C191" s="19" t="s">
        <v>219</v>
      </c>
      <c r="D191" s="19">
        <f t="shared" ref="D191" si="14">59.99*10.764</f>
        <v>645.73235999999997</v>
      </c>
      <c r="E191" s="19">
        <f t="shared" ref="E191:E195" si="15">3.2*10.764</f>
        <v>34.444800000000001</v>
      </c>
      <c r="F191" s="19">
        <f t="shared" ref="F191:F195" si="16">D191+E191</f>
        <v>680.17715999999996</v>
      </c>
      <c r="G191" s="19">
        <v>0</v>
      </c>
      <c r="H191" s="19">
        <f t="shared" ref="H191:H195" si="17">F191*(($H$176)+1)+(IF(G191&lt;101,G191,IF(G191&lt;201,G191/2,IF(G191&lt;=301,G191/3,G191/4))))</f>
        <v>1020.2657399999999</v>
      </c>
      <c r="I191" s="41"/>
      <c r="N191" s="42" t="str">
        <f t="shared" ca="1" si="13"/>
        <v>1602 to 2002</v>
      </c>
      <c r="O191" s="42">
        <f t="shared" ref="O191:P191" ca="1" si="18">O190+1</f>
        <v>1602</v>
      </c>
      <c r="P191" s="42">
        <f t="shared" ca="1" si="18"/>
        <v>2002</v>
      </c>
    </row>
    <row r="192" spans="1:16" s="42" customFormat="1" x14ac:dyDescent="0.25">
      <c r="A192" s="103" t="str">
        <f t="shared" ca="1" si="12"/>
        <v>1603 to 2003</v>
      </c>
      <c r="B192" s="104"/>
      <c r="C192" s="19" t="s">
        <v>219</v>
      </c>
      <c r="D192" s="19">
        <f>59.64*10.764</f>
        <v>641.96496000000002</v>
      </c>
      <c r="E192" s="19">
        <f>3.27*10.764</f>
        <v>35.198279999999997</v>
      </c>
      <c r="F192" s="19">
        <f t="shared" si="16"/>
        <v>677.16323999999997</v>
      </c>
      <c r="G192" s="19">
        <v>0</v>
      </c>
      <c r="H192" s="19">
        <f t="shared" si="17"/>
        <v>1015.74486</v>
      </c>
      <c r="I192" s="41"/>
      <c r="N192" s="42" t="str">
        <f t="shared" ca="1" si="13"/>
        <v>1603 to 2003</v>
      </c>
      <c r="O192" s="42">
        <f t="shared" ref="O192:P192" ca="1" si="19">O191+1</f>
        <v>1603</v>
      </c>
      <c r="P192" s="42">
        <f t="shared" ca="1" si="19"/>
        <v>2003</v>
      </c>
    </row>
    <row r="193" spans="1:16" s="42" customFormat="1" x14ac:dyDescent="0.25">
      <c r="A193" s="103" t="str">
        <f t="shared" ca="1" si="12"/>
        <v>1604 to 2004</v>
      </c>
      <c r="B193" s="104"/>
      <c r="C193" s="19" t="s">
        <v>220</v>
      </c>
      <c r="D193" s="19">
        <f>42.29*10.764</f>
        <v>455.20955999999995</v>
      </c>
      <c r="E193" s="19">
        <f>3.27*10.764</f>
        <v>35.198279999999997</v>
      </c>
      <c r="F193" s="19">
        <f t="shared" si="16"/>
        <v>490.40783999999996</v>
      </c>
      <c r="G193" s="19">
        <v>0</v>
      </c>
      <c r="H193" s="19">
        <f t="shared" si="17"/>
        <v>735.61176</v>
      </c>
      <c r="I193" s="41"/>
      <c r="N193" s="42" t="str">
        <f t="shared" ca="1" si="13"/>
        <v>1604 to 2004</v>
      </c>
      <c r="O193" s="42">
        <f t="shared" ref="O193:P193" ca="1" si="20">O192+1</f>
        <v>1604</v>
      </c>
      <c r="P193" s="42">
        <f t="shared" ca="1" si="20"/>
        <v>2004</v>
      </c>
    </row>
    <row r="194" spans="1:16" s="42" customFormat="1" x14ac:dyDescent="0.25">
      <c r="A194" s="103" t="str">
        <f t="shared" ca="1" si="12"/>
        <v>1605 to 2005</v>
      </c>
      <c r="B194" s="104"/>
      <c r="C194" s="19" t="s">
        <v>220</v>
      </c>
      <c r="D194" s="19">
        <f>41.96*10.764</f>
        <v>451.65744000000001</v>
      </c>
      <c r="E194" s="19">
        <f t="shared" si="15"/>
        <v>34.444800000000001</v>
      </c>
      <c r="F194" s="19">
        <f t="shared" si="16"/>
        <v>486.10223999999999</v>
      </c>
      <c r="G194" s="19">
        <v>0</v>
      </c>
      <c r="H194" s="19">
        <f t="shared" si="17"/>
        <v>729.15336000000002</v>
      </c>
      <c r="I194" s="41"/>
      <c r="N194" s="42" t="str">
        <f t="shared" ca="1" si="13"/>
        <v>1605 to 2005</v>
      </c>
      <c r="O194" s="42">
        <f t="shared" ref="O194:P194" ca="1" si="21">O193+1</f>
        <v>1605</v>
      </c>
      <c r="P194" s="42">
        <f t="shared" ca="1" si="21"/>
        <v>2005</v>
      </c>
    </row>
    <row r="195" spans="1:16" s="42" customFormat="1" x14ac:dyDescent="0.25">
      <c r="A195" s="103" t="str">
        <f t="shared" ca="1" si="12"/>
        <v>1606 to 2006</v>
      </c>
      <c r="B195" s="104"/>
      <c r="C195" s="19" t="s">
        <v>220</v>
      </c>
      <c r="D195" s="19">
        <f>40.61*10.764</f>
        <v>437.12603999999999</v>
      </c>
      <c r="E195" s="19">
        <f t="shared" si="15"/>
        <v>34.444800000000001</v>
      </c>
      <c r="F195" s="19">
        <f t="shared" si="16"/>
        <v>471.57083999999998</v>
      </c>
      <c r="G195" s="19">
        <v>0</v>
      </c>
      <c r="H195" s="19">
        <f t="shared" si="17"/>
        <v>707.35626000000002</v>
      </c>
      <c r="I195" s="41"/>
      <c r="N195" s="42" t="str">
        <f t="shared" ca="1" si="13"/>
        <v>1606 to 2006</v>
      </c>
      <c r="O195" s="42">
        <f ca="1">O194+1</f>
        <v>1606</v>
      </c>
      <c r="P195" s="42">
        <f ca="1">P194+1</f>
        <v>2006</v>
      </c>
    </row>
    <row r="196" spans="1:16" s="42" customFormat="1" x14ac:dyDescent="0.25">
      <c r="A196" s="128" t="s">
        <v>221</v>
      </c>
      <c r="B196" s="129"/>
      <c r="C196" s="129"/>
      <c r="D196" s="129"/>
      <c r="E196" s="129"/>
      <c r="F196" s="129"/>
      <c r="G196" s="129"/>
      <c r="H196" s="130"/>
      <c r="J196" s="41"/>
    </row>
    <row r="197" spans="1:16" s="42" customFormat="1" x14ac:dyDescent="0.25">
      <c r="A197" s="128" t="s">
        <v>207</v>
      </c>
      <c r="B197" s="129"/>
      <c r="C197" s="129"/>
      <c r="D197" s="129"/>
      <c r="E197" s="129"/>
      <c r="F197" s="129"/>
      <c r="G197" s="129"/>
      <c r="H197" s="130"/>
      <c r="J197" s="41"/>
    </row>
    <row r="198" spans="1:16" s="42" customFormat="1" x14ac:dyDescent="0.25">
      <c r="A198" s="128" t="s">
        <v>212</v>
      </c>
      <c r="B198" s="129"/>
      <c r="C198" s="129"/>
      <c r="D198" s="129"/>
      <c r="E198" s="129"/>
      <c r="F198" s="129"/>
      <c r="G198" s="129"/>
      <c r="H198" s="130"/>
      <c r="J198" s="41"/>
    </row>
    <row r="199" spans="1:16" s="42" customFormat="1" x14ac:dyDescent="0.25">
      <c r="A199" s="128" t="s">
        <v>215</v>
      </c>
      <c r="B199" s="129"/>
      <c r="C199" s="129"/>
      <c r="D199" s="129"/>
      <c r="E199" s="129"/>
      <c r="F199" s="129"/>
      <c r="G199" s="129"/>
      <c r="H199" s="130"/>
      <c r="J199" s="41"/>
    </row>
    <row r="200" spans="1:16" s="42" customFormat="1" x14ac:dyDescent="0.25">
      <c r="A200" s="128" t="s">
        <v>217</v>
      </c>
      <c r="B200" s="129"/>
      <c r="C200" s="129"/>
      <c r="D200" s="129"/>
      <c r="E200" s="129"/>
      <c r="F200" s="129"/>
      <c r="G200" s="129"/>
      <c r="H200" s="130"/>
      <c r="J200" s="41"/>
    </row>
    <row r="201" spans="1:16" s="42" customFormat="1" ht="37.5" customHeight="1" x14ac:dyDescent="0.25">
      <c r="A201" s="128" t="s">
        <v>223</v>
      </c>
      <c r="B201" s="129"/>
      <c r="C201" s="129"/>
      <c r="D201" s="129"/>
      <c r="E201" s="129"/>
      <c r="F201" s="129"/>
      <c r="G201" s="129"/>
      <c r="H201" s="130"/>
      <c r="I201" s="41"/>
    </row>
    <row r="202" spans="1:16" s="42" customFormat="1" ht="15.75" customHeight="1" x14ac:dyDescent="0.25">
      <c r="A202" s="103" t="str">
        <f t="shared" ref="A202:A207" ca="1" si="22">N202</f>
        <v>101 to 1501</v>
      </c>
      <c r="B202" s="104"/>
      <c r="C202" s="19" t="s">
        <v>220</v>
      </c>
      <c r="D202" s="19">
        <f>40.44*10.764</f>
        <v>435.29615999999993</v>
      </c>
      <c r="E202" s="19">
        <v>0</v>
      </c>
      <c r="F202" s="19">
        <f>D202+E202</f>
        <v>435.29615999999993</v>
      </c>
      <c r="G202" s="19">
        <v>0</v>
      </c>
      <c r="H202" s="19">
        <f>F202*(($H$176)+1)+(IF(G202&lt;101,G202,IF(G202&lt;201,G202/2,IF(G202&lt;=301,G202/3,G202/4))))</f>
        <v>652.94423999999992</v>
      </c>
      <c r="I202" s="41"/>
      <c r="N202" s="42" t="str">
        <f t="shared" ref="N202:N207" ca="1" si="23">O202&amp;""&amp;" to "&amp;""&amp;P202</f>
        <v>101 to 1501</v>
      </c>
      <c r="O202" s="42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10^ROW(INDIRECT("1:"&amp;LEN((LEFT(A201,SUM(LEN(A201)-LEN(SUBSTITUTE(A201,{"0","1","2"},""))))))))/10))*100+1</f>
        <v>101</v>
      </c>
      <c r="P202" s="42">
        <f ca="1">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",LEN(A201))),LEN(A201)))))))/10))*100+1</f>
        <v>1501</v>
      </c>
    </row>
    <row r="203" spans="1:16" s="42" customFormat="1" x14ac:dyDescent="0.25">
      <c r="A203" s="103" t="str">
        <f t="shared" ca="1" si="22"/>
        <v>102 to 1502</v>
      </c>
      <c r="B203" s="104"/>
      <c r="C203" s="19" t="s">
        <v>220</v>
      </c>
      <c r="D203" s="19">
        <f>41.96*10.764</f>
        <v>451.65744000000001</v>
      </c>
      <c r="E203" s="19">
        <v>0</v>
      </c>
      <c r="F203" s="19">
        <f t="shared" ref="F203:F207" si="24">D203+E203</f>
        <v>451.65744000000001</v>
      </c>
      <c r="G203" s="19">
        <v>0</v>
      </c>
      <c r="H203" s="19">
        <f t="shared" ref="H203:H207" si="25">F203*(($H$176)+1)+(IF(G203&lt;101,G203,IF(G203&lt;201,G203/2,IF(G203&lt;=301,G203/3,G203/4))))</f>
        <v>677.48616000000004</v>
      </c>
      <c r="I203" s="41"/>
      <c r="N203" s="42" t="str">
        <f t="shared" ca="1" si="23"/>
        <v>102 to 1502</v>
      </c>
      <c r="O203" s="42">
        <f t="shared" ref="O203:P203" ca="1" si="26">O202+1</f>
        <v>102</v>
      </c>
      <c r="P203" s="42">
        <f t="shared" ca="1" si="26"/>
        <v>1502</v>
      </c>
    </row>
    <row r="204" spans="1:16" s="42" customFormat="1" x14ac:dyDescent="0.25">
      <c r="A204" s="103" t="str">
        <f t="shared" ca="1" si="22"/>
        <v>103 to 1503</v>
      </c>
      <c r="B204" s="104"/>
      <c r="C204" s="19" t="s">
        <v>220</v>
      </c>
      <c r="D204" s="19">
        <f>42.29*10.764</f>
        <v>455.20955999999995</v>
      </c>
      <c r="E204" s="19">
        <v>0</v>
      </c>
      <c r="F204" s="19">
        <f t="shared" si="24"/>
        <v>455.20955999999995</v>
      </c>
      <c r="G204" s="19">
        <v>0</v>
      </c>
      <c r="H204" s="19">
        <f t="shared" si="25"/>
        <v>682.8143399999999</v>
      </c>
      <c r="I204" s="41"/>
      <c r="N204" s="42" t="str">
        <f t="shared" ca="1" si="23"/>
        <v>103 to 1503</v>
      </c>
      <c r="O204" s="42">
        <f t="shared" ref="O204:P204" ca="1" si="27">O203+1</f>
        <v>103</v>
      </c>
      <c r="P204" s="42">
        <f t="shared" ca="1" si="27"/>
        <v>1503</v>
      </c>
    </row>
    <row r="205" spans="1:16" s="42" customFormat="1" x14ac:dyDescent="0.25">
      <c r="A205" s="103" t="str">
        <f t="shared" ca="1" si="22"/>
        <v>104 to 1504</v>
      </c>
      <c r="B205" s="104"/>
      <c r="C205" s="19" t="s">
        <v>219</v>
      </c>
      <c r="D205" s="19">
        <f>59.64*10.764</f>
        <v>641.96496000000002</v>
      </c>
      <c r="E205" s="19">
        <v>0</v>
      </c>
      <c r="F205" s="19">
        <f t="shared" si="24"/>
        <v>641.96496000000002</v>
      </c>
      <c r="G205" s="19">
        <v>0</v>
      </c>
      <c r="H205" s="19">
        <f t="shared" si="25"/>
        <v>962.94744000000003</v>
      </c>
      <c r="I205" s="41"/>
      <c r="N205" s="42" t="str">
        <f t="shared" ca="1" si="23"/>
        <v>104 to 1504</v>
      </c>
      <c r="O205" s="42">
        <f t="shared" ref="O205:P205" ca="1" si="28">O204+1</f>
        <v>104</v>
      </c>
      <c r="P205" s="42">
        <f t="shared" ca="1" si="28"/>
        <v>1504</v>
      </c>
    </row>
    <row r="206" spans="1:16" s="42" customFormat="1" x14ac:dyDescent="0.25">
      <c r="A206" s="103" t="str">
        <f t="shared" ca="1" si="22"/>
        <v>105 to 1505</v>
      </c>
      <c r="B206" s="104"/>
      <c r="C206" s="19" t="s">
        <v>219</v>
      </c>
      <c r="D206" s="19">
        <f>58.8*10.764</f>
        <v>632.92319999999995</v>
      </c>
      <c r="E206" s="19">
        <v>0</v>
      </c>
      <c r="F206" s="19">
        <f t="shared" si="24"/>
        <v>632.92319999999995</v>
      </c>
      <c r="G206" s="19">
        <v>0</v>
      </c>
      <c r="H206" s="19">
        <f t="shared" si="25"/>
        <v>949.38479999999993</v>
      </c>
      <c r="I206" s="41"/>
      <c r="N206" s="42" t="str">
        <f t="shared" ca="1" si="23"/>
        <v>105 to 1505</v>
      </c>
      <c r="O206" s="42">
        <f t="shared" ref="O206:P206" ca="1" si="29">O205+1</f>
        <v>105</v>
      </c>
      <c r="P206" s="42">
        <f t="shared" ca="1" si="29"/>
        <v>1505</v>
      </c>
    </row>
    <row r="207" spans="1:16" s="42" customFormat="1" x14ac:dyDescent="0.25">
      <c r="A207" s="103" t="str">
        <f t="shared" ca="1" si="22"/>
        <v>106 to 1506</v>
      </c>
      <c r="B207" s="104"/>
      <c r="C207" s="19" t="s">
        <v>219</v>
      </c>
      <c r="D207" s="19">
        <f t="shared" ref="D207" si="30">59.99*10.764</f>
        <v>645.73235999999997</v>
      </c>
      <c r="E207" s="19">
        <v>0</v>
      </c>
      <c r="F207" s="19">
        <f t="shared" si="24"/>
        <v>645.73235999999997</v>
      </c>
      <c r="G207" s="19">
        <v>0</v>
      </c>
      <c r="H207" s="19">
        <f t="shared" si="25"/>
        <v>968.59853999999996</v>
      </c>
      <c r="I207" s="41"/>
      <c r="N207" s="42" t="str">
        <f t="shared" ca="1" si="23"/>
        <v>106 to 1506</v>
      </c>
      <c r="O207" s="42">
        <f ca="1">O206+1</f>
        <v>106</v>
      </c>
      <c r="P207" s="42">
        <f ca="1">P206+1</f>
        <v>1506</v>
      </c>
    </row>
    <row r="208" spans="1:16" s="42" customFormat="1" ht="37.5" customHeight="1" x14ac:dyDescent="0.25">
      <c r="A208" s="128" t="s">
        <v>227</v>
      </c>
      <c r="B208" s="129"/>
      <c r="C208" s="129"/>
      <c r="D208" s="129"/>
      <c r="E208" s="129"/>
      <c r="F208" s="129"/>
      <c r="G208" s="129"/>
      <c r="H208" s="130"/>
      <c r="I208" s="41"/>
    </row>
    <row r="209" spans="1:16" s="42" customFormat="1" ht="15.75" customHeight="1" x14ac:dyDescent="0.25">
      <c r="A209" s="103" t="str">
        <f t="shared" ref="A209:A214" ca="1" si="31">N209</f>
        <v>1601 to 2001</v>
      </c>
      <c r="B209" s="104"/>
      <c r="C209" s="19" t="s">
        <v>220</v>
      </c>
      <c r="D209" s="19">
        <f>40.44*10.764</f>
        <v>435.29615999999993</v>
      </c>
      <c r="E209" s="19">
        <f>3.2*10.764</f>
        <v>34.444800000000001</v>
      </c>
      <c r="F209" s="19">
        <f>D209+E209</f>
        <v>469.74095999999992</v>
      </c>
      <c r="G209" s="19">
        <v>0</v>
      </c>
      <c r="H209" s="19">
        <f>F209*(($H$176)+1)+(IF(G209&lt;101,G209,IF(G209&lt;201,G209/2,IF(G209&lt;=301,G209/3,G209/4))))</f>
        <v>704.6114399999999</v>
      </c>
      <c r="I209" s="41"/>
      <c r="N209" s="42" t="str">
        <f t="shared" ref="N209:N214" ca="1" si="32">O209&amp;""&amp;" to "&amp;""&amp;P209</f>
        <v>1601 to 2001</v>
      </c>
      <c r="O209" s="42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10^ROW(INDIRECT("1:"&amp;LEN((LEFT(A208,SUM(LEN(A208)-LEN(SUBSTITUTE(A208,{"0","1","2"},""))))))))/10))*100+1</f>
        <v>1601</v>
      </c>
      <c r="P209" s="42">
        <f ca="1">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2001</v>
      </c>
    </row>
    <row r="210" spans="1:16" s="42" customFormat="1" x14ac:dyDescent="0.25">
      <c r="A210" s="103" t="str">
        <f t="shared" ca="1" si="31"/>
        <v>1602 to 2002</v>
      </c>
      <c r="B210" s="104"/>
      <c r="C210" s="19" t="s">
        <v>220</v>
      </c>
      <c r="D210" s="19">
        <f>41.96*10.764</f>
        <v>451.65744000000001</v>
      </c>
      <c r="E210" s="19">
        <f t="shared" ref="E210:E214" si="33">3.2*10.764</f>
        <v>34.444800000000001</v>
      </c>
      <c r="F210" s="19">
        <f t="shared" ref="F210:F214" si="34">D210+E210</f>
        <v>486.10223999999999</v>
      </c>
      <c r="G210" s="19">
        <v>0</v>
      </c>
      <c r="H210" s="19">
        <f t="shared" ref="H210:H214" si="35">F210*(($H$176)+1)+(IF(G210&lt;101,G210,IF(G210&lt;201,G210/2,IF(G210&lt;=301,G210/3,G210/4))))</f>
        <v>729.15336000000002</v>
      </c>
      <c r="I210" s="41"/>
      <c r="N210" s="42" t="str">
        <f t="shared" ca="1" si="32"/>
        <v>1602 to 2002</v>
      </c>
      <c r="O210" s="42">
        <f t="shared" ref="O210:P210" ca="1" si="36">O209+1</f>
        <v>1602</v>
      </c>
      <c r="P210" s="42">
        <f t="shared" ca="1" si="36"/>
        <v>2002</v>
      </c>
    </row>
    <row r="211" spans="1:16" s="42" customFormat="1" x14ac:dyDescent="0.25">
      <c r="A211" s="103" t="str">
        <f t="shared" ca="1" si="31"/>
        <v>1603 to 2003</v>
      </c>
      <c r="B211" s="104"/>
      <c r="C211" s="19" t="s">
        <v>220</v>
      </c>
      <c r="D211" s="19">
        <f>42.29*10.764</f>
        <v>455.20955999999995</v>
      </c>
      <c r="E211" s="19">
        <f>3.27*10.764</f>
        <v>35.198279999999997</v>
      </c>
      <c r="F211" s="19">
        <f t="shared" si="34"/>
        <v>490.40783999999996</v>
      </c>
      <c r="G211" s="19">
        <v>0</v>
      </c>
      <c r="H211" s="19">
        <f t="shared" si="35"/>
        <v>735.61176</v>
      </c>
      <c r="I211" s="41"/>
      <c r="N211" s="42" t="str">
        <f t="shared" ca="1" si="32"/>
        <v>1603 to 2003</v>
      </c>
      <c r="O211" s="42">
        <f t="shared" ref="O211:P211" ca="1" si="37">O210+1</f>
        <v>1603</v>
      </c>
      <c r="P211" s="42">
        <f t="shared" ca="1" si="37"/>
        <v>2003</v>
      </c>
    </row>
    <row r="212" spans="1:16" s="42" customFormat="1" x14ac:dyDescent="0.25">
      <c r="A212" s="103" t="str">
        <f t="shared" ca="1" si="31"/>
        <v>1604 to 2004</v>
      </c>
      <c r="B212" s="104"/>
      <c r="C212" s="19" t="s">
        <v>219</v>
      </c>
      <c r="D212" s="19">
        <f>59.64*10.764</f>
        <v>641.96496000000002</v>
      </c>
      <c r="E212" s="19">
        <f>3.27*10.764</f>
        <v>35.198279999999997</v>
      </c>
      <c r="F212" s="19">
        <f t="shared" si="34"/>
        <v>677.16323999999997</v>
      </c>
      <c r="G212" s="19">
        <v>0</v>
      </c>
      <c r="H212" s="19">
        <f t="shared" si="35"/>
        <v>1015.74486</v>
      </c>
      <c r="I212" s="41"/>
      <c r="N212" s="42" t="str">
        <f t="shared" ca="1" si="32"/>
        <v>1604 to 2004</v>
      </c>
      <c r="O212" s="42">
        <f t="shared" ref="O212:P212" ca="1" si="38">O211+1</f>
        <v>1604</v>
      </c>
      <c r="P212" s="42">
        <f t="shared" ca="1" si="38"/>
        <v>2004</v>
      </c>
    </row>
    <row r="213" spans="1:16" s="42" customFormat="1" x14ac:dyDescent="0.25">
      <c r="A213" s="103" t="str">
        <f t="shared" ca="1" si="31"/>
        <v>1605 to 2005</v>
      </c>
      <c r="B213" s="104"/>
      <c r="C213" s="19" t="s">
        <v>219</v>
      </c>
      <c r="D213" s="19">
        <f>58.8*10.764</f>
        <v>632.92319999999995</v>
      </c>
      <c r="E213" s="19">
        <f t="shared" si="33"/>
        <v>34.444800000000001</v>
      </c>
      <c r="F213" s="19">
        <f t="shared" si="34"/>
        <v>667.36799999999994</v>
      </c>
      <c r="G213" s="19">
        <v>0</v>
      </c>
      <c r="H213" s="19">
        <f t="shared" si="35"/>
        <v>1001.0519999999999</v>
      </c>
      <c r="I213" s="41"/>
      <c r="N213" s="42" t="str">
        <f t="shared" ca="1" si="32"/>
        <v>1605 to 2005</v>
      </c>
      <c r="O213" s="42">
        <f t="shared" ref="O213:P213" ca="1" si="39">O212+1</f>
        <v>1605</v>
      </c>
      <c r="P213" s="42">
        <f t="shared" ca="1" si="39"/>
        <v>2005</v>
      </c>
    </row>
    <row r="214" spans="1:16" s="42" customFormat="1" x14ac:dyDescent="0.25">
      <c r="A214" s="103" t="str">
        <f t="shared" ca="1" si="31"/>
        <v>1606 to 2006</v>
      </c>
      <c r="B214" s="104"/>
      <c r="C214" s="19" t="s">
        <v>219</v>
      </c>
      <c r="D214" s="19">
        <f t="shared" ref="D214" si="40">59.99*10.764</f>
        <v>645.73235999999997</v>
      </c>
      <c r="E214" s="19">
        <f t="shared" si="33"/>
        <v>34.444800000000001</v>
      </c>
      <c r="F214" s="19">
        <f t="shared" si="34"/>
        <v>680.17715999999996</v>
      </c>
      <c r="G214" s="19">
        <v>0</v>
      </c>
      <c r="H214" s="19">
        <f t="shared" si="35"/>
        <v>1020.2657399999999</v>
      </c>
      <c r="I214" s="41"/>
      <c r="N214" s="42" t="str">
        <f t="shared" ca="1" si="32"/>
        <v>1606 to 2006</v>
      </c>
      <c r="O214" s="42">
        <f ca="1">O213+1</f>
        <v>1606</v>
      </c>
      <c r="P214" s="42">
        <f ca="1">P213+1</f>
        <v>2006</v>
      </c>
    </row>
    <row r="215" spans="1:16" s="42" customFormat="1" x14ac:dyDescent="0.25">
      <c r="A215" s="128" t="s">
        <v>208</v>
      </c>
      <c r="B215" s="129"/>
      <c r="C215" s="129"/>
      <c r="D215" s="129"/>
      <c r="E215" s="129"/>
      <c r="F215" s="129"/>
      <c r="G215" s="129"/>
      <c r="H215" s="130"/>
      <c r="J215" s="41"/>
    </row>
    <row r="216" spans="1:16" s="42" customFormat="1" x14ac:dyDescent="0.25">
      <c r="A216" s="128" t="s">
        <v>209</v>
      </c>
      <c r="B216" s="129"/>
      <c r="C216" s="129"/>
      <c r="D216" s="129"/>
      <c r="E216" s="129"/>
      <c r="F216" s="129"/>
      <c r="G216" s="129"/>
      <c r="H216" s="130"/>
      <c r="J216" s="41"/>
    </row>
    <row r="217" spans="1:16" s="42" customFormat="1" x14ac:dyDescent="0.25">
      <c r="A217" s="128" t="s">
        <v>213</v>
      </c>
      <c r="B217" s="129"/>
      <c r="C217" s="129"/>
      <c r="D217" s="129"/>
      <c r="E217" s="129"/>
      <c r="F217" s="129"/>
      <c r="G217" s="129"/>
      <c r="H217" s="130"/>
      <c r="J217" s="41"/>
    </row>
    <row r="218" spans="1:16" s="42" customFormat="1" x14ac:dyDescent="0.25">
      <c r="A218" s="170" t="s">
        <v>226</v>
      </c>
      <c r="B218" s="170"/>
      <c r="C218" s="170"/>
      <c r="D218" s="170"/>
      <c r="E218" s="170"/>
      <c r="F218" s="170"/>
      <c r="G218" s="170"/>
      <c r="H218" s="170"/>
      <c r="I218" s="41"/>
      <c r="L218" s="159"/>
      <c r="M218" s="159"/>
    </row>
    <row r="219" spans="1:16" s="42" customFormat="1" x14ac:dyDescent="0.25">
      <c r="A219" s="73">
        <f>LEFT(A218,SUM(LEN(A218)-LEN(SUBSTITUTE(A218,{"0","1","2","3","4","5","6","7","8","9"},""))))*100+1</f>
        <v>101</v>
      </c>
      <c r="B219" s="73"/>
      <c r="C219" s="19" t="s">
        <v>220</v>
      </c>
      <c r="D219" s="19">
        <f>30*10.764</f>
        <v>322.91999999999996</v>
      </c>
      <c r="E219" s="19">
        <v>0</v>
      </c>
      <c r="F219" s="19">
        <f>D219+E219</f>
        <v>322.91999999999996</v>
      </c>
      <c r="G219" s="19">
        <v>0</v>
      </c>
      <c r="H219" s="19">
        <f>F219*(($H$176)+1)+(IF(G219&lt;101,G219,IF(G219&lt;201,G219/2,IF(G219&lt;=301,G219/3,G219/4))))</f>
        <v>484.37999999999994</v>
      </c>
      <c r="I219" s="41"/>
      <c r="N219" s="41"/>
    </row>
    <row r="220" spans="1:16" s="42" customFormat="1" x14ac:dyDescent="0.25">
      <c r="A220" s="73">
        <f t="shared" ref="A220:A225" si="41">A219+1</f>
        <v>102</v>
      </c>
      <c r="B220" s="73"/>
      <c r="C220" s="19" t="s">
        <v>220</v>
      </c>
      <c r="D220" s="19">
        <f t="shared" ref="D220:D233" si="42">30*10.764</f>
        <v>322.91999999999996</v>
      </c>
      <c r="E220" s="19">
        <v>0</v>
      </c>
      <c r="F220" s="19">
        <f t="shared" ref="F220:F224" si="43">D220+E220</f>
        <v>322.91999999999996</v>
      </c>
      <c r="G220" s="19">
        <v>0</v>
      </c>
      <c r="H220" s="19">
        <f t="shared" ref="H220:H224" si="44">F220*(($H$176)+1)+(IF(G220&lt;101,G220,IF(G220&lt;201,G220/2,IF(G220&lt;=301,G220/3,G220/4))))</f>
        <v>484.37999999999994</v>
      </c>
      <c r="I220" s="41"/>
      <c r="N220" s="41"/>
    </row>
    <row r="221" spans="1:16" s="42" customFormat="1" x14ac:dyDescent="0.25">
      <c r="A221" s="73">
        <f t="shared" si="41"/>
        <v>103</v>
      </c>
      <c r="B221" s="73"/>
      <c r="C221" s="19" t="s">
        <v>220</v>
      </c>
      <c r="D221" s="19">
        <f t="shared" si="42"/>
        <v>322.91999999999996</v>
      </c>
      <c r="E221" s="19">
        <v>0</v>
      </c>
      <c r="F221" s="19">
        <f t="shared" si="43"/>
        <v>322.91999999999996</v>
      </c>
      <c r="G221" s="19">
        <v>0</v>
      </c>
      <c r="H221" s="19">
        <f t="shared" si="44"/>
        <v>484.37999999999994</v>
      </c>
      <c r="I221" s="41"/>
      <c r="N221" s="41"/>
    </row>
    <row r="222" spans="1:16" s="42" customFormat="1" x14ac:dyDescent="0.25">
      <c r="A222" s="73">
        <f t="shared" si="41"/>
        <v>104</v>
      </c>
      <c r="B222" s="73"/>
      <c r="C222" s="19" t="s">
        <v>220</v>
      </c>
      <c r="D222" s="19">
        <f t="shared" si="42"/>
        <v>322.91999999999996</v>
      </c>
      <c r="E222" s="19">
        <v>0</v>
      </c>
      <c r="F222" s="19">
        <f t="shared" si="43"/>
        <v>322.91999999999996</v>
      </c>
      <c r="G222" s="19">
        <v>0</v>
      </c>
      <c r="H222" s="19">
        <f t="shared" si="44"/>
        <v>484.37999999999994</v>
      </c>
      <c r="I222" s="41"/>
      <c r="N222" s="41"/>
    </row>
    <row r="223" spans="1:16" s="42" customFormat="1" x14ac:dyDescent="0.25">
      <c r="A223" s="73">
        <f t="shared" si="41"/>
        <v>105</v>
      </c>
      <c r="B223" s="73"/>
      <c r="C223" s="19" t="s">
        <v>220</v>
      </c>
      <c r="D223" s="19">
        <f t="shared" si="42"/>
        <v>322.91999999999996</v>
      </c>
      <c r="E223" s="19">
        <v>0</v>
      </c>
      <c r="F223" s="19">
        <f t="shared" si="43"/>
        <v>322.91999999999996</v>
      </c>
      <c r="G223" s="19">
        <v>0</v>
      </c>
      <c r="H223" s="19">
        <f t="shared" si="44"/>
        <v>484.37999999999994</v>
      </c>
      <c r="I223" s="41"/>
      <c r="N223" s="41"/>
    </row>
    <row r="224" spans="1:16" s="42" customFormat="1" x14ac:dyDescent="0.25">
      <c r="A224" s="73">
        <f t="shared" si="41"/>
        <v>106</v>
      </c>
      <c r="B224" s="73"/>
      <c r="C224" s="19" t="s">
        <v>220</v>
      </c>
      <c r="D224" s="19">
        <f t="shared" si="42"/>
        <v>322.91999999999996</v>
      </c>
      <c r="E224" s="19">
        <v>0</v>
      </c>
      <c r="F224" s="19">
        <f t="shared" si="43"/>
        <v>322.91999999999996</v>
      </c>
      <c r="G224" s="19">
        <v>0</v>
      </c>
      <c r="H224" s="19">
        <f t="shared" si="44"/>
        <v>484.37999999999994</v>
      </c>
      <c r="I224" s="41"/>
      <c r="N224" s="41"/>
    </row>
    <row r="225" spans="1:16" s="42" customFormat="1" x14ac:dyDescent="0.25">
      <c r="A225" s="73">
        <f t="shared" si="41"/>
        <v>107</v>
      </c>
      <c r="B225" s="73"/>
      <c r="C225" s="19" t="s">
        <v>220</v>
      </c>
      <c r="D225" s="19">
        <f t="shared" si="42"/>
        <v>322.91999999999996</v>
      </c>
      <c r="E225" s="19">
        <v>0</v>
      </c>
      <c r="F225" s="19">
        <f t="shared" ref="F225" si="45">D225+E225</f>
        <v>322.91999999999996</v>
      </c>
      <c r="G225" s="19">
        <v>0</v>
      </c>
      <c r="H225" s="19">
        <f t="shared" ref="H225" si="46">F225*(($H$176)+1)+(IF(G225&lt;101,G225,IF(G225&lt;201,G225/2,IF(G225&lt;=301,G225/3,G225/4))))</f>
        <v>484.37999999999994</v>
      </c>
      <c r="I225" s="41"/>
      <c r="N225" s="41"/>
    </row>
    <row r="226" spans="1:16" s="42" customFormat="1" ht="37.5" customHeight="1" x14ac:dyDescent="0.25">
      <c r="A226" s="128" t="s">
        <v>228</v>
      </c>
      <c r="B226" s="129"/>
      <c r="C226" s="129"/>
      <c r="D226" s="129"/>
      <c r="E226" s="129"/>
      <c r="F226" s="129"/>
      <c r="G226" s="129"/>
      <c r="H226" s="130"/>
      <c r="I226" s="41"/>
    </row>
    <row r="227" spans="1:16" s="42" customFormat="1" ht="15.75" customHeight="1" x14ac:dyDescent="0.25">
      <c r="A227" s="103" t="str">
        <f t="shared" ref="A227:A232" ca="1" si="47">N227</f>
        <v>201 to 2401</v>
      </c>
      <c r="B227" s="104"/>
      <c r="C227" s="19" t="s">
        <v>220</v>
      </c>
      <c r="D227" s="19">
        <f t="shared" si="42"/>
        <v>322.91999999999996</v>
      </c>
      <c r="E227" s="19">
        <v>0</v>
      </c>
      <c r="F227" s="19">
        <f>D227+E227</f>
        <v>322.91999999999996</v>
      </c>
      <c r="G227" s="19">
        <v>0</v>
      </c>
      <c r="H227" s="19">
        <f>F227*(($H$176)+1)+(IF(G227&lt;101,G227,IF(G227&lt;201,G227/2,IF(G227&lt;=301,G227/3,G227/4))))</f>
        <v>484.37999999999994</v>
      </c>
      <c r="I227" s="41"/>
      <c r="N227" s="42" t="str">
        <f t="shared" ref="N227:N232" ca="1" si="48">O227&amp;""&amp;" to "&amp;""&amp;P227</f>
        <v>201 to 2401</v>
      </c>
      <c r="O227" s="42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10^ROW(INDIRECT("1:"&amp;LEN((LEFT(A226,SUM(LEN(A226)-LEN(SUBSTITUTE(A226,{"0","1","2"},""))))))))/10))*100+1</f>
        <v>201</v>
      </c>
      <c r="P227" s="42">
        <f ca="1">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",LEN(A226))),LEN(A226)))))))/10))*100+1</f>
        <v>2401</v>
      </c>
    </row>
    <row r="228" spans="1:16" s="42" customFormat="1" x14ac:dyDescent="0.25">
      <c r="A228" s="103" t="str">
        <f t="shared" ca="1" si="47"/>
        <v>202 to 2402</v>
      </c>
      <c r="B228" s="104"/>
      <c r="C228" s="19" t="s">
        <v>220</v>
      </c>
      <c r="D228" s="19">
        <f t="shared" si="42"/>
        <v>322.91999999999996</v>
      </c>
      <c r="E228" s="19">
        <v>0</v>
      </c>
      <c r="F228" s="19">
        <f t="shared" ref="F228:F232" si="49">D228+E228</f>
        <v>322.91999999999996</v>
      </c>
      <c r="G228" s="19">
        <v>0</v>
      </c>
      <c r="H228" s="19">
        <f t="shared" ref="H228:H232" si="50">F228*(($H$176)+1)+(IF(G228&lt;101,G228,IF(G228&lt;201,G228/2,IF(G228&lt;=301,G228/3,G228/4))))</f>
        <v>484.37999999999994</v>
      </c>
      <c r="I228" s="41"/>
      <c r="N228" s="42" t="str">
        <f t="shared" ca="1" si="48"/>
        <v>202 to 2402</v>
      </c>
      <c r="O228" s="42">
        <f t="shared" ref="O228:P228" ca="1" si="51">O227+1</f>
        <v>202</v>
      </c>
      <c r="P228" s="42">
        <f t="shared" ca="1" si="51"/>
        <v>2402</v>
      </c>
    </row>
    <row r="229" spans="1:16" s="42" customFormat="1" x14ac:dyDescent="0.25">
      <c r="A229" s="103" t="str">
        <f t="shared" ca="1" si="47"/>
        <v>203 to 2403</v>
      </c>
      <c r="B229" s="104"/>
      <c r="C229" s="19" t="s">
        <v>220</v>
      </c>
      <c r="D229" s="19">
        <f t="shared" si="42"/>
        <v>322.91999999999996</v>
      </c>
      <c r="E229" s="19">
        <v>0</v>
      </c>
      <c r="F229" s="19">
        <f t="shared" si="49"/>
        <v>322.91999999999996</v>
      </c>
      <c r="G229" s="19">
        <v>0</v>
      </c>
      <c r="H229" s="19">
        <f t="shared" si="50"/>
        <v>484.37999999999994</v>
      </c>
      <c r="I229" s="41"/>
      <c r="N229" s="42" t="str">
        <f t="shared" ca="1" si="48"/>
        <v>203 to 2403</v>
      </c>
      <c r="O229" s="42">
        <f t="shared" ref="O229:P229" ca="1" si="52">O228+1</f>
        <v>203</v>
      </c>
      <c r="P229" s="42">
        <f t="shared" ca="1" si="52"/>
        <v>2403</v>
      </c>
    </row>
    <row r="230" spans="1:16" s="42" customFormat="1" x14ac:dyDescent="0.25">
      <c r="A230" s="103" t="str">
        <f t="shared" ca="1" si="47"/>
        <v>204 to 2404</v>
      </c>
      <c r="B230" s="104"/>
      <c r="C230" s="19" t="s">
        <v>220</v>
      </c>
      <c r="D230" s="19">
        <f t="shared" si="42"/>
        <v>322.91999999999996</v>
      </c>
      <c r="E230" s="19">
        <v>0</v>
      </c>
      <c r="F230" s="19">
        <f t="shared" si="49"/>
        <v>322.91999999999996</v>
      </c>
      <c r="G230" s="19">
        <v>0</v>
      </c>
      <c r="H230" s="19">
        <f t="shared" si="50"/>
        <v>484.37999999999994</v>
      </c>
      <c r="I230" s="41"/>
      <c r="N230" s="42" t="str">
        <f t="shared" ca="1" si="48"/>
        <v>204 to 2404</v>
      </c>
      <c r="O230" s="42">
        <f t="shared" ref="O230:P230" ca="1" si="53">O229+1</f>
        <v>204</v>
      </c>
      <c r="P230" s="42">
        <f t="shared" ca="1" si="53"/>
        <v>2404</v>
      </c>
    </row>
    <row r="231" spans="1:16" s="42" customFormat="1" x14ac:dyDescent="0.25">
      <c r="A231" s="103" t="str">
        <f t="shared" ca="1" si="47"/>
        <v>205 to 2405</v>
      </c>
      <c r="B231" s="104"/>
      <c r="C231" s="19" t="s">
        <v>220</v>
      </c>
      <c r="D231" s="19">
        <f t="shared" si="42"/>
        <v>322.91999999999996</v>
      </c>
      <c r="E231" s="19">
        <v>0</v>
      </c>
      <c r="F231" s="19">
        <f t="shared" si="49"/>
        <v>322.91999999999996</v>
      </c>
      <c r="G231" s="19">
        <v>0</v>
      </c>
      <c r="H231" s="19">
        <f t="shared" si="50"/>
        <v>484.37999999999994</v>
      </c>
      <c r="I231" s="41"/>
      <c r="N231" s="42" t="str">
        <f t="shared" ca="1" si="48"/>
        <v>205 to 2405</v>
      </c>
      <c r="O231" s="42">
        <f t="shared" ref="O231:P231" ca="1" si="54">O230+1</f>
        <v>205</v>
      </c>
      <c r="P231" s="42">
        <f t="shared" ca="1" si="54"/>
        <v>2405</v>
      </c>
    </row>
    <row r="232" spans="1:16" s="42" customFormat="1" x14ac:dyDescent="0.25">
      <c r="A232" s="103" t="str">
        <f t="shared" ca="1" si="47"/>
        <v>206 to 2406</v>
      </c>
      <c r="B232" s="104"/>
      <c r="C232" s="19" t="s">
        <v>220</v>
      </c>
      <c r="D232" s="19">
        <f t="shared" si="42"/>
        <v>322.91999999999996</v>
      </c>
      <c r="E232" s="19">
        <v>0</v>
      </c>
      <c r="F232" s="19">
        <f t="shared" si="49"/>
        <v>322.91999999999996</v>
      </c>
      <c r="G232" s="19">
        <v>0</v>
      </c>
      <c r="H232" s="19">
        <f t="shared" si="50"/>
        <v>484.37999999999994</v>
      </c>
      <c r="I232" s="41"/>
      <c r="N232" s="42" t="str">
        <f t="shared" ca="1" si="48"/>
        <v>206 to 2406</v>
      </c>
      <c r="O232" s="42">
        <f ca="1">O231+1</f>
        <v>206</v>
      </c>
      <c r="P232" s="42">
        <f ca="1">P231+1</f>
        <v>2406</v>
      </c>
    </row>
    <row r="233" spans="1:16" s="42" customFormat="1" x14ac:dyDescent="0.25">
      <c r="A233" s="103" t="str">
        <f t="shared" ref="A233" ca="1" si="55">N233</f>
        <v>207 to 2407</v>
      </c>
      <c r="B233" s="104"/>
      <c r="C233" s="19" t="s">
        <v>220</v>
      </c>
      <c r="D233" s="19">
        <f t="shared" si="42"/>
        <v>322.91999999999996</v>
      </c>
      <c r="E233" s="19">
        <v>0</v>
      </c>
      <c r="F233" s="19">
        <f t="shared" ref="F233" si="56">D233+E233</f>
        <v>322.91999999999996</v>
      </c>
      <c r="G233" s="19">
        <v>0</v>
      </c>
      <c r="H233" s="19">
        <f t="shared" ref="H233" si="57">F233*(($H$176)+1)+(IF(G233&lt;101,G233,IF(G233&lt;201,G233/2,IF(G233&lt;=301,G233/3,G233/4))))</f>
        <v>484.37999999999994</v>
      </c>
      <c r="I233" s="41"/>
      <c r="N233" s="42" t="str">
        <f t="shared" ref="N233" ca="1" si="58">O233&amp;""&amp;" to "&amp;""&amp;P233</f>
        <v>207 to 2407</v>
      </c>
      <c r="O233" s="42">
        <f ca="1">O232+1</f>
        <v>207</v>
      </c>
      <c r="P233" s="42">
        <f ca="1">P232+1</f>
        <v>2407</v>
      </c>
    </row>
    <row r="234" spans="1:16" s="42" customFormat="1" x14ac:dyDescent="0.25">
      <c r="A234" s="128" t="s">
        <v>210</v>
      </c>
      <c r="B234" s="129"/>
      <c r="C234" s="129"/>
      <c r="D234" s="129"/>
      <c r="E234" s="129"/>
      <c r="F234" s="129"/>
      <c r="G234" s="129"/>
      <c r="H234" s="130"/>
      <c r="J234" s="41"/>
    </row>
    <row r="235" spans="1:16" s="42" customFormat="1" x14ac:dyDescent="0.25">
      <c r="A235" s="128" t="s">
        <v>211</v>
      </c>
      <c r="B235" s="129"/>
      <c r="C235" s="129"/>
      <c r="D235" s="129"/>
      <c r="E235" s="129"/>
      <c r="F235" s="129"/>
      <c r="G235" s="129"/>
      <c r="H235" s="130"/>
      <c r="J235" s="41"/>
    </row>
    <row r="236" spans="1:16" s="42" customFormat="1" x14ac:dyDescent="0.25">
      <c r="A236" s="128" t="s">
        <v>214</v>
      </c>
      <c r="B236" s="129"/>
      <c r="C236" s="129"/>
      <c r="D236" s="129"/>
      <c r="E236" s="129"/>
      <c r="F236" s="129"/>
      <c r="G236" s="129"/>
      <c r="H236" s="130"/>
      <c r="J236" s="41"/>
    </row>
    <row r="237" spans="1:16" s="42" customFormat="1" x14ac:dyDescent="0.25">
      <c r="A237" s="170" t="s">
        <v>226</v>
      </c>
      <c r="B237" s="170"/>
      <c r="C237" s="170"/>
      <c r="D237" s="170"/>
      <c r="E237" s="170"/>
      <c r="F237" s="170"/>
      <c r="G237" s="170"/>
      <c r="H237" s="170"/>
      <c r="I237" s="41"/>
      <c r="L237" s="159"/>
      <c r="M237" s="159"/>
    </row>
    <row r="238" spans="1:16" s="42" customFormat="1" x14ac:dyDescent="0.25">
      <c r="A238" s="73">
        <f>LEFT(A237,SUM(LEN(A237)-LEN(SUBSTITUTE(A237,{"0","1","2","3","4","5","6","7","8","9"},""))))*100+1</f>
        <v>101</v>
      </c>
      <c r="B238" s="73"/>
      <c r="C238" s="19" t="s">
        <v>220</v>
      </c>
      <c r="D238" s="19">
        <f>30*10.764</f>
        <v>322.91999999999996</v>
      </c>
      <c r="E238" s="19">
        <v>0</v>
      </c>
      <c r="F238" s="19">
        <f>D238+E238</f>
        <v>322.91999999999996</v>
      </c>
      <c r="G238" s="19">
        <v>0</v>
      </c>
      <c r="H238" s="19">
        <f>F238*(($H$176)+1)+(IF(G238&lt;101,G238,IF(G238&lt;201,G238/2,IF(G238&lt;=301,G238/3,G238/4))))</f>
        <v>484.37999999999994</v>
      </c>
      <c r="I238" s="41"/>
      <c r="N238" s="41"/>
    </row>
    <row r="239" spans="1:16" s="42" customFormat="1" x14ac:dyDescent="0.25">
      <c r="A239" s="73">
        <f t="shared" ref="A239:A246" si="59">A238+1</f>
        <v>102</v>
      </c>
      <c r="B239" s="73"/>
      <c r="C239" s="19" t="s">
        <v>220</v>
      </c>
      <c r="D239" s="19">
        <f t="shared" ref="D239:D246" si="60">30*10.764</f>
        <v>322.91999999999996</v>
      </c>
      <c r="E239" s="19">
        <v>0</v>
      </c>
      <c r="F239" s="19">
        <f t="shared" ref="F239:F244" si="61">D239+E239</f>
        <v>322.91999999999996</v>
      </c>
      <c r="G239" s="19">
        <v>0</v>
      </c>
      <c r="H239" s="19">
        <f t="shared" ref="H239:H244" si="62">F239*(($H$176)+1)+(IF(G239&lt;101,G239,IF(G239&lt;201,G239/2,IF(G239&lt;=301,G239/3,G239/4))))</f>
        <v>484.37999999999994</v>
      </c>
      <c r="I239" s="41"/>
      <c r="N239" s="41"/>
    </row>
    <row r="240" spans="1:16" s="42" customFormat="1" x14ac:dyDescent="0.25">
      <c r="A240" s="73">
        <f t="shared" si="59"/>
        <v>103</v>
      </c>
      <c r="B240" s="73"/>
      <c r="C240" s="19" t="s">
        <v>220</v>
      </c>
      <c r="D240" s="19">
        <f t="shared" si="60"/>
        <v>322.91999999999996</v>
      </c>
      <c r="E240" s="19">
        <v>0</v>
      </c>
      <c r="F240" s="19">
        <f t="shared" si="61"/>
        <v>322.91999999999996</v>
      </c>
      <c r="G240" s="19">
        <v>0</v>
      </c>
      <c r="H240" s="19">
        <f t="shared" si="62"/>
        <v>484.37999999999994</v>
      </c>
      <c r="I240" s="41"/>
      <c r="N240" s="41"/>
    </row>
    <row r="241" spans="1:16" s="42" customFormat="1" x14ac:dyDescent="0.25">
      <c r="A241" s="73">
        <f t="shared" si="59"/>
        <v>104</v>
      </c>
      <c r="B241" s="73"/>
      <c r="C241" s="19" t="s">
        <v>220</v>
      </c>
      <c r="D241" s="19">
        <f t="shared" si="60"/>
        <v>322.91999999999996</v>
      </c>
      <c r="E241" s="19">
        <v>0</v>
      </c>
      <c r="F241" s="19">
        <f t="shared" si="61"/>
        <v>322.91999999999996</v>
      </c>
      <c r="G241" s="19">
        <v>0</v>
      </c>
      <c r="H241" s="19">
        <f t="shared" si="62"/>
        <v>484.37999999999994</v>
      </c>
      <c r="I241" s="41"/>
      <c r="N241" s="41"/>
    </row>
    <row r="242" spans="1:16" s="42" customFormat="1" x14ac:dyDescent="0.25">
      <c r="A242" s="73">
        <f t="shared" si="59"/>
        <v>105</v>
      </c>
      <c r="B242" s="73"/>
      <c r="C242" s="19" t="s">
        <v>220</v>
      </c>
      <c r="D242" s="19">
        <f t="shared" si="60"/>
        <v>322.91999999999996</v>
      </c>
      <c r="E242" s="19">
        <v>0</v>
      </c>
      <c r="F242" s="19">
        <f t="shared" si="61"/>
        <v>322.91999999999996</v>
      </c>
      <c r="G242" s="19">
        <v>0</v>
      </c>
      <c r="H242" s="19">
        <f t="shared" si="62"/>
        <v>484.37999999999994</v>
      </c>
      <c r="I242" s="41"/>
      <c r="N242" s="41"/>
    </row>
    <row r="243" spans="1:16" s="42" customFormat="1" x14ac:dyDescent="0.25">
      <c r="A243" s="73">
        <f t="shared" si="59"/>
        <v>106</v>
      </c>
      <c r="B243" s="73"/>
      <c r="C243" s="19" t="s">
        <v>220</v>
      </c>
      <c r="D243" s="19">
        <f t="shared" si="60"/>
        <v>322.91999999999996</v>
      </c>
      <c r="E243" s="19">
        <v>0</v>
      </c>
      <c r="F243" s="19">
        <f t="shared" si="61"/>
        <v>322.91999999999996</v>
      </c>
      <c r="G243" s="19">
        <v>0</v>
      </c>
      <c r="H243" s="19">
        <f t="shared" si="62"/>
        <v>484.37999999999994</v>
      </c>
      <c r="I243" s="41"/>
      <c r="N243" s="41"/>
    </row>
    <row r="244" spans="1:16" s="42" customFormat="1" x14ac:dyDescent="0.25">
      <c r="A244" s="73">
        <f t="shared" si="59"/>
        <v>107</v>
      </c>
      <c r="B244" s="73"/>
      <c r="C244" s="19" t="s">
        <v>220</v>
      </c>
      <c r="D244" s="19">
        <f t="shared" si="60"/>
        <v>322.91999999999996</v>
      </c>
      <c r="E244" s="19">
        <v>0</v>
      </c>
      <c r="F244" s="19">
        <f t="shared" si="61"/>
        <v>322.91999999999996</v>
      </c>
      <c r="G244" s="19">
        <v>0</v>
      </c>
      <c r="H244" s="19">
        <f t="shared" si="62"/>
        <v>484.37999999999994</v>
      </c>
      <c r="I244" s="41"/>
      <c r="N244" s="41"/>
    </row>
    <row r="245" spans="1:16" s="42" customFormat="1" x14ac:dyDescent="0.25">
      <c r="A245" s="73">
        <f t="shared" si="59"/>
        <v>108</v>
      </c>
      <c r="B245" s="73"/>
      <c r="C245" s="19" t="s">
        <v>220</v>
      </c>
      <c r="D245" s="19">
        <f t="shared" si="60"/>
        <v>322.91999999999996</v>
      </c>
      <c r="E245" s="19">
        <v>0</v>
      </c>
      <c r="F245" s="19">
        <f t="shared" ref="F245:F246" si="63">D245+E245</f>
        <v>322.91999999999996</v>
      </c>
      <c r="G245" s="19">
        <v>0</v>
      </c>
      <c r="H245" s="19">
        <f t="shared" ref="H245:H246" si="64">F245*(($H$176)+1)+(IF(G245&lt;101,G245,IF(G245&lt;201,G245/2,IF(G245&lt;=301,G245/3,G245/4))))</f>
        <v>484.37999999999994</v>
      </c>
      <c r="I245" s="41"/>
      <c r="N245" s="41"/>
    </row>
    <row r="246" spans="1:16" s="42" customFormat="1" x14ac:dyDescent="0.25">
      <c r="A246" s="73">
        <f t="shared" si="59"/>
        <v>109</v>
      </c>
      <c r="B246" s="73"/>
      <c r="C246" s="19" t="s">
        <v>220</v>
      </c>
      <c r="D246" s="19">
        <f t="shared" si="60"/>
        <v>322.91999999999996</v>
      </c>
      <c r="E246" s="19">
        <v>0</v>
      </c>
      <c r="F246" s="19">
        <f t="shared" si="63"/>
        <v>322.91999999999996</v>
      </c>
      <c r="G246" s="19">
        <v>0</v>
      </c>
      <c r="H246" s="19">
        <f t="shared" si="64"/>
        <v>484.37999999999994</v>
      </c>
      <c r="I246" s="41"/>
      <c r="N246" s="41"/>
    </row>
    <row r="247" spans="1:16" s="42" customFormat="1" ht="37.5" customHeight="1" x14ac:dyDescent="0.25">
      <c r="A247" s="128" t="s">
        <v>228</v>
      </c>
      <c r="B247" s="129"/>
      <c r="C247" s="129"/>
      <c r="D247" s="129"/>
      <c r="E247" s="129"/>
      <c r="F247" s="129"/>
      <c r="G247" s="129"/>
      <c r="H247" s="130"/>
      <c r="I247" s="41"/>
    </row>
    <row r="248" spans="1:16" s="42" customFormat="1" ht="15.75" customHeight="1" x14ac:dyDescent="0.25">
      <c r="A248" s="103" t="str">
        <f t="shared" ref="A248:A254" ca="1" si="65">N248</f>
        <v>201 to 2401</v>
      </c>
      <c r="B248" s="104"/>
      <c r="C248" s="19" t="s">
        <v>220</v>
      </c>
      <c r="D248" s="19">
        <f t="shared" ref="D248:D256" si="66">30*10.764</f>
        <v>322.91999999999996</v>
      </c>
      <c r="E248" s="19">
        <v>0</v>
      </c>
      <c r="F248" s="19">
        <f>D248+E248</f>
        <v>322.91999999999996</v>
      </c>
      <c r="G248" s="19">
        <v>0</v>
      </c>
      <c r="H248" s="19">
        <f>F248*(($H$176)+1)+(IF(G248&lt;101,G248,IF(G248&lt;201,G248/2,IF(G248&lt;=301,G248/3,G248/4))))</f>
        <v>484.37999999999994</v>
      </c>
      <c r="I248" s="41"/>
      <c r="N248" s="42" t="str">
        <f t="shared" ref="N248:N254" ca="1" si="67">O248&amp;""&amp;" to "&amp;""&amp;P248</f>
        <v>201 to 2401</v>
      </c>
      <c r="O248" s="42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10^ROW(INDIRECT("1:"&amp;LEN((LEFT(A247,SUM(LEN(A247)-LEN(SUBSTITUTE(A247,{"0","1","2"},""))))))))/10))*100+1</f>
        <v>201</v>
      </c>
      <c r="P248" s="42">
        <f ca="1">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",LEN(A247))),LEN(A247)))))))/10))*100+1</f>
        <v>2401</v>
      </c>
    </row>
    <row r="249" spans="1:16" s="42" customFormat="1" x14ac:dyDescent="0.25">
      <c r="A249" s="103" t="str">
        <f t="shared" ca="1" si="65"/>
        <v>202 to 2402</v>
      </c>
      <c r="B249" s="104"/>
      <c r="C249" s="19" t="s">
        <v>220</v>
      </c>
      <c r="D249" s="19">
        <f t="shared" si="66"/>
        <v>322.91999999999996</v>
      </c>
      <c r="E249" s="19">
        <v>0</v>
      </c>
      <c r="F249" s="19">
        <f t="shared" ref="F249:F254" si="68">D249+E249</f>
        <v>322.91999999999996</v>
      </c>
      <c r="G249" s="19">
        <v>0</v>
      </c>
      <c r="H249" s="19">
        <f t="shared" ref="H249:H254" si="69">F249*(($H$176)+1)+(IF(G249&lt;101,G249,IF(G249&lt;201,G249/2,IF(G249&lt;=301,G249/3,G249/4))))</f>
        <v>484.37999999999994</v>
      </c>
      <c r="I249" s="41"/>
      <c r="N249" s="42" t="str">
        <f t="shared" ca="1" si="67"/>
        <v>202 to 2402</v>
      </c>
      <c r="O249" s="42">
        <f t="shared" ref="O249:P249" ca="1" si="70">O248+1</f>
        <v>202</v>
      </c>
      <c r="P249" s="42">
        <f t="shared" ca="1" si="70"/>
        <v>2402</v>
      </c>
    </row>
    <row r="250" spans="1:16" s="42" customFormat="1" x14ac:dyDescent="0.25">
      <c r="A250" s="103" t="str">
        <f t="shared" ca="1" si="65"/>
        <v>203 to 2403</v>
      </c>
      <c r="B250" s="104"/>
      <c r="C250" s="19" t="s">
        <v>220</v>
      </c>
      <c r="D250" s="19">
        <f t="shared" si="66"/>
        <v>322.91999999999996</v>
      </c>
      <c r="E250" s="19">
        <v>0</v>
      </c>
      <c r="F250" s="19">
        <f t="shared" si="68"/>
        <v>322.91999999999996</v>
      </c>
      <c r="G250" s="19">
        <v>0</v>
      </c>
      <c r="H250" s="19">
        <f t="shared" si="69"/>
        <v>484.37999999999994</v>
      </c>
      <c r="I250" s="41"/>
      <c r="N250" s="42" t="str">
        <f t="shared" ca="1" si="67"/>
        <v>203 to 2403</v>
      </c>
      <c r="O250" s="42">
        <f t="shared" ref="O250:P250" ca="1" si="71">O249+1</f>
        <v>203</v>
      </c>
      <c r="P250" s="42">
        <f t="shared" ca="1" si="71"/>
        <v>2403</v>
      </c>
    </row>
    <row r="251" spans="1:16" s="42" customFormat="1" x14ac:dyDescent="0.25">
      <c r="A251" s="103" t="str">
        <f t="shared" ca="1" si="65"/>
        <v>204 to 2404</v>
      </c>
      <c r="B251" s="104"/>
      <c r="C251" s="19" t="s">
        <v>220</v>
      </c>
      <c r="D251" s="19">
        <f t="shared" si="66"/>
        <v>322.91999999999996</v>
      </c>
      <c r="E251" s="19">
        <v>0</v>
      </c>
      <c r="F251" s="19">
        <f t="shared" si="68"/>
        <v>322.91999999999996</v>
      </c>
      <c r="G251" s="19">
        <v>0</v>
      </c>
      <c r="H251" s="19">
        <f t="shared" si="69"/>
        <v>484.37999999999994</v>
      </c>
      <c r="I251" s="41"/>
      <c r="N251" s="42" t="str">
        <f t="shared" ca="1" si="67"/>
        <v>204 to 2404</v>
      </c>
      <c r="O251" s="42">
        <f t="shared" ref="O251:P251" ca="1" si="72">O250+1</f>
        <v>204</v>
      </c>
      <c r="P251" s="42">
        <f t="shared" ca="1" si="72"/>
        <v>2404</v>
      </c>
    </row>
    <row r="252" spans="1:16" s="42" customFormat="1" x14ac:dyDescent="0.25">
      <c r="A252" s="103" t="str">
        <f t="shared" ca="1" si="65"/>
        <v>205 to 2405</v>
      </c>
      <c r="B252" s="104"/>
      <c r="C252" s="19" t="s">
        <v>220</v>
      </c>
      <c r="D252" s="19">
        <f t="shared" si="66"/>
        <v>322.91999999999996</v>
      </c>
      <c r="E252" s="19">
        <v>0</v>
      </c>
      <c r="F252" s="19">
        <f t="shared" si="68"/>
        <v>322.91999999999996</v>
      </c>
      <c r="G252" s="19">
        <v>0</v>
      </c>
      <c r="H252" s="19">
        <f t="shared" si="69"/>
        <v>484.37999999999994</v>
      </c>
      <c r="I252" s="41"/>
      <c r="N252" s="42" t="str">
        <f t="shared" ca="1" si="67"/>
        <v>205 to 2405</v>
      </c>
      <c r="O252" s="42">
        <f t="shared" ref="O252:P252" ca="1" si="73">O251+1</f>
        <v>205</v>
      </c>
      <c r="P252" s="42">
        <f t="shared" ca="1" si="73"/>
        <v>2405</v>
      </c>
    </row>
    <row r="253" spans="1:16" s="42" customFormat="1" x14ac:dyDescent="0.25">
      <c r="A253" s="103" t="str">
        <f t="shared" ca="1" si="65"/>
        <v>206 to 2406</v>
      </c>
      <c r="B253" s="104"/>
      <c r="C253" s="19" t="s">
        <v>220</v>
      </c>
      <c r="D253" s="19">
        <f t="shared" si="66"/>
        <v>322.91999999999996</v>
      </c>
      <c r="E253" s="19">
        <v>0</v>
      </c>
      <c r="F253" s="19">
        <f t="shared" si="68"/>
        <v>322.91999999999996</v>
      </c>
      <c r="G253" s="19">
        <v>0</v>
      </c>
      <c r="H253" s="19">
        <f t="shared" si="69"/>
        <v>484.37999999999994</v>
      </c>
      <c r="I253" s="41"/>
      <c r="N253" s="42" t="str">
        <f t="shared" ca="1" si="67"/>
        <v>206 to 2406</v>
      </c>
      <c r="O253" s="42">
        <f t="shared" ref="O253:P256" ca="1" si="74">O252+1</f>
        <v>206</v>
      </c>
      <c r="P253" s="42">
        <f t="shared" ca="1" si="74"/>
        <v>2406</v>
      </c>
    </row>
    <row r="254" spans="1:16" s="42" customFormat="1" x14ac:dyDescent="0.25">
      <c r="A254" s="103" t="str">
        <f t="shared" ca="1" si="65"/>
        <v>207 to 2407</v>
      </c>
      <c r="B254" s="104"/>
      <c r="C254" s="19" t="s">
        <v>220</v>
      </c>
      <c r="D254" s="19">
        <f t="shared" si="66"/>
        <v>322.91999999999996</v>
      </c>
      <c r="E254" s="19">
        <v>0</v>
      </c>
      <c r="F254" s="19">
        <f t="shared" si="68"/>
        <v>322.91999999999996</v>
      </c>
      <c r="G254" s="19">
        <v>0</v>
      </c>
      <c r="H254" s="19">
        <f t="shared" si="69"/>
        <v>484.37999999999994</v>
      </c>
      <c r="I254" s="41"/>
      <c r="N254" s="42" t="str">
        <f t="shared" ca="1" si="67"/>
        <v>207 to 2407</v>
      </c>
      <c r="O254" s="42">
        <f t="shared" ca="1" si="74"/>
        <v>207</v>
      </c>
      <c r="P254" s="42">
        <f t="shared" ca="1" si="74"/>
        <v>2407</v>
      </c>
    </row>
    <row r="255" spans="1:16" s="42" customFormat="1" x14ac:dyDescent="0.25">
      <c r="A255" s="103" t="str">
        <f t="shared" ref="A255:A256" ca="1" si="75">N255</f>
        <v>208 to 2408</v>
      </c>
      <c r="B255" s="104"/>
      <c r="C255" s="19" t="s">
        <v>220</v>
      </c>
      <c r="D255" s="19">
        <f t="shared" si="66"/>
        <v>322.91999999999996</v>
      </c>
      <c r="E255" s="19">
        <v>0</v>
      </c>
      <c r="F255" s="19">
        <f t="shared" ref="F255:F256" si="76">D255+E255</f>
        <v>322.91999999999996</v>
      </c>
      <c r="G255" s="19">
        <v>0</v>
      </c>
      <c r="H255" s="19">
        <f t="shared" ref="H255:H256" si="77">F255*(($H$176)+1)+(IF(G255&lt;101,G255,IF(G255&lt;201,G255/2,IF(G255&lt;=301,G255/3,G255/4))))</f>
        <v>484.37999999999994</v>
      </c>
      <c r="I255" s="41"/>
      <c r="N255" s="42" t="str">
        <f t="shared" ref="N255:N256" ca="1" si="78">O255&amp;""&amp;" to "&amp;""&amp;P255</f>
        <v>208 to 2408</v>
      </c>
      <c r="O255" s="42">
        <f t="shared" ca="1" si="74"/>
        <v>208</v>
      </c>
      <c r="P255" s="42">
        <f t="shared" ca="1" si="74"/>
        <v>2408</v>
      </c>
    </row>
    <row r="256" spans="1:16" s="42" customFormat="1" x14ac:dyDescent="0.25">
      <c r="A256" s="103" t="str">
        <f t="shared" ca="1" si="75"/>
        <v>209 to 2409</v>
      </c>
      <c r="B256" s="104"/>
      <c r="C256" s="19" t="s">
        <v>220</v>
      </c>
      <c r="D256" s="19">
        <f t="shared" si="66"/>
        <v>322.91999999999996</v>
      </c>
      <c r="E256" s="19">
        <v>0</v>
      </c>
      <c r="F256" s="19">
        <f t="shared" si="76"/>
        <v>322.91999999999996</v>
      </c>
      <c r="G256" s="19">
        <v>0</v>
      </c>
      <c r="H256" s="19">
        <f t="shared" si="77"/>
        <v>484.37999999999994</v>
      </c>
      <c r="I256" s="41"/>
      <c r="N256" s="42" t="str">
        <f t="shared" ca="1" si="78"/>
        <v>209 to 2409</v>
      </c>
      <c r="O256" s="42">
        <f t="shared" ca="1" si="74"/>
        <v>209</v>
      </c>
      <c r="P256" s="42">
        <f t="shared" ca="1" si="74"/>
        <v>2409</v>
      </c>
    </row>
    <row r="257" spans="1:8" s="40" customFormat="1" x14ac:dyDescent="0.25">
      <c r="A257" s="107" t="s">
        <v>72</v>
      </c>
      <c r="B257" s="107"/>
      <c r="C257" s="107"/>
      <c r="D257" s="107"/>
      <c r="E257" s="107"/>
      <c r="F257" s="107"/>
      <c r="G257" s="107"/>
      <c r="H257" s="107"/>
    </row>
    <row r="258" spans="1:8" s="40" customFormat="1" x14ac:dyDescent="0.25">
      <c r="A258" s="23" t="s">
        <v>234</v>
      </c>
      <c r="B258" s="108" t="s">
        <v>235</v>
      </c>
      <c r="C258" s="109"/>
      <c r="D258" s="109"/>
      <c r="E258" s="109"/>
      <c r="F258" s="109"/>
      <c r="G258" s="109"/>
      <c r="H258" s="110"/>
    </row>
    <row r="259" spans="1:8" s="40" customFormat="1" x14ac:dyDescent="0.25">
      <c r="A259" s="23" t="s">
        <v>234</v>
      </c>
      <c r="B259" s="108" t="str">
        <f>(IF(H175="Saleable area Loading :","We have considered Saleable area of Flats as per our Calculation.","We considered Saleable area of Flat as per Builder area Sheet."))</f>
        <v>We have considered Saleable area of Flats as per our Calculation.</v>
      </c>
      <c r="C259" s="109"/>
      <c r="D259" s="109"/>
      <c r="E259" s="109"/>
      <c r="F259" s="109"/>
      <c r="G259" s="109"/>
      <c r="H259" s="110"/>
    </row>
    <row r="260" spans="1:8" s="40" customFormat="1" hidden="1" x14ac:dyDescent="0.25">
      <c r="A260" s="23" t="e">
        <f t="shared" ref="A260" si="79">A259+1</f>
        <v>#VALUE!</v>
      </c>
      <c r="B260" s="108" t="str">
        <f>(IF(H150="Saleable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60" s="109"/>
      <c r="D260" s="109"/>
      <c r="E260" s="109"/>
      <c r="F260" s="109"/>
      <c r="G260" s="109"/>
      <c r="H260" s="110"/>
    </row>
    <row r="261" spans="1:8" s="40" customFormat="1" x14ac:dyDescent="0.25">
      <c r="A261" s="23" t="s">
        <v>234</v>
      </c>
      <c r="B261" s="88" t="s">
        <v>124</v>
      </c>
      <c r="C261" s="89"/>
      <c r="D261" s="89"/>
      <c r="E261" s="89"/>
      <c r="F261" s="89"/>
      <c r="G261" s="89"/>
      <c r="H261" s="90"/>
    </row>
    <row r="262" spans="1:8" s="40" customFormat="1" x14ac:dyDescent="0.25">
      <c r="A262" s="23" t="s">
        <v>234</v>
      </c>
      <c r="B262" s="88" t="s">
        <v>233</v>
      </c>
      <c r="C262" s="89"/>
      <c r="D262" s="89"/>
      <c r="E262" s="89"/>
      <c r="F262" s="89"/>
      <c r="G262" s="89"/>
      <c r="H262" s="90"/>
    </row>
    <row r="263" spans="1:8" s="40" customFormat="1" x14ac:dyDescent="0.25">
      <c r="A263" s="23" t="s">
        <v>234</v>
      </c>
      <c r="B263" s="88" t="s">
        <v>125</v>
      </c>
      <c r="C263" s="89"/>
      <c r="D263" s="89"/>
      <c r="E263" s="89"/>
      <c r="F263" s="89"/>
      <c r="G263" s="89"/>
      <c r="H263" s="90"/>
    </row>
    <row r="264" spans="1:8" s="40" customFormat="1" x14ac:dyDescent="0.25">
      <c r="A264" s="23" t="s">
        <v>234</v>
      </c>
      <c r="B264" s="88" t="s">
        <v>126</v>
      </c>
      <c r="C264" s="89"/>
      <c r="D264" s="89"/>
      <c r="E264" s="89"/>
      <c r="F264" s="89"/>
      <c r="G264" s="89"/>
      <c r="H264" s="90"/>
    </row>
    <row r="265" spans="1:8" s="40" customFormat="1" x14ac:dyDescent="0.25">
      <c r="A265" s="64" t="s">
        <v>234</v>
      </c>
      <c r="B265" s="91" t="s">
        <v>239</v>
      </c>
      <c r="C265" s="92"/>
      <c r="D265" s="92"/>
      <c r="E265" s="92"/>
      <c r="F265" s="92"/>
      <c r="G265" s="92"/>
      <c r="H265" s="93"/>
    </row>
    <row r="266" spans="1:8" x14ac:dyDescent="0.25">
      <c r="A266" s="99" t="s">
        <v>65</v>
      </c>
      <c r="B266" s="99"/>
      <c r="C266" s="99"/>
      <c r="D266" s="99"/>
      <c r="E266" s="99"/>
      <c r="F266" s="99"/>
      <c r="G266" s="99"/>
      <c r="H266" s="99"/>
    </row>
    <row r="267" spans="1:8" x14ac:dyDescent="0.25">
      <c r="A267" s="72" t="s">
        <v>66</v>
      </c>
      <c r="B267" s="72"/>
      <c r="C267" s="72"/>
      <c r="D267" s="72"/>
      <c r="E267" s="72"/>
      <c r="F267" s="72"/>
      <c r="G267" s="72"/>
      <c r="H267" s="72"/>
    </row>
    <row r="268" spans="1:8" ht="15.75" customHeight="1" x14ac:dyDescent="0.25">
      <c r="A268" s="74" t="s">
        <v>67</v>
      </c>
      <c r="B268" s="74"/>
      <c r="C268" s="74"/>
      <c r="D268" s="74"/>
      <c r="E268" s="74"/>
      <c r="F268" s="74"/>
      <c r="G268" s="74"/>
      <c r="H268" s="74"/>
    </row>
    <row r="269" spans="1:8" x14ac:dyDescent="0.25">
      <c r="A269" s="72" t="s">
        <v>68</v>
      </c>
      <c r="B269" s="72"/>
      <c r="C269" s="72"/>
      <c r="D269" s="72"/>
      <c r="E269" s="72"/>
      <c r="F269" s="72"/>
      <c r="G269" s="72"/>
      <c r="H269" s="72"/>
    </row>
    <row r="270" spans="1:8" x14ac:dyDescent="0.25">
      <c r="A270" s="72" t="s">
        <v>69</v>
      </c>
      <c r="B270" s="72"/>
      <c r="C270" s="72"/>
      <c r="D270" s="72"/>
      <c r="E270" s="72"/>
      <c r="F270" s="72"/>
      <c r="G270" s="72"/>
      <c r="H270" s="72"/>
    </row>
    <row r="271" spans="1:8" x14ac:dyDescent="0.25">
      <c r="A271" s="72" t="s">
        <v>127</v>
      </c>
      <c r="B271" s="72"/>
      <c r="C271" s="72"/>
      <c r="D271" s="72"/>
      <c r="E271" s="72"/>
      <c r="F271" s="72"/>
      <c r="G271" s="72"/>
      <c r="H271" s="72"/>
    </row>
    <row r="272" spans="1:8" ht="35.25" customHeight="1" x14ac:dyDescent="0.25">
      <c r="A272" s="100" t="s">
        <v>128</v>
      </c>
      <c r="B272" s="100"/>
      <c r="C272" s="100"/>
      <c r="D272" s="100"/>
      <c r="E272" s="100"/>
      <c r="F272" s="100"/>
      <c r="G272" s="100"/>
      <c r="H272" s="100"/>
    </row>
    <row r="273" spans="1:8" x14ac:dyDescent="0.25">
      <c r="A273" s="106" t="s">
        <v>82</v>
      </c>
      <c r="B273" s="106"/>
      <c r="C273" s="106" t="s">
        <v>240</v>
      </c>
      <c r="D273" s="106"/>
      <c r="E273" s="106" t="s">
        <v>108</v>
      </c>
      <c r="F273" s="106"/>
      <c r="G273" s="106" t="s">
        <v>249</v>
      </c>
      <c r="H273" s="106"/>
    </row>
    <row r="274" spans="1:8" x14ac:dyDescent="0.25">
      <c r="A274" s="105" t="s">
        <v>84</v>
      </c>
      <c r="B274" s="105"/>
      <c r="C274" s="105"/>
      <c r="D274" s="105"/>
      <c r="E274" s="105"/>
      <c r="F274" s="105"/>
      <c r="G274" s="105"/>
      <c r="H274" s="105"/>
    </row>
    <row r="275" spans="1:8" x14ac:dyDescent="0.25">
      <c r="A275" s="105"/>
      <c r="B275" s="105"/>
      <c r="C275" s="105"/>
      <c r="D275" s="105"/>
      <c r="E275" s="105"/>
      <c r="F275" s="105"/>
      <c r="G275" s="105"/>
      <c r="H275" s="105"/>
    </row>
    <row r="276" spans="1:8" x14ac:dyDescent="0.25">
      <c r="A276" s="105"/>
      <c r="B276" s="105"/>
      <c r="C276" s="105"/>
      <c r="D276" s="105"/>
      <c r="E276" s="105"/>
      <c r="F276" s="105"/>
      <c r="G276" s="105"/>
      <c r="H276" s="105"/>
    </row>
    <row r="277" spans="1:8" x14ac:dyDescent="0.25">
      <c r="A277" s="105"/>
      <c r="B277" s="105"/>
      <c r="C277" s="105"/>
      <c r="D277" s="105"/>
      <c r="E277" s="105"/>
      <c r="F277" s="105"/>
      <c r="G277" s="105"/>
      <c r="H277" s="105"/>
    </row>
    <row r="278" spans="1:8" x14ac:dyDescent="0.25">
      <c r="A278" s="43" t="s">
        <v>70</v>
      </c>
      <c r="B278" s="44"/>
      <c r="C278" s="44"/>
      <c r="D278" s="43" t="str">
        <f>E8</f>
        <v>Royal Pristo</v>
      </c>
      <c r="F278" s="44"/>
      <c r="G278" s="44"/>
      <c r="H278" s="44"/>
    </row>
    <row r="279" spans="1:8" x14ac:dyDescent="0.25">
      <c r="A279" s="44"/>
      <c r="B279" s="44"/>
      <c r="C279" s="44"/>
      <c r="D279" s="44"/>
      <c r="E279" s="44"/>
      <c r="F279" s="44"/>
      <c r="G279" s="44"/>
      <c r="H279" s="44"/>
    </row>
    <row r="280" spans="1:8" x14ac:dyDescent="0.25">
      <c r="A280" s="44"/>
      <c r="B280" s="44"/>
      <c r="C280" s="44"/>
      <c r="D280" s="44"/>
      <c r="E280" s="44"/>
      <c r="F280" s="44"/>
      <c r="G280" s="44"/>
      <c r="H280" s="44"/>
    </row>
    <row r="281" spans="1:8" ht="15" customHeight="1" x14ac:dyDescent="0.25"/>
    <row r="291" spans="11:11" ht="15" customHeight="1" x14ac:dyDescent="0.25">
      <c r="K291" s="53"/>
    </row>
    <row r="320" spans="1:1" x14ac:dyDescent="0.25">
      <c r="A320" s="46" t="s">
        <v>71</v>
      </c>
    </row>
  </sheetData>
  <mergeCells count="427">
    <mergeCell ref="I10:L10"/>
    <mergeCell ref="E147:F147"/>
    <mergeCell ref="G147:H147"/>
    <mergeCell ref="E144:F144"/>
    <mergeCell ref="G144:H144"/>
    <mergeCell ref="A145:B145"/>
    <mergeCell ref="C145:D145"/>
    <mergeCell ref="E145:F145"/>
    <mergeCell ref="G145:H145"/>
    <mergeCell ref="A146:B146"/>
    <mergeCell ref="C146:D146"/>
    <mergeCell ref="E146:F146"/>
    <mergeCell ref="G146:H146"/>
    <mergeCell ref="A250:B250"/>
    <mergeCell ref="A251:B251"/>
    <mergeCell ref="A252:B252"/>
    <mergeCell ref="A253:B253"/>
    <mergeCell ref="A254:B254"/>
    <mergeCell ref="A255:B255"/>
    <mergeCell ref="A256:B256"/>
    <mergeCell ref="A144:B144"/>
    <mergeCell ref="C144:D144"/>
    <mergeCell ref="A147:B147"/>
    <mergeCell ref="C147:D147"/>
    <mergeCell ref="A241:B241"/>
    <mergeCell ref="A242:B242"/>
    <mergeCell ref="A243:B243"/>
    <mergeCell ref="A244:B244"/>
    <mergeCell ref="A245:B245"/>
    <mergeCell ref="A246:B246"/>
    <mergeCell ref="A247:H247"/>
    <mergeCell ref="A248:B248"/>
    <mergeCell ref="A249:B249"/>
    <mergeCell ref="A235:H235"/>
    <mergeCell ref="A236:H236"/>
    <mergeCell ref="A237:H237"/>
    <mergeCell ref="A225:B225"/>
    <mergeCell ref="L237:M237"/>
    <mergeCell ref="A238:B238"/>
    <mergeCell ref="A239:B239"/>
    <mergeCell ref="A240:B240"/>
    <mergeCell ref="A231:B231"/>
    <mergeCell ref="A232:B232"/>
    <mergeCell ref="A233:B233"/>
    <mergeCell ref="A226:H226"/>
    <mergeCell ref="A227:B227"/>
    <mergeCell ref="A228:B228"/>
    <mergeCell ref="A229:B229"/>
    <mergeCell ref="A230:B230"/>
    <mergeCell ref="A234:H234"/>
    <mergeCell ref="A209:B209"/>
    <mergeCell ref="A210:B210"/>
    <mergeCell ref="A211:B211"/>
    <mergeCell ref="A212:B212"/>
    <mergeCell ref="A213:B213"/>
    <mergeCell ref="A214:B214"/>
    <mergeCell ref="A215:H215"/>
    <mergeCell ref="A216:H216"/>
    <mergeCell ref="A217:H217"/>
    <mergeCell ref="A207:B207"/>
    <mergeCell ref="A189:H189"/>
    <mergeCell ref="A190:B190"/>
    <mergeCell ref="A191:B191"/>
    <mergeCell ref="A192:B192"/>
    <mergeCell ref="A193:B193"/>
    <mergeCell ref="A194:B194"/>
    <mergeCell ref="A195:B195"/>
    <mergeCell ref="A208:H208"/>
    <mergeCell ref="A198:H198"/>
    <mergeCell ref="A199:H199"/>
    <mergeCell ref="A200:H200"/>
    <mergeCell ref="A201:H201"/>
    <mergeCell ref="A202:B202"/>
    <mergeCell ref="A203:B203"/>
    <mergeCell ref="A204:B204"/>
    <mergeCell ref="A205:B205"/>
    <mergeCell ref="A206:B206"/>
    <mergeCell ref="A197:H197"/>
    <mergeCell ref="F150:F151"/>
    <mergeCell ref="G150:G151"/>
    <mergeCell ref="F175:F176"/>
    <mergeCell ref="G175:G176"/>
    <mergeCell ref="A153:H153"/>
    <mergeCell ref="A164:H164"/>
    <mergeCell ref="A157:H157"/>
    <mergeCell ref="A158:H158"/>
    <mergeCell ref="A162:H162"/>
    <mergeCell ref="A163:H163"/>
    <mergeCell ref="A154:H154"/>
    <mergeCell ref="A159:H159"/>
    <mergeCell ref="A155:H155"/>
    <mergeCell ref="A160:H160"/>
    <mergeCell ref="A165:H165"/>
    <mergeCell ref="A156:H156"/>
    <mergeCell ref="A161:H161"/>
    <mergeCell ref="A166:H166"/>
    <mergeCell ref="A168:B168"/>
    <mergeCell ref="A169:B169"/>
    <mergeCell ref="A170:B170"/>
    <mergeCell ref="A171:B171"/>
    <mergeCell ref="B175:B176"/>
    <mergeCell ref="A101:B101"/>
    <mergeCell ref="C101:H101"/>
    <mergeCell ref="A102:B102"/>
    <mergeCell ref="E102:F102"/>
    <mergeCell ref="G102:H102"/>
    <mergeCell ref="A131:E131"/>
    <mergeCell ref="F131:H131"/>
    <mergeCell ref="A132:E132"/>
    <mergeCell ref="A133:E133"/>
    <mergeCell ref="G103:H112"/>
    <mergeCell ref="A104:B104"/>
    <mergeCell ref="A105:B105"/>
    <mergeCell ref="A106:B106"/>
    <mergeCell ref="A129:E129"/>
    <mergeCell ref="F133:H133"/>
    <mergeCell ref="A110:B110"/>
    <mergeCell ref="A111:B111"/>
    <mergeCell ref="A112:B112"/>
    <mergeCell ref="F132:H132"/>
    <mergeCell ref="A128:E128"/>
    <mergeCell ref="A123:B123"/>
    <mergeCell ref="A124:B124"/>
    <mergeCell ref="A125:B125"/>
    <mergeCell ref="A126:B126"/>
    <mergeCell ref="L218:M218"/>
    <mergeCell ref="A174:H174"/>
    <mergeCell ref="A175:A176"/>
    <mergeCell ref="A223:B223"/>
    <mergeCell ref="A220:B220"/>
    <mergeCell ref="A221:B221"/>
    <mergeCell ref="A222:B222"/>
    <mergeCell ref="L173:M173"/>
    <mergeCell ref="L172:M172"/>
    <mergeCell ref="C175:C176"/>
    <mergeCell ref="A218:H218"/>
    <mergeCell ref="A177:H177"/>
    <mergeCell ref="A178:H178"/>
    <mergeCell ref="A179:H179"/>
    <mergeCell ref="A180:H180"/>
    <mergeCell ref="A181:H181"/>
    <mergeCell ref="A182:H182"/>
    <mergeCell ref="A183:B183"/>
    <mergeCell ref="A184:B184"/>
    <mergeCell ref="A185:B185"/>
    <mergeCell ref="A186:B186"/>
    <mergeCell ref="A187:B187"/>
    <mergeCell ref="A188:B188"/>
    <mergeCell ref="A196:H196"/>
    <mergeCell ref="L171:M171"/>
    <mergeCell ref="L170:M170"/>
    <mergeCell ref="L169:M169"/>
    <mergeCell ref="L168:M168"/>
    <mergeCell ref="L167:M167"/>
    <mergeCell ref="A39:D39"/>
    <mergeCell ref="E39:H39"/>
    <mergeCell ref="F31:H31"/>
    <mergeCell ref="F32:H32"/>
    <mergeCell ref="A38:H38"/>
    <mergeCell ref="A37:B37"/>
    <mergeCell ref="C37:H37"/>
    <mergeCell ref="A64:C64"/>
    <mergeCell ref="A65:C65"/>
    <mergeCell ref="D64:H64"/>
    <mergeCell ref="E89:F98"/>
    <mergeCell ref="G89:H98"/>
    <mergeCell ref="A97:B97"/>
    <mergeCell ref="A98:B98"/>
    <mergeCell ref="D65:H65"/>
    <mergeCell ref="A41:D41"/>
    <mergeCell ref="E41:H41"/>
    <mergeCell ref="E42:H42"/>
    <mergeCell ref="E43:H4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44:H44"/>
    <mergeCell ref="A42:D42"/>
    <mergeCell ref="A43:D43"/>
    <mergeCell ref="A44:D44"/>
    <mergeCell ref="A45:H45"/>
    <mergeCell ref="D60:H60"/>
    <mergeCell ref="A60:C60"/>
    <mergeCell ref="G47:H47"/>
    <mergeCell ref="A54:B55"/>
    <mergeCell ref="A50:B51"/>
    <mergeCell ref="C50:E50"/>
    <mergeCell ref="G50:H50"/>
    <mergeCell ref="C51:H51"/>
    <mergeCell ref="C53:H53"/>
    <mergeCell ref="A95:B95"/>
    <mergeCell ref="A88:B88"/>
    <mergeCell ref="A91:B91"/>
    <mergeCell ref="A66:C66"/>
    <mergeCell ref="D66:H66"/>
    <mergeCell ref="C87:H87"/>
    <mergeCell ref="A90:B90"/>
    <mergeCell ref="A92:B92"/>
    <mergeCell ref="E88:F88"/>
    <mergeCell ref="A67:C67"/>
    <mergeCell ref="D67:H67"/>
    <mergeCell ref="A70:C70"/>
    <mergeCell ref="D70:H70"/>
    <mergeCell ref="A68:C68"/>
    <mergeCell ref="D68:H68"/>
    <mergeCell ref="A71:B71"/>
    <mergeCell ref="C71:H71"/>
    <mergeCell ref="A73:B73"/>
    <mergeCell ref="C73:H73"/>
    <mergeCell ref="A74:B74"/>
    <mergeCell ref="E74:F74"/>
    <mergeCell ref="G74:H74"/>
    <mergeCell ref="A75:B75"/>
    <mergeCell ref="E75:F84"/>
    <mergeCell ref="G75:H84"/>
    <mergeCell ref="A76:B76"/>
    <mergeCell ref="A77:B77"/>
    <mergeCell ref="A103:B103"/>
    <mergeCell ref="E103:F112"/>
    <mergeCell ref="A138:H138"/>
    <mergeCell ref="A136:E136"/>
    <mergeCell ref="F136:H136"/>
    <mergeCell ref="A137:E137"/>
    <mergeCell ref="A135:E135"/>
    <mergeCell ref="C113:H113"/>
    <mergeCell ref="A115:B115"/>
    <mergeCell ref="C115:H115"/>
    <mergeCell ref="A116:B116"/>
    <mergeCell ref="E116:F116"/>
    <mergeCell ref="G116:H116"/>
    <mergeCell ref="A117:B117"/>
    <mergeCell ref="E117:F126"/>
    <mergeCell ref="G117:H126"/>
    <mergeCell ref="A118:B118"/>
    <mergeCell ref="A119:B119"/>
    <mergeCell ref="A120:B120"/>
    <mergeCell ref="A121:B121"/>
    <mergeCell ref="A122:B122"/>
    <mergeCell ref="C142:D142"/>
    <mergeCell ref="G142:H142"/>
    <mergeCell ref="A130:E130"/>
    <mergeCell ref="F130:H130"/>
    <mergeCell ref="F129:H129"/>
    <mergeCell ref="F135:H135"/>
    <mergeCell ref="F134:H134"/>
    <mergeCell ref="A134:E134"/>
    <mergeCell ref="F137:H137"/>
    <mergeCell ref="A140:B140"/>
    <mergeCell ref="A141:H141"/>
    <mergeCell ref="E142:F142"/>
    <mergeCell ref="E139:F139"/>
    <mergeCell ref="A139:B139"/>
    <mergeCell ref="C139:D139"/>
    <mergeCell ref="G139:H139"/>
    <mergeCell ref="C140:D140"/>
    <mergeCell ref="E140:F140"/>
    <mergeCell ref="B260:H260"/>
    <mergeCell ref="A69:C69"/>
    <mergeCell ref="D69:H69"/>
    <mergeCell ref="A89:B89"/>
    <mergeCell ref="G88:H88"/>
    <mergeCell ref="A87:B87"/>
    <mergeCell ref="A85:B85"/>
    <mergeCell ref="C85:H85"/>
    <mergeCell ref="A93:B93"/>
    <mergeCell ref="A96:B96"/>
    <mergeCell ref="A78:B78"/>
    <mergeCell ref="A79:B79"/>
    <mergeCell ref="A80:B80"/>
    <mergeCell ref="A81:B81"/>
    <mergeCell ref="A82:B82"/>
    <mergeCell ref="A83:B83"/>
    <mergeCell ref="A84:B84"/>
    <mergeCell ref="C143:D143"/>
    <mergeCell ref="E143:F143"/>
    <mergeCell ref="G143:H143"/>
    <mergeCell ref="A152:H152"/>
    <mergeCell ref="E150:E151"/>
    <mergeCell ref="D150:D151"/>
    <mergeCell ref="C150:C151"/>
    <mergeCell ref="A143:B143"/>
    <mergeCell ref="A172:B172"/>
    <mergeCell ref="A173:B173"/>
    <mergeCell ref="A167:B167"/>
    <mergeCell ref="A274:H277"/>
    <mergeCell ref="A273:B273"/>
    <mergeCell ref="E273:F273"/>
    <mergeCell ref="C273:D273"/>
    <mergeCell ref="G273:H273"/>
    <mergeCell ref="A269:H269"/>
    <mergeCell ref="A272:H272"/>
    <mergeCell ref="A270:H270"/>
    <mergeCell ref="A257:H257"/>
    <mergeCell ref="B258:H258"/>
    <mergeCell ref="B259:H259"/>
    <mergeCell ref="B261:H261"/>
    <mergeCell ref="B262:H262"/>
    <mergeCell ref="B263:H263"/>
    <mergeCell ref="A266:H266"/>
    <mergeCell ref="A267:H267"/>
    <mergeCell ref="A148:H148"/>
    <mergeCell ref="A149:H149"/>
    <mergeCell ref="B150:B151"/>
    <mergeCell ref="A150:A151"/>
    <mergeCell ref="B264:H264"/>
    <mergeCell ref="B265:H265"/>
    <mergeCell ref="A46:B46"/>
    <mergeCell ref="C46:E46"/>
    <mergeCell ref="G46:H46"/>
    <mergeCell ref="G54:H54"/>
    <mergeCell ref="D58:H58"/>
    <mergeCell ref="C54:E54"/>
    <mergeCell ref="A61:C63"/>
    <mergeCell ref="D61:H61"/>
    <mergeCell ref="D63:H63"/>
    <mergeCell ref="C47:E47"/>
    <mergeCell ref="A56:B56"/>
    <mergeCell ref="C56:E56"/>
    <mergeCell ref="A47:B47"/>
    <mergeCell ref="A57:H57"/>
    <mergeCell ref="A58:C58"/>
    <mergeCell ref="A59:C59"/>
    <mergeCell ref="D59:H59"/>
    <mergeCell ref="G56:H56"/>
    <mergeCell ref="C55:H55"/>
    <mergeCell ref="A52:B53"/>
    <mergeCell ref="C52:E52"/>
    <mergeCell ref="G52:H52"/>
    <mergeCell ref="D62:H62"/>
    <mergeCell ref="A48:B49"/>
    <mergeCell ref="C48:E48"/>
    <mergeCell ref="G48:H48"/>
    <mergeCell ref="C49:H49"/>
    <mergeCell ref="E40:H40"/>
    <mergeCell ref="A40:D40"/>
    <mergeCell ref="A271:H271"/>
    <mergeCell ref="A224:B224"/>
    <mergeCell ref="A268:H268"/>
    <mergeCell ref="A219:B219"/>
    <mergeCell ref="A142:B142"/>
    <mergeCell ref="D175:D176"/>
    <mergeCell ref="E175:E176"/>
    <mergeCell ref="A107:B107"/>
    <mergeCell ref="A108:B108"/>
    <mergeCell ref="A109:B109"/>
    <mergeCell ref="A99:B99"/>
    <mergeCell ref="C99:H99"/>
    <mergeCell ref="A94:B94"/>
    <mergeCell ref="F128:H128"/>
    <mergeCell ref="A127:H127"/>
    <mergeCell ref="G140:H140"/>
    <mergeCell ref="A113:B113"/>
  </mergeCells>
  <dataValidations count="7">
    <dataValidation type="list" allowBlank="1" showInputMessage="1" showErrorMessage="1" sqref="D150:D151 D175:D176" xr:uid="{00000000-0002-0000-0000-000000000000}">
      <formula1>"Carpet area,RERA Carpet area"</formula1>
    </dataValidation>
    <dataValidation type="list" allowBlank="1" showInputMessage="1" showErrorMessage="1" sqref="H150 H175" xr:uid="{00000000-0002-0000-0000-000001000000}">
      <formula1>"Saleable area Loading :,Builder Saleable Area"</formula1>
    </dataValidation>
    <dataValidation type="list" allowBlank="1" showInputMessage="1" showErrorMessage="1" sqref="H151 H176" xr:uid="{00000000-0002-0000-0000-000002000000}">
      <formula1>".45,.50,.55,.60"</formula1>
    </dataValidation>
    <dataValidation type="list" allowBlank="1" showInputMessage="1" showErrorMessage="1" sqref="B150:B151" xr:uid="{00000000-0002-0000-0000-000003000000}">
      <formula1>"Shop No. (Sale Plan),Sale / Rehab,Sale / Mhada"</formula1>
    </dataValidation>
    <dataValidation type="list" allowBlank="1" showInputMessage="1" showErrorMessage="1" sqref="E150:E151" xr:uid="{00000000-0002-0000-0000-000004000000}">
      <formula1>"Attached Loft area,Attached Otla area,Attached Mezzanine area"</formula1>
    </dataValidation>
    <dataValidation type="list" allowBlank="1" showInputMessage="1" showErrorMessage="1" sqref="E175:E176" xr:uid="{00000000-0002-0000-0000-000005000000}">
      <formula1>"Fungible area,Balcony Area,Chajja Area,Cornice Area,AP Area,WS Area"</formula1>
    </dataValidation>
    <dataValidation type="list" allowBlank="1" showInputMessage="1" showErrorMessage="1" sqref="B175:B176" xr:uid="{00000000-0002-0000-0000-000006000000}">
      <formula1>"Flat No. (Sale Plan),Sale / Rehab,Sale / Mhada"</formula1>
    </dataValidation>
  </dataValidations>
  <hyperlinks>
    <hyperlink ref="C37" r:id="rId1" xr:uid="{00000000-0004-0000-0000-000000000000}"/>
  </hyperlinks>
  <printOptions horizontalCentered="1"/>
  <pageMargins left="0.39370078740157483" right="0.39370078740157483" top="0.86614173228346458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0" max="16383" man="1"/>
    <brk id="112" max="16383" man="1"/>
    <brk id="256" max="16383" man="1"/>
    <brk id="277" max="16383" man="1"/>
    <brk id="319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7" t="s">
        <v>109</v>
      </c>
      <c r="C3" s="177"/>
      <c r="D3" s="177"/>
      <c r="E3" s="177"/>
      <c r="F3" s="177"/>
      <c r="G3" s="177"/>
      <c r="H3" s="177"/>
    </row>
    <row r="4" spans="1:9" x14ac:dyDescent="0.25">
      <c r="A4" s="2"/>
      <c r="B4" s="3" t="s">
        <v>110</v>
      </c>
      <c r="C4" s="3" t="s">
        <v>111</v>
      </c>
      <c r="D4" s="3" t="s">
        <v>73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2025-09-12T05:14:37Z</cp:lastPrinted>
  <dcterms:created xsi:type="dcterms:W3CDTF">2019-07-16T09:29:46Z</dcterms:created>
  <dcterms:modified xsi:type="dcterms:W3CDTF">2025-09-12T05:16:48Z</dcterms:modified>
</cp:coreProperties>
</file>