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AA874FCC-8367-4A98-BCDD-AD9707C566F1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0" i="1" l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6" i="1"/>
  <c r="F196" i="1" s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I183" i="1" s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D167" i="1"/>
  <c r="F167" i="1" s="1"/>
  <c r="I167" i="1" s="1"/>
  <c r="D166" i="1"/>
  <c r="F166" i="1" s="1"/>
  <c r="I166" i="1" s="1"/>
  <c r="D165" i="1"/>
  <c r="F165" i="1" s="1"/>
  <c r="I165" i="1" s="1"/>
  <c r="D164" i="1"/>
  <c r="F164" i="1" s="1"/>
  <c r="D163" i="1"/>
  <c r="F163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E154" i="1"/>
  <c r="D154" i="1"/>
  <c r="E153" i="1"/>
  <c r="D153" i="1"/>
  <c r="E152" i="1"/>
  <c r="D152" i="1"/>
  <c r="E151" i="1"/>
  <c r="D151" i="1"/>
  <c r="A199" i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G198" i="1"/>
  <c r="A164" i="1"/>
  <c r="A165" i="1" s="1"/>
  <c r="A166" i="1" s="1"/>
  <c r="A167" i="1" s="1"/>
  <c r="A168" i="1" s="1"/>
  <c r="G163" i="1"/>
  <c r="A184" i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G183" i="1"/>
  <c r="A157" i="1"/>
  <c r="A158" i="1" s="1"/>
  <c r="A159" i="1" s="1"/>
  <c r="A160" i="1" s="1"/>
  <c r="A161" i="1" s="1"/>
  <c r="G156" i="1"/>
  <c r="J154" i="1"/>
  <c r="C116" i="1" l="1"/>
  <c r="E117" i="1"/>
  <c r="C117" i="1"/>
  <c r="E116" i="1"/>
  <c r="F181" i="1"/>
  <c r="F180" i="1"/>
  <c r="F179" i="1"/>
  <c r="F178" i="1"/>
  <c r="F177" i="1"/>
  <c r="F176" i="1"/>
  <c r="F175" i="1"/>
  <c r="F174" i="1"/>
  <c r="F173" i="1"/>
  <c r="F172" i="1"/>
  <c r="A172" i="1"/>
  <c r="A173" i="1" s="1"/>
  <c r="A174" i="1" s="1"/>
  <c r="A175" i="1" s="1"/>
  <c r="A176" i="1" s="1"/>
  <c r="A177" i="1" s="1"/>
  <c r="A178" i="1" s="1"/>
  <c r="A179" i="1" s="1"/>
  <c r="A180" i="1" s="1"/>
  <c r="G171" i="1"/>
  <c r="F171" i="1"/>
  <c r="K151" i="1"/>
  <c r="J151" i="1"/>
  <c r="F154" i="1"/>
  <c r="F153" i="1"/>
  <c r="F152" i="1"/>
  <c r="A152" i="1"/>
  <c r="A153" i="1" s="1"/>
  <c r="A154" i="1" s="1"/>
  <c r="G151" i="1"/>
  <c r="F151" i="1"/>
  <c r="D145" i="1"/>
  <c r="F145" i="1" s="1"/>
  <c r="D144" i="1"/>
  <c r="F144" i="1" s="1"/>
  <c r="D143" i="1"/>
  <c r="F143" i="1" s="1"/>
  <c r="D142" i="1"/>
  <c r="F142" i="1" s="1"/>
  <c r="D141" i="1"/>
  <c r="D140" i="1"/>
  <c r="D137" i="1"/>
  <c r="F137" i="1" s="1"/>
  <c r="D136" i="1"/>
  <c r="F136" i="1" s="1"/>
  <c r="D135" i="1"/>
  <c r="F135" i="1" s="1"/>
  <c r="D134" i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D127" i="1"/>
  <c r="D126" i="1"/>
  <c r="D125" i="1"/>
  <c r="J124" i="1"/>
  <c r="F141" i="1"/>
  <c r="F140" i="1"/>
  <c r="F134" i="1"/>
  <c r="A141" i="1"/>
  <c r="A142" i="1" s="1"/>
  <c r="A143" i="1" s="1"/>
  <c r="A144" i="1" s="1"/>
  <c r="A145" i="1" s="1"/>
  <c r="G140" i="1"/>
  <c r="C118" i="1" l="1"/>
  <c r="E118" i="1"/>
  <c r="G116" i="1"/>
  <c r="E112" i="1"/>
  <c r="C112" i="1"/>
  <c r="E111" i="1"/>
  <c r="C111" i="1"/>
  <c r="G112" i="1"/>
  <c r="I171" i="1"/>
  <c r="G117" i="1"/>
  <c r="C14" i="1"/>
  <c r="C113" i="1" l="1"/>
  <c r="G118" i="1"/>
  <c r="E113" i="1"/>
  <c r="E29" i="1"/>
  <c r="F214" i="1" l="1"/>
  <c r="F215" i="1"/>
  <c r="F216" i="1"/>
  <c r="F213" i="1"/>
  <c r="A214" i="1"/>
  <c r="A215" i="1" s="1"/>
  <c r="A216" i="1" s="1"/>
  <c r="G213" i="1"/>
  <c r="G214" i="1" s="1"/>
  <c r="G215" i="1" s="1"/>
  <c r="G216" i="1" s="1"/>
  <c r="F108" i="1" l="1"/>
  <c r="F126" i="1" l="1"/>
  <c r="F127" i="1"/>
  <c r="F128" i="1"/>
  <c r="F125" i="1"/>
  <c r="G111" i="1" l="1"/>
  <c r="G113" i="1" s="1"/>
  <c r="B243" i="1"/>
  <c r="A230" i="1"/>
  <c r="A224" i="1"/>
  <c r="A236" i="1"/>
  <c r="F240" i="1" l="1"/>
  <c r="F239" i="1"/>
  <c r="F238" i="1"/>
  <c r="F237" i="1"/>
  <c r="F236" i="1"/>
  <c r="F234" i="1"/>
  <c r="F233" i="1"/>
  <c r="F232" i="1"/>
  <c r="F231" i="1"/>
  <c r="F230" i="1"/>
  <c r="F228" i="1"/>
  <c r="F227" i="1"/>
  <c r="F226" i="1"/>
  <c r="F225" i="1"/>
  <c r="F224" i="1"/>
  <c r="F222" i="1"/>
  <c r="F221" i="1"/>
  <c r="F219" i="1"/>
  <c r="F218" i="1"/>
  <c r="F220" i="1"/>
  <c r="A225" i="1"/>
  <c r="A237" i="1"/>
  <c r="A231" i="1"/>
  <c r="B244" i="1" l="1"/>
  <c r="A232" i="1"/>
  <c r="A238" i="1"/>
  <c r="A22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7" i="1"/>
  <c r="G236" i="1"/>
  <c r="G237" i="1" s="1"/>
  <c r="G238" i="1" s="1"/>
  <c r="G239" i="1" s="1"/>
  <c r="G240" i="1" s="1"/>
  <c r="G230" i="1"/>
  <c r="G231" i="1" s="1"/>
  <c r="G232" i="1" s="1"/>
  <c r="G233" i="1" s="1"/>
  <c r="G234" i="1" s="1"/>
  <c r="G224" i="1"/>
  <c r="G225" i="1" s="1"/>
  <c r="G226" i="1" s="1"/>
  <c r="G227" i="1" s="1"/>
  <c r="G228" i="1" s="1"/>
  <c r="G218" i="1"/>
  <c r="G219" i="1" s="1"/>
  <c r="G220" i="1" s="1"/>
  <c r="G221" i="1" s="1"/>
  <c r="G222" i="1" s="1"/>
  <c r="A218" i="1"/>
  <c r="A219" i="1" s="1"/>
  <c r="A220" i="1" s="1"/>
  <c r="A221" i="1" s="1"/>
  <c r="A222" i="1" s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G125" i="1"/>
  <c r="J92" i="1"/>
  <c r="J91" i="1"/>
  <c r="J90" i="1"/>
  <c r="J89" i="1"/>
  <c r="C81" i="1"/>
  <c r="J78" i="1"/>
  <c r="J77" i="1"/>
  <c r="J76" i="1"/>
  <c r="J75" i="1"/>
  <c r="D55" i="1"/>
  <c r="E42" i="1"/>
  <c r="E43" i="1" s="1"/>
  <c r="E26" i="1"/>
  <c r="E24" i="1"/>
  <c r="E7" i="1"/>
  <c r="E3" i="1"/>
  <c r="A239" i="1"/>
  <c r="H68" i="1"/>
  <c r="H82" i="1"/>
  <c r="A227" i="1"/>
  <c r="A233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7" i="1"/>
  <c r="J88" i="1" s="1"/>
  <c r="J93" i="1" s="1"/>
  <c r="J85" i="1"/>
  <c r="J86" i="1"/>
  <c r="C85" i="1" s="1"/>
  <c r="J84" i="1"/>
  <c r="A228" i="1"/>
  <c r="A240" i="1"/>
  <c r="A234" i="1"/>
  <c r="J80" i="1" l="1"/>
  <c r="E71" i="1"/>
  <c r="J94" i="1"/>
  <c r="G85" i="1"/>
  <c r="D87" i="1"/>
  <c r="J83" i="1"/>
  <c r="D73" i="1"/>
  <c r="J69" i="1"/>
  <c r="D71" i="1"/>
  <c r="D85" i="1"/>
  <c r="D86" i="1" l="1"/>
  <c r="I82" i="1" s="1"/>
  <c r="I83" i="1" s="1"/>
  <c r="E85" i="1"/>
  <c r="G71" i="1"/>
  <c r="D65" i="1" s="1"/>
  <c r="D66" i="1" s="1"/>
  <c r="D72" i="1"/>
  <c r="I68" i="1" s="1"/>
  <c r="J68" i="1"/>
  <c r="J82" i="1"/>
  <c r="F66" i="1" l="1"/>
  <c r="I81" i="1"/>
  <c r="C83" i="1" s="1"/>
  <c r="I69" i="1"/>
  <c r="I67" i="1" s="1"/>
  <c r="C69" i="1" s="1"/>
</calcChain>
</file>

<file path=xl/sharedStrings.xml><?xml version="1.0" encoding="utf-8"?>
<sst xmlns="http://schemas.openxmlformats.org/spreadsheetml/2006/main" count="348" uniqueCount="237">
  <si>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</si>
  <si>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</si>
  <si>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</si>
  <si>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</si>
  <si>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</si>
  <si>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</si>
  <si>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</si>
  <si>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</si>
  <si>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</si>
  <si>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</si>
  <si>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</si>
  <si>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</si>
  <si>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</si>
  <si>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</si>
  <si>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</si>
  <si>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</si>
  <si>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</si>
  <si>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</si>
  <si>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</si>
  <si>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</si>
  <si>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</si>
  <si>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</si>
  <si>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</si>
  <si>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</si>
  <si>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</si>
  <si>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</si>
  <si>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</si>
  <si>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</si>
  <si>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</si>
  <si>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</si>
  <si>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</si>
  <si>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</si>
  <si>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</si>
  <si>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</si>
  <si>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</si>
  <si>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</si>
  <si>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</si>
  <si>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</si>
  <si>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</si>
  <si>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</si>
  <si>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</si>
  <si>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</si>
  <si>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</si>
  <si>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</si>
  <si>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</si>
  <si>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</si>
  <si>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</si>
  <si>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</si>
  <si>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</si>
  <si>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</si>
  <si>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</si>
  <si>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</si>
  <si>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</si>
  <si>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</si>
  <si>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</si>
  <si>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</si>
  <si>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</si>
  <si>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</si>
  <si>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</si>
  <si>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</si>
  <si>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</si>
  <si>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</si>
  <si>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</si>
  <si>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</si>
  <si>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</si>
  <si>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</si>
  <si>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</si>
  <si>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</si>
  <si>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</si>
  <si>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</si>
  <si>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</si>
  <si>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</si>
  <si>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</si>
  <si>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</si>
  <si>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</si>
  <si>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</si>
  <si>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</si>
  <si>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</si>
  <si>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</si>
  <si>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</si>
  <si>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</si>
  <si>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</si>
  <si>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</si>
  <si>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</si>
  <si>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</si>
  <si>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</si>
  <si>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</si>
  <si>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</si>
  <si>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</si>
  <si>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</si>
  <si>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</si>
  <si>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</si>
  <si>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</si>
  <si>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</si>
  <si>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</si>
  <si>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</si>
  <si>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</si>
  <si>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</si>
  <si>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</si>
  <si>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</si>
  <si>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</si>
  <si>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</si>
  <si>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</si>
  <si>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</si>
  <si>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</si>
  <si>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</si>
  <si>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</si>
  <si>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</si>
  <si>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</si>
  <si>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</si>
  <si>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</si>
  <si>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</si>
  <si>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</si>
  <si>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</si>
  <si>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</si>
  <si>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</si>
  <si>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</si>
  <si>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</si>
  <si>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</si>
  <si>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</si>
  <si>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</si>
  <si>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</si>
  <si>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</si>
  <si>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</si>
  <si>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</si>
  <si>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</si>
  <si>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</si>
  <si>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</si>
  <si>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</si>
  <si>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</si>
  <si>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</si>
  <si>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</si>
  <si>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</si>
  <si>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</si>
  <si>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</si>
  <si>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</si>
  <si>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</si>
  <si>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</si>
  <si>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</si>
  <si>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</si>
  <si>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</si>
  <si>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</si>
  <si>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</si>
  <si>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</si>
  <si>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</si>
  <si>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</si>
  <si>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</si>
  <si>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</si>
  <si>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</si>
  <si>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</si>
  <si>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</si>
  <si>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</si>
  <si>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</si>
  <si>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</si>
  <si>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</si>
  <si>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</si>
  <si>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</si>
  <si>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</si>
  <si>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</si>
  <si>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</si>
  <si>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</si>
  <si>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</si>
  <si>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</si>
  <si>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</si>
  <si>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</si>
  <si>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</si>
  <si>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</si>
  <si>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</si>
  <si>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</si>
  <si>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</si>
  <si>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</si>
  <si>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</si>
  <si>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</si>
  <si>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</si>
  <si>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</si>
  <si>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</si>
  <si>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</si>
  <si>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</si>
  <si>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Vidisha Constructions</t>
  </si>
  <si>
    <t>Shambhu Shankar Residency</t>
  </si>
  <si>
    <t>8999075286/7770007588</t>
  </si>
  <si>
    <t>Wing A &amp; B</t>
  </si>
  <si>
    <t>Approved Plans, CC, Sale Plans</t>
  </si>
  <si>
    <t>P51700046454</t>
  </si>
  <si>
    <t>https://goo.gl/maps/bxMgoatJQahWWDaN6</t>
  </si>
  <si>
    <t>Yogi Sadan Building</t>
  </si>
  <si>
    <t>Internal Road</t>
  </si>
  <si>
    <t>Open Plot</t>
  </si>
  <si>
    <t>Survey No</t>
  </si>
  <si>
    <t>69/1/1</t>
  </si>
  <si>
    <t>Bhadwad</t>
  </si>
  <si>
    <t>Bhadwad Road</t>
  </si>
  <si>
    <t>Sonale</t>
  </si>
  <si>
    <t>Bhiwandi</t>
  </si>
  <si>
    <t>Thane</t>
  </si>
  <si>
    <t>Gyan Ganga Apartment</t>
  </si>
  <si>
    <t>Bhiwandi East</t>
  </si>
  <si>
    <t>5.2KM from Bhiwandi Road Railway Station</t>
  </si>
  <si>
    <t>Maharashtra Housing and Area Development Authority</t>
  </si>
  <si>
    <t>EE/Layout Approval &amp; BP PMAY/A/MHADA 225</t>
  </si>
  <si>
    <t>EE/BP/PMAY/A/MHADA/310/2022</t>
  </si>
  <si>
    <t>EE/BP/PMAY/A/MHADA/323/2023</t>
  </si>
  <si>
    <r>
      <t xml:space="preserve">This C.C. is issued for work upto </t>
    </r>
    <r>
      <rPr>
        <b/>
        <sz val="12"/>
        <color indexed="8"/>
        <rFont val="Times New Roman"/>
        <family val="1"/>
      </rPr>
      <t>Plinth level</t>
    </r>
    <r>
      <rPr>
        <sz val="12"/>
        <color indexed="8"/>
        <rFont val="Times New Roman"/>
        <family val="1"/>
      </rPr>
      <t xml:space="preserve"> only.</t>
    </r>
  </si>
  <si>
    <t>A Wing = G + 1st to 13th Floor
B Wing = G + 1st to 13th Floor</t>
  </si>
  <si>
    <t>A Wing = G + 1st to 13th Floor</t>
  </si>
  <si>
    <t>B Wing = G + 1st to 13th Floor</t>
  </si>
  <si>
    <t>Shop</t>
  </si>
  <si>
    <t>1st Floor For Residential</t>
  </si>
  <si>
    <t>2nd to 7th, 9th to 13th Floor</t>
  </si>
  <si>
    <t>8th Floor (Part Refuge Area)</t>
  </si>
  <si>
    <t>Refuge Area</t>
  </si>
  <si>
    <t>We considered Gross carpet area = Net carpet + Enclose balcony + Drop Chajja</t>
  </si>
  <si>
    <t>Ground Floor For Commercial &amp; Part Parking</t>
  </si>
  <si>
    <t>mis</t>
  </si>
  <si>
    <t>Builder</t>
  </si>
  <si>
    <t>visitor</t>
  </si>
  <si>
    <t>Wing B ( EWS )</t>
  </si>
  <si>
    <t>Saleable Flats - 75, Saleable Shops - 13
PMAY scheme Flats - 178, Shops - 6</t>
  </si>
  <si>
    <t>Layout Plan :</t>
  </si>
  <si>
    <t>Wing A</t>
  </si>
  <si>
    <t>As per sales person Mr. Pratik, Wing A is Sale Building &amp; Wing B(EWS) will be handed over for PMAY scheme</t>
  </si>
  <si>
    <t xml:space="preserve">1.Vitrified tiles flooring 2. Granite Kitchen Platform  3. Decorative Enternace  etc. 
</t>
  </si>
  <si>
    <t>Latitude &amp; Longitude</t>
  </si>
  <si>
    <t>Site Meet Person Contact Details ( Name &amp; Contact No.)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</si>
  <si>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     E mail : vsjcapf@gmail.com. Web site : www.vsjadon.com</t>
  </si>
  <si>
    <t>19.289216,73.085173</t>
  </si>
  <si>
    <t>Viraj</t>
  </si>
  <si>
    <t>9000 to 12500</t>
  </si>
  <si>
    <t>Recommended Rates/Other Charges of the Property have been revised on 23/12/2023.</t>
  </si>
  <si>
    <t>Mr. Pratik Naik 7558436121</t>
  </si>
  <si>
    <t>As per RERA - 20/12/2025</t>
  </si>
  <si>
    <t>Mangesh Bapardekar</t>
  </si>
  <si>
    <t>Wing A &amp; B = G + 1st to 13th Floor</t>
  </si>
  <si>
    <t>Construction work is in process at the time of the visit. (Slow Speed)</t>
  </si>
  <si>
    <t>Validity of CC is expired on 23/06/2023.</t>
  </si>
  <si>
    <t>Construction work goes beyond CC permission. Please provide revised approved CC.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</si>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</sst>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0" fillId="0" borderId="0" xfId="1" applyFont="1" applyAlignment="1" applyProtection="1">
      <alignment horizontal="left" vertical="top"/>
      <protection locked="0"/>
    </xf>
    <xf numFmtId="0" fontId="7" fillId="0" borderId="0" xfId="1" applyFont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23" xfId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7" fillId="0" borderId="2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326</xdr:row>
      <xdr:rowOff>104775</xdr:rowOff>
    </xdr:from>
    <xdr:to>
      <xdr:col>6</xdr:col>
      <xdr:colOff>600075</xdr:colOff>
      <xdr:row>343</xdr:row>
      <xdr:rowOff>57152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8725" y="60960000"/>
          <a:ext cx="4648200" cy="3352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409575</xdr:colOff>
      <xdr:row>309</xdr:row>
      <xdr:rowOff>0</xdr:rowOff>
    </xdr:from>
    <xdr:to>
      <xdr:col>6</xdr:col>
      <xdr:colOff>600075</xdr:colOff>
      <xdr:row>325</xdr:row>
      <xdr:rowOff>140676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8725" y="57454800"/>
          <a:ext cx="4648200" cy="33410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447675</xdr:colOff>
      <xdr:row>351</xdr:row>
      <xdr:rowOff>47625</xdr:rowOff>
    </xdr:from>
    <xdr:to>
      <xdr:col>6</xdr:col>
      <xdr:colOff>709303</xdr:colOff>
      <xdr:row>387</xdr:row>
      <xdr:rowOff>46726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6825" y="66503550"/>
          <a:ext cx="4719328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10092</xdr:colOff>
      <xdr:row>368</xdr:row>
      <xdr:rowOff>73668</xdr:rowOff>
    </xdr:from>
    <xdr:to>
      <xdr:col>6</xdr:col>
      <xdr:colOff>295842</xdr:colOff>
      <xdr:row>379</xdr:row>
      <xdr:rowOff>157264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849391">
          <a:off x="1686492" y="69930018"/>
          <a:ext cx="3886200" cy="2283871"/>
        </a:xfrm>
        <a:prstGeom prst="rect">
          <a:avLst/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ln w="381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2</xdr:col>
      <xdr:colOff>326870</xdr:colOff>
      <xdr:row>352</xdr:row>
      <xdr:rowOff>103393</xdr:rowOff>
    </xdr:from>
    <xdr:to>
      <xdr:col>6</xdr:col>
      <xdr:colOff>3020</xdr:colOff>
      <xdr:row>366</xdr:row>
      <xdr:rowOff>106319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03711">
          <a:off x="2003270" y="66759343"/>
          <a:ext cx="3276600" cy="28032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ln w="5715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</xdr:col>
      <xdr:colOff>811770</xdr:colOff>
      <xdr:row>369</xdr:row>
      <xdr:rowOff>198571</xdr:rowOff>
    </xdr:from>
    <xdr:to>
      <xdr:col>4</xdr:col>
      <xdr:colOff>704850</xdr:colOff>
      <xdr:row>371</xdr:row>
      <xdr:rowOff>63081</xdr:rowOff>
    </xdr:to>
    <xdr:sp macro="" textlink="">
      <xdr:nvSpPr>
        <xdr:cNvPr id="14" name="Text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402570" y="70254946"/>
          <a:ext cx="902730" cy="26456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>
              <a:solidFill>
                <a:srgbClr val="002060"/>
              </a:solidFill>
            </a:rPr>
            <a:t>Sale Wing A</a:t>
          </a:r>
        </a:p>
      </xdr:txBody>
    </xdr:sp>
    <xdr:clientData/>
  </xdr:twoCellAnchor>
  <xdr:twoCellAnchor>
    <xdr:from>
      <xdr:col>3</xdr:col>
      <xdr:colOff>496713</xdr:colOff>
      <xdr:row>353</xdr:row>
      <xdr:rowOff>83530</xdr:rowOff>
    </xdr:from>
    <xdr:to>
      <xdr:col>4</xdr:col>
      <xdr:colOff>590551</xdr:colOff>
      <xdr:row>355</xdr:row>
      <xdr:rowOff>120266</xdr:rowOff>
    </xdr:to>
    <xdr:sp macro="" textlink="">
      <xdr:nvSpPr>
        <xdr:cNvPr id="15" name="Text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87513" y="66939505"/>
          <a:ext cx="1103488" cy="436786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>
              <a:solidFill>
                <a:srgbClr val="002060"/>
              </a:solidFill>
            </a:rPr>
            <a:t>PMAY scheme </a:t>
          </a:r>
        </a:p>
        <a:p>
          <a:r>
            <a:rPr lang="en-IN" sz="1100">
              <a:solidFill>
                <a:srgbClr val="002060"/>
              </a:solidFill>
            </a:rPr>
            <a:t>Wing B</a:t>
          </a:r>
        </a:p>
      </xdr:txBody>
    </xdr:sp>
    <xdr:clientData/>
  </xdr:twoCellAnchor>
  <xdr:twoCellAnchor>
    <xdr:from>
      <xdr:col>9</xdr:col>
      <xdr:colOff>609600</xdr:colOff>
      <xdr:row>267</xdr:row>
      <xdr:rowOff>22860</xdr:rowOff>
    </xdr:from>
    <xdr:to>
      <xdr:col>17</xdr:col>
      <xdr:colOff>334328</xdr:colOff>
      <xdr:row>306</xdr:row>
      <xdr:rowOff>77835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296275" y="46885860"/>
          <a:ext cx="5573078" cy="7846425"/>
          <a:chOff x="381000" y="49634775"/>
          <a:chExt cx="5588318" cy="8246475"/>
        </a:xfrm>
      </xdr:grpSpPr>
      <xdr:pic>
        <xdr:nvPicPr>
          <xdr:cNvPr id="16" name="Picture 15" descr="https://vsjcllp.vsjadon.com/upload/insp-220707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24325" y="557212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20707-84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76275" y="557212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20707-844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5" y="49634775"/>
            <a:ext cx="2740343" cy="3657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20707-847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1000" y="49634775"/>
            <a:ext cx="2740343" cy="3657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20707-849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62225" y="53378100"/>
            <a:ext cx="3007509" cy="22574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20707-851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71525" y="53379688"/>
            <a:ext cx="1691305" cy="225742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20707-860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00300" y="557212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15240</xdr:colOff>
      <xdr:row>267</xdr:row>
      <xdr:rowOff>158115</xdr:rowOff>
    </xdr:from>
    <xdr:to>
      <xdr:col>16</xdr:col>
      <xdr:colOff>593659</xdr:colOff>
      <xdr:row>304</xdr:row>
      <xdr:rowOff>45648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B77BB69-0E69-12ED-99FF-1988551B3E62}"/>
            </a:ext>
          </a:extLst>
        </xdr:cNvPr>
        <xdr:cNvGrpSpPr/>
      </xdr:nvGrpSpPr>
      <xdr:grpSpPr>
        <a:xfrm>
          <a:off x="7701915" y="47021115"/>
          <a:ext cx="5817169" cy="7278933"/>
          <a:chOff x="250709" y="98854"/>
          <a:chExt cx="5965759" cy="7212258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97D414B-7943-A686-DDBC-2A1478F7D804}"/>
              </a:ext>
            </a:extLst>
          </xdr:cNvPr>
          <xdr:cNvGrpSpPr/>
        </xdr:nvGrpSpPr>
        <xdr:grpSpPr>
          <a:xfrm>
            <a:off x="250709" y="98854"/>
            <a:ext cx="5965759" cy="2520000"/>
            <a:chOff x="250709" y="98854"/>
            <a:chExt cx="5965759" cy="2520000"/>
          </a:xfrm>
        </xdr:grpSpPr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79601C09-F74E-FB22-0E69-01E2BF784F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8437" y="9885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68D50FC6-D6AC-B41F-E197-1D332238A9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0709" y="9885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FDC76C78-0296-3FB4-FDFE-CE590202BE3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89573" y="9885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EF6B064-71E6-59A4-E3A2-92F33D13CE2C}"/>
              </a:ext>
            </a:extLst>
          </xdr:cNvPr>
          <xdr:cNvGrpSpPr/>
        </xdr:nvGrpSpPr>
        <xdr:grpSpPr>
          <a:xfrm>
            <a:off x="250709" y="2804983"/>
            <a:ext cx="5965759" cy="2520000"/>
            <a:chOff x="250709" y="2804983"/>
            <a:chExt cx="5965759" cy="2520000"/>
          </a:xfrm>
        </xdr:grpSpPr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FE310874-8E3B-991D-08C1-D4AECDCD7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0709" y="280498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170E9B9D-DBFC-FDC2-8BCA-0E1DF64485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89572" y="280498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5CF4E711-64C7-057B-8B3F-D31B91A1F6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28437" y="280498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315C12B9-9B05-253D-4BEB-E5E4684DE19D}"/>
              </a:ext>
            </a:extLst>
          </xdr:cNvPr>
          <xdr:cNvGrpSpPr/>
        </xdr:nvGrpSpPr>
        <xdr:grpSpPr>
          <a:xfrm>
            <a:off x="535114" y="5511112"/>
            <a:ext cx="5396948" cy="1800000"/>
            <a:chOff x="444979" y="5511112"/>
            <a:chExt cx="5396948" cy="1800000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D616E1E0-F76A-D386-7709-8AF5E7C88E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93907" y="551111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E15734D5-F55B-AA53-743D-014CD02D99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979" y="5511112"/>
              <a:ext cx="239809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831D42AA-8275-EB2C-7BDF-B0C2DC0849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93333" y="5511112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219075</xdr:colOff>
      <xdr:row>267</xdr:row>
      <xdr:rowOff>85725</xdr:rowOff>
    </xdr:from>
    <xdr:to>
      <xdr:col>7</xdr:col>
      <xdr:colOff>706148</xdr:colOff>
      <xdr:row>306</xdr:row>
      <xdr:rowOff>7989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A905CC30-7B9B-464B-9DB4-85012C25B262}"/>
            </a:ext>
          </a:extLst>
        </xdr:cNvPr>
        <xdr:cNvGrpSpPr/>
      </xdr:nvGrpSpPr>
      <xdr:grpSpPr>
        <a:xfrm>
          <a:off x="219075" y="46948725"/>
          <a:ext cx="6183023" cy="7713714"/>
          <a:chOff x="236655" y="340659"/>
          <a:chExt cx="6183023" cy="7713714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A2DEB4C6-76A5-4BE6-861A-6DEC4C4354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655" y="340659"/>
            <a:ext cx="3051572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8274969-06F2-44B7-8C50-A3F51E15E9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2892" y="340659"/>
            <a:ext cx="3046785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E8822CE7-C7E4-43F8-9397-5896296BDD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2893" y="410576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4EE6EE14-E789-4676-95F8-C1095DDDC3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655" y="410576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35FE03F8-69C5-46BF-95CE-041CA91E7B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4774" y="410576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2B1DE8F0-7826-45EA-9CD2-1E80E51C92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36225" y="4105768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7A05844F-DDBA-48C9-8738-16FA43B113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8754" y="6254373"/>
            <a:ext cx="239809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5B9325DF-254C-46DC-8B60-E22FE09092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7858" y="6254373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CCC1C86B-5ED9-481D-B62B-052900442B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7461" y="625087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xMgoatJQahWWDaN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50"/>
  <sheetViews>
    <sheetView tabSelected="1" view="pageBreakPreview" topLeftCell="A256" zoomScaleNormal="100" zoomScaleSheetLayoutView="100" zoomScalePageLayoutView="85" workbookViewId="0">
      <selection activeCell="I265" sqref="I265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37" t="s">
        <v>224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25">
      <c r="A2" s="138" t="s">
        <v>0</v>
      </c>
      <c r="B2" s="138"/>
      <c r="C2" s="138"/>
      <c r="D2" s="138"/>
      <c r="E2" s="138"/>
      <c r="F2" s="138"/>
      <c r="G2" s="138"/>
      <c r="H2" s="138"/>
    </row>
    <row r="3" spans="1:8" x14ac:dyDescent="0.25">
      <c r="A3" s="94" t="s">
        <v>1</v>
      </c>
      <c r="B3" s="94"/>
      <c r="C3" s="94"/>
      <c r="D3" s="94"/>
      <c r="E3" s="94" t="str">
        <f ca="1">TEXT(TODAY(),"DD/MM/YYYY")</f>
        <v>12/09/2025</v>
      </c>
      <c r="F3" s="94"/>
      <c r="G3" s="94"/>
      <c r="H3" s="94"/>
    </row>
    <row r="4" spans="1:8" ht="15" customHeight="1" x14ac:dyDescent="0.25">
      <c r="A4" s="94" t="s">
        <v>2</v>
      </c>
      <c r="B4" s="94"/>
      <c r="C4" s="94"/>
      <c r="D4" s="94"/>
      <c r="E4" s="94" t="s">
        <v>177</v>
      </c>
      <c r="F4" s="94"/>
      <c r="G4" s="94"/>
      <c r="H4" s="94"/>
    </row>
    <row r="5" spans="1:8" x14ac:dyDescent="0.25">
      <c r="A5" s="94" t="s">
        <v>3</v>
      </c>
      <c r="B5" s="94"/>
      <c r="C5" s="94"/>
      <c r="D5" s="94"/>
      <c r="E5" s="140">
        <v>45909</v>
      </c>
      <c r="F5" s="94"/>
      <c r="G5" s="94"/>
      <c r="H5" s="94"/>
    </row>
    <row r="6" spans="1:8" ht="16.5" customHeight="1" x14ac:dyDescent="0.25">
      <c r="A6" s="94" t="s">
        <v>4</v>
      </c>
      <c r="B6" s="94"/>
      <c r="C6" s="94"/>
      <c r="D6" s="94"/>
      <c r="E6" s="94" t="s">
        <v>178</v>
      </c>
      <c r="F6" s="94"/>
      <c r="G6" s="94"/>
      <c r="H6" s="94"/>
    </row>
    <row r="7" spans="1:8" ht="15" customHeight="1" x14ac:dyDescent="0.25">
      <c r="A7" s="94" t="s">
        <v>5</v>
      </c>
      <c r="B7" s="94"/>
      <c r="C7" s="94"/>
      <c r="D7" s="94"/>
      <c r="E7" s="94" t="str">
        <f>E6</f>
        <v>Vidisha Constructions</v>
      </c>
      <c r="F7" s="94"/>
      <c r="G7" s="94"/>
      <c r="H7" s="94"/>
    </row>
    <row r="8" spans="1:8" x14ac:dyDescent="0.25">
      <c r="A8" s="94" t="s">
        <v>6</v>
      </c>
      <c r="B8" s="94"/>
      <c r="C8" s="94"/>
      <c r="D8" s="94"/>
      <c r="E8" s="139" t="s">
        <v>179</v>
      </c>
      <c r="F8" s="139"/>
      <c r="G8" s="139"/>
      <c r="H8" s="139"/>
    </row>
    <row r="9" spans="1:8" x14ac:dyDescent="0.25">
      <c r="A9" s="94" t="s">
        <v>126</v>
      </c>
      <c r="B9" s="94"/>
      <c r="C9" s="94"/>
      <c r="D9" s="94"/>
      <c r="E9" s="94" t="s">
        <v>180</v>
      </c>
      <c r="F9" s="94"/>
      <c r="G9" s="94"/>
      <c r="H9" s="94"/>
    </row>
    <row r="10" spans="1:8" x14ac:dyDescent="0.25">
      <c r="A10" s="94" t="s">
        <v>223</v>
      </c>
      <c r="B10" s="94"/>
      <c r="C10" s="94"/>
      <c r="D10" s="94"/>
      <c r="E10" s="94" t="s">
        <v>229</v>
      </c>
      <c r="F10" s="94"/>
      <c r="G10" s="94"/>
      <c r="H10" s="94"/>
    </row>
    <row r="11" spans="1:8" x14ac:dyDescent="0.25">
      <c r="A11" s="94" t="s">
        <v>7</v>
      </c>
      <c r="B11" s="94"/>
      <c r="C11" s="94"/>
      <c r="D11" s="94"/>
      <c r="E11" s="94" t="s">
        <v>181</v>
      </c>
      <c r="F11" s="94"/>
      <c r="G11" s="94"/>
      <c r="H11" s="94"/>
    </row>
    <row r="12" spans="1:8" x14ac:dyDescent="0.25">
      <c r="A12" s="64" t="s">
        <v>8</v>
      </c>
      <c r="B12" s="64"/>
      <c r="C12" s="64"/>
      <c r="D12" s="64"/>
      <c r="E12" s="93" t="s">
        <v>182</v>
      </c>
      <c r="F12" s="93"/>
      <c r="G12" s="93"/>
      <c r="H12" s="93"/>
    </row>
    <row r="13" spans="1:8" x14ac:dyDescent="0.25">
      <c r="A13" s="64" t="s">
        <v>9</v>
      </c>
      <c r="B13" s="64"/>
      <c r="C13" s="64"/>
      <c r="D13" s="64"/>
      <c r="E13" s="93" t="s">
        <v>183</v>
      </c>
      <c r="F13" s="94"/>
      <c r="G13" s="94"/>
      <c r="H13" s="94"/>
    </row>
    <row r="14" spans="1:8" ht="31.5" customHeight="1" x14ac:dyDescent="0.25">
      <c r="A14" s="92" t="s">
        <v>10</v>
      </c>
      <c r="B14" s="92"/>
      <c r="C14" s="9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Shambhu Shankar Residency, Survey No.69/1/1, near Gyan Ganga Apartment, Bhadwad Road, Sonale, Bhadwad, Bhiwandi East, Bhiwandi, Thane - 421305.</v>
      </c>
      <c r="D14" s="92"/>
      <c r="E14" s="92"/>
      <c r="F14" s="92"/>
      <c r="G14" s="92"/>
      <c r="H14" s="92"/>
    </row>
    <row r="15" spans="1:8" x14ac:dyDescent="0.25">
      <c r="A15" s="141" t="s">
        <v>188</v>
      </c>
      <c r="B15" s="141"/>
      <c r="C15" s="141" t="s">
        <v>189</v>
      </c>
      <c r="D15" s="141"/>
      <c r="E15" s="141"/>
      <c r="F15" s="141"/>
      <c r="G15" s="141"/>
      <c r="H15" s="141"/>
    </row>
    <row r="16" spans="1:8" ht="15.75" customHeight="1" x14ac:dyDescent="0.25">
      <c r="A16" s="142" t="s">
        <v>174</v>
      </c>
      <c r="B16" s="143"/>
      <c r="C16" s="142" t="s">
        <v>192</v>
      </c>
      <c r="D16" s="144"/>
      <c r="E16" s="144"/>
      <c r="F16" s="144"/>
      <c r="G16" s="144"/>
      <c r="H16" s="143"/>
    </row>
    <row r="17" spans="1:8" ht="15.75" customHeight="1" x14ac:dyDescent="0.25">
      <c r="A17" s="92" t="s">
        <v>11</v>
      </c>
      <c r="B17" s="92"/>
      <c r="C17" s="93" t="s">
        <v>191</v>
      </c>
      <c r="D17" s="93"/>
      <c r="E17" s="92" t="s">
        <v>175</v>
      </c>
      <c r="F17" s="92"/>
      <c r="G17" s="93" t="s">
        <v>190</v>
      </c>
      <c r="H17" s="93"/>
    </row>
    <row r="18" spans="1:8" x14ac:dyDescent="0.25">
      <c r="A18" s="64" t="s">
        <v>13</v>
      </c>
      <c r="B18" s="64"/>
      <c r="C18" s="93" t="s">
        <v>196</v>
      </c>
      <c r="D18" s="93"/>
      <c r="E18" s="92" t="s">
        <v>12</v>
      </c>
      <c r="F18" s="92"/>
      <c r="G18" s="145" t="s">
        <v>194</v>
      </c>
      <c r="H18" s="145"/>
    </row>
    <row r="19" spans="1:8" x14ac:dyDescent="0.25">
      <c r="A19" s="64" t="s">
        <v>74</v>
      </c>
      <c r="B19" s="64"/>
      <c r="C19" s="93" t="s">
        <v>193</v>
      </c>
      <c r="D19" s="93"/>
      <c r="E19" s="92" t="s">
        <v>14</v>
      </c>
      <c r="F19" s="92"/>
      <c r="G19" s="93">
        <v>421305</v>
      </c>
      <c r="H19" s="93"/>
    </row>
    <row r="20" spans="1:8" ht="32.25" customHeight="1" x14ac:dyDescent="0.25">
      <c r="A20" s="64" t="s">
        <v>128</v>
      </c>
      <c r="B20" s="64"/>
      <c r="C20" s="93" t="s">
        <v>195</v>
      </c>
      <c r="D20" s="93"/>
      <c r="E20" s="92" t="s">
        <v>15</v>
      </c>
      <c r="F20" s="92"/>
      <c r="G20" s="141" t="s">
        <v>197</v>
      </c>
      <c r="H20" s="141"/>
    </row>
    <row r="21" spans="1:8" ht="15" customHeight="1" x14ac:dyDescent="0.25">
      <c r="A21" s="92" t="s">
        <v>77</v>
      </c>
      <c r="B21" s="92"/>
      <c r="C21" s="92"/>
      <c r="D21" s="92"/>
      <c r="E21" s="94" t="s">
        <v>16</v>
      </c>
      <c r="F21" s="94"/>
      <c r="G21" s="94"/>
      <c r="H21" s="94"/>
    </row>
    <row r="22" spans="1:8" ht="18.75" customHeight="1" x14ac:dyDescent="0.25">
      <c r="A22" s="92"/>
      <c r="B22" s="92"/>
      <c r="C22" s="92"/>
      <c r="D22" s="92"/>
      <c r="E22" s="94"/>
      <c r="F22" s="94"/>
      <c r="G22" s="94"/>
      <c r="H22" s="94"/>
    </row>
    <row r="23" spans="1:8" ht="15" customHeight="1" x14ac:dyDescent="0.25">
      <c r="A23" s="92" t="s">
        <v>17</v>
      </c>
      <c r="B23" s="92"/>
      <c r="C23" s="92"/>
      <c r="D23" s="92"/>
      <c r="E23" s="93" t="s">
        <v>18</v>
      </c>
      <c r="F23" s="93"/>
      <c r="G23" s="93"/>
      <c r="H23" s="93"/>
    </row>
    <row r="24" spans="1:8" ht="15" customHeight="1" x14ac:dyDescent="0.25">
      <c r="A24" s="64" t="s">
        <v>19</v>
      </c>
      <c r="B24" s="64"/>
      <c r="C24" s="64"/>
      <c r="D24" s="64"/>
      <c r="E24" s="93" t="str">
        <f>IF(AND(G18="Mumbai"),"Upper Class","Middle Class")</f>
        <v>Middle Class</v>
      </c>
      <c r="F24" s="93"/>
      <c r="G24" s="93"/>
      <c r="H24" s="93"/>
    </row>
    <row r="25" spans="1:8" x14ac:dyDescent="0.25">
      <c r="A25" s="64" t="s">
        <v>20</v>
      </c>
      <c r="B25" s="64"/>
      <c r="C25" s="64"/>
      <c r="D25" s="64"/>
      <c r="E25" s="93" t="s">
        <v>21</v>
      </c>
      <c r="F25" s="93"/>
      <c r="G25" s="93"/>
      <c r="H25" s="93"/>
    </row>
    <row r="26" spans="1:8" ht="15.75" customHeight="1" x14ac:dyDescent="0.25">
      <c r="A26" s="64" t="s">
        <v>22</v>
      </c>
      <c r="B26" s="64"/>
      <c r="C26" s="64"/>
      <c r="D26" s="64"/>
      <c r="E26" s="93" t="str">
        <f>IF(AND(G18="Mumbai"),"Developed","Developing")</f>
        <v>Developing</v>
      </c>
      <c r="F26" s="93"/>
      <c r="G26" s="93"/>
      <c r="H26" s="93"/>
    </row>
    <row r="27" spans="1:8" x14ac:dyDescent="0.25">
      <c r="A27" s="64" t="s">
        <v>23</v>
      </c>
      <c r="B27" s="64"/>
      <c r="C27" s="64"/>
      <c r="D27" s="64"/>
      <c r="E27" s="93" t="s">
        <v>24</v>
      </c>
      <c r="F27" s="93"/>
      <c r="G27" s="93"/>
      <c r="H27" s="93"/>
    </row>
    <row r="28" spans="1:8" ht="15.75" customHeight="1" x14ac:dyDescent="0.25">
      <c r="A28" s="64" t="s">
        <v>82</v>
      </c>
      <c r="B28" s="64"/>
      <c r="C28" s="64"/>
      <c r="D28" s="64"/>
      <c r="E28" s="93" t="s">
        <v>83</v>
      </c>
      <c r="F28" s="93"/>
      <c r="G28" s="93"/>
      <c r="H28" s="93"/>
    </row>
    <row r="29" spans="1:8" ht="15" customHeight="1" x14ac:dyDescent="0.25">
      <c r="A29" s="64" t="s">
        <v>33</v>
      </c>
      <c r="B29" s="64"/>
      <c r="C29" s="64"/>
      <c r="D29" s="64"/>
      <c r="E29" s="9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93"/>
      <c r="G29" s="93"/>
      <c r="H29" s="93"/>
    </row>
    <row r="30" spans="1:8" ht="15.75" customHeight="1" x14ac:dyDescent="0.25">
      <c r="A30" s="64" t="s">
        <v>94</v>
      </c>
      <c r="B30" s="64"/>
      <c r="C30" s="64"/>
      <c r="D30" s="64"/>
      <c r="E30" s="93" t="s">
        <v>34</v>
      </c>
      <c r="F30" s="93"/>
      <c r="G30" s="93"/>
      <c r="H30" s="93"/>
    </row>
    <row r="31" spans="1:8" s="20" customFormat="1" x14ac:dyDescent="0.25">
      <c r="A31" s="149" t="s">
        <v>95</v>
      </c>
      <c r="B31" s="149"/>
      <c r="C31" s="148" t="s">
        <v>29</v>
      </c>
      <c r="D31" s="148"/>
      <c r="E31" s="148"/>
      <c r="F31" s="148" t="s">
        <v>31</v>
      </c>
      <c r="G31" s="148"/>
      <c r="H31" s="148"/>
    </row>
    <row r="32" spans="1:8" s="20" customFormat="1" x14ac:dyDescent="0.25">
      <c r="A32" s="146" t="s">
        <v>25</v>
      </c>
      <c r="B32" s="146" t="s">
        <v>30</v>
      </c>
      <c r="C32" s="147" t="s">
        <v>30</v>
      </c>
      <c r="D32" s="147"/>
      <c r="E32" s="147"/>
      <c r="F32" s="147" t="s">
        <v>185</v>
      </c>
      <c r="G32" s="147"/>
      <c r="H32" s="147"/>
    </row>
    <row r="33" spans="1:8" x14ac:dyDescent="0.25">
      <c r="A33" s="146" t="s">
        <v>26</v>
      </c>
      <c r="B33" s="146" t="s">
        <v>30</v>
      </c>
      <c r="C33" s="147" t="s">
        <v>30</v>
      </c>
      <c r="D33" s="147"/>
      <c r="E33" s="147"/>
      <c r="F33" s="147" t="s">
        <v>186</v>
      </c>
      <c r="G33" s="147"/>
      <c r="H33" s="147"/>
    </row>
    <row r="34" spans="1:8" s="20" customFormat="1" x14ac:dyDescent="0.25">
      <c r="A34" s="146" t="s">
        <v>28</v>
      </c>
      <c r="B34" s="146" t="s">
        <v>30</v>
      </c>
      <c r="C34" s="147" t="s">
        <v>30</v>
      </c>
      <c r="D34" s="147"/>
      <c r="E34" s="147"/>
      <c r="F34" s="147" t="s">
        <v>187</v>
      </c>
      <c r="G34" s="147"/>
      <c r="H34" s="147"/>
    </row>
    <row r="35" spans="1:8" x14ac:dyDescent="0.25">
      <c r="A35" s="146" t="s">
        <v>27</v>
      </c>
      <c r="B35" s="146" t="s">
        <v>30</v>
      </c>
      <c r="C35" s="147" t="s">
        <v>30</v>
      </c>
      <c r="D35" s="147"/>
      <c r="E35" s="147"/>
      <c r="F35" s="147" t="s">
        <v>186</v>
      </c>
      <c r="G35" s="147"/>
      <c r="H35" s="147"/>
    </row>
    <row r="36" spans="1:8" x14ac:dyDescent="0.25">
      <c r="A36" s="64" t="s">
        <v>32</v>
      </c>
      <c r="B36" s="64"/>
      <c r="C36" s="64"/>
      <c r="D36" s="64"/>
      <c r="E36" s="64"/>
      <c r="F36" s="64"/>
      <c r="G36" s="64"/>
      <c r="H36" s="64"/>
    </row>
    <row r="37" spans="1:8" ht="15.75" customHeight="1" x14ac:dyDescent="0.25">
      <c r="A37" s="138" t="s">
        <v>222</v>
      </c>
      <c r="B37" s="138"/>
      <c r="C37" s="194" t="s">
        <v>225</v>
      </c>
      <c r="D37" s="195"/>
      <c r="E37" s="195"/>
      <c r="F37" s="195"/>
      <c r="G37" s="195"/>
      <c r="H37" s="196"/>
    </row>
    <row r="38" spans="1:8" x14ac:dyDescent="0.25">
      <c r="A38" s="138" t="s">
        <v>173</v>
      </c>
      <c r="B38" s="138"/>
      <c r="C38" s="193" t="s">
        <v>184</v>
      </c>
      <c r="D38" s="93"/>
      <c r="E38" s="93"/>
      <c r="F38" s="93"/>
      <c r="G38" s="93"/>
      <c r="H38" s="93"/>
    </row>
    <row r="39" spans="1:8" x14ac:dyDescent="0.25">
      <c r="A39" s="134" t="s">
        <v>35</v>
      </c>
      <c r="B39" s="134"/>
      <c r="C39" s="134"/>
      <c r="D39" s="134"/>
      <c r="E39" s="134"/>
      <c r="F39" s="134"/>
      <c r="G39" s="134"/>
      <c r="H39" s="134"/>
    </row>
    <row r="40" spans="1:8" x14ac:dyDescent="0.25">
      <c r="A40" s="64" t="s">
        <v>36</v>
      </c>
      <c r="B40" s="64"/>
      <c r="C40" s="64"/>
      <c r="D40" s="64"/>
      <c r="E40" s="150">
        <v>3213</v>
      </c>
      <c r="F40" s="150"/>
      <c r="G40" s="150"/>
      <c r="H40" s="150"/>
    </row>
    <row r="41" spans="1:8" x14ac:dyDescent="0.25">
      <c r="A41" s="64" t="s">
        <v>37</v>
      </c>
      <c r="B41" s="64"/>
      <c r="C41" s="64"/>
      <c r="D41" s="64"/>
      <c r="E41" s="122">
        <v>2.5</v>
      </c>
      <c r="F41" s="122"/>
      <c r="G41" s="122"/>
      <c r="H41" s="122"/>
    </row>
    <row r="42" spans="1:8" x14ac:dyDescent="0.25">
      <c r="A42" s="64" t="s">
        <v>38</v>
      </c>
      <c r="B42" s="64"/>
      <c r="C42" s="64"/>
      <c r="D42" s="64"/>
      <c r="E42" s="122">
        <f>E44/E40-E41</f>
        <v>1.5</v>
      </c>
      <c r="F42" s="122"/>
      <c r="G42" s="122"/>
      <c r="H42" s="122"/>
    </row>
    <row r="43" spans="1:8" x14ac:dyDescent="0.25">
      <c r="A43" s="64" t="s">
        <v>39</v>
      </c>
      <c r="B43" s="64"/>
      <c r="C43" s="64"/>
      <c r="D43" s="64"/>
      <c r="E43" s="122">
        <f>E41+E42</f>
        <v>4</v>
      </c>
      <c r="F43" s="122"/>
      <c r="G43" s="122"/>
      <c r="H43" s="122"/>
    </row>
    <row r="44" spans="1:8" x14ac:dyDescent="0.25">
      <c r="A44" s="64" t="s">
        <v>93</v>
      </c>
      <c r="B44" s="64"/>
      <c r="C44" s="64"/>
      <c r="D44" s="64"/>
      <c r="E44" s="181">
        <v>12852</v>
      </c>
      <c r="F44" s="181"/>
      <c r="G44" s="181"/>
      <c r="H44" s="181"/>
    </row>
    <row r="45" spans="1:8" x14ac:dyDescent="0.25">
      <c r="A45" s="94" t="s">
        <v>40</v>
      </c>
      <c r="B45" s="94"/>
      <c r="C45" s="94"/>
      <c r="D45" s="94"/>
      <c r="E45" s="182">
        <v>2</v>
      </c>
      <c r="F45" s="182"/>
      <c r="G45" s="182"/>
      <c r="H45" s="182"/>
    </row>
    <row r="46" spans="1:8" x14ac:dyDescent="0.25">
      <c r="A46" s="134" t="s">
        <v>41</v>
      </c>
      <c r="B46" s="134"/>
      <c r="C46" s="134"/>
      <c r="D46" s="134"/>
      <c r="E46" s="134"/>
      <c r="F46" s="134"/>
      <c r="G46" s="134"/>
      <c r="H46" s="134"/>
    </row>
    <row r="47" spans="1:8" ht="33.75" customHeight="1" x14ac:dyDescent="0.25">
      <c r="A47" s="87" t="s">
        <v>160</v>
      </c>
      <c r="B47" s="88"/>
      <c r="C47" s="198" t="s">
        <v>198</v>
      </c>
      <c r="D47" s="199"/>
      <c r="E47" s="199"/>
      <c r="F47" s="199"/>
      <c r="G47" s="199"/>
      <c r="H47" s="200"/>
    </row>
    <row r="48" spans="1:8" ht="31.5" customHeight="1" x14ac:dyDescent="0.25">
      <c r="A48" s="87" t="s">
        <v>42</v>
      </c>
      <c r="B48" s="88"/>
      <c r="C48" s="87" t="s">
        <v>199</v>
      </c>
      <c r="D48" s="89"/>
      <c r="E48" s="88"/>
      <c r="F48" s="16" t="s">
        <v>43</v>
      </c>
      <c r="G48" s="90">
        <v>44686</v>
      </c>
      <c r="H48" s="88"/>
    </row>
    <row r="49" spans="1:14" ht="16.5" customHeight="1" x14ac:dyDescent="0.25">
      <c r="A49" s="87" t="s">
        <v>44</v>
      </c>
      <c r="B49" s="88"/>
      <c r="C49" s="87" t="s">
        <v>200</v>
      </c>
      <c r="D49" s="89"/>
      <c r="E49" s="88"/>
      <c r="F49" s="16" t="s">
        <v>43</v>
      </c>
      <c r="G49" s="90">
        <v>44721</v>
      </c>
      <c r="H49" s="155"/>
    </row>
    <row r="50" spans="1:14" s="21" customFormat="1" ht="15" customHeight="1" x14ac:dyDescent="0.25">
      <c r="A50" s="156" t="s">
        <v>164</v>
      </c>
      <c r="B50" s="157"/>
      <c r="C50" s="87" t="s">
        <v>201</v>
      </c>
      <c r="D50" s="89"/>
      <c r="E50" s="88"/>
      <c r="F50" s="16" t="s">
        <v>43</v>
      </c>
      <c r="G50" s="90">
        <v>44733</v>
      </c>
      <c r="H50" s="155"/>
    </row>
    <row r="51" spans="1:14" s="21" customFormat="1" ht="33.75" customHeight="1" x14ac:dyDescent="0.25">
      <c r="A51" s="158"/>
      <c r="B51" s="159"/>
      <c r="C51" s="87" t="s">
        <v>202</v>
      </c>
      <c r="D51" s="89"/>
      <c r="E51" s="88"/>
      <c r="F51" s="16" t="s">
        <v>127</v>
      </c>
      <c r="G51" s="90">
        <v>45100</v>
      </c>
      <c r="H51" s="88"/>
    </row>
    <row r="52" spans="1:14" x14ac:dyDescent="0.25">
      <c r="A52" s="98" t="s">
        <v>176</v>
      </c>
      <c r="B52" s="99"/>
      <c r="C52" s="102" t="s">
        <v>30</v>
      </c>
      <c r="D52" s="103"/>
      <c r="E52" s="104"/>
      <c r="F52" s="49" t="s">
        <v>43</v>
      </c>
      <c r="G52" s="96" t="s">
        <v>30</v>
      </c>
      <c r="H52" s="97"/>
    </row>
    <row r="53" spans="1:14" hidden="1" x14ac:dyDescent="0.25">
      <c r="A53" s="100"/>
      <c r="B53" s="101"/>
      <c r="C53" s="102" t="s">
        <v>30</v>
      </c>
      <c r="D53" s="103"/>
      <c r="E53" s="103"/>
      <c r="F53" s="103"/>
      <c r="G53" s="103"/>
      <c r="H53" s="104"/>
    </row>
    <row r="54" spans="1:14" x14ac:dyDescent="0.25">
      <c r="A54" s="91" t="s">
        <v>46</v>
      </c>
      <c r="B54" s="91"/>
      <c r="C54" s="91"/>
      <c r="D54" s="91"/>
      <c r="E54" s="91"/>
      <c r="F54" s="91"/>
      <c r="G54" s="91"/>
      <c r="H54" s="91"/>
    </row>
    <row r="55" spans="1:14" x14ac:dyDescent="0.25">
      <c r="A55" s="92" t="s">
        <v>92</v>
      </c>
      <c r="B55" s="92"/>
      <c r="C55" s="92"/>
      <c r="D55" s="64">
        <f>E44</f>
        <v>12852</v>
      </c>
      <c r="E55" s="64"/>
      <c r="F55" s="64"/>
      <c r="G55" s="64"/>
      <c r="H55" s="64"/>
    </row>
    <row r="56" spans="1:14" ht="32.25" customHeight="1" x14ac:dyDescent="0.25">
      <c r="A56" s="93" t="s">
        <v>47</v>
      </c>
      <c r="B56" s="94"/>
      <c r="C56" s="94"/>
      <c r="D56" s="93" t="s">
        <v>217</v>
      </c>
      <c r="E56" s="95"/>
      <c r="F56" s="95"/>
      <c r="G56" s="95"/>
      <c r="H56" s="95"/>
      <c r="I56" s="22"/>
    </row>
    <row r="57" spans="1:14" ht="33" customHeight="1" x14ac:dyDescent="0.25">
      <c r="A57" s="152" t="s">
        <v>48</v>
      </c>
      <c r="B57" s="153"/>
      <c r="C57" s="154"/>
      <c r="D57" s="127" t="s">
        <v>203</v>
      </c>
      <c r="E57" s="151"/>
      <c r="F57" s="151"/>
      <c r="G57" s="151"/>
      <c r="H57" s="151"/>
    </row>
    <row r="58" spans="1:14" ht="15.75" customHeight="1" x14ac:dyDescent="0.25">
      <c r="A58" s="152" t="s">
        <v>90</v>
      </c>
      <c r="B58" s="153"/>
      <c r="C58" s="153"/>
      <c r="D58" s="162" t="s">
        <v>204</v>
      </c>
      <c r="E58" s="163"/>
      <c r="F58" s="163"/>
      <c r="G58" s="163"/>
      <c r="H58" s="164"/>
    </row>
    <row r="59" spans="1:14" ht="15.75" customHeight="1" x14ac:dyDescent="0.25">
      <c r="A59" s="160"/>
      <c r="B59" s="161"/>
      <c r="C59" s="161"/>
      <c r="D59" s="165" t="s">
        <v>205</v>
      </c>
      <c r="E59" s="166"/>
      <c r="F59" s="166"/>
      <c r="G59" s="166"/>
      <c r="H59" s="167"/>
    </row>
    <row r="60" spans="1:14" ht="15.75" customHeight="1" x14ac:dyDescent="0.25">
      <c r="A60" s="64" t="s">
        <v>45</v>
      </c>
      <c r="B60" s="64"/>
      <c r="C60" s="64"/>
      <c r="D60" s="168" t="s">
        <v>230</v>
      </c>
      <c r="E60" s="168"/>
      <c r="F60" s="168"/>
      <c r="G60" s="168"/>
      <c r="H60" s="168"/>
      <c r="J60" s="23"/>
      <c r="K60" s="22"/>
      <c r="N60" s="22"/>
    </row>
    <row r="61" spans="1:14" ht="15.75" customHeight="1" x14ac:dyDescent="0.25">
      <c r="A61" s="64" t="s">
        <v>88</v>
      </c>
      <c r="B61" s="64"/>
      <c r="C61" s="64"/>
      <c r="D61" s="180" t="str">
        <f>(IF(G52="NA","60 Years After Completion",IF(G52&lt;&gt;"NA",""&amp;60-ROUNDDOWN((E3-G52)/360,0)&amp;" Years"," ")))</f>
        <v>60 Years After Completion</v>
      </c>
      <c r="E61" s="180"/>
      <c r="F61" s="180"/>
      <c r="G61" s="180"/>
      <c r="H61" s="180"/>
      <c r="N61" s="22"/>
    </row>
    <row r="62" spans="1:14" ht="15.75" customHeight="1" x14ac:dyDescent="0.25">
      <c r="A62" s="64" t="s">
        <v>89</v>
      </c>
      <c r="B62" s="64"/>
      <c r="C62" s="64"/>
      <c r="D62" s="92" t="s">
        <v>24</v>
      </c>
      <c r="E62" s="92"/>
      <c r="F62" s="92"/>
      <c r="G62" s="92"/>
      <c r="H62" s="92"/>
      <c r="J62" s="24"/>
      <c r="K62" s="24"/>
    </row>
    <row r="63" spans="1:14" ht="30.75" customHeight="1" x14ac:dyDescent="0.25">
      <c r="A63" s="64" t="s">
        <v>75</v>
      </c>
      <c r="B63" s="64"/>
      <c r="C63" s="64"/>
      <c r="D63" s="93" t="s">
        <v>221</v>
      </c>
      <c r="E63" s="92"/>
      <c r="F63" s="92"/>
      <c r="G63" s="92"/>
      <c r="H63" s="92"/>
    </row>
    <row r="64" spans="1:14" x14ac:dyDescent="0.25">
      <c r="A64" s="92" t="s">
        <v>156</v>
      </c>
      <c r="B64" s="92"/>
      <c r="C64" s="92"/>
      <c r="D64" s="92" t="s">
        <v>30</v>
      </c>
      <c r="E64" s="92"/>
      <c r="F64" s="92"/>
      <c r="G64" s="92"/>
      <c r="H64" s="92"/>
      <c r="I64" s="25"/>
      <c r="J64" s="25"/>
      <c r="K64" s="25"/>
      <c r="L64" s="25"/>
      <c r="M64" s="25"/>
      <c r="N64" s="25"/>
    </row>
    <row r="65" spans="1:10" ht="15.75" customHeight="1" x14ac:dyDescent="0.25">
      <c r="A65" s="126" t="s">
        <v>87</v>
      </c>
      <c r="B65" s="126"/>
      <c r="C65" s="126"/>
      <c r="D65" s="127" t="str">
        <f ca="1">(IF(G71&gt;95%,"Nothing",IF(G71&gt;0%,"Cement, Aggregate, Steel, etc",IF(G71=0%,"Work not yet Started"))))</f>
        <v>Cement, Aggregate, Steel, etc</v>
      </c>
      <c r="E65" s="127"/>
      <c r="F65" s="127"/>
      <c r="G65" s="127"/>
      <c r="H65" s="127"/>
      <c r="J65" s="24"/>
    </row>
    <row r="66" spans="1:10" ht="33.75" customHeight="1" thickBot="1" x14ac:dyDescent="0.3">
      <c r="A66" s="136" t="s">
        <v>119</v>
      </c>
      <c r="B66" s="136"/>
      <c r="C66" s="136"/>
      <c r="D66" s="127" t="str">
        <f ca="1">(IF(D65="Nothing","Yes",IF(D65="Cement, Aggregate, Steel, etc","Under Construction",IF(D65="Work not yet Started","Work not yet Started"))))</f>
        <v>Under Construction</v>
      </c>
      <c r="E66" s="127"/>
      <c r="F66" s="127" t="str">
        <f ca="1">(IF(D65="Nothing","Yes",IF(D65="Cement, Aggregate, Steel, etc","Under Construction",IF(D65="Work not yet Started","Work not yet Started"))))</f>
        <v>Under Construction</v>
      </c>
      <c r="G66" s="127"/>
      <c r="H66" s="127"/>
    </row>
    <row r="67" spans="1:10" ht="15.75" customHeight="1" x14ac:dyDescent="0.25">
      <c r="A67" s="185" t="s">
        <v>146</v>
      </c>
      <c r="B67" s="186"/>
      <c r="C67" s="187" t="s">
        <v>232</v>
      </c>
      <c r="D67" s="188"/>
      <c r="E67" s="188"/>
      <c r="F67" s="188"/>
      <c r="G67" s="188"/>
      <c r="H67" s="189"/>
      <c r="I67" s="45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10 Floor, External Plaster upto 9 Floor, Flooring upto 1 Floor Completed</v>
      </c>
      <c r="J67" s="46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Internal Plaster upto 10 Floor, External Plaster upto 9 Floor, Flooring upto 1 Floor</v>
      </c>
    </row>
    <row r="68" spans="1:10" x14ac:dyDescent="0.25">
      <c r="A68" s="51" t="s">
        <v>148</v>
      </c>
      <c r="B68" s="52">
        <v>0</v>
      </c>
      <c r="C68" s="52" t="s">
        <v>73</v>
      </c>
      <c r="D68" s="52">
        <v>1</v>
      </c>
      <c r="E68" s="52" t="s">
        <v>72</v>
      </c>
      <c r="F68" s="52">
        <v>0</v>
      </c>
      <c r="G68" s="52" t="s">
        <v>81</v>
      </c>
      <c r="H68" s="53">
        <f ca="1">--TRIM(RIGHT(SUBSTITUTE(LEFT(C67,_xlfn.AGGREGATE(16,6,FIND({0,1,2,3,4,5,6,7,8,9},C67,ROW(INDIRECT("1:"&amp;LEN(C67)))),1))," ",REPT(" ",LEN(C67))),LEN(C67)))</f>
        <v>13</v>
      </c>
      <c r="I68" s="47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</v>
      </c>
      <c r="J68" s="48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6" customHeight="1" x14ac:dyDescent="0.25">
      <c r="A69" s="183" t="s">
        <v>91</v>
      </c>
      <c r="B69" s="184"/>
      <c r="C69" s="105" t="str">
        <f ca="1">(IF($C$53=C67,"All work Completed. OC Received.",I67))</f>
        <v>Excavation, Plinth, RCC Slab, Brickwork Completed, Internal Plaster upto 10 Floor, External Plaster upto 9 Floor, Flooring upto 1 Floor Completed</v>
      </c>
      <c r="D69" s="105"/>
      <c r="E69" s="105"/>
      <c r="F69" s="105"/>
      <c r="G69" s="105"/>
      <c r="H69" s="106"/>
      <c r="I69" s="47" t="str">
        <f ca="1">IF(I68&lt;&gt;""," Completed","")</f>
        <v xml:space="preserve"> Completed</v>
      </c>
      <c r="J69" s="48" t="str">
        <f ca="1">IF(J67&lt;&gt;"","Completed","")</f>
        <v>Completed</v>
      </c>
    </row>
    <row r="70" spans="1:10" ht="15.75" customHeight="1" x14ac:dyDescent="0.25">
      <c r="A70" s="82" t="s">
        <v>49</v>
      </c>
      <c r="B70" s="83"/>
      <c r="C70" s="42" t="s">
        <v>145</v>
      </c>
      <c r="D70" s="42" t="s">
        <v>84</v>
      </c>
      <c r="E70" s="83" t="s">
        <v>86</v>
      </c>
      <c r="F70" s="83"/>
      <c r="G70" s="83" t="s">
        <v>85</v>
      </c>
      <c r="H70" s="128"/>
      <c r="I70" s="14" t="s">
        <v>147</v>
      </c>
      <c r="J70" s="26">
        <f ca="1">H68*25%</f>
        <v>3.25</v>
      </c>
    </row>
    <row r="71" spans="1:10" x14ac:dyDescent="0.25">
      <c r="A71" s="82" t="s">
        <v>134</v>
      </c>
      <c r="B71" s="83"/>
      <c r="C71" s="42">
        <f ca="1">J72</f>
        <v>13</v>
      </c>
      <c r="D71" s="17">
        <f ca="1">((100/H68)*C71)/100</f>
        <v>1</v>
      </c>
      <c r="E71" s="169">
        <f ca="1">(((C72/H68*10)+(40/(D68+F68+H68)*C73)+(7.5/(H68)*C74)+(7.5/(H68)*C75)+(10/H68*C76)+(10/H68*C77)+(5/H68*C78)+(5/H68*C79)+(5/H68*C80))/100)</f>
        <v>0.70961538461538465</v>
      </c>
      <c r="F71" s="170"/>
      <c r="G71" s="169">
        <f ca="1">((((C71/H68)*20)+((C72/H68)*25)+(30/(H68+F68+D68)*C73)+(5/H68*C74)+(5/H68*C75)+(5/H68*C76)+(5/H68*C77)+(0/H68*C78)+(0/H68*C79)+(5/H68*C80))/100)</f>
        <v>0.87692307692307692</v>
      </c>
      <c r="H71" s="175"/>
      <c r="I71" s="14" t="s">
        <v>102</v>
      </c>
      <c r="J71" s="27">
        <f ca="1">H68*50%</f>
        <v>6.5</v>
      </c>
    </row>
    <row r="72" spans="1:10" x14ac:dyDescent="0.25">
      <c r="A72" s="82" t="s">
        <v>50</v>
      </c>
      <c r="B72" s="83"/>
      <c r="C72" s="55">
        <v>13</v>
      </c>
      <c r="D72" s="17">
        <f ca="1">((100/H68)*C72)/100</f>
        <v>1</v>
      </c>
      <c r="E72" s="171"/>
      <c r="F72" s="172"/>
      <c r="G72" s="171"/>
      <c r="H72" s="176"/>
      <c r="I72" s="14" t="s">
        <v>103</v>
      </c>
      <c r="J72" s="27">
        <f ca="1">H68</f>
        <v>13</v>
      </c>
    </row>
    <row r="73" spans="1:10" ht="15.75" customHeight="1" x14ac:dyDescent="0.25">
      <c r="A73" s="82" t="s">
        <v>135</v>
      </c>
      <c r="B73" s="83"/>
      <c r="C73" s="42">
        <v>14</v>
      </c>
      <c r="D73" s="17">
        <f ca="1">((100/(D68+F68+H68))*C73)/100</f>
        <v>1</v>
      </c>
      <c r="E73" s="171"/>
      <c r="F73" s="172"/>
      <c r="G73" s="171"/>
      <c r="H73" s="176"/>
      <c r="I73" s="14" t="s">
        <v>104</v>
      </c>
      <c r="J73" s="28">
        <f ca="1">(IF(B68&gt;1,(H68/(B68+2)),H68/4))</f>
        <v>3.25</v>
      </c>
    </row>
    <row r="74" spans="1:10" ht="15.75" customHeight="1" x14ac:dyDescent="0.25">
      <c r="A74" s="82" t="s">
        <v>142</v>
      </c>
      <c r="B74" s="83" t="s">
        <v>136</v>
      </c>
      <c r="C74" s="42">
        <v>13</v>
      </c>
      <c r="D74" s="17">
        <f ca="1">((100/H68)*C74)/100</f>
        <v>1</v>
      </c>
      <c r="E74" s="171"/>
      <c r="F74" s="172"/>
      <c r="G74" s="171"/>
      <c r="H74" s="176"/>
      <c r="I74" s="14" t="s">
        <v>105</v>
      </c>
      <c r="J74" s="28">
        <f ca="1">(IF(B68&gt;1,(H68/(B68+2)+J73),H68/4+J73))</f>
        <v>6.5</v>
      </c>
    </row>
    <row r="75" spans="1:10" ht="15.75" customHeight="1" x14ac:dyDescent="0.25">
      <c r="A75" s="82" t="s">
        <v>143</v>
      </c>
      <c r="B75" s="83" t="s">
        <v>136</v>
      </c>
      <c r="C75" s="42">
        <v>10</v>
      </c>
      <c r="D75" s="17">
        <f ca="1">((100/H68)*C75)/100</f>
        <v>0.76923076923076916</v>
      </c>
      <c r="E75" s="171"/>
      <c r="F75" s="172"/>
      <c r="G75" s="171"/>
      <c r="H75" s="176"/>
      <c r="I75" s="14" t="s">
        <v>154</v>
      </c>
      <c r="J75" s="28">
        <f>(IF(B68&gt;1,(H68/(B68+2)+J74),0))</f>
        <v>0</v>
      </c>
    </row>
    <row r="76" spans="1:10" ht="15" customHeight="1" x14ac:dyDescent="0.25">
      <c r="A76" s="82" t="s">
        <v>141</v>
      </c>
      <c r="B76" s="83" t="s">
        <v>138</v>
      </c>
      <c r="C76" s="42">
        <v>9</v>
      </c>
      <c r="D76" s="17">
        <f ca="1">((100/(H68))*C76)/100</f>
        <v>0.69230769230769229</v>
      </c>
      <c r="E76" s="171"/>
      <c r="F76" s="172"/>
      <c r="G76" s="171"/>
      <c r="H76" s="176"/>
      <c r="I76" s="14" t="s">
        <v>149</v>
      </c>
      <c r="J76" s="28">
        <f>(IF(B68&gt;2,(H68/(B68+2)+J75),0))</f>
        <v>0</v>
      </c>
    </row>
    <row r="77" spans="1:10" ht="15.75" customHeight="1" x14ac:dyDescent="0.25">
      <c r="A77" s="82" t="s">
        <v>137</v>
      </c>
      <c r="B77" s="83" t="s">
        <v>137</v>
      </c>
      <c r="C77" s="42">
        <v>1</v>
      </c>
      <c r="D77" s="17">
        <f ca="1">((100/H68)*C77)/100</f>
        <v>7.6923076923076927E-2</v>
      </c>
      <c r="E77" s="171"/>
      <c r="F77" s="172"/>
      <c r="G77" s="171"/>
      <c r="H77" s="176"/>
      <c r="I77" s="14" t="s">
        <v>150</v>
      </c>
      <c r="J77" s="29">
        <f>(IF(B68&gt;3,(H68/(B68+2)+J76),0))</f>
        <v>0</v>
      </c>
    </row>
    <row r="78" spans="1:10" ht="15.75" customHeight="1" x14ac:dyDescent="0.25">
      <c r="A78" s="82" t="s">
        <v>144</v>
      </c>
      <c r="B78" s="83"/>
      <c r="C78" s="42">
        <v>0</v>
      </c>
      <c r="D78" s="17">
        <f ca="1">((100/H68)*C78)/100</f>
        <v>0</v>
      </c>
      <c r="E78" s="171"/>
      <c r="F78" s="172"/>
      <c r="G78" s="171"/>
      <c r="H78" s="176"/>
      <c r="I78" s="14" t="s">
        <v>151</v>
      </c>
      <c r="J78" s="28">
        <f>(IF(B68&gt;4,(H68/(B68+2)+J77),0))</f>
        <v>0</v>
      </c>
    </row>
    <row r="79" spans="1:10" ht="15.75" customHeight="1" x14ac:dyDescent="0.25">
      <c r="A79" s="82" t="s">
        <v>139</v>
      </c>
      <c r="B79" s="83" t="s">
        <v>139</v>
      </c>
      <c r="C79" s="42">
        <v>0</v>
      </c>
      <c r="D79" s="17">
        <f ca="1">((100/(H68))*C79)/100</f>
        <v>0</v>
      </c>
      <c r="E79" s="171"/>
      <c r="F79" s="172"/>
      <c r="G79" s="171"/>
      <c r="H79" s="176"/>
      <c r="I79" s="14" t="s">
        <v>155</v>
      </c>
      <c r="J79" s="28">
        <f ca="1">(IF(B68=1,(H68/(B68+3)+J74),IF(B68=0,(H68/4+J74),IF(B68&gt;1,0))))</f>
        <v>9.75</v>
      </c>
    </row>
    <row r="80" spans="1:10" ht="16.5" thickBot="1" x14ac:dyDescent="0.3">
      <c r="A80" s="178" t="s">
        <v>140</v>
      </c>
      <c r="B80" s="179"/>
      <c r="C80" s="43">
        <v>0</v>
      </c>
      <c r="D80" s="18">
        <f ca="1">((100/(H68))*C80)/100</f>
        <v>0</v>
      </c>
      <c r="E80" s="173"/>
      <c r="F80" s="174"/>
      <c r="G80" s="173"/>
      <c r="H80" s="177"/>
      <c r="I80" s="15" t="s">
        <v>106</v>
      </c>
      <c r="J80" s="30">
        <f ca="1">(IF(B68&gt;1.5,(H68/(B68+2)+J74+MAX(0,J75-J74)+MAX(0,J76-J75)+MAX(0,J77-J76)+MAX(0,J78-J77)+MAX(0,J79-J78)),IF(B68=1,(H68/(B68+3)+J79),IF(B68=0,H68/4+J79))))</f>
        <v>13</v>
      </c>
    </row>
    <row r="81" spans="1:13" ht="15.75" hidden="1" customHeight="1" x14ac:dyDescent="0.25">
      <c r="A81" s="77" t="s">
        <v>146</v>
      </c>
      <c r="B81" s="78"/>
      <c r="C81" s="79" t="str">
        <f>D59</f>
        <v>B Wing = G + 1st to 13th Floor</v>
      </c>
      <c r="D81" s="80"/>
      <c r="E81" s="80"/>
      <c r="F81" s="80"/>
      <c r="G81" s="80"/>
      <c r="H81" s="81"/>
      <c r="I81" s="45" t="str">
        <f ca="1">IF(D94=100%,"All work Completed. Possession granted to the Building.",IF(D93=100%,"All work Completed, Waiting for OC",I82&amp;""&amp;I83&amp;""&amp;J82&amp;""&amp;J81&amp;" "&amp;J83))</f>
        <v>Excavation, Plinth, RCC Slab Completed, Brickwork upto 11 Floor, Internal Plaster upto 6 Floor, External Plaster upto 3 Floor Completed</v>
      </c>
      <c r="J81" s="46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Brickwork upto 11 Floor, Internal Plaster upto 6 Floor, External Plaster upto 3 Floor</v>
      </c>
    </row>
    <row r="82" spans="1:13" hidden="1" x14ac:dyDescent="0.25">
      <c r="A82" s="51" t="s">
        <v>148</v>
      </c>
      <c r="B82" s="52">
        <v>0</v>
      </c>
      <c r="C82" s="52" t="s">
        <v>73</v>
      </c>
      <c r="D82" s="52">
        <v>1</v>
      </c>
      <c r="E82" s="52" t="s">
        <v>72</v>
      </c>
      <c r="F82" s="52">
        <v>0</v>
      </c>
      <c r="G82" s="52" t="s">
        <v>81</v>
      </c>
      <c r="H82" s="53">
        <f ca="1">--TRIM(RIGHT(SUBSTITUTE(LEFT(C81,_xlfn.AGGREGATE(16,6,FIND({0,1,2,3,4,5,6,7,8,9},C81,ROW(INDIRECT("1:"&amp;LEN(C81)))),1))," ",REPT(" ",LEN(C81))),LEN(C81)))</f>
        <v>13</v>
      </c>
      <c r="I82" s="47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</v>
      </c>
      <c r="J82" s="48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3" ht="32.1" hidden="1" customHeight="1" x14ac:dyDescent="0.25">
      <c r="A83" s="183" t="s">
        <v>91</v>
      </c>
      <c r="B83" s="184"/>
      <c r="C83" s="105" t="str">
        <f ca="1">(IF($C$53=C81,"All work Completed. OC Received.",I81))</f>
        <v>Excavation, Plinth, RCC Slab Completed, Brickwork upto 11 Floor, Internal Plaster upto 6 Floor, External Plaster upto 3 Floor Completed</v>
      </c>
      <c r="D83" s="105"/>
      <c r="E83" s="105"/>
      <c r="F83" s="105"/>
      <c r="G83" s="105"/>
      <c r="H83" s="106"/>
      <c r="I83" s="47" t="str">
        <f ca="1">IF(I82&lt;&gt;""," Completed","")</f>
        <v xml:space="preserve"> Completed</v>
      </c>
      <c r="J83" s="48" t="str">
        <f ca="1">IF(J81&lt;&gt;"","Completed","")</f>
        <v>Completed</v>
      </c>
    </row>
    <row r="84" spans="1:13" ht="15.75" hidden="1" customHeight="1" x14ac:dyDescent="0.25">
      <c r="A84" s="82" t="s">
        <v>49</v>
      </c>
      <c r="B84" s="83"/>
      <c r="C84" s="42" t="s">
        <v>145</v>
      </c>
      <c r="D84" s="42" t="s">
        <v>84</v>
      </c>
      <c r="E84" s="83" t="s">
        <v>86</v>
      </c>
      <c r="F84" s="83"/>
      <c r="G84" s="83" t="s">
        <v>85</v>
      </c>
      <c r="H84" s="128"/>
      <c r="I84" s="14" t="s">
        <v>147</v>
      </c>
      <c r="J84" s="26">
        <f ca="1">H82*25%</f>
        <v>3.25</v>
      </c>
    </row>
    <row r="85" spans="1:13" hidden="1" x14ac:dyDescent="0.25">
      <c r="A85" s="82" t="s">
        <v>134</v>
      </c>
      <c r="B85" s="83"/>
      <c r="C85" s="42">
        <f ca="1">J86</f>
        <v>13</v>
      </c>
      <c r="D85" s="17">
        <f ca="1">((100/H82)*C85)/100</f>
        <v>1</v>
      </c>
      <c r="E85" s="169">
        <f ca="1">(((C86/H82*10)+(40/(D82+F82+H82)*C87)+(7.5/(H82)*C88)+(7.5/(H82)*C89)+(10/H82*C90)+(10/H82*C91)+(5/H82*C92)+(5/H82*C93)+(5/H82*C94))/100)</f>
        <v>0.62115384615384617</v>
      </c>
      <c r="F85" s="170"/>
      <c r="G85" s="169">
        <f ca="1">((((C85/H82)*20)+((C86/H82)*25)+(30/(H82+F82+D82)*C87)+(5/H82*C88)+(5/H82*C89)+(5/H82*C90)+(5/H82*C91)+(0/H82*C92)+(0/H82*C93)+(5/H82*C94))/100)</f>
        <v>0.82692307692307698</v>
      </c>
      <c r="H85" s="175"/>
      <c r="I85" s="14" t="s">
        <v>102</v>
      </c>
      <c r="J85" s="27">
        <f ca="1">H82*50%</f>
        <v>6.5</v>
      </c>
    </row>
    <row r="86" spans="1:13" hidden="1" x14ac:dyDescent="0.25">
      <c r="A86" s="82" t="s">
        <v>50</v>
      </c>
      <c r="B86" s="83"/>
      <c r="C86" s="55">
        <v>13</v>
      </c>
      <c r="D86" s="17">
        <f ca="1">((100/H82)*C86)/100</f>
        <v>1</v>
      </c>
      <c r="E86" s="171"/>
      <c r="F86" s="172"/>
      <c r="G86" s="171"/>
      <c r="H86" s="176"/>
      <c r="I86" s="14" t="s">
        <v>103</v>
      </c>
      <c r="J86" s="27">
        <f ca="1">H82</f>
        <v>13</v>
      </c>
    </row>
    <row r="87" spans="1:13" ht="15.75" hidden="1" customHeight="1" x14ac:dyDescent="0.25">
      <c r="A87" s="82" t="s">
        <v>135</v>
      </c>
      <c r="B87" s="83"/>
      <c r="C87" s="42">
        <v>14</v>
      </c>
      <c r="D87" s="17">
        <f ca="1">((100/(D82+F82+H82))*C87)/100</f>
        <v>1</v>
      </c>
      <c r="E87" s="171"/>
      <c r="F87" s="172"/>
      <c r="G87" s="171"/>
      <c r="H87" s="176"/>
      <c r="I87" s="14" t="s">
        <v>104</v>
      </c>
      <c r="J87" s="28">
        <f ca="1">(IF(B82&gt;1,(H82/(B82+2)),H82/4))</f>
        <v>3.25</v>
      </c>
    </row>
    <row r="88" spans="1:13" ht="15.75" hidden="1" customHeight="1" x14ac:dyDescent="0.25">
      <c r="A88" s="82" t="s">
        <v>142</v>
      </c>
      <c r="B88" s="83" t="s">
        <v>136</v>
      </c>
      <c r="C88" s="42">
        <v>11</v>
      </c>
      <c r="D88" s="17">
        <f ca="1">((100/H82)*C88)/100</f>
        <v>0.84615384615384615</v>
      </c>
      <c r="E88" s="171"/>
      <c r="F88" s="172"/>
      <c r="G88" s="171"/>
      <c r="H88" s="176"/>
      <c r="I88" s="14" t="s">
        <v>105</v>
      </c>
      <c r="J88" s="28">
        <f ca="1">(IF(B82&gt;1,(H82/(B82+2)+J87),H82/4+J87))</f>
        <v>6.5</v>
      </c>
    </row>
    <row r="89" spans="1:13" ht="15.75" hidden="1" customHeight="1" x14ac:dyDescent="0.25">
      <c r="A89" s="82" t="s">
        <v>143</v>
      </c>
      <c r="B89" s="83" t="s">
        <v>136</v>
      </c>
      <c r="C89" s="42">
        <v>6</v>
      </c>
      <c r="D89" s="17">
        <f ca="1">((100/H82)*C89)/100</f>
        <v>0.46153846153846151</v>
      </c>
      <c r="E89" s="171"/>
      <c r="F89" s="172"/>
      <c r="G89" s="171"/>
      <c r="H89" s="176"/>
      <c r="I89" s="14" t="s">
        <v>154</v>
      </c>
      <c r="J89" s="28">
        <f>(IF(B82&gt;1,(H82/(B82+2)+J88),0))</f>
        <v>0</v>
      </c>
    </row>
    <row r="90" spans="1:13" ht="15" hidden="1" customHeight="1" x14ac:dyDescent="0.25">
      <c r="A90" s="82" t="s">
        <v>141</v>
      </c>
      <c r="B90" s="83" t="s">
        <v>138</v>
      </c>
      <c r="C90" s="42">
        <v>3</v>
      </c>
      <c r="D90" s="17">
        <f ca="1">((100/(H82))*C90)/100</f>
        <v>0.23076923076923075</v>
      </c>
      <c r="E90" s="171"/>
      <c r="F90" s="172"/>
      <c r="G90" s="171"/>
      <c r="H90" s="176"/>
      <c r="I90" s="14" t="s">
        <v>149</v>
      </c>
      <c r="J90" s="28">
        <f>(IF(B82&gt;2,(H82/(B82+2)+J89),0))</f>
        <v>0</v>
      </c>
    </row>
    <row r="91" spans="1:13" ht="15.75" hidden="1" customHeight="1" x14ac:dyDescent="0.25">
      <c r="A91" s="82" t="s">
        <v>137</v>
      </c>
      <c r="B91" s="83" t="s">
        <v>137</v>
      </c>
      <c r="C91" s="42">
        <v>0</v>
      </c>
      <c r="D91" s="17">
        <f ca="1">((100/H82)*C91)/100</f>
        <v>0</v>
      </c>
      <c r="E91" s="171"/>
      <c r="F91" s="172"/>
      <c r="G91" s="171"/>
      <c r="H91" s="176"/>
      <c r="I91" s="14" t="s">
        <v>150</v>
      </c>
      <c r="J91" s="29">
        <f>(IF(B82&gt;3,(H82/(B82+2)+J90),0))</f>
        <v>0</v>
      </c>
    </row>
    <row r="92" spans="1:13" ht="15.75" hidden="1" customHeight="1" x14ac:dyDescent="0.25">
      <c r="A92" s="82" t="s">
        <v>144</v>
      </c>
      <c r="B92" s="83"/>
      <c r="C92" s="42">
        <v>0</v>
      </c>
      <c r="D92" s="17">
        <f ca="1">((100/H82)*C92)/100</f>
        <v>0</v>
      </c>
      <c r="E92" s="171"/>
      <c r="F92" s="172"/>
      <c r="G92" s="171"/>
      <c r="H92" s="176"/>
      <c r="I92" s="14" t="s">
        <v>151</v>
      </c>
      <c r="J92" s="28">
        <f>(IF(B82&gt;4,(H82/(B82+2)+J91),0))</f>
        <v>0</v>
      </c>
    </row>
    <row r="93" spans="1:13" ht="15.75" hidden="1" customHeight="1" x14ac:dyDescent="0.25">
      <c r="A93" s="82" t="s">
        <v>139</v>
      </c>
      <c r="B93" s="83" t="s">
        <v>139</v>
      </c>
      <c r="C93" s="42">
        <v>0</v>
      </c>
      <c r="D93" s="17">
        <f ca="1">((100/(H82))*C93)/100</f>
        <v>0</v>
      </c>
      <c r="E93" s="171"/>
      <c r="F93" s="172"/>
      <c r="G93" s="171"/>
      <c r="H93" s="176"/>
      <c r="I93" s="14" t="s">
        <v>155</v>
      </c>
      <c r="J93" s="28">
        <f ca="1">(IF(B82=1,(H82/(B82+3)+J88),IF(B82=0,(H82/4+J88),IF(B82&gt;1,0))))</f>
        <v>9.75</v>
      </c>
    </row>
    <row r="94" spans="1:13" ht="16.5" hidden="1" thickBot="1" x14ac:dyDescent="0.3">
      <c r="A94" s="178" t="s">
        <v>140</v>
      </c>
      <c r="B94" s="179"/>
      <c r="C94" s="43">
        <v>0</v>
      </c>
      <c r="D94" s="18">
        <f ca="1">((100/(H82))*C94)/100</f>
        <v>0</v>
      </c>
      <c r="E94" s="173"/>
      <c r="F94" s="174"/>
      <c r="G94" s="173"/>
      <c r="H94" s="177"/>
      <c r="I94" s="15" t="s">
        <v>106</v>
      </c>
      <c r="J94" s="30">
        <f ca="1">(IF(B82&gt;1.5,(H82/(B82+2)+J88+MAX(0,J89-J88)+MAX(0,J90-J89)+MAX(0,J91-J90)+MAX(0,J92-J91)+MAX(0,J93-J92)),IF(B82=1,(H82/(B82+3)+J93),IF(B82=0,H82/4+J93))))</f>
        <v>13</v>
      </c>
    </row>
    <row r="95" spans="1:13" x14ac:dyDescent="0.25">
      <c r="A95" s="192" t="s">
        <v>166</v>
      </c>
      <c r="B95" s="192"/>
      <c r="C95" s="192"/>
      <c r="D95" s="192"/>
      <c r="E95" s="192"/>
      <c r="F95" s="191" t="s">
        <v>171</v>
      </c>
      <c r="G95" s="191"/>
      <c r="H95" s="191"/>
    </row>
    <row r="96" spans="1:13" x14ac:dyDescent="0.25">
      <c r="A96" s="64" t="s">
        <v>169</v>
      </c>
      <c r="B96" s="64"/>
      <c r="C96" s="64"/>
      <c r="D96" s="64"/>
      <c r="E96" s="64"/>
      <c r="F96" s="84">
        <v>4500</v>
      </c>
      <c r="G96" s="84"/>
      <c r="H96" s="84"/>
      <c r="J96" s="19" t="s">
        <v>213</v>
      </c>
      <c r="L96" s="19" t="s">
        <v>214</v>
      </c>
      <c r="M96" s="19" t="s">
        <v>215</v>
      </c>
    </row>
    <row r="97" spans="1:13" x14ac:dyDescent="0.25">
      <c r="A97" s="64" t="s">
        <v>168</v>
      </c>
      <c r="B97" s="64"/>
      <c r="C97" s="64"/>
      <c r="D97" s="64"/>
      <c r="E97" s="64"/>
      <c r="F97" s="119">
        <v>12500</v>
      </c>
      <c r="G97" s="119"/>
      <c r="H97" s="119"/>
      <c r="I97" s="19" t="s">
        <v>227</v>
      </c>
      <c r="J97" s="23">
        <v>45283</v>
      </c>
      <c r="K97" s="19" t="s">
        <v>226</v>
      </c>
    </row>
    <row r="98" spans="1:13" hidden="1" x14ac:dyDescent="0.25">
      <c r="A98" s="64" t="s">
        <v>170</v>
      </c>
      <c r="B98" s="64"/>
      <c r="C98" s="64"/>
      <c r="D98" s="64"/>
      <c r="E98" s="64"/>
      <c r="F98" s="119"/>
      <c r="G98" s="119"/>
      <c r="H98" s="119"/>
    </row>
    <row r="99" spans="1:13" s="31" customFormat="1" hidden="1" x14ac:dyDescent="0.25">
      <c r="A99" s="64" t="s">
        <v>167</v>
      </c>
      <c r="B99" s="64"/>
      <c r="C99" s="64"/>
      <c r="D99" s="64"/>
      <c r="E99" s="64"/>
      <c r="F99" s="119"/>
      <c r="G99" s="119"/>
      <c r="H99" s="119"/>
    </row>
    <row r="100" spans="1:13" s="31" customFormat="1" hidden="1" x14ac:dyDescent="0.25">
      <c r="A100" s="64" t="s">
        <v>96</v>
      </c>
      <c r="B100" s="64"/>
      <c r="C100" s="64"/>
      <c r="D100" s="64"/>
      <c r="E100" s="64"/>
      <c r="F100" s="119"/>
      <c r="G100" s="119"/>
      <c r="H100" s="119"/>
    </row>
    <row r="101" spans="1:13" s="31" customFormat="1" hidden="1" x14ac:dyDescent="0.25">
      <c r="A101" s="64" t="s">
        <v>97</v>
      </c>
      <c r="B101" s="64"/>
      <c r="C101" s="64"/>
      <c r="D101" s="64"/>
      <c r="E101" s="64"/>
      <c r="F101" s="119"/>
      <c r="G101" s="119"/>
      <c r="H101" s="119"/>
    </row>
    <row r="102" spans="1:13" s="31" customFormat="1" hidden="1" x14ac:dyDescent="0.25">
      <c r="A102" s="64" t="s">
        <v>172</v>
      </c>
      <c r="B102" s="64"/>
      <c r="C102" s="64"/>
      <c r="D102" s="64"/>
      <c r="E102" s="64"/>
      <c r="F102" s="119"/>
      <c r="G102" s="119"/>
      <c r="H102" s="119"/>
    </row>
    <row r="103" spans="1:13" s="31" customFormat="1" hidden="1" x14ac:dyDescent="0.25">
      <c r="A103" s="64" t="s">
        <v>98</v>
      </c>
      <c r="B103" s="64"/>
      <c r="C103" s="64"/>
      <c r="D103" s="64"/>
      <c r="E103" s="64"/>
      <c r="F103" s="119"/>
      <c r="G103" s="119"/>
      <c r="H103" s="119"/>
    </row>
    <row r="104" spans="1:13" s="31" customFormat="1" hidden="1" x14ac:dyDescent="0.25">
      <c r="A104" s="64" t="s">
        <v>99</v>
      </c>
      <c r="B104" s="64"/>
      <c r="C104" s="64"/>
      <c r="D104" s="64"/>
      <c r="E104" s="64"/>
      <c r="F104" s="119"/>
      <c r="G104" s="119"/>
      <c r="H104" s="119"/>
    </row>
    <row r="105" spans="1:13" s="31" customFormat="1" hidden="1" x14ac:dyDescent="0.25">
      <c r="A105" s="64" t="s">
        <v>100</v>
      </c>
      <c r="B105" s="64"/>
      <c r="C105" s="64"/>
      <c r="D105" s="64"/>
      <c r="E105" s="64"/>
      <c r="F105" s="119"/>
      <c r="G105" s="119"/>
      <c r="H105" s="119"/>
    </row>
    <row r="106" spans="1:13" s="31" customFormat="1" hidden="1" x14ac:dyDescent="0.25">
      <c r="A106" s="64" t="s">
        <v>101</v>
      </c>
      <c r="B106" s="64"/>
      <c r="C106" s="64"/>
      <c r="D106" s="64"/>
      <c r="E106" s="64"/>
      <c r="F106" s="119"/>
      <c r="G106" s="119"/>
      <c r="H106" s="119"/>
    </row>
    <row r="107" spans="1:13" x14ac:dyDescent="0.25">
      <c r="A107" s="64" t="s">
        <v>51</v>
      </c>
      <c r="B107" s="64"/>
      <c r="C107" s="64"/>
      <c r="D107" s="64"/>
      <c r="E107" s="64"/>
      <c r="F107" s="119">
        <v>200000</v>
      </c>
      <c r="G107" s="119"/>
      <c r="H107" s="119"/>
      <c r="J107" s="19">
        <v>4500</v>
      </c>
      <c r="M107" s="19">
        <v>4500</v>
      </c>
    </row>
    <row r="108" spans="1:13" s="32" customFormat="1" x14ac:dyDescent="0.25">
      <c r="A108" s="134" t="s">
        <v>52</v>
      </c>
      <c r="B108" s="134"/>
      <c r="C108" s="134"/>
      <c r="D108" s="134"/>
      <c r="E108" s="134"/>
      <c r="F108" s="119">
        <f>F96*0.8</f>
        <v>3600</v>
      </c>
      <c r="G108" s="119"/>
      <c r="H108" s="119"/>
      <c r="J108" s="32">
        <v>10000</v>
      </c>
    </row>
    <row r="109" spans="1:13" s="33" customFormat="1" ht="15.75" customHeight="1" x14ac:dyDescent="0.25">
      <c r="A109" s="129" t="s">
        <v>76</v>
      </c>
      <c r="B109" s="129"/>
      <c r="C109" s="129"/>
      <c r="D109" s="129"/>
      <c r="E109" s="129"/>
      <c r="F109" s="129"/>
      <c r="G109" s="129"/>
      <c r="H109" s="129"/>
    </row>
    <row r="110" spans="1:13" s="33" customFormat="1" ht="15.75" customHeight="1" x14ac:dyDescent="0.25">
      <c r="A110" s="109" t="s">
        <v>53</v>
      </c>
      <c r="B110" s="109"/>
      <c r="C110" s="131" t="s">
        <v>79</v>
      </c>
      <c r="D110" s="131"/>
      <c r="E110" s="121" t="s">
        <v>54</v>
      </c>
      <c r="F110" s="121"/>
      <c r="G110" s="109" t="s">
        <v>55</v>
      </c>
      <c r="H110" s="109"/>
    </row>
    <row r="111" spans="1:13" s="33" customFormat="1" x14ac:dyDescent="0.25">
      <c r="A111" s="120" t="s">
        <v>219</v>
      </c>
      <c r="B111" s="120"/>
      <c r="C111" s="197">
        <f>COUNT(D125:D137)</f>
        <v>13</v>
      </c>
      <c r="D111" s="118"/>
      <c r="E111" s="85">
        <f>SUM(D125:D137)</f>
        <v>2255.5962</v>
      </c>
      <c r="F111" s="86"/>
      <c r="G111" s="85">
        <f>SUM(F125:F137)</f>
        <v>3496.1741099999995</v>
      </c>
      <c r="H111" s="86"/>
    </row>
    <row r="112" spans="1:13" s="33" customFormat="1" x14ac:dyDescent="0.25">
      <c r="A112" s="120" t="s">
        <v>216</v>
      </c>
      <c r="B112" s="120"/>
      <c r="C112" s="197">
        <f>COUNT(D140:D145)</f>
        <v>6</v>
      </c>
      <c r="D112" s="118"/>
      <c r="E112" s="85">
        <f>SUM(D140:D145)</f>
        <v>1201.37004</v>
      </c>
      <c r="F112" s="86"/>
      <c r="G112" s="85">
        <f>SUM(F140:F145)</f>
        <v>1862.1235619999998</v>
      </c>
      <c r="H112" s="86"/>
    </row>
    <row r="113" spans="1:14" s="33" customFormat="1" x14ac:dyDescent="0.25">
      <c r="A113" s="129" t="s">
        <v>159</v>
      </c>
      <c r="B113" s="129"/>
      <c r="C113" s="130">
        <f>SUM(C111:D112)</f>
        <v>19</v>
      </c>
      <c r="D113" s="131"/>
      <c r="E113" s="130">
        <f t="shared" ref="E113" si="0">SUM(E111:F112)</f>
        <v>3456.9662399999997</v>
      </c>
      <c r="F113" s="131"/>
      <c r="G113" s="130">
        <f t="shared" ref="G113" si="1">SUM(G111:H112)</f>
        <v>5358.2976719999988</v>
      </c>
      <c r="H113" s="131"/>
    </row>
    <row r="114" spans="1:14" s="33" customFormat="1" x14ac:dyDescent="0.25">
      <c r="A114" s="129" t="s">
        <v>71</v>
      </c>
      <c r="B114" s="129"/>
      <c r="C114" s="129"/>
      <c r="D114" s="129"/>
      <c r="E114" s="129"/>
      <c r="F114" s="129"/>
      <c r="G114" s="129"/>
      <c r="H114" s="129"/>
    </row>
    <row r="115" spans="1:14" s="33" customFormat="1" ht="15.75" customHeight="1" x14ac:dyDescent="0.25">
      <c r="A115" s="109" t="s">
        <v>53</v>
      </c>
      <c r="B115" s="109"/>
      <c r="C115" s="131" t="s">
        <v>79</v>
      </c>
      <c r="D115" s="131"/>
      <c r="E115" s="121" t="s">
        <v>54</v>
      </c>
      <c r="F115" s="121"/>
      <c r="G115" s="109" t="s">
        <v>55</v>
      </c>
      <c r="H115" s="109"/>
    </row>
    <row r="116" spans="1:14" s="33" customFormat="1" ht="15.75" customHeight="1" x14ac:dyDescent="0.25">
      <c r="A116" s="120" t="s">
        <v>219</v>
      </c>
      <c r="B116" s="120"/>
      <c r="C116" s="118">
        <f>COUNT(D151:D154)+COUNT(D156:D161)*11+COUNT(D163:D167)</f>
        <v>75</v>
      </c>
      <c r="D116" s="118"/>
      <c r="E116" s="85">
        <f>SUM(D151:D154)+SUM(D156:D161)*11+SUM(D163:D167)</f>
        <v>45169.565219999997</v>
      </c>
      <c r="F116" s="85"/>
      <c r="G116" s="85">
        <f>SUM(F151:F154)+SUM(F156:F161)*11+SUM(F163:F167)</f>
        <v>68068.226070000004</v>
      </c>
      <c r="H116" s="85"/>
    </row>
    <row r="117" spans="1:14" s="33" customFormat="1" ht="15.75" customHeight="1" x14ac:dyDescent="0.25">
      <c r="A117" s="120" t="s">
        <v>216</v>
      </c>
      <c r="B117" s="120"/>
      <c r="C117" s="118">
        <f>COUNT(D171:D181)+COUNT(D183:D196)*11+COUNT(D198:D210)</f>
        <v>178</v>
      </c>
      <c r="D117" s="118"/>
      <c r="E117" s="85">
        <f>SUM(D171:D181)+SUM(D183:D196)*11+SUM(D198:D210)</f>
        <v>66839.05799999999</v>
      </c>
      <c r="F117" s="85"/>
      <c r="G117" s="85">
        <f>SUM(F171:F181)+SUM(F183:F196)*11+SUM(F198:F210)</f>
        <v>101042.15237999998</v>
      </c>
      <c r="H117" s="85"/>
    </row>
    <row r="118" spans="1:14" s="33" customFormat="1" x14ac:dyDescent="0.25">
      <c r="A118" s="129" t="s">
        <v>159</v>
      </c>
      <c r="B118" s="129"/>
      <c r="C118" s="131">
        <f>SUM(C116:D117)</f>
        <v>253</v>
      </c>
      <c r="D118" s="131"/>
      <c r="E118" s="130">
        <f t="shared" ref="E118" si="2">SUM(E116:F117)</f>
        <v>112008.62321999998</v>
      </c>
      <c r="F118" s="130"/>
      <c r="G118" s="130">
        <f t="shared" ref="G118" si="3">SUM(G116:H117)</f>
        <v>169110.37844999999</v>
      </c>
      <c r="H118" s="130"/>
    </row>
    <row r="119" spans="1:14" s="32" customFormat="1" x14ac:dyDescent="0.25">
      <c r="A119" s="138" t="s">
        <v>56</v>
      </c>
      <c r="B119" s="138"/>
      <c r="C119" s="138"/>
      <c r="D119" s="138"/>
      <c r="E119" s="138"/>
      <c r="F119" s="138"/>
      <c r="G119" s="138"/>
      <c r="H119" s="138"/>
    </row>
    <row r="120" spans="1:14" x14ac:dyDescent="0.25">
      <c r="A120" s="138" t="s">
        <v>57</v>
      </c>
      <c r="B120" s="138"/>
      <c r="C120" s="138"/>
      <c r="D120" s="138"/>
      <c r="E120" s="138"/>
      <c r="F120" s="138"/>
      <c r="G120" s="138"/>
      <c r="H120" s="138"/>
    </row>
    <row r="121" spans="1:14" ht="47.25" customHeight="1" x14ac:dyDescent="0.25">
      <c r="A121" s="110" t="s">
        <v>123</v>
      </c>
      <c r="B121" s="110" t="s">
        <v>122</v>
      </c>
      <c r="C121" s="110" t="s">
        <v>58</v>
      </c>
      <c r="D121" s="110" t="s">
        <v>59</v>
      </c>
      <c r="E121" s="112" t="s">
        <v>165</v>
      </c>
      <c r="F121" s="41" t="s">
        <v>157</v>
      </c>
      <c r="G121" s="114" t="s">
        <v>61</v>
      </c>
      <c r="H121" s="115"/>
    </row>
    <row r="122" spans="1:14" s="35" customFormat="1" x14ac:dyDescent="0.25">
      <c r="A122" s="111"/>
      <c r="B122" s="111"/>
      <c r="C122" s="111"/>
      <c r="D122" s="111"/>
      <c r="E122" s="113"/>
      <c r="F122" s="13">
        <v>0.55000000000000004</v>
      </c>
      <c r="G122" s="116"/>
      <c r="H122" s="117"/>
    </row>
    <row r="123" spans="1:14" s="35" customFormat="1" ht="15.75" customHeight="1" x14ac:dyDescent="0.25">
      <c r="A123" s="65" t="s">
        <v>219</v>
      </c>
      <c r="B123" s="66"/>
      <c r="C123" s="66"/>
      <c r="D123" s="66"/>
      <c r="E123" s="66"/>
      <c r="F123" s="66"/>
      <c r="G123" s="66"/>
      <c r="H123" s="67"/>
      <c r="J123" s="34"/>
    </row>
    <row r="124" spans="1:14" s="35" customFormat="1" x14ac:dyDescent="0.25">
      <c r="A124" s="65" t="s">
        <v>212</v>
      </c>
      <c r="B124" s="66"/>
      <c r="C124" s="66"/>
      <c r="D124" s="66"/>
      <c r="E124" s="66"/>
      <c r="F124" s="66"/>
      <c r="G124" s="66"/>
      <c r="H124" s="67"/>
      <c r="J124" s="54">
        <f>10.764</f>
        <v>10.763999999999999</v>
      </c>
    </row>
    <row r="125" spans="1:14" s="35" customFormat="1" ht="15.75" customHeight="1" x14ac:dyDescent="0.25">
      <c r="A125" s="62">
        <v>1</v>
      </c>
      <c r="B125" s="63"/>
      <c r="C125" s="40" t="s">
        <v>206</v>
      </c>
      <c r="D125" s="54">
        <f>(19.32)*(10.764)</f>
        <v>207.96047999999999</v>
      </c>
      <c r="E125" s="40">
        <v>0</v>
      </c>
      <c r="F125" s="40">
        <f>(D125+E125)*(($F$122)+1)</f>
        <v>322.33874400000002</v>
      </c>
      <c r="G125" s="71" t="str">
        <f>A124</f>
        <v>Ground Floor For Commercial &amp; Part Parking</v>
      </c>
      <c r="H125" s="72"/>
      <c r="I125" s="34"/>
      <c r="L125" s="61"/>
      <c r="M125" s="61"/>
      <c r="N125" s="34"/>
    </row>
    <row r="126" spans="1:14" s="35" customFormat="1" ht="15.75" customHeight="1" x14ac:dyDescent="0.25">
      <c r="A126" s="62">
        <f t="shared" ref="A126:A137" si="4">A125+1</f>
        <v>2</v>
      </c>
      <c r="B126" s="63"/>
      <c r="C126" s="40" t="s">
        <v>206</v>
      </c>
      <c r="D126" s="54">
        <f>(13.45)*(10.764)</f>
        <v>144.77579999999998</v>
      </c>
      <c r="E126" s="40">
        <v>0</v>
      </c>
      <c r="F126" s="40">
        <f t="shared" ref="F126:F128" si="5">(D126+E126)*(($F$122)+1)</f>
        <v>224.40248999999997</v>
      </c>
      <c r="G126" s="73"/>
      <c r="H126" s="74"/>
      <c r="I126" s="34"/>
      <c r="L126" s="61"/>
      <c r="M126" s="61"/>
      <c r="N126" s="34"/>
    </row>
    <row r="127" spans="1:14" s="35" customFormat="1" ht="15.75" customHeight="1" x14ac:dyDescent="0.25">
      <c r="A127" s="62">
        <f t="shared" si="4"/>
        <v>3</v>
      </c>
      <c r="B127" s="63"/>
      <c r="C127" s="40" t="s">
        <v>206</v>
      </c>
      <c r="D127" s="54">
        <f>(16.56)*(10.764)</f>
        <v>178.25183999999999</v>
      </c>
      <c r="E127" s="40">
        <v>0</v>
      </c>
      <c r="F127" s="40">
        <f t="shared" si="5"/>
        <v>276.29035199999998</v>
      </c>
      <c r="G127" s="73"/>
      <c r="H127" s="74"/>
      <c r="I127" s="34"/>
      <c r="L127" s="61"/>
      <c r="M127" s="61"/>
      <c r="N127" s="34"/>
    </row>
    <row r="128" spans="1:14" s="35" customFormat="1" ht="15.75" customHeight="1" x14ac:dyDescent="0.25">
      <c r="A128" s="62">
        <f t="shared" si="4"/>
        <v>4</v>
      </c>
      <c r="B128" s="63"/>
      <c r="C128" s="40" t="s">
        <v>206</v>
      </c>
      <c r="D128" s="54">
        <f>(13.65)*(10.764)</f>
        <v>146.92859999999999</v>
      </c>
      <c r="E128" s="40">
        <v>0</v>
      </c>
      <c r="F128" s="40">
        <f t="shared" si="5"/>
        <v>227.73933</v>
      </c>
      <c r="G128" s="73"/>
      <c r="H128" s="74"/>
      <c r="I128" s="34"/>
      <c r="L128" s="61"/>
      <c r="M128" s="61"/>
      <c r="N128" s="34"/>
    </row>
    <row r="129" spans="1:14" s="35" customFormat="1" ht="15.75" customHeight="1" x14ac:dyDescent="0.25">
      <c r="A129" s="62">
        <f t="shared" si="4"/>
        <v>5</v>
      </c>
      <c r="B129" s="63"/>
      <c r="C129" s="40" t="s">
        <v>206</v>
      </c>
      <c r="D129" s="54">
        <f>(11.27)*(10.764)</f>
        <v>121.31027999999999</v>
      </c>
      <c r="E129" s="40">
        <v>0</v>
      </c>
      <c r="F129" s="40">
        <f t="shared" ref="F129:F134" si="6">(D129+E129)*(($F$122)+1)</f>
        <v>188.030934</v>
      </c>
      <c r="G129" s="73"/>
      <c r="H129" s="74"/>
      <c r="I129" s="34"/>
      <c r="L129" s="61"/>
      <c r="M129" s="61"/>
      <c r="N129" s="34"/>
    </row>
    <row r="130" spans="1:14" s="35" customFormat="1" ht="15.75" customHeight="1" x14ac:dyDescent="0.25">
      <c r="A130" s="62">
        <f t="shared" si="4"/>
        <v>6</v>
      </c>
      <c r="B130" s="63"/>
      <c r="C130" s="40" t="s">
        <v>206</v>
      </c>
      <c r="D130" s="54">
        <f>(11.27)*(10.764)</f>
        <v>121.31027999999999</v>
      </c>
      <c r="E130" s="40">
        <v>0</v>
      </c>
      <c r="F130" s="40">
        <f t="shared" si="6"/>
        <v>188.030934</v>
      </c>
      <c r="G130" s="73"/>
      <c r="H130" s="74"/>
      <c r="I130" s="34"/>
      <c r="L130" s="61"/>
      <c r="M130" s="61"/>
      <c r="N130" s="34"/>
    </row>
    <row r="131" spans="1:14" s="35" customFormat="1" ht="15.75" customHeight="1" x14ac:dyDescent="0.25">
      <c r="A131" s="62">
        <f t="shared" si="4"/>
        <v>7</v>
      </c>
      <c r="B131" s="63"/>
      <c r="C131" s="40" t="s">
        <v>206</v>
      </c>
      <c r="D131" s="54">
        <f>(14.18)*(10.764)</f>
        <v>152.63351999999998</v>
      </c>
      <c r="E131" s="40">
        <v>0</v>
      </c>
      <c r="F131" s="40">
        <f t="shared" si="6"/>
        <v>236.58195599999996</v>
      </c>
      <c r="G131" s="73"/>
      <c r="H131" s="74"/>
      <c r="I131" s="34"/>
      <c r="L131" s="61"/>
      <c r="M131" s="61"/>
      <c r="N131" s="34"/>
    </row>
    <row r="132" spans="1:14" s="35" customFormat="1" ht="15.75" customHeight="1" x14ac:dyDescent="0.25">
      <c r="A132" s="62">
        <f t="shared" si="4"/>
        <v>8</v>
      </c>
      <c r="B132" s="63"/>
      <c r="C132" s="40" t="s">
        <v>206</v>
      </c>
      <c r="D132" s="54">
        <f>(18.75)*(10.764)</f>
        <v>201.82499999999999</v>
      </c>
      <c r="E132" s="40">
        <v>0</v>
      </c>
      <c r="F132" s="40">
        <f t="shared" si="6"/>
        <v>312.82875000000001</v>
      </c>
      <c r="G132" s="73"/>
      <c r="H132" s="74"/>
      <c r="I132" s="34"/>
      <c r="L132" s="61"/>
      <c r="M132" s="61"/>
      <c r="N132" s="34"/>
    </row>
    <row r="133" spans="1:14" s="35" customFormat="1" ht="15.75" customHeight="1" x14ac:dyDescent="0.25">
      <c r="A133" s="62">
        <f t="shared" si="4"/>
        <v>9</v>
      </c>
      <c r="B133" s="63"/>
      <c r="C133" s="40" t="s">
        <v>206</v>
      </c>
      <c r="D133" s="54">
        <f>(13.45)*(10.764)</f>
        <v>144.77579999999998</v>
      </c>
      <c r="E133" s="40">
        <v>0</v>
      </c>
      <c r="F133" s="40">
        <f t="shared" si="6"/>
        <v>224.40248999999997</v>
      </c>
      <c r="G133" s="73"/>
      <c r="H133" s="74"/>
      <c r="I133" s="34"/>
      <c r="L133" s="61"/>
      <c r="M133" s="61"/>
      <c r="N133" s="34"/>
    </row>
    <row r="134" spans="1:14" s="35" customFormat="1" ht="15.75" customHeight="1" x14ac:dyDescent="0.25">
      <c r="A134" s="62">
        <f t="shared" si="4"/>
        <v>10</v>
      </c>
      <c r="B134" s="63"/>
      <c r="C134" s="40" t="s">
        <v>206</v>
      </c>
      <c r="D134" s="54">
        <f>(21.73)*(10.764)</f>
        <v>233.90171999999998</v>
      </c>
      <c r="E134" s="40">
        <v>0</v>
      </c>
      <c r="F134" s="40">
        <f t="shared" si="6"/>
        <v>362.54766599999999</v>
      </c>
      <c r="G134" s="73"/>
      <c r="H134" s="74"/>
      <c r="I134" s="34"/>
      <c r="L134" s="61"/>
      <c r="M134" s="61"/>
      <c r="N134" s="34"/>
    </row>
    <row r="135" spans="1:14" s="35" customFormat="1" ht="15.75" customHeight="1" x14ac:dyDescent="0.25">
      <c r="A135" s="62">
        <f t="shared" si="4"/>
        <v>11</v>
      </c>
      <c r="B135" s="63"/>
      <c r="C135" s="40" t="s">
        <v>206</v>
      </c>
      <c r="D135" s="54">
        <f>(22.82)*(10.764)</f>
        <v>245.63448</v>
      </c>
      <c r="E135" s="40">
        <v>0</v>
      </c>
      <c r="F135" s="40">
        <f t="shared" ref="F135:F137" si="7">(D135+E135)*(($F$122)+1)</f>
        <v>380.73344400000002</v>
      </c>
      <c r="G135" s="73"/>
      <c r="H135" s="74"/>
      <c r="I135" s="34"/>
      <c r="L135" s="61"/>
      <c r="M135" s="61"/>
      <c r="N135" s="34"/>
    </row>
    <row r="136" spans="1:14" s="35" customFormat="1" ht="15.75" customHeight="1" x14ac:dyDescent="0.25">
      <c r="A136" s="62">
        <f t="shared" si="4"/>
        <v>12</v>
      </c>
      <c r="B136" s="63"/>
      <c r="C136" s="40" t="s">
        <v>206</v>
      </c>
      <c r="D136" s="54">
        <f>(20.95)*(10.764)</f>
        <v>225.50579999999997</v>
      </c>
      <c r="E136" s="40">
        <v>0</v>
      </c>
      <c r="F136" s="40">
        <f t="shared" si="7"/>
        <v>349.53398999999996</v>
      </c>
      <c r="G136" s="73"/>
      <c r="H136" s="74"/>
      <c r="I136" s="34"/>
      <c r="L136" s="61"/>
      <c r="M136" s="61"/>
      <c r="N136" s="34"/>
    </row>
    <row r="137" spans="1:14" s="35" customFormat="1" ht="15.75" customHeight="1" x14ac:dyDescent="0.25">
      <c r="A137" s="62">
        <f t="shared" si="4"/>
        <v>13</v>
      </c>
      <c r="B137" s="63"/>
      <c r="C137" s="40" t="s">
        <v>206</v>
      </c>
      <c r="D137" s="54">
        <f>(12.15)*(10.764)</f>
        <v>130.7826</v>
      </c>
      <c r="E137" s="40">
        <v>0</v>
      </c>
      <c r="F137" s="40">
        <f t="shared" si="7"/>
        <v>202.71303</v>
      </c>
      <c r="G137" s="75"/>
      <c r="H137" s="76"/>
      <c r="I137" s="34"/>
      <c r="L137" s="61"/>
      <c r="M137" s="61"/>
      <c r="N137" s="34"/>
    </row>
    <row r="138" spans="1:14" s="35" customFormat="1" ht="15.75" customHeight="1" x14ac:dyDescent="0.25">
      <c r="A138" s="65" t="s">
        <v>216</v>
      </c>
      <c r="B138" s="66"/>
      <c r="C138" s="66"/>
      <c r="D138" s="66"/>
      <c r="E138" s="66"/>
      <c r="F138" s="66"/>
      <c r="G138" s="66"/>
      <c r="H138" s="67"/>
      <c r="J138" s="34"/>
    </row>
    <row r="139" spans="1:14" s="35" customFormat="1" x14ac:dyDescent="0.25">
      <c r="A139" s="65" t="s">
        <v>212</v>
      </c>
      <c r="B139" s="66"/>
      <c r="C139" s="66"/>
      <c r="D139" s="66"/>
      <c r="E139" s="66"/>
      <c r="F139" s="66"/>
      <c r="G139" s="66"/>
      <c r="H139" s="67"/>
      <c r="J139" s="34"/>
    </row>
    <row r="140" spans="1:14" s="35" customFormat="1" ht="15.75" customHeight="1" x14ac:dyDescent="0.25">
      <c r="A140" s="62">
        <v>14</v>
      </c>
      <c r="B140" s="63"/>
      <c r="C140" s="40" t="s">
        <v>206</v>
      </c>
      <c r="D140" s="54">
        <f>(11.02)*(10.764)</f>
        <v>118.61927999999999</v>
      </c>
      <c r="E140" s="40">
        <v>0</v>
      </c>
      <c r="F140" s="40">
        <f>(D140+E140)*(($F$122)+1)</f>
        <v>183.85988399999999</v>
      </c>
      <c r="G140" s="71" t="str">
        <f>A139</f>
        <v>Ground Floor For Commercial &amp; Part Parking</v>
      </c>
      <c r="H140" s="72"/>
      <c r="I140" s="34"/>
      <c r="L140" s="61"/>
      <c r="M140" s="61"/>
      <c r="N140" s="34"/>
    </row>
    <row r="141" spans="1:14" s="35" customFormat="1" ht="15.75" customHeight="1" x14ac:dyDescent="0.25">
      <c r="A141" s="62">
        <f t="shared" ref="A141:A145" si="8">A140+1</f>
        <v>15</v>
      </c>
      <c r="B141" s="63"/>
      <c r="C141" s="40" t="s">
        <v>206</v>
      </c>
      <c r="D141" s="54">
        <f>(32.25)*(10.764)</f>
        <v>347.13899999999995</v>
      </c>
      <c r="E141" s="40">
        <v>0</v>
      </c>
      <c r="F141" s="40">
        <f t="shared" ref="F141:F143" si="9">(D141+E141)*(($F$122)+1)</f>
        <v>538.06544999999994</v>
      </c>
      <c r="G141" s="73"/>
      <c r="H141" s="74"/>
      <c r="I141" s="34"/>
      <c r="L141" s="61"/>
      <c r="M141" s="61"/>
      <c r="N141" s="34"/>
    </row>
    <row r="142" spans="1:14" s="35" customFormat="1" ht="15.75" customHeight="1" x14ac:dyDescent="0.25">
      <c r="A142" s="62">
        <f t="shared" si="8"/>
        <v>16</v>
      </c>
      <c r="B142" s="63"/>
      <c r="C142" s="40" t="s">
        <v>206</v>
      </c>
      <c r="D142" s="54">
        <f>(22.44)*(10.764)</f>
        <v>241.54416000000001</v>
      </c>
      <c r="E142" s="40">
        <v>0</v>
      </c>
      <c r="F142" s="40">
        <f t="shared" si="9"/>
        <v>374.39344800000003</v>
      </c>
      <c r="G142" s="73"/>
      <c r="H142" s="74"/>
      <c r="I142" s="34"/>
      <c r="L142" s="61"/>
      <c r="M142" s="61"/>
      <c r="N142" s="34"/>
    </row>
    <row r="143" spans="1:14" s="35" customFormat="1" ht="15.75" customHeight="1" x14ac:dyDescent="0.25">
      <c r="A143" s="62">
        <f t="shared" si="8"/>
        <v>17</v>
      </c>
      <c r="B143" s="63"/>
      <c r="C143" s="40" t="s">
        <v>206</v>
      </c>
      <c r="D143" s="54">
        <f>(16.66)*(10.764)</f>
        <v>179.32823999999999</v>
      </c>
      <c r="E143" s="40">
        <v>0</v>
      </c>
      <c r="F143" s="40">
        <f t="shared" si="9"/>
        <v>277.95877200000001</v>
      </c>
      <c r="G143" s="73"/>
      <c r="H143" s="74"/>
      <c r="I143" s="34"/>
      <c r="L143" s="61"/>
      <c r="M143" s="61"/>
      <c r="N143" s="34"/>
    </row>
    <row r="144" spans="1:14" s="35" customFormat="1" ht="15.75" customHeight="1" x14ac:dyDescent="0.25">
      <c r="A144" s="62">
        <f t="shared" si="8"/>
        <v>18</v>
      </c>
      <c r="B144" s="63"/>
      <c r="C144" s="40" t="s">
        <v>206</v>
      </c>
      <c r="D144" s="54">
        <f>(16.66)*(10.764)</f>
        <v>179.32823999999999</v>
      </c>
      <c r="E144" s="40">
        <v>0</v>
      </c>
      <c r="F144" s="40">
        <f t="shared" ref="F144:F145" si="10">(D144+E144)*(($F$122)+1)</f>
        <v>277.95877200000001</v>
      </c>
      <c r="G144" s="73"/>
      <c r="H144" s="74"/>
      <c r="I144" s="34"/>
      <c r="L144" s="61"/>
      <c r="M144" s="61"/>
      <c r="N144" s="34"/>
    </row>
    <row r="145" spans="1:14" s="35" customFormat="1" ht="15.75" customHeight="1" x14ac:dyDescent="0.25">
      <c r="A145" s="62">
        <f t="shared" si="8"/>
        <v>19</v>
      </c>
      <c r="B145" s="63"/>
      <c r="C145" s="40" t="s">
        <v>206</v>
      </c>
      <c r="D145" s="54">
        <f>(12.58)*(10.764)</f>
        <v>135.41111999999998</v>
      </c>
      <c r="E145" s="40">
        <v>0</v>
      </c>
      <c r="F145" s="40">
        <f t="shared" si="10"/>
        <v>209.88723599999997</v>
      </c>
      <c r="G145" s="75"/>
      <c r="H145" s="76"/>
      <c r="I145" s="34"/>
      <c r="L145" s="61"/>
      <c r="M145" s="61"/>
      <c r="N145" s="34"/>
    </row>
    <row r="146" spans="1:14" s="35" customFormat="1" x14ac:dyDescent="0.25">
      <c r="A146" s="62"/>
      <c r="B146" s="190"/>
      <c r="C146" s="190"/>
      <c r="D146" s="190"/>
      <c r="E146" s="190"/>
      <c r="F146" s="190"/>
      <c r="G146" s="190"/>
      <c r="H146" s="63"/>
      <c r="I146" s="34"/>
      <c r="N146" s="34"/>
    </row>
    <row r="147" spans="1:14" ht="47.25" customHeight="1" x14ac:dyDescent="0.25">
      <c r="A147" s="114" t="s">
        <v>124</v>
      </c>
      <c r="B147" s="114" t="s">
        <v>125</v>
      </c>
      <c r="C147" s="110" t="s">
        <v>58</v>
      </c>
      <c r="D147" s="110" t="s">
        <v>59</v>
      </c>
      <c r="E147" s="112" t="s">
        <v>60</v>
      </c>
      <c r="F147" s="41" t="s">
        <v>157</v>
      </c>
      <c r="G147" s="114" t="s">
        <v>61</v>
      </c>
      <c r="H147" s="115"/>
      <c r="I147" s="34"/>
    </row>
    <row r="148" spans="1:14" s="35" customFormat="1" x14ac:dyDescent="0.25">
      <c r="A148" s="116"/>
      <c r="B148" s="116"/>
      <c r="C148" s="111"/>
      <c r="D148" s="111"/>
      <c r="E148" s="113"/>
      <c r="F148" s="13">
        <v>0.5</v>
      </c>
      <c r="G148" s="116"/>
      <c r="H148" s="117"/>
      <c r="I148" s="34"/>
    </row>
    <row r="149" spans="1:14" s="35" customFormat="1" x14ac:dyDescent="0.25">
      <c r="A149" s="65" t="s">
        <v>219</v>
      </c>
      <c r="B149" s="66"/>
      <c r="C149" s="66"/>
      <c r="D149" s="66"/>
      <c r="E149" s="66"/>
      <c r="F149" s="66"/>
      <c r="G149" s="66"/>
      <c r="H149" s="67"/>
      <c r="J149" s="34"/>
    </row>
    <row r="150" spans="1:14" s="35" customFormat="1" x14ac:dyDescent="0.25">
      <c r="A150" s="65" t="s">
        <v>207</v>
      </c>
      <c r="B150" s="66"/>
      <c r="C150" s="66"/>
      <c r="D150" s="66"/>
      <c r="E150" s="66"/>
      <c r="F150" s="66"/>
      <c r="G150" s="66"/>
      <c r="H150" s="67"/>
      <c r="J150" s="34"/>
    </row>
    <row r="151" spans="1:14" s="35" customFormat="1" ht="15.75" customHeight="1" x14ac:dyDescent="0.25">
      <c r="A151" s="62">
        <v>3</v>
      </c>
      <c r="B151" s="63"/>
      <c r="C151" s="50">
        <v>2</v>
      </c>
      <c r="D151" s="54">
        <f>(39.42+1*(2+2.4)+2.8*1.2+2.8*0.75)*(10.764)</f>
        <v>530.44992000000002</v>
      </c>
      <c r="E151" s="54">
        <f>(2*2.8+1.4*0.8+4.5*0.9)*(10.764)</f>
        <v>115.92827999999999</v>
      </c>
      <c r="F151" s="40">
        <f>D151*(($F$148)+1)+(IF(E151&lt;101,E151,IF(E151&lt;201,E151/2,IF(E151&lt;=301,E151/3,E151/4))))</f>
        <v>853.63902000000007</v>
      </c>
      <c r="G151" s="71" t="str">
        <f>A150</f>
        <v>1st Floor For Residential</v>
      </c>
      <c r="H151" s="72"/>
      <c r="I151" s="34"/>
      <c r="J151" s="35">
        <f>3.3*3.5+2.45*2.4+3.6*1.95+2.05*2.8+1.25*1.75+1.25*1.85+1.25*1+1.25*1</f>
        <v>37.19</v>
      </c>
      <c r="K151" s="35">
        <f>2.4*1+2*1+2.8*1</f>
        <v>7.2</v>
      </c>
      <c r="L151" s="61"/>
      <c r="M151" s="61"/>
      <c r="N151" s="34"/>
    </row>
    <row r="152" spans="1:14" s="35" customFormat="1" ht="15.75" customHeight="1" x14ac:dyDescent="0.25">
      <c r="A152" s="62">
        <f t="shared" ref="A152:A154" si="11">A151+1</f>
        <v>4</v>
      </c>
      <c r="B152" s="63"/>
      <c r="C152" s="50">
        <v>3</v>
      </c>
      <c r="D152" s="54">
        <f>(59.97)*(10.764)</f>
        <v>645.51707999999996</v>
      </c>
      <c r="E152" s="54">
        <f>(10.5*0.9+3.5*1.6)*(10.764)</f>
        <v>161.9982</v>
      </c>
      <c r="F152" s="40">
        <f>D152*(($F$148)+1)+(IF(E152&lt;101,E152,IF(E152&lt;201,E152/2,IF(E152&lt;=301,E152/3,E152/4))))</f>
        <v>1049.2747199999999</v>
      </c>
      <c r="G152" s="73"/>
      <c r="H152" s="74"/>
      <c r="I152" s="34"/>
      <c r="L152" s="61"/>
      <c r="M152" s="61"/>
      <c r="N152" s="34"/>
    </row>
    <row r="153" spans="1:14" s="35" customFormat="1" ht="15.75" customHeight="1" x14ac:dyDescent="0.25">
      <c r="A153" s="62">
        <f t="shared" si="11"/>
        <v>5</v>
      </c>
      <c r="B153" s="63"/>
      <c r="C153" s="50">
        <v>2</v>
      </c>
      <c r="D153" s="54">
        <f>(38.84+1*(1.95+3.15)+2.35*1.1)*(10.764)</f>
        <v>500.79510000000005</v>
      </c>
      <c r="E153" s="54">
        <f>(3.5*1.3+6.5*0.7+8*0.9)*(10.764)</f>
        <v>175.45320000000001</v>
      </c>
      <c r="F153" s="40">
        <f>D153*(($F$148)+1)+(IF(E153&lt;101,E153,IF(E153&lt;201,E153/2,IF(E153&lt;=301,E153/3,E153/4))))</f>
        <v>838.91925000000003</v>
      </c>
      <c r="G153" s="73"/>
      <c r="H153" s="74"/>
      <c r="I153" s="34"/>
      <c r="L153" s="61"/>
      <c r="M153" s="61"/>
      <c r="N153" s="34"/>
    </row>
    <row r="154" spans="1:14" s="35" customFormat="1" ht="15.75" customHeight="1" x14ac:dyDescent="0.25">
      <c r="A154" s="62">
        <f t="shared" si="11"/>
        <v>6</v>
      </c>
      <c r="B154" s="63"/>
      <c r="C154" s="50">
        <v>2</v>
      </c>
      <c r="D154" s="54">
        <f>(48.07)*(10.764)</f>
        <v>517.42547999999999</v>
      </c>
      <c r="E154" s="54">
        <f>(9*0.9)*(10.764)</f>
        <v>87.188399999999987</v>
      </c>
      <c r="F154" s="40">
        <f>D154*(($F$148)+1)+(IF(E154&lt;101,E154,IF(E154&lt;201,E154/2,IF(E154&lt;=301,E154/3,E154/4))))</f>
        <v>863.32662000000005</v>
      </c>
      <c r="G154" s="75"/>
      <c r="H154" s="76"/>
      <c r="I154" s="34"/>
      <c r="J154" s="35">
        <f>3.65*3.3+2.9*3.35+1.25*2.15+1.25*1+1.85*3.5+2.7*3.35+1.25*1+1.25*2.15</f>
        <v>45.155000000000001</v>
      </c>
      <c r="L154" s="61"/>
      <c r="M154" s="61"/>
      <c r="N154" s="34"/>
    </row>
    <row r="155" spans="1:14" s="35" customFormat="1" ht="15.75" customHeight="1" x14ac:dyDescent="0.25">
      <c r="A155" s="65" t="s">
        <v>208</v>
      </c>
      <c r="B155" s="66"/>
      <c r="C155" s="66"/>
      <c r="D155" s="66"/>
      <c r="E155" s="66"/>
      <c r="F155" s="66"/>
      <c r="G155" s="66"/>
      <c r="H155" s="67"/>
      <c r="J155" s="34"/>
    </row>
    <row r="156" spans="1:14" s="35" customFormat="1" ht="15.75" customHeight="1" x14ac:dyDescent="0.25">
      <c r="A156" s="62">
        <v>1</v>
      </c>
      <c r="B156" s="63"/>
      <c r="C156" s="50">
        <v>2</v>
      </c>
      <c r="D156" s="54">
        <f>(38.82+1.1*(2.15+2.45)+2.3*1.2)*(10.764)</f>
        <v>502.03296</v>
      </c>
      <c r="E156" s="40">
        <v>0</v>
      </c>
      <c r="F156" s="40">
        <f t="shared" ref="F156:F161" si="12">D156*(($F$148)+1)+(IF(E156&lt;101,E156,IF(E156&lt;201,E156/2,IF(E156&lt;=301,E156/3,E156/4))))</f>
        <v>753.04944</v>
      </c>
      <c r="G156" s="71" t="str">
        <f>A155</f>
        <v>2nd to 7th, 9th to 13th Floor</v>
      </c>
      <c r="H156" s="72"/>
      <c r="I156" s="34"/>
      <c r="L156" s="61"/>
      <c r="M156" s="61"/>
      <c r="N156" s="34"/>
    </row>
    <row r="157" spans="1:14" s="35" customFormat="1" ht="15.75" customHeight="1" x14ac:dyDescent="0.25">
      <c r="A157" s="62">
        <f t="shared" ref="A157:A161" si="13">A156+1</f>
        <v>2</v>
      </c>
      <c r="B157" s="63"/>
      <c r="C157" s="50">
        <v>2</v>
      </c>
      <c r="D157" s="54">
        <f>(39.42+1*(2+2.4)+2.8*1.2+(2.8+4.5+1.9)*0.75)*(10.764)</f>
        <v>582.11712</v>
      </c>
      <c r="E157" s="40">
        <v>0</v>
      </c>
      <c r="F157" s="40">
        <f t="shared" si="12"/>
        <v>873.17568000000006</v>
      </c>
      <c r="G157" s="73"/>
      <c r="H157" s="74"/>
      <c r="I157" s="34"/>
      <c r="L157" s="61"/>
      <c r="M157" s="61"/>
      <c r="N157" s="34"/>
    </row>
    <row r="158" spans="1:14" s="35" customFormat="1" ht="15.75" customHeight="1" x14ac:dyDescent="0.25">
      <c r="A158" s="62">
        <f t="shared" si="13"/>
        <v>3</v>
      </c>
      <c r="B158" s="63"/>
      <c r="C158" s="50">
        <v>2</v>
      </c>
      <c r="D158" s="54">
        <f>(39.42+1*(2+2.4)+2.8*1.2+(2.8+4.5+1.9)*0.75)*(10.764)</f>
        <v>582.11712</v>
      </c>
      <c r="E158" s="40">
        <v>0</v>
      </c>
      <c r="F158" s="40">
        <f t="shared" si="12"/>
        <v>873.17568000000006</v>
      </c>
      <c r="G158" s="73"/>
      <c r="H158" s="74"/>
      <c r="I158" s="34"/>
      <c r="L158" s="61"/>
      <c r="M158" s="61"/>
      <c r="N158" s="34"/>
    </row>
    <row r="159" spans="1:14" s="35" customFormat="1" ht="15.75" customHeight="1" x14ac:dyDescent="0.25">
      <c r="A159" s="62">
        <f t="shared" si="13"/>
        <v>4</v>
      </c>
      <c r="B159" s="63"/>
      <c r="C159" s="50">
        <v>3</v>
      </c>
      <c r="D159" s="54">
        <f>(59.97+(10.1*0.75)+1.5*1.2)*(10.764)</f>
        <v>746.42957999999999</v>
      </c>
      <c r="E159" s="40">
        <v>0</v>
      </c>
      <c r="F159" s="40">
        <f t="shared" si="12"/>
        <v>1119.64437</v>
      </c>
      <c r="G159" s="73"/>
      <c r="H159" s="74"/>
      <c r="I159" s="34"/>
      <c r="L159" s="61"/>
      <c r="M159" s="61"/>
      <c r="N159" s="34"/>
    </row>
    <row r="160" spans="1:14" s="35" customFormat="1" ht="15.75" customHeight="1" x14ac:dyDescent="0.25">
      <c r="A160" s="62">
        <f t="shared" si="13"/>
        <v>5</v>
      </c>
      <c r="B160" s="63"/>
      <c r="C160" s="50">
        <v>2</v>
      </c>
      <c r="D160" s="54">
        <f>(38.84+1*(1.95+3.15)+2.35*1.1+1.5*1.2+0.75*(6+7.5))*(10.764)</f>
        <v>629.1558</v>
      </c>
      <c r="E160" s="40">
        <v>0</v>
      </c>
      <c r="F160" s="40">
        <f t="shared" si="12"/>
        <v>943.7337</v>
      </c>
      <c r="G160" s="73"/>
      <c r="H160" s="74"/>
      <c r="I160" s="34"/>
      <c r="L160" s="61"/>
      <c r="M160" s="61"/>
      <c r="N160" s="34"/>
    </row>
    <row r="161" spans="1:14" s="35" customFormat="1" ht="15.75" customHeight="1" x14ac:dyDescent="0.25">
      <c r="A161" s="62">
        <f t="shared" si="13"/>
        <v>6</v>
      </c>
      <c r="B161" s="63"/>
      <c r="C161" s="50">
        <v>2</v>
      </c>
      <c r="D161" s="54">
        <f>(48.07+8.8*0.75)*(10.764)</f>
        <v>588.46788000000004</v>
      </c>
      <c r="E161" s="40">
        <v>0</v>
      </c>
      <c r="F161" s="40">
        <f t="shared" si="12"/>
        <v>882.70182</v>
      </c>
      <c r="G161" s="75"/>
      <c r="H161" s="76"/>
      <c r="I161" s="34"/>
      <c r="L161" s="61"/>
      <c r="M161" s="61"/>
      <c r="N161" s="34"/>
    </row>
    <row r="162" spans="1:14" s="35" customFormat="1" ht="15.75" customHeight="1" x14ac:dyDescent="0.25">
      <c r="A162" s="65" t="s">
        <v>209</v>
      </c>
      <c r="B162" s="66"/>
      <c r="C162" s="66"/>
      <c r="D162" s="66"/>
      <c r="E162" s="66"/>
      <c r="F162" s="66"/>
      <c r="G162" s="66"/>
      <c r="H162" s="67"/>
      <c r="J162" s="34"/>
    </row>
    <row r="163" spans="1:14" s="35" customFormat="1" ht="15.75" customHeight="1" x14ac:dyDescent="0.25">
      <c r="A163" s="62">
        <v>1</v>
      </c>
      <c r="B163" s="63"/>
      <c r="C163" s="50">
        <v>2</v>
      </c>
      <c r="D163" s="54">
        <f>(38.82+1.1*(2.15+2.45)+2.3*1.2)*(10.764)</f>
        <v>502.03296</v>
      </c>
      <c r="E163" s="40">
        <v>0</v>
      </c>
      <c r="F163" s="40">
        <f>D163*(($F$148)+1)+(IF(E163&lt;101,E163,IF(E163&lt;201,E163/2,IF(E163&lt;=301,E163/3,E163/4))))</f>
        <v>753.04944</v>
      </c>
      <c r="G163" s="71" t="str">
        <f>A162</f>
        <v>8th Floor (Part Refuge Area)</v>
      </c>
      <c r="H163" s="72"/>
      <c r="I163" s="34"/>
      <c r="L163" s="61"/>
      <c r="M163" s="61"/>
      <c r="N163" s="34"/>
    </row>
    <row r="164" spans="1:14" s="35" customFormat="1" ht="15.75" customHeight="1" x14ac:dyDescent="0.25">
      <c r="A164" s="62">
        <f t="shared" ref="A164:A168" si="14">A163+1</f>
        <v>2</v>
      </c>
      <c r="B164" s="63"/>
      <c r="C164" s="50">
        <v>2</v>
      </c>
      <c r="D164" s="54">
        <f>(39.42+1*(2+2.4)+2.8*1.2+(2.8+4.5+1.9)*0.75)*(10.764)</f>
        <v>582.11712</v>
      </c>
      <c r="E164" s="40">
        <v>0</v>
      </c>
      <c r="F164" s="40">
        <f>D164*(($F$148)+1)+(IF(E164&lt;101,E164,IF(E164&lt;201,E164/2,IF(E164&lt;=301,E164/3,E164/4))))</f>
        <v>873.17568000000006</v>
      </c>
      <c r="G164" s="73"/>
      <c r="H164" s="74"/>
      <c r="I164" s="34"/>
      <c r="L164" s="61"/>
      <c r="M164" s="61"/>
      <c r="N164" s="34"/>
    </row>
    <row r="165" spans="1:14" s="35" customFormat="1" ht="15.75" customHeight="1" x14ac:dyDescent="0.25">
      <c r="A165" s="62">
        <f t="shared" si="14"/>
        <v>3</v>
      </c>
      <c r="B165" s="63"/>
      <c r="C165" s="50">
        <v>2</v>
      </c>
      <c r="D165" s="54">
        <f>(39.42+1*(2+2.4)+2.8*1.2+(2.8+4.5+1.9)*0.75)*(10.764)</f>
        <v>582.11712</v>
      </c>
      <c r="E165" s="40">
        <v>0</v>
      </c>
      <c r="F165" s="40">
        <f>D165*(($F$148)+1)+(IF(E165&lt;101,E165,IF(E165&lt;201,E165/2,IF(E165&lt;=301,E165/3,E165/4))))</f>
        <v>873.17568000000006</v>
      </c>
      <c r="G165" s="73"/>
      <c r="H165" s="74"/>
      <c r="I165" s="34">
        <f>4300000/F165</f>
        <v>4924.5530979516052</v>
      </c>
      <c r="L165" s="61"/>
      <c r="M165" s="61"/>
      <c r="N165" s="34"/>
    </row>
    <row r="166" spans="1:14" s="35" customFormat="1" ht="15.75" customHeight="1" x14ac:dyDescent="0.25">
      <c r="A166" s="62">
        <f t="shared" si="14"/>
        <v>4</v>
      </c>
      <c r="B166" s="63"/>
      <c r="C166" s="50">
        <v>3</v>
      </c>
      <c r="D166" s="54">
        <f>(59.97+(10.1*0.75)+1.5*1.2)*(10.764)</f>
        <v>746.42957999999999</v>
      </c>
      <c r="E166" s="40">
        <v>0</v>
      </c>
      <c r="F166" s="40">
        <f>D166*(($F$148)+1)+(IF(E166&lt;101,E166,IF(E166&lt;201,E166/2,IF(E166&lt;=301,E166/3,E166/4))))</f>
        <v>1119.64437</v>
      </c>
      <c r="G166" s="73"/>
      <c r="H166" s="74"/>
      <c r="I166" s="34">
        <f>5200000/F166</f>
        <v>4644.3318426189198</v>
      </c>
      <c r="L166" s="61"/>
      <c r="M166" s="61"/>
      <c r="N166" s="34"/>
    </row>
    <row r="167" spans="1:14" s="35" customFormat="1" ht="15.75" customHeight="1" x14ac:dyDescent="0.25">
      <c r="A167" s="62">
        <f t="shared" si="14"/>
        <v>5</v>
      </c>
      <c r="B167" s="63"/>
      <c r="C167" s="50">
        <v>2</v>
      </c>
      <c r="D167" s="54">
        <f>(38.84+1*(1.95+3.15)+2.35*1.1+1.5*1.2+0.75*(6+7.5))*(10.764)</f>
        <v>629.1558</v>
      </c>
      <c r="E167" s="40">
        <v>0</v>
      </c>
      <c r="F167" s="40">
        <f>D167*(($F$148)+1)+(IF(E167&lt;101,E167,IF(E167&lt;201,E167/2,IF(E167&lt;=301,E167/3,E167/4))))</f>
        <v>943.7337</v>
      </c>
      <c r="G167" s="73"/>
      <c r="H167" s="74"/>
      <c r="I167" s="34">
        <f>4300000/F167</f>
        <v>4556.3700861800316</v>
      </c>
      <c r="L167" s="61"/>
      <c r="M167" s="61"/>
      <c r="N167" s="34"/>
    </row>
    <row r="168" spans="1:14" s="35" customFormat="1" ht="15.75" customHeight="1" x14ac:dyDescent="0.25">
      <c r="A168" s="62">
        <f t="shared" si="14"/>
        <v>6</v>
      </c>
      <c r="B168" s="63"/>
      <c r="C168" s="68" t="s">
        <v>210</v>
      </c>
      <c r="D168" s="69"/>
      <c r="E168" s="69"/>
      <c r="F168" s="70"/>
      <c r="G168" s="75"/>
      <c r="H168" s="76"/>
      <c r="I168" s="34"/>
      <c r="L168" s="61"/>
      <c r="M168" s="61"/>
      <c r="N168" s="34"/>
    </row>
    <row r="169" spans="1:14" s="35" customFormat="1" x14ac:dyDescent="0.25">
      <c r="A169" s="65" t="s">
        <v>216</v>
      </c>
      <c r="B169" s="66"/>
      <c r="C169" s="66"/>
      <c r="D169" s="66"/>
      <c r="E169" s="66"/>
      <c r="F169" s="66"/>
      <c r="G169" s="66"/>
      <c r="H169" s="67"/>
      <c r="J169" s="34"/>
    </row>
    <row r="170" spans="1:14" s="35" customFormat="1" ht="15.75" customHeight="1" x14ac:dyDescent="0.25">
      <c r="A170" s="65" t="s">
        <v>207</v>
      </c>
      <c r="B170" s="66"/>
      <c r="C170" s="66"/>
      <c r="D170" s="66"/>
      <c r="E170" s="66"/>
      <c r="F170" s="66"/>
      <c r="G170" s="66"/>
      <c r="H170" s="67"/>
      <c r="J170" s="34"/>
    </row>
    <row r="171" spans="1:14" s="35" customFormat="1" ht="15.75" customHeight="1" x14ac:dyDescent="0.25">
      <c r="A171" s="62">
        <v>1</v>
      </c>
      <c r="B171" s="63"/>
      <c r="C171" s="50">
        <v>1</v>
      </c>
      <c r="D171" s="54">
        <f t="shared" ref="D171:D177" si="15">(29.97)*(10.764)</f>
        <v>322.59707999999995</v>
      </c>
      <c r="E171" s="54">
        <f>(4.6*0.9+3.5*1.2)*(10.764)</f>
        <v>89.771759999999986</v>
      </c>
      <c r="F171" s="40">
        <f t="shared" ref="F171:F181" si="16">D171*(($F$148)+1)+(IF(E171&lt;101,E171,IF(E171&lt;201,E171/2,IF(E171&lt;=301,E171/3,E171/4))))</f>
        <v>573.66737999999987</v>
      </c>
      <c r="G171" s="71" t="str">
        <f>A170</f>
        <v>1st Floor For Residential</v>
      </c>
      <c r="H171" s="72"/>
      <c r="I171" s="34">
        <f>1700000/F171</f>
        <v>2963.3896910784788</v>
      </c>
      <c r="L171" s="61"/>
      <c r="M171" s="61"/>
      <c r="N171" s="34"/>
    </row>
    <row r="172" spans="1:14" s="35" customFormat="1" ht="15.75" customHeight="1" x14ac:dyDescent="0.25">
      <c r="A172" s="62">
        <f t="shared" ref="A172:A180" si="17">A171+1</f>
        <v>2</v>
      </c>
      <c r="B172" s="63"/>
      <c r="C172" s="50">
        <v>1</v>
      </c>
      <c r="D172" s="54">
        <f t="shared" si="15"/>
        <v>322.59707999999995</v>
      </c>
      <c r="E172" s="54">
        <f>(4.6*0.9+3.5*1.2)*(10.764)</f>
        <v>89.771759999999986</v>
      </c>
      <c r="F172" s="40">
        <f t="shared" si="16"/>
        <v>573.66737999999987</v>
      </c>
      <c r="G172" s="73"/>
      <c r="H172" s="74"/>
      <c r="I172" s="34"/>
      <c r="L172" s="61"/>
      <c r="M172" s="61"/>
      <c r="N172" s="34"/>
    </row>
    <row r="173" spans="1:14" s="35" customFormat="1" ht="15.75" customHeight="1" x14ac:dyDescent="0.25">
      <c r="A173" s="62">
        <f t="shared" si="17"/>
        <v>3</v>
      </c>
      <c r="B173" s="63"/>
      <c r="C173" s="50">
        <v>1</v>
      </c>
      <c r="D173" s="54">
        <f t="shared" si="15"/>
        <v>322.59707999999995</v>
      </c>
      <c r="E173" s="54">
        <f>(4.6*0.9+3.5*1.2)*(10.764)</f>
        <v>89.771759999999986</v>
      </c>
      <c r="F173" s="40">
        <f t="shared" si="16"/>
        <v>573.66737999999987</v>
      </c>
      <c r="G173" s="73"/>
      <c r="H173" s="74"/>
      <c r="I173" s="34"/>
      <c r="L173" s="61"/>
      <c r="M173" s="61"/>
      <c r="N173" s="34"/>
    </row>
    <row r="174" spans="1:14" s="35" customFormat="1" ht="15.75" customHeight="1" x14ac:dyDescent="0.25">
      <c r="A174" s="62">
        <f t="shared" si="17"/>
        <v>4</v>
      </c>
      <c r="B174" s="63"/>
      <c r="C174" s="50">
        <v>1</v>
      </c>
      <c r="D174" s="54">
        <f t="shared" si="15"/>
        <v>322.59707999999995</v>
      </c>
      <c r="E174" s="54">
        <f>(4.6*0.9+3.5*1.2)*(10.764)</f>
        <v>89.771759999999986</v>
      </c>
      <c r="F174" s="40">
        <f t="shared" si="16"/>
        <v>573.66737999999987</v>
      </c>
      <c r="G174" s="73"/>
      <c r="H174" s="74"/>
      <c r="I174" s="34"/>
      <c r="L174" s="61"/>
      <c r="M174" s="61"/>
      <c r="N174" s="34"/>
    </row>
    <row r="175" spans="1:14" s="35" customFormat="1" ht="15.75" customHeight="1" x14ac:dyDescent="0.25">
      <c r="A175" s="62">
        <f t="shared" si="17"/>
        <v>5</v>
      </c>
      <c r="B175" s="63"/>
      <c r="C175" s="50">
        <v>1</v>
      </c>
      <c r="D175" s="54">
        <f t="shared" si="15"/>
        <v>322.59707999999995</v>
      </c>
      <c r="E175" s="54">
        <f>(4.6*0.9+3.5*1.2+1.3*2.3)*(10.764)</f>
        <v>121.95612</v>
      </c>
      <c r="F175" s="40">
        <f t="shared" si="16"/>
        <v>544.87367999999992</v>
      </c>
      <c r="G175" s="73"/>
      <c r="H175" s="74"/>
      <c r="I175" s="34"/>
      <c r="L175" s="61"/>
      <c r="M175" s="61"/>
      <c r="N175" s="34"/>
    </row>
    <row r="176" spans="1:14" s="35" customFormat="1" ht="15.75" customHeight="1" x14ac:dyDescent="0.25">
      <c r="A176" s="62">
        <f t="shared" si="17"/>
        <v>6</v>
      </c>
      <c r="B176" s="63"/>
      <c r="C176" s="50">
        <v>1</v>
      </c>
      <c r="D176" s="54">
        <f t="shared" si="15"/>
        <v>322.59707999999995</v>
      </c>
      <c r="E176" s="54">
        <f>(3.2*2.1+1.2*0.5+4.3*0.6+2.65*1.3)*(10.764)</f>
        <v>143.64558</v>
      </c>
      <c r="F176" s="40">
        <f t="shared" si="16"/>
        <v>555.71840999999995</v>
      </c>
      <c r="G176" s="73"/>
      <c r="H176" s="74"/>
      <c r="I176" s="34"/>
      <c r="L176" s="61"/>
      <c r="M176" s="61"/>
      <c r="N176" s="34"/>
    </row>
    <row r="177" spans="1:14" s="35" customFormat="1" ht="15.75" customHeight="1" x14ac:dyDescent="0.25">
      <c r="A177" s="62">
        <f t="shared" si="17"/>
        <v>7</v>
      </c>
      <c r="B177" s="63"/>
      <c r="C177" s="50">
        <v>1</v>
      </c>
      <c r="D177" s="54">
        <f t="shared" si="15"/>
        <v>322.59707999999995</v>
      </c>
      <c r="E177" s="54">
        <f>(4.3*0.6+2.9*1.35+5.3*0.6+2.4*1.5)*(10.764)</f>
        <v>142.89209999999997</v>
      </c>
      <c r="F177" s="40">
        <f t="shared" si="16"/>
        <v>555.34166999999991</v>
      </c>
      <c r="G177" s="73"/>
      <c r="H177" s="74"/>
      <c r="I177" s="34"/>
      <c r="L177" s="61"/>
      <c r="M177" s="61"/>
      <c r="N177" s="34"/>
    </row>
    <row r="178" spans="1:14" s="35" customFormat="1" ht="15.75" customHeight="1" x14ac:dyDescent="0.25">
      <c r="A178" s="62">
        <f t="shared" si="17"/>
        <v>8</v>
      </c>
      <c r="B178" s="63"/>
      <c r="C178" s="50">
        <v>1</v>
      </c>
      <c r="D178" s="54">
        <f>(29.97+3.9*0.75)*(10.764)</f>
        <v>354.08177999999992</v>
      </c>
      <c r="E178" s="54">
        <f>(2.1*1.5+2.1*1.5+1.5*4.5)*(10.764)</f>
        <v>140.47020000000001</v>
      </c>
      <c r="F178" s="40">
        <f t="shared" si="16"/>
        <v>601.35776999999985</v>
      </c>
      <c r="G178" s="73"/>
      <c r="H178" s="74"/>
      <c r="I178" s="34"/>
      <c r="L178" s="61"/>
      <c r="M178" s="61"/>
      <c r="N178" s="34"/>
    </row>
    <row r="179" spans="1:14" s="35" customFormat="1" ht="15.75" customHeight="1" x14ac:dyDescent="0.25">
      <c r="A179" s="62">
        <f t="shared" si="17"/>
        <v>9</v>
      </c>
      <c r="B179" s="63"/>
      <c r="C179" s="50">
        <v>1</v>
      </c>
      <c r="D179" s="54">
        <f>(29.97+4.5*0.7)*(10.764)</f>
        <v>356.50367999999997</v>
      </c>
      <c r="E179" s="54">
        <f>(1.5*4.5+1.3*1.7)*(10.764)</f>
        <v>96.445440000000005</v>
      </c>
      <c r="F179" s="40">
        <f t="shared" si="16"/>
        <v>631.2009599999999</v>
      </c>
      <c r="G179" s="73"/>
      <c r="H179" s="74"/>
      <c r="I179" s="34"/>
      <c r="L179" s="61"/>
      <c r="M179" s="61"/>
      <c r="N179" s="34"/>
    </row>
    <row r="180" spans="1:14" s="35" customFormat="1" ht="15.75" customHeight="1" x14ac:dyDescent="0.25">
      <c r="A180" s="62">
        <f t="shared" si="17"/>
        <v>10</v>
      </c>
      <c r="B180" s="63"/>
      <c r="C180" s="50">
        <v>1</v>
      </c>
      <c r="D180" s="54">
        <f>(29.97+1.3*0.7+4.5*0.7)*(10.764)</f>
        <v>366.29892000000001</v>
      </c>
      <c r="E180" s="54">
        <f>0*(10.764)</f>
        <v>0</v>
      </c>
      <c r="F180" s="40">
        <f t="shared" si="16"/>
        <v>549.44838000000004</v>
      </c>
      <c r="G180" s="73"/>
      <c r="H180" s="74"/>
      <c r="I180" s="34"/>
      <c r="L180" s="61"/>
      <c r="M180" s="61"/>
      <c r="N180" s="34"/>
    </row>
    <row r="181" spans="1:14" s="35" customFormat="1" ht="15.75" customHeight="1" x14ac:dyDescent="0.25">
      <c r="A181" s="62">
        <v>14</v>
      </c>
      <c r="B181" s="63"/>
      <c r="C181" s="50">
        <v>1</v>
      </c>
      <c r="D181" s="54">
        <f>(29.97)*(10.764)</f>
        <v>322.59707999999995</v>
      </c>
      <c r="E181" s="54">
        <f>(6*0.9+3.5*1.3)*(10.764)</f>
        <v>107.10179999999998</v>
      </c>
      <c r="F181" s="40">
        <f t="shared" si="16"/>
        <v>537.44651999999985</v>
      </c>
      <c r="G181" s="75"/>
      <c r="H181" s="76"/>
      <c r="I181" s="34"/>
      <c r="L181" s="61"/>
      <c r="M181" s="61"/>
      <c r="N181" s="34"/>
    </row>
    <row r="182" spans="1:14" s="35" customFormat="1" ht="15.75" customHeight="1" x14ac:dyDescent="0.25">
      <c r="A182" s="65" t="s">
        <v>208</v>
      </c>
      <c r="B182" s="66"/>
      <c r="C182" s="66"/>
      <c r="D182" s="66"/>
      <c r="E182" s="66"/>
      <c r="F182" s="66"/>
      <c r="G182" s="66"/>
      <c r="H182" s="67"/>
      <c r="J182" s="34"/>
    </row>
    <row r="183" spans="1:14" s="35" customFormat="1" ht="15.75" customHeight="1" x14ac:dyDescent="0.25">
      <c r="A183" s="62">
        <v>1</v>
      </c>
      <c r="B183" s="63"/>
      <c r="C183" s="50">
        <v>1</v>
      </c>
      <c r="D183" s="54">
        <f>(29.97+1.1*1.2+0.75*4.5)*(10.764)</f>
        <v>373.13405999999998</v>
      </c>
      <c r="E183" s="40">
        <v>0</v>
      </c>
      <c r="F183" s="40">
        <f t="shared" ref="F183:F196" si="18">D183*(($F$148)+1)+(IF(E183&lt;101,E183,IF(E183&lt;201,E183/2,IF(E183&lt;=301,E183/3,E183/4))))</f>
        <v>559.70109000000002</v>
      </c>
      <c r="G183" s="71" t="str">
        <f>A182</f>
        <v>2nd to 7th, 9th to 13th Floor</v>
      </c>
      <c r="H183" s="72"/>
      <c r="I183" s="34">
        <f>1700000/F183</f>
        <v>3037.3355177850376</v>
      </c>
      <c r="L183" s="61"/>
      <c r="M183" s="61"/>
      <c r="N183" s="34"/>
    </row>
    <row r="184" spans="1:14" s="35" customFormat="1" ht="15.75" customHeight="1" x14ac:dyDescent="0.25">
      <c r="A184" s="62">
        <f t="shared" ref="A184:A196" si="19">A183+1</f>
        <v>2</v>
      </c>
      <c r="B184" s="63"/>
      <c r="C184" s="50">
        <v>1</v>
      </c>
      <c r="D184" s="54">
        <f>(29.97+1.3*1.1+4.5*0.75)*(10.764)</f>
        <v>374.31809999999996</v>
      </c>
      <c r="E184" s="40">
        <v>0</v>
      </c>
      <c r="F184" s="40">
        <f t="shared" si="18"/>
        <v>561.47714999999994</v>
      </c>
      <c r="G184" s="73"/>
      <c r="H184" s="74"/>
      <c r="I184" s="34"/>
      <c r="L184" s="61"/>
      <c r="M184" s="61"/>
      <c r="N184" s="34"/>
    </row>
    <row r="185" spans="1:14" s="35" customFormat="1" ht="15.75" customHeight="1" x14ac:dyDescent="0.25">
      <c r="A185" s="62">
        <f t="shared" si="19"/>
        <v>3</v>
      </c>
      <c r="B185" s="63"/>
      <c r="C185" s="50">
        <v>1</v>
      </c>
      <c r="D185" s="54">
        <f>(29.97+1.3*1.1+4.5*0.75)*(10.764)</f>
        <v>374.31809999999996</v>
      </c>
      <c r="E185" s="40">
        <v>0</v>
      </c>
      <c r="F185" s="40">
        <f t="shared" si="18"/>
        <v>561.47714999999994</v>
      </c>
      <c r="G185" s="73"/>
      <c r="H185" s="74"/>
      <c r="I185" s="34"/>
      <c r="L185" s="61"/>
      <c r="M185" s="61"/>
      <c r="N185" s="34"/>
    </row>
    <row r="186" spans="1:14" s="35" customFormat="1" ht="15.75" customHeight="1" x14ac:dyDescent="0.25">
      <c r="A186" s="62">
        <f t="shared" si="19"/>
        <v>4</v>
      </c>
      <c r="B186" s="63"/>
      <c r="C186" s="50">
        <v>1</v>
      </c>
      <c r="D186" s="54">
        <f>(29.97+1.3*1.1+4.5*0.75)*(10.764)</f>
        <v>374.31809999999996</v>
      </c>
      <c r="E186" s="40">
        <v>0</v>
      </c>
      <c r="F186" s="40">
        <f t="shared" si="18"/>
        <v>561.47714999999994</v>
      </c>
      <c r="G186" s="73"/>
      <c r="H186" s="74"/>
      <c r="I186" s="34"/>
      <c r="L186" s="61"/>
      <c r="M186" s="61"/>
      <c r="N186" s="34"/>
    </row>
    <row r="187" spans="1:14" s="35" customFormat="1" ht="15.75" customHeight="1" x14ac:dyDescent="0.25">
      <c r="A187" s="62">
        <f t="shared" si="19"/>
        <v>5</v>
      </c>
      <c r="B187" s="63"/>
      <c r="C187" s="50">
        <v>1</v>
      </c>
      <c r="D187" s="54">
        <f>(29.97+1.3*1.1+4.5*0.75)*(10.764)</f>
        <v>374.31809999999996</v>
      </c>
      <c r="E187" s="40">
        <v>0</v>
      </c>
      <c r="F187" s="40">
        <f t="shared" si="18"/>
        <v>561.47714999999994</v>
      </c>
      <c r="G187" s="73"/>
      <c r="H187" s="74"/>
      <c r="I187" s="34"/>
      <c r="L187" s="61"/>
      <c r="M187" s="61"/>
      <c r="N187" s="34"/>
    </row>
    <row r="188" spans="1:14" s="35" customFormat="1" ht="15.75" customHeight="1" x14ac:dyDescent="0.25">
      <c r="A188" s="62">
        <f t="shared" si="19"/>
        <v>6</v>
      </c>
      <c r="B188" s="63"/>
      <c r="C188" s="50">
        <v>1</v>
      </c>
      <c r="D188" s="54">
        <f>(29.97+1.1*1.1+2.65*0.7+0.7*0.55)*(10.764)</f>
        <v>359.73287999999991</v>
      </c>
      <c r="E188" s="40">
        <v>0</v>
      </c>
      <c r="F188" s="40">
        <f t="shared" si="18"/>
        <v>539.59931999999981</v>
      </c>
      <c r="G188" s="73"/>
      <c r="H188" s="74"/>
      <c r="I188" s="34"/>
      <c r="L188" s="61"/>
      <c r="M188" s="61"/>
      <c r="N188" s="34"/>
    </row>
    <row r="189" spans="1:14" s="35" customFormat="1" ht="15.75" customHeight="1" x14ac:dyDescent="0.25">
      <c r="A189" s="62">
        <f t="shared" si="19"/>
        <v>7</v>
      </c>
      <c r="B189" s="63"/>
      <c r="C189" s="50">
        <v>1</v>
      </c>
      <c r="D189" s="54">
        <f>(29.97+1.1*1.2+(1.6+3.85)*0.75)*(10.764)</f>
        <v>380.80340999999993</v>
      </c>
      <c r="E189" s="40">
        <v>0</v>
      </c>
      <c r="F189" s="40">
        <f t="shared" si="18"/>
        <v>571.20511499999986</v>
      </c>
      <c r="G189" s="73"/>
      <c r="H189" s="74"/>
      <c r="I189" s="34"/>
      <c r="L189" s="61"/>
      <c r="M189" s="61"/>
      <c r="N189" s="34"/>
    </row>
    <row r="190" spans="1:14" s="35" customFormat="1" ht="15.75" customHeight="1" x14ac:dyDescent="0.25">
      <c r="A190" s="62">
        <f t="shared" si="19"/>
        <v>8</v>
      </c>
      <c r="B190" s="63"/>
      <c r="C190" s="50">
        <v>1</v>
      </c>
      <c r="D190" s="54">
        <f>(29.97+1.1*1.2+(1.6+3.85)*0.75)*(10.764)</f>
        <v>380.80340999999993</v>
      </c>
      <c r="E190" s="40">
        <v>0</v>
      </c>
      <c r="F190" s="40">
        <f t="shared" si="18"/>
        <v>571.20511499999986</v>
      </c>
      <c r="G190" s="73"/>
      <c r="H190" s="74"/>
      <c r="I190" s="34"/>
      <c r="L190" s="61"/>
      <c r="M190" s="61"/>
      <c r="N190" s="34"/>
    </row>
    <row r="191" spans="1:14" s="35" customFormat="1" ht="15.75" customHeight="1" x14ac:dyDescent="0.25">
      <c r="A191" s="62">
        <f t="shared" si="19"/>
        <v>9</v>
      </c>
      <c r="B191" s="63"/>
      <c r="C191" s="50">
        <v>1</v>
      </c>
      <c r="D191" s="54">
        <f>(29.97+1.3*1.2+4.5*0.75+1.3*1.2)*(10.764)</f>
        <v>392.50926000000004</v>
      </c>
      <c r="E191" s="40">
        <v>0</v>
      </c>
      <c r="F191" s="40">
        <f t="shared" si="18"/>
        <v>588.76389000000006</v>
      </c>
      <c r="G191" s="73"/>
      <c r="H191" s="74"/>
      <c r="I191" s="34"/>
      <c r="L191" s="61"/>
      <c r="M191" s="61"/>
      <c r="N191" s="34"/>
    </row>
    <row r="192" spans="1:14" s="35" customFormat="1" ht="15.75" customHeight="1" x14ac:dyDescent="0.25">
      <c r="A192" s="62">
        <f t="shared" si="19"/>
        <v>10</v>
      </c>
      <c r="B192" s="63"/>
      <c r="C192" s="50">
        <v>1</v>
      </c>
      <c r="D192" s="54">
        <f>(29.97+1.3*1.2+4.5*0.75+1.3*1.2)*(10.764)</f>
        <v>392.50926000000004</v>
      </c>
      <c r="E192" s="40">
        <v>0</v>
      </c>
      <c r="F192" s="40">
        <f t="shared" si="18"/>
        <v>588.76389000000006</v>
      </c>
      <c r="G192" s="73"/>
      <c r="H192" s="74"/>
      <c r="I192" s="34"/>
      <c r="L192" s="61"/>
      <c r="M192" s="61"/>
      <c r="N192" s="34"/>
    </row>
    <row r="193" spans="1:14" s="35" customFormat="1" ht="15.75" customHeight="1" x14ac:dyDescent="0.25">
      <c r="A193" s="62">
        <f t="shared" si="19"/>
        <v>11</v>
      </c>
      <c r="B193" s="63"/>
      <c r="C193" s="50">
        <v>1</v>
      </c>
      <c r="D193" s="54">
        <f>(29.97+1.3*1.2+4.5*0.75+1.3*1.2)*(10.764)</f>
        <v>392.50926000000004</v>
      </c>
      <c r="E193" s="40">
        <v>0</v>
      </c>
      <c r="F193" s="40">
        <f t="shared" si="18"/>
        <v>588.76389000000006</v>
      </c>
      <c r="G193" s="73"/>
      <c r="H193" s="74"/>
      <c r="I193" s="34"/>
      <c r="L193" s="61"/>
      <c r="M193" s="61"/>
      <c r="N193" s="34"/>
    </row>
    <row r="194" spans="1:14" s="35" customFormat="1" ht="15.75" customHeight="1" x14ac:dyDescent="0.25">
      <c r="A194" s="62">
        <f t="shared" si="19"/>
        <v>12</v>
      </c>
      <c r="B194" s="63"/>
      <c r="C194" s="50">
        <v>1</v>
      </c>
      <c r="D194" s="54">
        <f>(29.97+1.3*1.2+4.5*0.75+1.3*1.2)*(10.764)</f>
        <v>392.50926000000004</v>
      </c>
      <c r="E194" s="40">
        <v>0</v>
      </c>
      <c r="F194" s="40">
        <f t="shared" si="18"/>
        <v>588.76389000000006</v>
      </c>
      <c r="G194" s="73"/>
      <c r="H194" s="74"/>
      <c r="I194" s="34"/>
      <c r="L194" s="61"/>
      <c r="M194" s="61"/>
      <c r="N194" s="34"/>
    </row>
    <row r="195" spans="1:14" s="35" customFormat="1" ht="15.75" customHeight="1" x14ac:dyDescent="0.25">
      <c r="A195" s="62">
        <f t="shared" si="19"/>
        <v>13</v>
      </c>
      <c r="B195" s="63"/>
      <c r="C195" s="50">
        <v>1</v>
      </c>
      <c r="D195" s="54">
        <f>(29.97+4.5*0.75)*(10.764)</f>
        <v>358.92557999999997</v>
      </c>
      <c r="E195" s="40">
        <v>0</v>
      </c>
      <c r="F195" s="40">
        <f t="shared" si="18"/>
        <v>538.3883699999999</v>
      </c>
      <c r="G195" s="73"/>
      <c r="H195" s="74"/>
      <c r="I195" s="34"/>
      <c r="L195" s="61"/>
      <c r="M195" s="61"/>
      <c r="N195" s="34"/>
    </row>
    <row r="196" spans="1:14" s="35" customFormat="1" ht="15.75" customHeight="1" x14ac:dyDescent="0.25">
      <c r="A196" s="62">
        <f t="shared" si="19"/>
        <v>14</v>
      </c>
      <c r="B196" s="63"/>
      <c r="C196" s="50">
        <v>1</v>
      </c>
      <c r="D196" s="54">
        <f>(29.97+4.5*0.75+1.3*1.2)*(10.764)</f>
        <v>375.71742</v>
      </c>
      <c r="E196" s="40">
        <v>0</v>
      </c>
      <c r="F196" s="40">
        <f t="shared" si="18"/>
        <v>563.57613000000003</v>
      </c>
      <c r="G196" s="75"/>
      <c r="H196" s="76"/>
      <c r="I196" s="34"/>
      <c r="L196" s="61"/>
      <c r="M196" s="61"/>
      <c r="N196" s="34"/>
    </row>
    <row r="197" spans="1:14" s="35" customFormat="1" ht="15.75" customHeight="1" x14ac:dyDescent="0.25">
      <c r="A197" s="65" t="s">
        <v>209</v>
      </c>
      <c r="B197" s="66"/>
      <c r="C197" s="66"/>
      <c r="D197" s="66"/>
      <c r="E197" s="66"/>
      <c r="F197" s="66"/>
      <c r="G197" s="66"/>
      <c r="H197" s="67"/>
      <c r="J197" s="34"/>
    </row>
    <row r="198" spans="1:14" s="35" customFormat="1" ht="15.75" customHeight="1" x14ac:dyDescent="0.25">
      <c r="A198" s="62">
        <v>1</v>
      </c>
      <c r="B198" s="63"/>
      <c r="C198" s="50">
        <v>1</v>
      </c>
      <c r="D198" s="54">
        <f>(29.97+1.1*1.2+0.75*4.5)*(10.764)</f>
        <v>373.13405999999998</v>
      </c>
      <c r="E198" s="40">
        <v>0</v>
      </c>
      <c r="F198" s="40">
        <f t="shared" ref="F198:F210" si="20">D198*(($F$148)+1)+(IF(E198&lt;101,E198,IF(E198&lt;201,E198/2,IF(E198&lt;=301,E198/3,E198/4))))</f>
        <v>559.70109000000002</v>
      </c>
      <c r="G198" s="71" t="str">
        <f>A197</f>
        <v>8th Floor (Part Refuge Area)</v>
      </c>
      <c r="H198" s="72"/>
      <c r="I198" s="34"/>
      <c r="L198" s="61"/>
      <c r="M198" s="61"/>
      <c r="N198" s="34"/>
    </row>
    <row r="199" spans="1:14" s="35" customFormat="1" ht="15.75" customHeight="1" x14ac:dyDescent="0.25">
      <c r="A199" s="62">
        <f t="shared" ref="A199:A211" si="21">A198+1</f>
        <v>2</v>
      </c>
      <c r="B199" s="63"/>
      <c r="C199" s="50">
        <v>1</v>
      </c>
      <c r="D199" s="54">
        <f>(29.97+1.3*1.1+4.5*0.75)*(10.764)</f>
        <v>374.31809999999996</v>
      </c>
      <c r="E199" s="40">
        <v>0</v>
      </c>
      <c r="F199" s="40">
        <f t="shared" si="20"/>
        <v>561.47714999999994</v>
      </c>
      <c r="G199" s="73"/>
      <c r="H199" s="74"/>
      <c r="I199" s="34"/>
      <c r="L199" s="61"/>
      <c r="M199" s="61"/>
      <c r="N199" s="34"/>
    </row>
    <row r="200" spans="1:14" s="35" customFormat="1" ht="15.75" customHeight="1" x14ac:dyDescent="0.25">
      <c r="A200" s="62">
        <f t="shared" si="21"/>
        <v>3</v>
      </c>
      <c r="B200" s="63"/>
      <c r="C200" s="50">
        <v>1</v>
      </c>
      <c r="D200" s="54">
        <f>(29.97+1.3*1.1+4.5*0.75)*(10.764)</f>
        <v>374.31809999999996</v>
      </c>
      <c r="E200" s="40">
        <v>0</v>
      </c>
      <c r="F200" s="40">
        <f t="shared" si="20"/>
        <v>561.47714999999994</v>
      </c>
      <c r="G200" s="73"/>
      <c r="H200" s="74"/>
      <c r="I200" s="34"/>
      <c r="L200" s="61"/>
      <c r="M200" s="61"/>
      <c r="N200" s="34"/>
    </row>
    <row r="201" spans="1:14" s="35" customFormat="1" ht="15.75" customHeight="1" x14ac:dyDescent="0.25">
      <c r="A201" s="62">
        <f t="shared" si="21"/>
        <v>4</v>
      </c>
      <c r="B201" s="63"/>
      <c r="C201" s="50">
        <v>1</v>
      </c>
      <c r="D201" s="54">
        <f>(29.97+1.3*1.1+4.5*0.75)*(10.764)</f>
        <v>374.31809999999996</v>
      </c>
      <c r="E201" s="40">
        <v>0</v>
      </c>
      <c r="F201" s="40">
        <f t="shared" si="20"/>
        <v>561.47714999999994</v>
      </c>
      <c r="G201" s="73"/>
      <c r="H201" s="74"/>
      <c r="I201" s="34"/>
      <c r="L201" s="61"/>
      <c r="M201" s="61"/>
      <c r="N201" s="34"/>
    </row>
    <row r="202" spans="1:14" s="35" customFormat="1" ht="15.75" customHeight="1" x14ac:dyDescent="0.25">
      <c r="A202" s="62">
        <f t="shared" si="21"/>
        <v>5</v>
      </c>
      <c r="B202" s="63"/>
      <c r="C202" s="50">
        <v>1</v>
      </c>
      <c r="D202" s="54">
        <f>(29.97+1.3*1.1+4.5*0.75)*(10.764)</f>
        <v>374.31809999999996</v>
      </c>
      <c r="E202" s="40">
        <v>0</v>
      </c>
      <c r="F202" s="40">
        <f t="shared" si="20"/>
        <v>561.47714999999994</v>
      </c>
      <c r="G202" s="73"/>
      <c r="H202" s="74"/>
      <c r="I202" s="34"/>
      <c r="L202" s="61"/>
      <c r="M202" s="61"/>
      <c r="N202" s="34"/>
    </row>
    <row r="203" spans="1:14" s="35" customFormat="1" ht="15.75" customHeight="1" x14ac:dyDescent="0.25">
      <c r="A203" s="62">
        <f t="shared" si="21"/>
        <v>6</v>
      </c>
      <c r="B203" s="63"/>
      <c r="C203" s="50">
        <v>1</v>
      </c>
      <c r="D203" s="54">
        <f>(29.97+1.1*1.1+2.65*0.7+0.7*0.55)*(10.764)</f>
        <v>359.73287999999991</v>
      </c>
      <c r="E203" s="40">
        <v>0</v>
      </c>
      <c r="F203" s="40">
        <f t="shared" si="20"/>
        <v>539.59931999999981</v>
      </c>
      <c r="G203" s="73"/>
      <c r="H203" s="74"/>
      <c r="I203" s="34"/>
      <c r="L203" s="61"/>
      <c r="M203" s="61"/>
      <c r="N203" s="34"/>
    </row>
    <row r="204" spans="1:14" s="35" customFormat="1" ht="15.75" customHeight="1" x14ac:dyDescent="0.25">
      <c r="A204" s="62">
        <f t="shared" si="21"/>
        <v>7</v>
      </c>
      <c r="B204" s="63"/>
      <c r="C204" s="50">
        <v>1</v>
      </c>
      <c r="D204" s="54">
        <f>(29.97+1.1*1.2+(1.6+3.85)*0.75)*(10.764)</f>
        <v>380.80340999999993</v>
      </c>
      <c r="E204" s="40">
        <v>0</v>
      </c>
      <c r="F204" s="40">
        <f t="shared" si="20"/>
        <v>571.20511499999986</v>
      </c>
      <c r="G204" s="73"/>
      <c r="H204" s="74"/>
      <c r="I204" s="34"/>
      <c r="L204" s="61"/>
      <c r="M204" s="61"/>
      <c r="N204" s="34"/>
    </row>
    <row r="205" spans="1:14" s="35" customFormat="1" ht="15.75" customHeight="1" x14ac:dyDescent="0.25">
      <c r="A205" s="62">
        <f t="shared" si="21"/>
        <v>8</v>
      </c>
      <c r="B205" s="63"/>
      <c r="C205" s="50">
        <v>1</v>
      </c>
      <c r="D205" s="54">
        <f>(29.97+1.1*1.2+(1.6+3.85)*0.75)*(10.764)</f>
        <v>380.80340999999993</v>
      </c>
      <c r="E205" s="40">
        <v>0</v>
      </c>
      <c r="F205" s="40">
        <f t="shared" si="20"/>
        <v>571.20511499999986</v>
      </c>
      <c r="G205" s="73"/>
      <c r="H205" s="74"/>
      <c r="I205" s="34"/>
      <c r="L205" s="61"/>
      <c r="M205" s="61"/>
      <c r="N205" s="34"/>
    </row>
    <row r="206" spans="1:14" s="35" customFormat="1" ht="15.75" customHeight="1" x14ac:dyDescent="0.25">
      <c r="A206" s="62">
        <f t="shared" si="21"/>
        <v>9</v>
      </c>
      <c r="B206" s="63"/>
      <c r="C206" s="50">
        <v>1</v>
      </c>
      <c r="D206" s="54">
        <f>(29.97+1.3*1.2+4.5*0.75+1.3*1.2)*(10.764)</f>
        <v>392.50926000000004</v>
      </c>
      <c r="E206" s="40">
        <v>0</v>
      </c>
      <c r="F206" s="40">
        <f t="shared" si="20"/>
        <v>588.76389000000006</v>
      </c>
      <c r="G206" s="73"/>
      <c r="H206" s="74"/>
      <c r="I206" s="34"/>
      <c r="L206" s="61"/>
      <c r="M206" s="61"/>
      <c r="N206" s="34"/>
    </row>
    <row r="207" spans="1:14" s="35" customFormat="1" ht="15.75" customHeight="1" x14ac:dyDescent="0.25">
      <c r="A207" s="62">
        <f t="shared" si="21"/>
        <v>10</v>
      </c>
      <c r="B207" s="63"/>
      <c r="C207" s="50">
        <v>1</v>
      </c>
      <c r="D207" s="54">
        <f>(29.97+1.3*1.2+4.5*0.75+1.3*1.2)*(10.764)</f>
        <v>392.50926000000004</v>
      </c>
      <c r="E207" s="40">
        <v>0</v>
      </c>
      <c r="F207" s="40">
        <f t="shared" si="20"/>
        <v>588.76389000000006</v>
      </c>
      <c r="G207" s="73"/>
      <c r="H207" s="74"/>
      <c r="I207" s="34"/>
      <c r="L207" s="61"/>
      <c r="M207" s="61"/>
      <c r="N207" s="34"/>
    </row>
    <row r="208" spans="1:14" s="35" customFormat="1" ht="15.75" customHeight="1" x14ac:dyDescent="0.25">
      <c r="A208" s="62">
        <f t="shared" si="21"/>
        <v>11</v>
      </c>
      <c r="B208" s="63"/>
      <c r="C208" s="50">
        <v>1</v>
      </c>
      <c r="D208" s="54">
        <f>(29.97+1.3*1.2+4.5*0.75+1.3*1.2)*(10.764)</f>
        <v>392.50926000000004</v>
      </c>
      <c r="E208" s="40">
        <v>0</v>
      </c>
      <c r="F208" s="40">
        <f t="shared" si="20"/>
        <v>588.76389000000006</v>
      </c>
      <c r="G208" s="73"/>
      <c r="H208" s="74"/>
      <c r="I208" s="34"/>
      <c r="L208" s="61"/>
      <c r="M208" s="61"/>
      <c r="N208" s="34"/>
    </row>
    <row r="209" spans="1:14" s="35" customFormat="1" ht="15.75" customHeight="1" x14ac:dyDescent="0.25">
      <c r="A209" s="62">
        <f t="shared" si="21"/>
        <v>12</v>
      </c>
      <c r="B209" s="63"/>
      <c r="C209" s="50">
        <v>1</v>
      </c>
      <c r="D209" s="54">
        <f>(29.97+1.3*1.2+4.5*0.75+1.3*1.2)*(10.764)</f>
        <v>392.50926000000004</v>
      </c>
      <c r="E209" s="40">
        <v>0</v>
      </c>
      <c r="F209" s="40">
        <f t="shared" si="20"/>
        <v>588.76389000000006</v>
      </c>
      <c r="G209" s="73"/>
      <c r="H209" s="74"/>
      <c r="I209" s="34"/>
      <c r="L209" s="61"/>
      <c r="M209" s="61"/>
      <c r="N209" s="34"/>
    </row>
    <row r="210" spans="1:14" s="35" customFormat="1" ht="15.75" customHeight="1" x14ac:dyDescent="0.25">
      <c r="A210" s="62">
        <f t="shared" si="21"/>
        <v>13</v>
      </c>
      <c r="B210" s="63"/>
      <c r="C210" s="50">
        <v>1</v>
      </c>
      <c r="D210" s="54">
        <f>(29.97+4.5*0.75)*(10.764)</f>
        <v>358.92557999999997</v>
      </c>
      <c r="E210" s="40">
        <v>0</v>
      </c>
      <c r="F210" s="40">
        <f t="shared" si="20"/>
        <v>538.3883699999999</v>
      </c>
      <c r="G210" s="73"/>
      <c r="H210" s="74"/>
      <c r="I210" s="34"/>
      <c r="L210" s="61"/>
      <c r="M210" s="61"/>
      <c r="N210" s="34"/>
    </row>
    <row r="211" spans="1:14" s="35" customFormat="1" ht="15.75" customHeight="1" x14ac:dyDescent="0.25">
      <c r="A211" s="62">
        <f t="shared" si="21"/>
        <v>14</v>
      </c>
      <c r="B211" s="63"/>
      <c r="C211" s="68" t="s">
        <v>210</v>
      </c>
      <c r="D211" s="69"/>
      <c r="E211" s="69"/>
      <c r="F211" s="70"/>
      <c r="G211" s="75"/>
      <c r="H211" s="76"/>
      <c r="I211" s="34"/>
      <c r="L211" s="61"/>
      <c r="M211" s="61"/>
      <c r="N211" s="34"/>
    </row>
    <row r="212" spans="1:14" s="35" customFormat="1" ht="15.75" hidden="1" customHeight="1" x14ac:dyDescent="0.25">
      <c r="A212" s="65" t="s">
        <v>120</v>
      </c>
      <c r="B212" s="66"/>
      <c r="C212" s="66"/>
      <c r="D212" s="66"/>
      <c r="E212" s="66"/>
      <c r="F212" s="66"/>
      <c r="G212" s="66"/>
      <c r="H212" s="67"/>
      <c r="J212" s="34"/>
    </row>
    <row r="213" spans="1:14" s="35" customFormat="1" hidden="1" x14ac:dyDescent="0.25">
      <c r="A213" s="62">
        <v>1</v>
      </c>
      <c r="B213" s="63"/>
      <c r="C213" s="50"/>
      <c r="D213" s="40"/>
      <c r="E213" s="40">
        <v>0</v>
      </c>
      <c r="F213" s="40">
        <f>D213*(($F$148)+1)+(IF(E213&lt;101,E213,IF(E213&lt;201,E213/2,IF(E213&lt;=301,E213/3,E213/4))))</f>
        <v>0</v>
      </c>
      <c r="G213" s="62" t="str">
        <f>A212</f>
        <v>Ground Floor</v>
      </c>
      <c r="H213" s="63"/>
      <c r="I213" s="34"/>
      <c r="L213" s="61"/>
      <c r="M213" s="61"/>
      <c r="N213" s="34"/>
    </row>
    <row r="214" spans="1:14" s="35" customFormat="1" hidden="1" x14ac:dyDescent="0.25">
      <c r="A214" s="62">
        <f t="shared" ref="A214:A216" si="22">A213+1</f>
        <v>2</v>
      </c>
      <c r="B214" s="63"/>
      <c r="C214" s="50"/>
      <c r="D214" s="40"/>
      <c r="E214" s="40">
        <v>0</v>
      </c>
      <c r="F214" s="40">
        <f>D214*(($F$148)+1)+(IF(E214&lt;101,E214,IF(E214&lt;201,E214/2,IF(E214&lt;=301,E214/3,E214/4))))</f>
        <v>0</v>
      </c>
      <c r="G214" s="62" t="str">
        <f t="shared" ref="G214:G216" si="23">G213</f>
        <v>Ground Floor</v>
      </c>
      <c r="H214" s="63"/>
      <c r="I214" s="34"/>
      <c r="L214" s="61"/>
      <c r="M214" s="61"/>
      <c r="N214" s="34"/>
    </row>
    <row r="215" spans="1:14" s="35" customFormat="1" hidden="1" x14ac:dyDescent="0.25">
      <c r="A215" s="62">
        <f t="shared" si="22"/>
        <v>3</v>
      </c>
      <c r="B215" s="63"/>
      <c r="C215" s="50"/>
      <c r="D215" s="40"/>
      <c r="E215" s="40">
        <v>0</v>
      </c>
      <c r="F215" s="40">
        <f>D215*(($F$148)+1)+(IF(E215&lt;101,E215,IF(E215&lt;201,E215/2,IF(E215&lt;=301,E215/3,E215/4))))</f>
        <v>0</v>
      </c>
      <c r="G215" s="62" t="str">
        <f t="shared" si="23"/>
        <v>Ground Floor</v>
      </c>
      <c r="H215" s="63"/>
      <c r="I215" s="34"/>
      <c r="L215" s="61"/>
      <c r="M215" s="61"/>
      <c r="N215" s="34"/>
    </row>
    <row r="216" spans="1:14" s="35" customFormat="1" hidden="1" x14ac:dyDescent="0.25">
      <c r="A216" s="62">
        <f t="shared" si="22"/>
        <v>4</v>
      </c>
      <c r="B216" s="63"/>
      <c r="C216" s="50"/>
      <c r="D216" s="40"/>
      <c r="E216" s="40">
        <v>0</v>
      </c>
      <c r="F216" s="40">
        <f>D216*(($F$148)+1)+(IF(E216&lt;101,E216,IF(E216&lt;201,E216/2,IF(E216&lt;=301,E216/3,E216/4))))</f>
        <v>0</v>
      </c>
      <c r="G216" s="62" t="str">
        <f t="shared" si="23"/>
        <v>Ground Floor</v>
      </c>
      <c r="H216" s="63"/>
      <c r="I216" s="34"/>
      <c r="L216" s="61"/>
      <c r="M216" s="61"/>
      <c r="N216" s="34"/>
    </row>
    <row r="217" spans="1:14" s="35" customFormat="1" hidden="1" x14ac:dyDescent="0.25">
      <c r="A217" s="135" t="s">
        <v>121</v>
      </c>
      <c r="B217" s="135"/>
      <c r="C217" s="135"/>
      <c r="D217" s="135"/>
      <c r="E217" s="135"/>
      <c r="F217" s="135"/>
      <c r="G217" s="135"/>
      <c r="H217" s="135"/>
      <c r="I217" s="34"/>
      <c r="L217" s="61"/>
      <c r="M217" s="61"/>
    </row>
    <row r="218" spans="1:14" s="35" customFormat="1" hidden="1" x14ac:dyDescent="0.25">
      <c r="A218" s="108">
        <f>LEFT(A217,SUM(LEN(A217)-LEN(SUBSTITUTE(A217,{"0","1","2","3","4","5","6","7","8","9"},""))))*100+1</f>
        <v>201</v>
      </c>
      <c r="B218" s="108"/>
      <c r="C218" s="50"/>
      <c r="D218" s="40"/>
      <c r="E218" s="40">
        <v>0</v>
      </c>
      <c r="F218" s="40">
        <f t="shared" ref="F218:F219" si="24">D218*(($F$148)+1)+(IF(E218&lt;101,E218,IF(E218&lt;201,E218/2,IF(E218&lt;=301,E218/3,E218/4))))</f>
        <v>0</v>
      </c>
      <c r="G218" s="108" t="str">
        <f>A217</f>
        <v>2nd Floor</v>
      </c>
      <c r="H218" s="108"/>
      <c r="I218" s="34"/>
      <c r="N218" s="34"/>
    </row>
    <row r="219" spans="1:14" s="35" customFormat="1" hidden="1" x14ac:dyDescent="0.25">
      <c r="A219" s="108">
        <f>A218+1</f>
        <v>202</v>
      </c>
      <c r="B219" s="108"/>
      <c r="C219" s="50"/>
      <c r="D219" s="40"/>
      <c r="E219" s="40">
        <v>0</v>
      </c>
      <c r="F219" s="40">
        <f t="shared" si="24"/>
        <v>0</v>
      </c>
      <c r="G219" s="108" t="str">
        <f>G218</f>
        <v>2nd Floor</v>
      </c>
      <c r="H219" s="108"/>
      <c r="I219" s="34"/>
      <c r="N219" s="34"/>
    </row>
    <row r="220" spans="1:14" s="35" customFormat="1" hidden="1" x14ac:dyDescent="0.25">
      <c r="A220" s="108">
        <f>A219+1</f>
        <v>203</v>
      </c>
      <c r="B220" s="108"/>
      <c r="C220" s="50"/>
      <c r="D220" s="40"/>
      <c r="E220" s="40">
        <v>0</v>
      </c>
      <c r="F220" s="40">
        <f>D220*(($F$148)+1)+(IF(E220&lt;101,E220,IF(E220&lt;201,E220/2,IF(E220&lt;=301,E220/3,E220/4))))</f>
        <v>0</v>
      </c>
      <c r="G220" s="108" t="str">
        <f>G219</f>
        <v>2nd Floor</v>
      </c>
      <c r="H220" s="108"/>
      <c r="I220" s="34"/>
      <c r="N220" s="34"/>
    </row>
    <row r="221" spans="1:14" s="35" customFormat="1" hidden="1" x14ac:dyDescent="0.25">
      <c r="A221" s="108">
        <f>A220+1</f>
        <v>204</v>
      </c>
      <c r="B221" s="108"/>
      <c r="C221" s="50"/>
      <c r="D221" s="40"/>
      <c r="E221" s="40">
        <v>0</v>
      </c>
      <c r="F221" s="40">
        <f>D221*(($F$148)+1)+(IF(E221&lt;101,E221,IF(E221&lt;201,E221/2,IF(E221&lt;=301,E221/3,E221/4))))</f>
        <v>0</v>
      </c>
      <c r="G221" s="108" t="str">
        <f>G220</f>
        <v>2nd Floor</v>
      </c>
      <c r="H221" s="108"/>
      <c r="I221" s="34"/>
      <c r="N221" s="34"/>
    </row>
    <row r="222" spans="1:14" s="35" customFormat="1" hidden="1" x14ac:dyDescent="0.25">
      <c r="A222" s="108">
        <f>A221+1</f>
        <v>205</v>
      </c>
      <c r="B222" s="108"/>
      <c r="C222" s="50"/>
      <c r="D222" s="40"/>
      <c r="E222" s="40">
        <v>0</v>
      </c>
      <c r="F222" s="40">
        <f>D222*(($F$148)+1)+(IF(E222&lt;101,E222,IF(E222&lt;201,E222/2,IF(E222&lt;=301,E222/3,E222/4))))</f>
        <v>0</v>
      </c>
      <c r="G222" s="108" t="str">
        <f>G221</f>
        <v>2nd Floor</v>
      </c>
      <c r="H222" s="108"/>
      <c r="I222" s="34"/>
      <c r="N222" s="34"/>
    </row>
    <row r="223" spans="1:14" s="35" customFormat="1" ht="15.75" hidden="1" customHeight="1" x14ac:dyDescent="0.25">
      <c r="A223" s="65" t="s">
        <v>158</v>
      </c>
      <c r="B223" s="66"/>
      <c r="C223" s="66"/>
      <c r="D223" s="66"/>
      <c r="E223" s="66"/>
      <c r="F223" s="66"/>
      <c r="G223" s="66"/>
      <c r="H223" s="67"/>
      <c r="I223" s="34"/>
    </row>
    <row r="224" spans="1:14" s="35" customFormat="1" hidden="1" x14ac:dyDescent="0.25">
      <c r="A224" s="62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10^ROW(INDIRECT("1:"&amp;LEN((LEFT(A223,SUM(LEN(A223)-LEN(SUBSTITUTE(A223,{"0","1","2"},""))))))))/10))*100+1&amp;""&amp;" ,..,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301 ,.., 1501</v>
      </c>
      <c r="B224" s="63"/>
      <c r="C224" s="50"/>
      <c r="D224" s="40"/>
      <c r="E224" s="40">
        <v>0</v>
      </c>
      <c r="F224" s="40">
        <f>D224*(($F$148)+1)+(IF(E224&lt;101,E224,IF(E224&lt;201,E224/2,IF(E224&lt;=301,E224/3,E224/4))))</f>
        <v>0</v>
      </c>
      <c r="G224" s="62" t="str">
        <f>A223</f>
        <v>3rd, 5th, 7th, 9th, 11th, 13th, 15th Floor</v>
      </c>
      <c r="H224" s="63"/>
      <c r="I224" s="34"/>
    </row>
    <row r="225" spans="1:9" s="35" customFormat="1" hidden="1" x14ac:dyDescent="0.25">
      <c r="A225" s="62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,..,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302 ,.., 1502</v>
      </c>
      <c r="B225" s="63"/>
      <c r="C225" s="50"/>
      <c r="D225" s="40"/>
      <c r="E225" s="40">
        <v>0</v>
      </c>
      <c r="F225" s="40">
        <f>D225*(($F$148)+1)+(IF(E225&lt;101,E225,IF(E225&lt;201,E225/2,IF(E225&lt;=301,E225/3,E225/4))))</f>
        <v>0</v>
      </c>
      <c r="G225" s="62" t="str">
        <f>G224</f>
        <v>3rd, 5th, 7th, 9th, 11th, 13th, 15th Floor</v>
      </c>
      <c r="H225" s="63"/>
      <c r="I225" s="34"/>
    </row>
    <row r="226" spans="1:9" s="35" customFormat="1" ht="15.75" hidden="1" customHeight="1" x14ac:dyDescent="0.25">
      <c r="A226" s="62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,..,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303 ,.., 1503</v>
      </c>
      <c r="B226" s="63"/>
      <c r="C226" s="50"/>
      <c r="D226" s="40"/>
      <c r="E226" s="40">
        <v>0</v>
      </c>
      <c r="F226" s="40">
        <f>D226*(($F$148)+1)+(IF(E226&lt;101,E226,IF(E226&lt;201,E226/2,IF(E226&lt;=301,E226/3,E226/4))))</f>
        <v>0</v>
      </c>
      <c r="G226" s="62" t="str">
        <f>G225</f>
        <v>3rd, 5th, 7th, 9th, 11th, 13th, 15th Floor</v>
      </c>
      <c r="H226" s="63"/>
      <c r="I226" s="34"/>
    </row>
    <row r="227" spans="1:9" s="35" customFormat="1" ht="15.75" hidden="1" customHeight="1" x14ac:dyDescent="0.25">
      <c r="A227" s="62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,..,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304 ,.., 1504</v>
      </c>
      <c r="B227" s="63"/>
      <c r="C227" s="50"/>
      <c r="D227" s="40"/>
      <c r="E227" s="40">
        <v>0</v>
      </c>
      <c r="F227" s="40">
        <f>D227*(($F$148)+1)+(IF(E227&lt;101,E227,IF(E227&lt;201,E227/2,IF(E227&lt;=301,E227/3,E227/4))))</f>
        <v>0</v>
      </c>
      <c r="G227" s="62" t="str">
        <f>G226</f>
        <v>3rd, 5th, 7th, 9th, 11th, 13th, 15th Floor</v>
      </c>
      <c r="H227" s="63"/>
      <c r="I227" s="34"/>
    </row>
    <row r="228" spans="1:9" s="35" customFormat="1" ht="15.75" hidden="1" customHeight="1" x14ac:dyDescent="0.25">
      <c r="A228" s="62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,..,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305 ,.., 1505</v>
      </c>
      <c r="B228" s="63"/>
      <c r="C228" s="50"/>
      <c r="D228" s="40"/>
      <c r="E228" s="40">
        <v>0</v>
      </c>
      <c r="F228" s="40">
        <f>D228*(($F$148)+1)+(IF(E228&lt;101,E228,IF(E228&lt;201,E228/2,IF(E228&lt;=301,E228/3,E228/4))))</f>
        <v>0</v>
      </c>
      <c r="G228" s="62" t="str">
        <f>G227</f>
        <v>3rd, 5th, 7th, 9th, 11th, 13th, 15th Floor</v>
      </c>
      <c r="H228" s="63"/>
      <c r="I228" s="34"/>
    </row>
    <row r="229" spans="1:9" s="35" customFormat="1" hidden="1" x14ac:dyDescent="0.25">
      <c r="A229" s="65" t="s">
        <v>152</v>
      </c>
      <c r="B229" s="66"/>
      <c r="C229" s="66"/>
      <c r="D229" s="66"/>
      <c r="E229" s="66"/>
      <c r="F229" s="66"/>
      <c r="G229" s="66"/>
      <c r="H229" s="67"/>
      <c r="I229" s="34"/>
    </row>
    <row r="230" spans="1:9" s="35" customFormat="1" hidden="1" x14ac:dyDescent="0.25">
      <c r="A230" s="62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10^ROW(INDIRECT("1:"&amp;LEN((LEFT(A229,SUM(LEN(A229)-LEN(SUBSTITUTE(A229,{"0","1","2"},""))))))))/10))*100+1&amp;""&amp;" to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",LEN(A229))),LEN(A229)))))))/10))*100+1</f>
        <v>201 to 501</v>
      </c>
      <c r="B230" s="63"/>
      <c r="C230" s="50"/>
      <c r="D230" s="40"/>
      <c r="E230" s="40">
        <v>0</v>
      </c>
      <c r="F230" s="40">
        <f>D230*(($F$148)+1)+(IF(E230&lt;101,E230,IF(E230&lt;201,E230/2,IF(E230&lt;=301,E230/3,E230/4))))</f>
        <v>0</v>
      </c>
      <c r="G230" s="62" t="str">
        <f>A229</f>
        <v>2nd to 5th Floor</v>
      </c>
      <c r="H230" s="63"/>
      <c r="I230" s="34"/>
    </row>
    <row r="231" spans="1:9" s="35" customFormat="1" hidden="1" x14ac:dyDescent="0.25">
      <c r="A231" s="62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to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202 to 502</v>
      </c>
      <c r="B231" s="63"/>
      <c r="C231" s="50"/>
      <c r="D231" s="40"/>
      <c r="E231" s="40">
        <v>0</v>
      </c>
      <c r="F231" s="40">
        <f>D231*(($F$148)+1)+(IF(E231&lt;101,E231,IF(E231&lt;201,E231/2,IF(E231&lt;=301,E231/3,E231/4))))</f>
        <v>0</v>
      </c>
      <c r="G231" s="62" t="str">
        <f>G230</f>
        <v>2nd to 5th Floor</v>
      </c>
      <c r="H231" s="63"/>
      <c r="I231" s="34"/>
    </row>
    <row r="232" spans="1:9" s="35" customFormat="1" hidden="1" x14ac:dyDescent="0.25">
      <c r="A232" s="62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to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203 to 503</v>
      </c>
      <c r="B232" s="63"/>
      <c r="C232" s="50"/>
      <c r="D232" s="40"/>
      <c r="E232" s="40">
        <v>0</v>
      </c>
      <c r="F232" s="40">
        <f>D232*(($F$148)+1)+(IF(E232&lt;101,E232,IF(E232&lt;201,E232/2,IF(E232&lt;=301,E232/3,E232/4))))</f>
        <v>0</v>
      </c>
      <c r="G232" s="62" t="str">
        <f>G231</f>
        <v>2nd to 5th Floor</v>
      </c>
      <c r="H232" s="63"/>
      <c r="I232" s="34"/>
    </row>
    <row r="233" spans="1:9" s="35" customFormat="1" hidden="1" x14ac:dyDescent="0.25">
      <c r="A233" s="62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to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204 to 504</v>
      </c>
      <c r="B233" s="63"/>
      <c r="C233" s="50"/>
      <c r="D233" s="40"/>
      <c r="E233" s="40">
        <v>0</v>
      </c>
      <c r="F233" s="40">
        <f>D233*(($F$148)+1)+(IF(E233&lt;101,E233,IF(E233&lt;201,E233/2,IF(E233&lt;=301,E233/3,E233/4))))</f>
        <v>0</v>
      </c>
      <c r="G233" s="62" t="str">
        <f>G232</f>
        <v>2nd to 5th Floor</v>
      </c>
      <c r="H233" s="63"/>
      <c r="I233" s="34"/>
    </row>
    <row r="234" spans="1:9" s="35" customFormat="1" hidden="1" x14ac:dyDescent="0.25">
      <c r="A234" s="62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to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205 to 505</v>
      </c>
      <c r="B234" s="63"/>
      <c r="C234" s="50"/>
      <c r="D234" s="40"/>
      <c r="E234" s="40">
        <v>0</v>
      </c>
      <c r="F234" s="40">
        <f>D234*(($F$148)+1)+(IF(E234&lt;101,E234,IF(E234&lt;201,E234/2,IF(E234&lt;=301,E234/3,E234/4))))</f>
        <v>0</v>
      </c>
      <c r="G234" s="62" t="str">
        <f>G233</f>
        <v>2nd to 5th Floor</v>
      </c>
      <c r="H234" s="63"/>
      <c r="I234" s="34"/>
    </row>
    <row r="235" spans="1:9" s="35" customFormat="1" hidden="1" x14ac:dyDescent="0.25">
      <c r="A235" s="65" t="s">
        <v>153</v>
      </c>
      <c r="B235" s="66"/>
      <c r="C235" s="66"/>
      <c r="D235" s="66"/>
      <c r="E235" s="66"/>
      <c r="F235" s="66"/>
      <c r="G235" s="66"/>
      <c r="H235" s="67"/>
      <c r="I235" s="34"/>
    </row>
    <row r="236" spans="1:9" s="35" customFormat="1" hidden="1" x14ac:dyDescent="0.25">
      <c r="A236" s="62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10^ROW(INDIRECT("1:"&amp;LEN((LEFT(A235,SUM(LEN(A235)-LEN(SUBSTITUTE(A235,{"0","1","2"},""))))))))/10))*100+1&amp;""&amp;" &amp;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",LEN(A235))),LEN(A235)))))))/10))*100+1</f>
        <v>201 &amp; 501</v>
      </c>
      <c r="B236" s="63"/>
      <c r="C236" s="50"/>
      <c r="D236" s="40"/>
      <c r="E236" s="40">
        <v>0</v>
      </c>
      <c r="F236" s="40">
        <f>D236*(($F$148)+1)+(IF(E236&lt;101,E236,IF(E236&lt;201,E236/2,IF(E236&lt;=301,E236/3,E236/4))))</f>
        <v>0</v>
      </c>
      <c r="G236" s="62" t="str">
        <f>A235</f>
        <v>2nd &amp; 5th Floor</v>
      </c>
      <c r="H236" s="63"/>
      <c r="I236" s="34"/>
    </row>
    <row r="237" spans="1:9" s="35" customFormat="1" hidden="1" x14ac:dyDescent="0.25">
      <c r="A237" s="62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&amp;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202 &amp; 502</v>
      </c>
      <c r="B237" s="63"/>
      <c r="C237" s="50"/>
      <c r="D237" s="40"/>
      <c r="E237" s="40">
        <v>0</v>
      </c>
      <c r="F237" s="40">
        <f>D237*(($F$148)+1)+(IF(E237&lt;101,E237,IF(E237&lt;201,E237/2,IF(E237&lt;=301,E237/3,E237/4))))</f>
        <v>0</v>
      </c>
      <c r="G237" s="62" t="str">
        <f t="shared" ref="G237:G240" si="25">G236</f>
        <v>2nd &amp; 5th Floor</v>
      </c>
      <c r="H237" s="63"/>
      <c r="I237" s="34"/>
    </row>
    <row r="238" spans="1:9" s="35" customFormat="1" hidden="1" x14ac:dyDescent="0.25">
      <c r="A238" s="62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&amp;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203 &amp; 503</v>
      </c>
      <c r="B238" s="63"/>
      <c r="C238" s="50"/>
      <c r="D238" s="40"/>
      <c r="E238" s="40">
        <v>0</v>
      </c>
      <c r="F238" s="40">
        <f>D238*(($F$148)+1)+(IF(E238&lt;101,E238,IF(E238&lt;201,E238/2,IF(E238&lt;=301,E238/3,E238/4))))</f>
        <v>0</v>
      </c>
      <c r="G238" s="62" t="str">
        <f t="shared" si="25"/>
        <v>2nd &amp; 5th Floor</v>
      </c>
      <c r="H238" s="63"/>
      <c r="I238" s="34"/>
    </row>
    <row r="239" spans="1:9" s="35" customFormat="1" hidden="1" x14ac:dyDescent="0.25">
      <c r="A239" s="62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&amp;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204 &amp; 504</v>
      </c>
      <c r="B239" s="63"/>
      <c r="C239" s="50"/>
      <c r="D239" s="40"/>
      <c r="E239" s="40">
        <v>0</v>
      </c>
      <c r="F239" s="40">
        <f>D239*(($F$148)+1)+(IF(E239&lt;101,E239,IF(E239&lt;201,E239/2,IF(E239&lt;=301,E239/3,E239/4))))</f>
        <v>0</v>
      </c>
      <c r="G239" s="62" t="str">
        <f t="shared" si="25"/>
        <v>2nd &amp; 5th Floor</v>
      </c>
      <c r="H239" s="63"/>
      <c r="I239" s="34"/>
    </row>
    <row r="240" spans="1:9" s="35" customFormat="1" hidden="1" x14ac:dyDescent="0.25">
      <c r="A240" s="62" t="str">
        <f ca="1">(SUMPRODUCT(MID(0&amp;(LEFT(A239,SUM(LEN(A239)-LEN(SUBSTITUTE(A239,{"0","1","2"},""))))), LARGE(INDEX(ISNUMBER(--MID((LEFT(A239,SUM(LEN(A239)-LEN(SUBSTITUTE(A239,{"0","1","2"},""))))), ROW(INDIRECT("1:"&amp;LEN((LEFT(A239,SUM(LEN(A239)-LEN(SUBSTITUTE(A239,{"0","1","2"},"")))))))), 1)) * ROW(INDIRECT("1:"&amp;LEN((LEFT(A239,SUM(LEN(A239)-LEN(SUBSTITUTE(A239,{"0","1","2"},"")))))))), 0), ROW(INDIRECT("1:"&amp;LEN((LEFT(A239,SUM(LEN(A239)-LEN(SUBSTITUTE(A239,{"0","1","2"},"")))))))))+1, 1) * 10^ROW(INDIRECT("1:"&amp;LEN((LEFT(A239,SUM(LEN(A239)-LEN(SUBSTITUTE(A239,{"0","1","2"},""))))))))/10))*1+1&amp;""&amp;" &amp; "&amp;""&amp;(SUMPRODUCT(MID(0&amp;(--TRIM(RIGHT(SUBSTITUTE(LEFT(A239,_xlfn.AGGREGATE(16,6,FIND({0,1,2,3,4,5,6,7,8,9},A239,ROW(INDIRECT("1:"&amp;LEN(A239)))),1))," ",REPT(" ",LEN(A239))),LEN(A239)))), LARGE(INDEX(ISNUMBER(--MID((--TRIM(RIGHT(SUBSTITUTE(LEFT(A239,_xlfn.AGGREGATE(16,6,FIND({0,1,2,3,4,5,6,7,8,9},A239,ROW(INDIRECT("1:"&amp;LEN(A239)))),1))," ",REPT(" ",LEN(A239))),LEN(A239)))), ROW(INDIRECT("1:"&amp;LEN((--TRIM(RIGHT(SUBSTITUTE(LEFT(A239,_xlfn.AGGREGATE(16,6,FIND({0,1,2,3,4,5,6,7,8,9},A239,ROW(INDIRECT("1:"&amp;LEN(A239)))),1))," ",REPT(" ",LEN(A239))),LEN(A239))))))), 1)) * ROW(INDIRECT("1:"&amp;LEN((--TRIM(RIGHT(SUBSTITUTE(LEFT(A239,_xlfn.AGGREGATE(16,6,FIND({0,1,2,3,4,5,6,7,8,9},A239,ROW(INDIRECT("1:"&amp;LEN(A239)))),1))," ",REPT(" ",LEN(A239))),LEN(A239))))))), 0), ROW(INDIRECT("1:"&amp;LEN((--TRIM(RIGHT(SUBSTITUTE(LEFT(A239,_xlfn.AGGREGATE(16,6,FIND({0,1,2,3,4,5,6,7,8,9},A239,ROW(INDIRECT("1:"&amp;LEN(A239)))),1))," ",REPT(" ",LEN(A239))),LEN(A239))))))))+1, 1) * 10^ROW(INDIRECT("1:"&amp;LEN((--TRIM(RIGHT(SUBSTITUTE(LEFT(A239,_xlfn.AGGREGATE(16,6,FIND({0,1,2,3,4,5,6,7,8,9},A239,ROW(INDIRECT("1:"&amp;LEN(A239)))),1))," ",REPT(" ",LEN(A239))),LEN(A239)))))))/10))*1+1</f>
        <v>205 &amp; 505</v>
      </c>
      <c r="B240" s="63"/>
      <c r="C240" s="50"/>
      <c r="D240" s="40"/>
      <c r="E240" s="40">
        <v>0</v>
      </c>
      <c r="F240" s="40">
        <f>D240*(($F$148)+1)+(IF(E240&lt;101,E240,IF(E240&lt;201,E240/2,IF(E240&lt;=301,E240/3,E240/4))))</f>
        <v>0</v>
      </c>
      <c r="G240" s="62" t="str">
        <f t="shared" si="25"/>
        <v>2nd &amp; 5th Floor</v>
      </c>
      <c r="H240" s="63"/>
      <c r="I240" s="34"/>
    </row>
    <row r="241" spans="1:8" s="33" customFormat="1" x14ac:dyDescent="0.25">
      <c r="A241" s="201" t="s">
        <v>69</v>
      </c>
      <c r="B241" s="201"/>
      <c r="C241" s="201"/>
      <c r="D241" s="201"/>
      <c r="E241" s="201"/>
      <c r="F241" s="201"/>
      <c r="G241" s="201"/>
      <c r="H241" s="201"/>
    </row>
    <row r="242" spans="1:8" s="33" customFormat="1" x14ac:dyDescent="0.25">
      <c r="A242" s="44" t="s">
        <v>162</v>
      </c>
      <c r="B242" s="123" t="s">
        <v>233</v>
      </c>
      <c r="C242" s="124"/>
      <c r="D242" s="124"/>
      <c r="E242" s="124"/>
      <c r="F242" s="124"/>
      <c r="G242" s="124"/>
      <c r="H242" s="125"/>
    </row>
    <row r="243" spans="1:8" s="33" customFormat="1" x14ac:dyDescent="0.25">
      <c r="A243" s="44" t="s">
        <v>162</v>
      </c>
      <c r="B243" s="123" t="str">
        <f>(IF(F147="Saleable area Loading :","We have considered Saleable area of Flats as per our Calculation.","We considered Saleable area of Flat as per Builder area Sheet."))</f>
        <v>We have considered Saleable area of Flats as per our Calculation.</v>
      </c>
      <c r="C243" s="124"/>
      <c r="D243" s="124"/>
      <c r="E243" s="124"/>
      <c r="F243" s="124"/>
      <c r="G243" s="124"/>
      <c r="H243" s="125"/>
    </row>
    <row r="244" spans="1:8" s="33" customFormat="1" x14ac:dyDescent="0.25">
      <c r="A244" s="44" t="s">
        <v>162</v>
      </c>
      <c r="B244" s="123" t="str">
        <f>(IF(F121="Saleable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4" s="124"/>
      <c r="D244" s="124"/>
      <c r="E244" s="124"/>
      <c r="F244" s="124"/>
      <c r="G244" s="124"/>
      <c r="H244" s="125"/>
    </row>
    <row r="245" spans="1:8" s="33" customFormat="1" x14ac:dyDescent="0.25">
      <c r="A245" s="44" t="s">
        <v>162</v>
      </c>
      <c r="B245" s="56" t="s">
        <v>129</v>
      </c>
      <c r="C245" s="57"/>
      <c r="D245" s="57"/>
      <c r="E245" s="57"/>
      <c r="F245" s="57"/>
      <c r="G245" s="57"/>
      <c r="H245" s="58"/>
    </row>
    <row r="246" spans="1:8" s="33" customFormat="1" x14ac:dyDescent="0.25">
      <c r="A246" s="44" t="s">
        <v>162</v>
      </c>
      <c r="B246" s="56" t="s">
        <v>211</v>
      </c>
      <c r="C246" s="57"/>
      <c r="D246" s="57"/>
      <c r="E246" s="57"/>
      <c r="F246" s="57"/>
      <c r="G246" s="57"/>
      <c r="H246" s="58"/>
    </row>
    <row r="247" spans="1:8" s="33" customFormat="1" x14ac:dyDescent="0.25">
      <c r="A247" s="44" t="s">
        <v>162</v>
      </c>
      <c r="B247" s="56" t="s">
        <v>161</v>
      </c>
      <c r="C247" s="57"/>
      <c r="D247" s="57"/>
      <c r="E247" s="57"/>
      <c r="F247" s="57"/>
      <c r="G247" s="57"/>
      <c r="H247" s="58"/>
    </row>
    <row r="248" spans="1:8" s="33" customFormat="1" x14ac:dyDescent="0.25">
      <c r="A248" s="44" t="s">
        <v>162</v>
      </c>
      <c r="B248" s="56" t="s">
        <v>130</v>
      </c>
      <c r="C248" s="57"/>
      <c r="D248" s="57"/>
      <c r="E248" s="57"/>
      <c r="F248" s="57"/>
      <c r="G248" s="57"/>
      <c r="H248" s="58"/>
    </row>
    <row r="249" spans="1:8" s="33" customFormat="1" ht="34.5" customHeight="1" x14ac:dyDescent="0.25">
      <c r="A249" s="44" t="s">
        <v>162</v>
      </c>
      <c r="B249" s="56" t="s">
        <v>163</v>
      </c>
      <c r="C249" s="57"/>
      <c r="D249" s="57"/>
      <c r="E249" s="57"/>
      <c r="F249" s="57"/>
      <c r="G249" s="57"/>
      <c r="H249" s="58"/>
    </row>
    <row r="250" spans="1:8" s="33" customFormat="1" x14ac:dyDescent="0.25">
      <c r="A250" s="44" t="s">
        <v>162</v>
      </c>
      <c r="B250" s="56" t="s">
        <v>131</v>
      </c>
      <c r="C250" s="57"/>
      <c r="D250" s="57"/>
      <c r="E250" s="57"/>
      <c r="F250" s="57"/>
      <c r="G250" s="57"/>
      <c r="H250" s="58"/>
    </row>
    <row r="251" spans="1:8" s="33" customFormat="1" ht="32.25" customHeight="1" x14ac:dyDescent="0.25">
      <c r="A251" s="44" t="s">
        <v>162</v>
      </c>
      <c r="B251" s="56" t="s">
        <v>220</v>
      </c>
      <c r="C251" s="57"/>
      <c r="D251" s="57"/>
      <c r="E251" s="57"/>
      <c r="F251" s="57"/>
      <c r="G251" s="57"/>
      <c r="H251" s="58"/>
    </row>
    <row r="252" spans="1:8" s="33" customFormat="1" x14ac:dyDescent="0.25">
      <c r="A252" s="44" t="s">
        <v>162</v>
      </c>
      <c r="B252" s="56" t="s">
        <v>228</v>
      </c>
      <c r="C252" s="57"/>
      <c r="D252" s="57"/>
      <c r="E252" s="57"/>
      <c r="F252" s="57"/>
      <c r="G252" s="57"/>
      <c r="H252" s="58"/>
    </row>
    <row r="253" spans="1:8" s="33" customFormat="1" x14ac:dyDescent="0.25">
      <c r="A253" s="44" t="s">
        <v>162</v>
      </c>
      <c r="B253" s="56" t="s">
        <v>234</v>
      </c>
      <c r="C253" s="57"/>
      <c r="D253" s="57"/>
      <c r="E253" s="57"/>
      <c r="F253" s="57"/>
      <c r="G253" s="57"/>
      <c r="H253" s="58"/>
    </row>
    <row r="254" spans="1:8" s="33" customFormat="1" x14ac:dyDescent="0.25">
      <c r="A254" s="44" t="s">
        <v>162</v>
      </c>
      <c r="B254" s="56" t="s">
        <v>235</v>
      </c>
      <c r="C254" s="57"/>
      <c r="D254" s="57"/>
      <c r="E254" s="57"/>
      <c r="F254" s="57"/>
      <c r="G254" s="57"/>
      <c r="H254" s="58"/>
    </row>
    <row r="255" spans="1:8" x14ac:dyDescent="0.25">
      <c r="A255" s="91" t="s">
        <v>62</v>
      </c>
      <c r="B255" s="91"/>
      <c r="C255" s="91"/>
      <c r="D255" s="91"/>
      <c r="E255" s="91"/>
      <c r="F255" s="91"/>
      <c r="G255" s="91"/>
      <c r="H255" s="91"/>
    </row>
    <row r="256" spans="1:8" x14ac:dyDescent="0.25">
      <c r="A256" s="64" t="s">
        <v>63</v>
      </c>
      <c r="B256" s="64"/>
      <c r="C256" s="64"/>
      <c r="D256" s="64"/>
      <c r="E256" s="64"/>
      <c r="F256" s="64"/>
      <c r="G256" s="64"/>
      <c r="H256" s="64"/>
    </row>
    <row r="257" spans="1:8" ht="15.75" customHeight="1" x14ac:dyDescent="0.25">
      <c r="A257" s="107" t="s">
        <v>64</v>
      </c>
      <c r="B257" s="107"/>
      <c r="C257" s="107"/>
      <c r="D257" s="107"/>
      <c r="E257" s="107"/>
      <c r="F257" s="107"/>
      <c r="G257" s="107"/>
      <c r="H257" s="107"/>
    </row>
    <row r="258" spans="1:8" x14ac:dyDescent="0.25">
      <c r="A258" s="64" t="s">
        <v>65</v>
      </c>
      <c r="B258" s="64"/>
      <c r="C258" s="64"/>
      <c r="D258" s="64"/>
      <c r="E258" s="64"/>
      <c r="F258" s="64"/>
      <c r="G258" s="64"/>
      <c r="H258" s="64"/>
    </row>
    <row r="259" spans="1:8" x14ac:dyDescent="0.25">
      <c r="A259" s="64" t="s">
        <v>66</v>
      </c>
      <c r="B259" s="64"/>
      <c r="C259" s="64"/>
      <c r="D259" s="64"/>
      <c r="E259" s="64"/>
      <c r="F259" s="64"/>
      <c r="G259" s="64"/>
      <c r="H259" s="64"/>
    </row>
    <row r="260" spans="1:8" x14ac:dyDescent="0.25">
      <c r="A260" s="64" t="s">
        <v>132</v>
      </c>
      <c r="B260" s="64"/>
      <c r="C260" s="64"/>
      <c r="D260" s="64"/>
      <c r="E260" s="64"/>
      <c r="F260" s="64"/>
      <c r="G260" s="64"/>
      <c r="H260" s="64"/>
    </row>
    <row r="261" spans="1:8" ht="35.25" customHeight="1" x14ac:dyDescent="0.25">
      <c r="A261" s="92" t="s">
        <v>133</v>
      </c>
      <c r="B261" s="92"/>
      <c r="C261" s="92"/>
      <c r="D261" s="92"/>
      <c r="E261" s="92"/>
      <c r="F261" s="92"/>
      <c r="G261" s="92"/>
      <c r="H261" s="92"/>
    </row>
    <row r="262" spans="1:8" x14ac:dyDescent="0.25">
      <c r="A262" s="133" t="s">
        <v>78</v>
      </c>
      <c r="B262" s="133"/>
      <c r="C262" s="133" t="s">
        <v>231</v>
      </c>
      <c r="D262" s="133"/>
      <c r="E262" s="133" t="s">
        <v>107</v>
      </c>
      <c r="F262" s="133"/>
      <c r="G262" s="133" t="s">
        <v>236</v>
      </c>
      <c r="H262" s="133"/>
    </row>
    <row r="263" spans="1:8" x14ac:dyDescent="0.25">
      <c r="A263" s="132" t="s">
        <v>80</v>
      </c>
      <c r="B263" s="132"/>
      <c r="C263" s="132"/>
      <c r="D263" s="132"/>
      <c r="E263" s="132"/>
      <c r="F263" s="132"/>
      <c r="G263" s="132"/>
      <c r="H263" s="132"/>
    </row>
    <row r="264" spans="1:8" x14ac:dyDescent="0.25">
      <c r="A264" s="132"/>
      <c r="B264" s="132"/>
      <c r="C264" s="132"/>
      <c r="D264" s="132"/>
      <c r="E264" s="132"/>
      <c r="F264" s="132"/>
      <c r="G264" s="132"/>
      <c r="H264" s="132"/>
    </row>
    <row r="265" spans="1:8" x14ac:dyDescent="0.25">
      <c r="A265" s="132"/>
      <c r="B265" s="132"/>
      <c r="C265" s="132"/>
      <c r="D265" s="132"/>
      <c r="E265" s="132"/>
      <c r="F265" s="132"/>
      <c r="G265" s="132"/>
      <c r="H265" s="132"/>
    </row>
    <row r="266" spans="1:8" x14ac:dyDescent="0.25">
      <c r="A266" s="132"/>
      <c r="B266" s="132"/>
      <c r="C266" s="132"/>
      <c r="D266" s="132"/>
      <c r="E266" s="132"/>
      <c r="F266" s="132"/>
      <c r="G266" s="132"/>
      <c r="H266" s="132"/>
    </row>
    <row r="267" spans="1:8" x14ac:dyDescent="0.25">
      <c r="A267" s="36" t="s">
        <v>67</v>
      </c>
      <c r="B267" s="37"/>
      <c r="C267" s="37"/>
      <c r="D267" s="36" t="str">
        <f>E8</f>
        <v>Shambhu Shankar Residency</v>
      </c>
      <c r="F267" s="37"/>
      <c r="G267" s="37"/>
      <c r="H267" s="37"/>
    </row>
    <row r="268" spans="1:8" x14ac:dyDescent="0.25">
      <c r="A268" s="37"/>
      <c r="B268" s="37"/>
      <c r="C268" s="37"/>
      <c r="D268" s="37"/>
      <c r="E268" s="37"/>
      <c r="F268" s="37"/>
      <c r="G268" s="37"/>
      <c r="H268" s="37"/>
    </row>
    <row r="269" spans="1:8" x14ac:dyDescent="0.25">
      <c r="A269" s="37"/>
      <c r="B269" s="37"/>
      <c r="C269" s="37"/>
      <c r="D269" s="37"/>
      <c r="E269" s="37"/>
      <c r="F269" s="37"/>
      <c r="G269" s="37"/>
      <c r="H269" s="37"/>
    </row>
    <row r="270" spans="1:8" ht="15" customHeight="1" x14ac:dyDescent="0.25"/>
    <row r="308" spans="1:1" x14ac:dyDescent="0.25">
      <c r="A308" s="39" t="s">
        <v>68</v>
      </c>
    </row>
    <row r="350" spans="1:2" x14ac:dyDescent="0.25">
      <c r="A350" s="59" t="s">
        <v>218</v>
      </c>
      <c r="B350" s="60"/>
    </row>
  </sheetData>
  <mergeCells count="509">
    <mergeCell ref="B252:H252"/>
    <mergeCell ref="A207:B207"/>
    <mergeCell ref="L207:M207"/>
    <mergeCell ref="A208:B208"/>
    <mergeCell ref="L208:M208"/>
    <mergeCell ref="A209:B209"/>
    <mergeCell ref="L209:M209"/>
    <mergeCell ref="G224:H224"/>
    <mergeCell ref="A234:B234"/>
    <mergeCell ref="B242:H242"/>
    <mergeCell ref="B243:H243"/>
    <mergeCell ref="B245:H245"/>
    <mergeCell ref="B246:H246"/>
    <mergeCell ref="A241:H241"/>
    <mergeCell ref="B249:H249"/>
    <mergeCell ref="A233:B233"/>
    <mergeCell ref="A227:B227"/>
    <mergeCell ref="A224:B224"/>
    <mergeCell ref="G216:H216"/>
    <mergeCell ref="A213:B213"/>
    <mergeCell ref="A230:B230"/>
    <mergeCell ref="A231:B231"/>
    <mergeCell ref="G226:H226"/>
    <mergeCell ref="G240:H240"/>
    <mergeCell ref="A202:B202"/>
    <mergeCell ref="L202:M202"/>
    <mergeCell ref="G198:H211"/>
    <mergeCell ref="L203:M203"/>
    <mergeCell ref="A204:B204"/>
    <mergeCell ref="L204:M204"/>
    <mergeCell ref="A205:B205"/>
    <mergeCell ref="L205:M205"/>
    <mergeCell ref="A206:B206"/>
    <mergeCell ref="L206:M206"/>
    <mergeCell ref="A210:B210"/>
    <mergeCell ref="L210:M210"/>
    <mergeCell ref="L211:M211"/>
    <mergeCell ref="C211:F211"/>
    <mergeCell ref="A198:B198"/>
    <mergeCell ref="A203:B203"/>
    <mergeCell ref="L181:M181"/>
    <mergeCell ref="L195:M195"/>
    <mergeCell ref="L198:M198"/>
    <mergeCell ref="A199:B199"/>
    <mergeCell ref="L199:M199"/>
    <mergeCell ref="A200:B200"/>
    <mergeCell ref="L200:M200"/>
    <mergeCell ref="A201:B201"/>
    <mergeCell ref="L201:M201"/>
    <mergeCell ref="A196:B196"/>
    <mergeCell ref="L191:M191"/>
    <mergeCell ref="A192:B192"/>
    <mergeCell ref="L194:M194"/>
    <mergeCell ref="L187:M187"/>
    <mergeCell ref="A188:B188"/>
    <mergeCell ref="L188:M188"/>
    <mergeCell ref="A189:B189"/>
    <mergeCell ref="L189:M189"/>
    <mergeCell ref="A190:B190"/>
    <mergeCell ref="L190:M190"/>
    <mergeCell ref="A193:B193"/>
    <mergeCell ref="L193:M193"/>
    <mergeCell ref="L196:M196"/>
    <mergeCell ref="A195:B195"/>
    <mergeCell ref="E113:F113"/>
    <mergeCell ref="L183:M183"/>
    <mergeCell ref="A184:B184"/>
    <mergeCell ref="L184:M184"/>
    <mergeCell ref="A185:B185"/>
    <mergeCell ref="L185:M185"/>
    <mergeCell ref="A186:B186"/>
    <mergeCell ref="L186:M186"/>
    <mergeCell ref="L192:M192"/>
    <mergeCell ref="A162:H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G116:H116"/>
    <mergeCell ref="G118:H118"/>
    <mergeCell ref="G171:H181"/>
    <mergeCell ref="G183:H196"/>
    <mergeCell ref="G113:H113"/>
    <mergeCell ref="A117:B117"/>
    <mergeCell ref="C111:D111"/>
    <mergeCell ref="E111:F111"/>
    <mergeCell ref="A106:E106"/>
    <mergeCell ref="C112:D112"/>
    <mergeCell ref="A47:B47"/>
    <mergeCell ref="C47:H47"/>
    <mergeCell ref="B247:H247"/>
    <mergeCell ref="G85:H94"/>
    <mergeCell ref="A86:B86"/>
    <mergeCell ref="A87:B87"/>
    <mergeCell ref="A88:B88"/>
    <mergeCell ref="F97:H97"/>
    <mergeCell ref="A97:E97"/>
    <mergeCell ref="G225:H225"/>
    <mergeCell ref="G221:H221"/>
    <mergeCell ref="G218:H218"/>
    <mergeCell ref="D121:D122"/>
    <mergeCell ref="A99:E99"/>
    <mergeCell ref="A125:B125"/>
    <mergeCell ref="A126:B126"/>
    <mergeCell ref="A127:B127"/>
    <mergeCell ref="A155:H155"/>
    <mergeCell ref="A156:B156"/>
    <mergeCell ref="A194:B194"/>
    <mergeCell ref="A38:B38"/>
    <mergeCell ref="C38:H38"/>
    <mergeCell ref="C37:H37"/>
    <mergeCell ref="A100:E100"/>
    <mergeCell ref="F99:H99"/>
    <mergeCell ref="F103:H103"/>
    <mergeCell ref="C110:D110"/>
    <mergeCell ref="F106:H106"/>
    <mergeCell ref="F104:H104"/>
    <mergeCell ref="G110:H110"/>
    <mergeCell ref="A105:E105"/>
    <mergeCell ref="A83:B83"/>
    <mergeCell ref="C83:H83"/>
    <mergeCell ref="A84:B84"/>
    <mergeCell ref="E84:F84"/>
    <mergeCell ref="G84:H84"/>
    <mergeCell ref="A101:E101"/>
    <mergeCell ref="F101:H101"/>
    <mergeCell ref="A102:E102"/>
    <mergeCell ref="A104:E104"/>
    <mergeCell ref="F98:H98"/>
    <mergeCell ref="A103:E103"/>
    <mergeCell ref="F102:H102"/>
    <mergeCell ref="A96:E96"/>
    <mergeCell ref="A85:B85"/>
    <mergeCell ref="E85:F94"/>
    <mergeCell ref="A92:B92"/>
    <mergeCell ref="A93:B93"/>
    <mergeCell ref="A94:B94"/>
    <mergeCell ref="F95:H95"/>
    <mergeCell ref="F100:H100"/>
    <mergeCell ref="A98:E98"/>
    <mergeCell ref="A95:E95"/>
    <mergeCell ref="A239:B239"/>
    <mergeCell ref="G239:H239"/>
    <mergeCell ref="G236:H236"/>
    <mergeCell ref="G234:H234"/>
    <mergeCell ref="G232:H232"/>
    <mergeCell ref="C121:C122"/>
    <mergeCell ref="B147:B148"/>
    <mergeCell ref="A229:H229"/>
    <mergeCell ref="A223:H223"/>
    <mergeCell ref="G219:H219"/>
    <mergeCell ref="A212:H212"/>
    <mergeCell ref="A135:B135"/>
    <mergeCell ref="A145:B145"/>
    <mergeCell ref="G151:H154"/>
    <mergeCell ref="A160:B160"/>
    <mergeCell ref="A197:H197"/>
    <mergeCell ref="A211:B211"/>
    <mergeCell ref="A174:B174"/>
    <mergeCell ref="A170:H170"/>
    <mergeCell ref="A171:B171"/>
    <mergeCell ref="A181:B181"/>
    <mergeCell ref="A182:H182"/>
    <mergeCell ref="E121:E122"/>
    <mergeCell ref="G121:H122"/>
    <mergeCell ref="C117:D117"/>
    <mergeCell ref="E117:F117"/>
    <mergeCell ref="G117:H117"/>
    <mergeCell ref="C115:D115"/>
    <mergeCell ref="G115:H115"/>
    <mergeCell ref="A168:B168"/>
    <mergeCell ref="L217:M217"/>
    <mergeCell ref="A146:H146"/>
    <mergeCell ref="A147:A148"/>
    <mergeCell ref="L135:M135"/>
    <mergeCell ref="L136:M136"/>
    <mergeCell ref="L137:M137"/>
    <mergeCell ref="L216:M216"/>
    <mergeCell ref="L213:M213"/>
    <mergeCell ref="L214:M214"/>
    <mergeCell ref="L215:M215"/>
    <mergeCell ref="L126:M126"/>
    <mergeCell ref="L125:M125"/>
    <mergeCell ref="A132:B132"/>
    <mergeCell ref="L132:M132"/>
    <mergeCell ref="A133:B133"/>
    <mergeCell ref="L133:M133"/>
    <mergeCell ref="A134:B134"/>
    <mergeCell ref="L134:M134"/>
    <mergeCell ref="A222:B222"/>
    <mergeCell ref="A219:B219"/>
    <mergeCell ref="A220:B220"/>
    <mergeCell ref="E115:F115"/>
    <mergeCell ref="A119:H119"/>
    <mergeCell ref="A120:H120"/>
    <mergeCell ref="A118:B118"/>
    <mergeCell ref="C147:C148"/>
    <mergeCell ref="A139:H139"/>
    <mergeCell ref="A140:B140"/>
    <mergeCell ref="A124:H124"/>
    <mergeCell ref="A128:B128"/>
    <mergeCell ref="A137:B137"/>
    <mergeCell ref="A138:H138"/>
    <mergeCell ref="B121:B122"/>
    <mergeCell ref="A121:A122"/>
    <mergeCell ref="C118:D118"/>
    <mergeCell ref="E118:F118"/>
    <mergeCell ref="G213:H213"/>
    <mergeCell ref="A214:B214"/>
    <mergeCell ref="G214:H214"/>
    <mergeCell ref="A215:B215"/>
    <mergeCell ref="G215:H215"/>
    <mergeCell ref="A216:B216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78:B78"/>
    <mergeCell ref="A44:D44"/>
    <mergeCell ref="A45:D45"/>
    <mergeCell ref="A77:B77"/>
    <mergeCell ref="A70:B70"/>
    <mergeCell ref="A73:B73"/>
    <mergeCell ref="A69:B69"/>
    <mergeCell ref="A67:B67"/>
    <mergeCell ref="C67:H67"/>
    <mergeCell ref="A75:B75"/>
    <mergeCell ref="A62:C62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46:H46"/>
    <mergeCell ref="D57:H57"/>
    <mergeCell ref="A57:C57"/>
    <mergeCell ref="G49:H49"/>
    <mergeCell ref="A50:B51"/>
    <mergeCell ref="G50:H50"/>
    <mergeCell ref="D55:H55"/>
    <mergeCell ref="C50:E50"/>
    <mergeCell ref="A58:C59"/>
    <mergeCell ref="D58:H58"/>
    <mergeCell ref="D59:H59"/>
    <mergeCell ref="C49:E49"/>
    <mergeCell ref="C52:E52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D63:H63"/>
    <mergeCell ref="A66:C66"/>
    <mergeCell ref="D66:H66"/>
    <mergeCell ref="A64:C64"/>
    <mergeCell ref="D64:H6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263:H266"/>
    <mergeCell ref="A262:B262"/>
    <mergeCell ref="E262:F262"/>
    <mergeCell ref="C262:D262"/>
    <mergeCell ref="G262:H262"/>
    <mergeCell ref="A109:H109"/>
    <mergeCell ref="A107:E107"/>
    <mergeCell ref="F107:H107"/>
    <mergeCell ref="A108:E108"/>
    <mergeCell ref="F108:H108"/>
    <mergeCell ref="A217:H217"/>
    <mergeCell ref="A116:B116"/>
    <mergeCell ref="A226:B226"/>
    <mergeCell ref="A111:B111"/>
    <mergeCell ref="A258:H258"/>
    <mergeCell ref="A114:H114"/>
    <mergeCell ref="A261:H261"/>
    <mergeCell ref="A259:H259"/>
    <mergeCell ref="A255:H255"/>
    <mergeCell ref="A256:H256"/>
    <mergeCell ref="A232:B232"/>
    <mergeCell ref="A221:B221"/>
    <mergeCell ref="G222:H222"/>
    <mergeCell ref="G228:H228"/>
    <mergeCell ref="E41:H41"/>
    <mergeCell ref="A41:D41"/>
    <mergeCell ref="B244:H244"/>
    <mergeCell ref="A238:B238"/>
    <mergeCell ref="G238:H238"/>
    <mergeCell ref="G237:H237"/>
    <mergeCell ref="A235:H235"/>
    <mergeCell ref="A236:B236"/>
    <mergeCell ref="A237:B237"/>
    <mergeCell ref="A240:B240"/>
    <mergeCell ref="A65:C65"/>
    <mergeCell ref="D65:H65"/>
    <mergeCell ref="A71:B71"/>
    <mergeCell ref="G70:H70"/>
    <mergeCell ref="G227:H227"/>
    <mergeCell ref="G230:H230"/>
    <mergeCell ref="A228:B228"/>
    <mergeCell ref="G220:H220"/>
    <mergeCell ref="G231:H231"/>
    <mergeCell ref="A225:B225"/>
    <mergeCell ref="E112:F112"/>
    <mergeCell ref="G112:H112"/>
    <mergeCell ref="A113:B113"/>
    <mergeCell ref="C113:D113"/>
    <mergeCell ref="A257:H257"/>
    <mergeCell ref="G233:H233"/>
    <mergeCell ref="A218:B218"/>
    <mergeCell ref="A115:B115"/>
    <mergeCell ref="D147:D148"/>
    <mergeCell ref="E147:E148"/>
    <mergeCell ref="G147:H148"/>
    <mergeCell ref="A89:B89"/>
    <mergeCell ref="A90:B90"/>
    <mergeCell ref="A91:B91"/>
    <mergeCell ref="A136:B136"/>
    <mergeCell ref="G125:H137"/>
    <mergeCell ref="A154:B154"/>
    <mergeCell ref="C116:D116"/>
    <mergeCell ref="E116:F116"/>
    <mergeCell ref="A123:H123"/>
    <mergeCell ref="A129:B129"/>
    <mergeCell ref="F105:H105"/>
    <mergeCell ref="A112:B112"/>
    <mergeCell ref="E110:F110"/>
    <mergeCell ref="A110:B110"/>
    <mergeCell ref="A183:B183"/>
    <mergeCell ref="A187:B187"/>
    <mergeCell ref="A191:B191"/>
    <mergeCell ref="A81:B81"/>
    <mergeCell ref="C81:H81"/>
    <mergeCell ref="A76:B76"/>
    <mergeCell ref="F96:H96"/>
    <mergeCell ref="G111:H111"/>
    <mergeCell ref="A48:B48"/>
    <mergeCell ref="C48:E48"/>
    <mergeCell ref="C51:E51"/>
    <mergeCell ref="G51:H51"/>
    <mergeCell ref="G48:H48"/>
    <mergeCell ref="A49:B49"/>
    <mergeCell ref="A54:H54"/>
    <mergeCell ref="A55:C55"/>
    <mergeCell ref="A56:C56"/>
    <mergeCell ref="D56:H56"/>
    <mergeCell ref="G52:H52"/>
    <mergeCell ref="A52:B53"/>
    <mergeCell ref="C53:H53"/>
    <mergeCell ref="D62:H62"/>
    <mergeCell ref="C69:H69"/>
    <mergeCell ref="A72:B72"/>
    <mergeCell ref="A74:B74"/>
    <mergeCell ref="E70:F70"/>
    <mergeCell ref="A63:C63"/>
    <mergeCell ref="L129:M129"/>
    <mergeCell ref="A130:B130"/>
    <mergeCell ref="L130:M130"/>
    <mergeCell ref="A131:B131"/>
    <mergeCell ref="L131:M131"/>
    <mergeCell ref="L128:M128"/>
    <mergeCell ref="L127:M127"/>
    <mergeCell ref="L145:M145"/>
    <mergeCell ref="A149:H149"/>
    <mergeCell ref="L167:M167"/>
    <mergeCell ref="A150:H150"/>
    <mergeCell ref="L140:M140"/>
    <mergeCell ref="A141:B141"/>
    <mergeCell ref="L141:M141"/>
    <mergeCell ref="A142:B142"/>
    <mergeCell ref="L142:M142"/>
    <mergeCell ref="A143:B143"/>
    <mergeCell ref="L143:M143"/>
    <mergeCell ref="G140:H145"/>
    <mergeCell ref="A144:B144"/>
    <mergeCell ref="L144:M144"/>
    <mergeCell ref="A260:H260"/>
    <mergeCell ref="L154:M154"/>
    <mergeCell ref="A169:H169"/>
    <mergeCell ref="A151:B151"/>
    <mergeCell ref="L151:M151"/>
    <mergeCell ref="A152:B152"/>
    <mergeCell ref="L152:M152"/>
    <mergeCell ref="A153:B153"/>
    <mergeCell ref="L153:M153"/>
    <mergeCell ref="L156:M156"/>
    <mergeCell ref="L157:M157"/>
    <mergeCell ref="L158:M158"/>
    <mergeCell ref="L159:M159"/>
    <mergeCell ref="L160:M160"/>
    <mergeCell ref="A161:B161"/>
    <mergeCell ref="L161:M161"/>
    <mergeCell ref="L168:M168"/>
    <mergeCell ref="C168:F168"/>
    <mergeCell ref="A157:B157"/>
    <mergeCell ref="A158:B158"/>
    <mergeCell ref="A159:B159"/>
    <mergeCell ref="G156:H161"/>
    <mergeCell ref="G163:H168"/>
    <mergeCell ref="A167:B167"/>
    <mergeCell ref="B254:H254"/>
    <mergeCell ref="B251:H251"/>
    <mergeCell ref="A350:B350"/>
    <mergeCell ref="L171:M171"/>
    <mergeCell ref="A172:B172"/>
    <mergeCell ref="L172:M172"/>
    <mergeCell ref="A173:B173"/>
    <mergeCell ref="L173:M173"/>
    <mergeCell ref="L176:M176"/>
    <mergeCell ref="A178:B178"/>
    <mergeCell ref="L178:M178"/>
    <mergeCell ref="L174:M174"/>
    <mergeCell ref="A175:B175"/>
    <mergeCell ref="L175:M175"/>
    <mergeCell ref="A176:B176"/>
    <mergeCell ref="A180:B180"/>
    <mergeCell ref="L180:M180"/>
    <mergeCell ref="A177:B177"/>
    <mergeCell ref="L177:M177"/>
    <mergeCell ref="A179:B179"/>
    <mergeCell ref="B253:H253"/>
    <mergeCell ref="L179:M179"/>
    <mergeCell ref="B250:H250"/>
    <mergeCell ref="B248:H24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8" max="16383" man="1"/>
    <brk id="66" max="16383" man="1"/>
    <brk id="266" max="16383" man="1"/>
    <brk id="307" max="16383" man="1"/>
    <brk id="34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2" t="s">
        <v>108</v>
      </c>
      <c r="C3" s="202"/>
      <c r="D3" s="202"/>
      <c r="E3" s="202"/>
      <c r="F3" s="202"/>
      <c r="G3" s="202"/>
      <c r="H3" s="202"/>
    </row>
    <row r="4" spans="1:9" x14ac:dyDescent="0.25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2025-09-12T05:49:45Z</cp:lastPrinted>
  <dcterms:created xsi:type="dcterms:W3CDTF">2019-07-16T09:29:46Z</dcterms:created>
  <dcterms:modified xsi:type="dcterms:W3CDTF">2025-09-12T05:52:10Z</dcterms:modified>
</cp:coreProperties>
</file>