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Sept 25\DUMP\"/>
    </mc:Choice>
  </mc:AlternateContent>
  <xr:revisionPtr revIDLastSave="0" documentId="13_ncr:1_{3487827B-FDF0-45EF-8CF9-69B3B2707877}" xr6:coauthVersionLast="47" xr6:coauthVersionMax="47" xr10:uidLastSave="{00000000-0000-0000-0000-000000000000}"/>
  <bookViews>
    <workbookView xWindow="-120" yWindow="-120" windowWidth="20730" windowHeight="11160" xr2:uid="{00000000-000D-0000-FFFF-FFFF00000000}"/>
  </bookViews>
  <sheets>
    <sheet name="Sheet1" sheetId="1" r:id="rId1"/>
    <sheet name="NOTE" sheetId="15" r:id="rId2"/>
    <sheet name="VALUATION" sheetId="16" r:id="rId3"/>
    <sheet name="Construction %" sheetId="14" r:id="rId4"/>
    <sheet name="Wing A" sheetId="11" r:id="rId5"/>
    <sheet name="Wing B" sheetId="12" r:id="rId6"/>
    <sheet name="Wing C" sheetId="13" r:id="rId7"/>
  </sheets>
  <definedNames>
    <definedName name="_xlnm.Print_Area" localSheetId="0">Sheet1!$A$1:$J$324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 l="1"/>
  <c r="F3" i="1" l="1"/>
  <c r="L78" i="1" l="1"/>
  <c r="L77" i="1"/>
  <c r="L76" i="1"/>
  <c r="L75" i="1"/>
  <c r="L92" i="1"/>
  <c r="L91" i="1"/>
  <c r="L90" i="1"/>
  <c r="L89" i="1"/>
  <c r="L64" i="1"/>
  <c r="L63" i="1"/>
  <c r="L62" i="1"/>
  <c r="L61" i="1"/>
  <c r="I82" i="1"/>
  <c r="I54" i="1"/>
  <c r="I68" i="1"/>
  <c r="D73" i="1" l="1"/>
  <c r="L71" i="1"/>
  <c r="D80" i="1"/>
  <c r="D78" i="1"/>
  <c r="D76" i="1"/>
  <c r="D74" i="1"/>
  <c r="L72" i="1"/>
  <c r="C71" i="1" s="1"/>
  <c r="L70" i="1"/>
  <c r="D79" i="1"/>
  <c r="D75" i="1"/>
  <c r="L73" i="1"/>
  <c r="L74" i="1" s="1"/>
  <c r="L79" i="1" s="1"/>
  <c r="L80" i="1" s="1"/>
  <c r="C72" i="1" s="1"/>
  <c r="D77" i="1"/>
  <c r="D87" i="1"/>
  <c r="L85" i="1"/>
  <c r="D94" i="1"/>
  <c r="D92" i="1"/>
  <c r="D90" i="1"/>
  <c r="D88" i="1"/>
  <c r="L86" i="1"/>
  <c r="D85" i="1" s="1"/>
  <c r="L84" i="1"/>
  <c r="D93" i="1"/>
  <c r="D89" i="1"/>
  <c r="L87" i="1"/>
  <c r="L88" i="1" s="1"/>
  <c r="L93" i="1" s="1"/>
  <c r="L94" i="1" s="1"/>
  <c r="D91" i="1"/>
  <c r="D59" i="1"/>
  <c r="L57" i="1"/>
  <c r="D66" i="1"/>
  <c r="D64" i="1"/>
  <c r="D62" i="1"/>
  <c r="D60" i="1"/>
  <c r="L58" i="1"/>
  <c r="D57" i="1" s="1"/>
  <c r="L56" i="1"/>
  <c r="D65" i="1"/>
  <c r="D63" i="1"/>
  <c r="L59" i="1"/>
  <c r="L60" i="1" s="1"/>
  <c r="L65" i="1" s="1"/>
  <c r="L66" i="1" s="1"/>
  <c r="D61" i="1"/>
  <c r="F71" i="1" l="1"/>
  <c r="D72" i="1"/>
  <c r="H71" i="1"/>
  <c r="D71" i="1"/>
  <c r="F85" i="1"/>
  <c r="K81" i="1" s="1"/>
  <c r="C83" i="1" s="1"/>
  <c r="D86" i="1"/>
  <c r="H85" i="1"/>
  <c r="F57" i="1"/>
  <c r="K53" i="1" s="1"/>
  <c r="C55" i="1" s="1"/>
  <c r="D58" i="1"/>
  <c r="H57" i="1"/>
  <c r="K67" i="1" l="1"/>
  <c r="C69" i="1" s="1"/>
  <c r="F15" i="16" l="1"/>
  <c r="G14" i="16"/>
  <c r="F14" i="16"/>
  <c r="G13" i="16"/>
  <c r="F13" i="16"/>
  <c r="G12" i="16"/>
  <c r="F12" i="16"/>
  <c r="G11" i="16"/>
  <c r="F11" i="16"/>
  <c r="G10" i="16"/>
  <c r="F10" i="16"/>
  <c r="G9" i="16"/>
  <c r="F9" i="16"/>
  <c r="G8" i="16"/>
  <c r="F8" i="16"/>
  <c r="G7" i="16"/>
  <c r="F7" i="16"/>
  <c r="G6" i="16"/>
  <c r="F6" i="16"/>
  <c r="G5" i="16"/>
  <c r="F5" i="16"/>
  <c r="D223" i="1"/>
  <c r="G223" i="1" s="1"/>
  <c r="D222" i="1"/>
  <c r="G222" i="1"/>
  <c r="D221" i="1"/>
  <c r="G221" i="1" s="1"/>
  <c r="D218" i="1"/>
  <c r="G218" i="1" s="1"/>
  <c r="D219" i="1"/>
  <c r="G219" i="1" s="1"/>
  <c r="D220" i="1"/>
  <c r="G220" i="1" s="1"/>
  <c r="D217" i="1"/>
  <c r="G217" i="1" s="1"/>
  <c r="D216" i="1"/>
  <c r="G216" i="1" s="1"/>
  <c r="D215" i="1"/>
  <c r="G215" i="1" s="1"/>
  <c r="D214" i="1"/>
  <c r="G214" i="1" s="1"/>
  <c r="I214" i="1"/>
  <c r="D208" i="1"/>
  <c r="D209" i="1"/>
  <c r="D210" i="1"/>
  <c r="D207" i="1"/>
  <c r="D206" i="1"/>
  <c r="D205" i="1"/>
  <c r="D204" i="1"/>
  <c r="D203" i="1"/>
  <c r="D202" i="1"/>
  <c r="D198" i="1"/>
  <c r="D199" i="1"/>
  <c r="D200" i="1"/>
  <c r="D197" i="1"/>
  <c r="D196" i="1"/>
  <c r="D195" i="1"/>
  <c r="I202" i="1"/>
  <c r="D192" i="1"/>
  <c r="G192" i="1" s="1"/>
  <c r="D191" i="1"/>
  <c r="G191" i="1" s="1"/>
  <c r="D190" i="1"/>
  <c r="G190" i="1" s="1"/>
  <c r="D189" i="1"/>
  <c r="G189" i="1" s="1"/>
  <c r="D188" i="1"/>
  <c r="G188" i="1" s="1"/>
  <c r="D184" i="1"/>
  <c r="G184" i="1" s="1"/>
  <c r="D183" i="1"/>
  <c r="G183" i="1" s="1"/>
  <c r="D182" i="1"/>
  <c r="G182" i="1" s="1"/>
  <c r="D185" i="1"/>
  <c r="G185" i="1" s="1"/>
  <c r="D186" i="1"/>
  <c r="G186" i="1" s="1"/>
  <c r="D187" i="1"/>
  <c r="G187" i="1" s="1"/>
  <c r="D181" i="1"/>
  <c r="G181" i="1" s="1"/>
  <c r="D180" i="1"/>
  <c r="G180" i="1" s="1"/>
  <c r="D179" i="1"/>
  <c r="G179" i="1" s="1"/>
  <c r="D177" i="1"/>
  <c r="G177" i="1" s="1"/>
  <c r="D176" i="1"/>
  <c r="G176" i="1" s="1"/>
  <c r="D175" i="1"/>
  <c r="G175" i="1" s="1"/>
  <c r="D174" i="1"/>
  <c r="G174" i="1" s="1"/>
  <c r="D173" i="1"/>
  <c r="G173" i="1" s="1"/>
  <c r="D172" i="1"/>
  <c r="G172" i="1" s="1"/>
  <c r="D171" i="1"/>
  <c r="G171" i="1" s="1"/>
  <c r="D170" i="1"/>
  <c r="G170" i="1" s="1"/>
  <c r="I179" i="1"/>
  <c r="D167" i="1"/>
  <c r="G167" i="1" s="1"/>
  <c r="D166" i="1"/>
  <c r="G166" i="1" s="1"/>
  <c r="D165" i="1"/>
  <c r="G165" i="1" s="1"/>
  <c r="D164" i="1"/>
  <c r="G164" i="1" s="1"/>
  <c r="D163" i="1"/>
  <c r="G163" i="1" s="1"/>
  <c r="D162" i="1"/>
  <c r="G162" i="1" s="1"/>
  <c r="D161" i="1"/>
  <c r="G161" i="1" s="1"/>
  <c r="D160" i="1"/>
  <c r="G160" i="1" s="1"/>
  <c r="D159" i="1"/>
  <c r="G159" i="1" s="1"/>
  <c r="D158" i="1"/>
  <c r="G158" i="1" s="1"/>
  <c r="D157" i="1"/>
  <c r="G157" i="1" s="1"/>
  <c r="D156" i="1"/>
  <c r="G156" i="1" s="1"/>
  <c r="D155" i="1"/>
  <c r="G155" i="1" s="1"/>
  <c r="D154" i="1"/>
  <c r="G154" i="1" s="1"/>
  <c r="D153" i="1"/>
  <c r="G153" i="1" s="1"/>
  <c r="D152" i="1"/>
  <c r="G152" i="1" s="1"/>
  <c r="D150" i="1"/>
  <c r="G150" i="1" s="1"/>
  <c r="D149" i="1"/>
  <c r="G149" i="1" s="1"/>
  <c r="D148" i="1"/>
  <c r="G148" i="1" s="1"/>
  <c r="D147" i="1"/>
  <c r="G147" i="1" s="1"/>
  <c r="D144" i="1"/>
  <c r="G144" i="1" s="1"/>
  <c r="D145" i="1"/>
  <c r="G145" i="1" s="1"/>
  <c r="D146" i="1"/>
  <c r="G146" i="1" s="1"/>
  <c r="D143" i="1"/>
  <c r="G143" i="1" s="1"/>
  <c r="D142" i="1"/>
  <c r="G142" i="1" s="1"/>
  <c r="D138" i="1"/>
  <c r="G138" i="1" s="1"/>
  <c r="D137" i="1"/>
  <c r="G137" i="1" s="1"/>
  <c r="D136" i="1"/>
  <c r="G136" i="1" s="1"/>
  <c r="D134" i="1"/>
  <c r="G134" i="1" s="1"/>
  <c r="D133" i="1"/>
  <c r="G133" i="1" s="1"/>
  <c r="D132" i="1"/>
  <c r="G132" i="1" s="1"/>
  <c r="D131" i="1"/>
  <c r="G131" i="1" s="1"/>
  <c r="D135" i="1"/>
  <c r="G135" i="1" s="1"/>
  <c r="D139" i="1"/>
  <c r="G139" i="1" s="1"/>
  <c r="D129" i="1"/>
  <c r="G129" i="1" s="1"/>
  <c r="D128" i="1"/>
  <c r="G128" i="1" s="1"/>
  <c r="D127" i="1"/>
  <c r="G127" i="1" s="1"/>
  <c r="D126" i="1"/>
  <c r="G126" i="1" s="1"/>
  <c r="D125" i="1"/>
  <c r="G125" i="1" s="1"/>
  <c r="D124" i="1"/>
  <c r="G124" i="1" s="1"/>
  <c r="D123" i="1"/>
  <c r="G123" i="1" s="1"/>
  <c r="D122" i="1"/>
  <c r="G122" i="1" s="1"/>
  <c r="D121" i="1"/>
  <c r="G121" i="1" s="1"/>
  <c r="K121" i="1" s="1"/>
  <c r="D119" i="1"/>
  <c r="G119" i="1" s="1"/>
  <c r="D118" i="1"/>
  <c r="G118" i="1" s="1"/>
  <c r="D117" i="1"/>
  <c r="G117" i="1" s="1"/>
  <c r="D116" i="1"/>
  <c r="G116" i="1" s="1"/>
  <c r="D114" i="1"/>
  <c r="G114" i="1" s="1"/>
  <c r="D113" i="1"/>
  <c r="G113" i="1" s="1"/>
  <c r="D112" i="1"/>
  <c r="G112" i="1" s="1"/>
  <c r="D111" i="1"/>
  <c r="G111" i="1" s="1"/>
  <c r="D110" i="1"/>
  <c r="G110" i="1" s="1"/>
  <c r="D109" i="1"/>
  <c r="G109" i="1" s="1"/>
  <c r="I152" i="1"/>
  <c r="I131" i="1"/>
  <c r="I121" i="1"/>
  <c r="D115" i="1"/>
  <c r="G115" i="1" s="1"/>
  <c r="F38" i="1"/>
  <c r="F39" i="1" s="1"/>
  <c r="D49" i="1"/>
  <c r="D47" i="1"/>
  <c r="H44" i="1"/>
  <c r="I6" i="14"/>
  <c r="I7" i="14" s="1"/>
  <c r="H13" i="14" s="1"/>
  <c r="B6" i="14"/>
  <c r="J7" i="14" s="1"/>
  <c r="H14" i="14" s="1"/>
  <c r="B8" i="14"/>
  <c r="K7" i="14" s="1"/>
  <c r="H15" i="14" s="1"/>
  <c r="B10" i="14"/>
  <c r="L7" i="14" s="1"/>
  <c r="H16" i="14" s="1"/>
  <c r="B12" i="14"/>
  <c r="E8" i="14" s="1"/>
  <c r="B14" i="14"/>
  <c r="N6" i="14" s="1"/>
  <c r="G18" i="14" s="1"/>
  <c r="B16" i="14"/>
  <c r="O6" i="14" s="1"/>
  <c r="G19" i="14" s="1"/>
  <c r="E4" i="14"/>
  <c r="D237" i="1"/>
  <c r="G103"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L6" i="14"/>
  <c r="G16" i="14" s="1"/>
  <c r="M7" i="14"/>
  <c r="H17" i="14" s="1"/>
  <c r="G13" i="14"/>
  <c r="K6" i="14" l="1"/>
  <c r="G15" i="14" s="1"/>
  <c r="E9" i="14"/>
  <c r="M34" i="11"/>
  <c r="L34" i="11" s="1"/>
  <c r="G15" i="16"/>
  <c r="M35" i="12"/>
  <c r="L35" i="12" s="1"/>
  <c r="F34" i="11"/>
  <c r="E34" i="11" s="1"/>
  <c r="N35" i="13"/>
  <c r="M35" i="13" s="1"/>
  <c r="K35" i="13"/>
  <c r="J35" i="13" s="1"/>
  <c r="N7" i="14"/>
  <c r="H18" i="14" s="1"/>
  <c r="M6" i="14"/>
  <c r="G17" i="14" s="1"/>
  <c r="E6" i="14"/>
  <c r="J34" i="11"/>
  <c r="I34" i="11" s="1"/>
  <c r="G35" i="13"/>
  <c r="F35" i="13" s="1"/>
  <c r="E10" i="14"/>
  <c r="F35" i="12"/>
  <c r="E35" i="12" s="1"/>
  <c r="J35" i="12"/>
  <c r="I35" i="12" s="1"/>
  <c r="O7" i="14"/>
  <c r="H19" i="14" s="1"/>
  <c r="E5" i="14"/>
  <c r="J6" i="14"/>
  <c r="G14" i="14" s="1"/>
  <c r="E7" i="14"/>
  <c r="H20" i="14" l="1"/>
  <c r="G20" i="14"/>
</calcChain>
</file>

<file path=xl/sharedStrings.xml><?xml version="1.0" encoding="utf-8"?>
<sst xmlns="http://schemas.openxmlformats.org/spreadsheetml/2006/main" count="691" uniqueCount="248">
  <si>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</si>
  <si>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</si>
  <si>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</si>
  <si>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</si>
  <si>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</si>
  <si>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</si>
  <si>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</si>
  <si>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</si>
  <si>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</si>
  <si>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</si>
  <si>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</si>
  <si>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</si>
  <si>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</si>
  <si>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</si>
  <si>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</si>
  <si>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</si>
  <si>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</si>
  <si>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</si>
  <si>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</si>
  <si>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</si>
  <si>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</si>
  <si>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</si>
  <si>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</si>
  <si>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</si>
  <si>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</si>
  <si>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</si>
  <si>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</si>
  <si>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</si>
  <si>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</si>
  <si>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</si>
  <si>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</si>
  <si>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</si>
  <si>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</si>
  <si>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</si>
  <si>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</si>
  <si>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</si>
  <si>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</si>
  <si>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</si>
  <si>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</si>
  <si>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</si>
  <si>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</si>
  <si>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</si>
  <si>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</si>
  <si>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</si>
  <si>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</si>
  <si>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</si>
  <si>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</si>
  <si>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</si>
  <si>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</si>
  <si>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</si>
  <si>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</si>
  <si>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</si>
  <si>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</si>
  <si>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</si>
  <si>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</si>
  <si>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</si>
  <si>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</si>
  <si>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</si>
  <si>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</si>
  <si>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</si>
  <si>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</si>
  <si>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</si>
  <si>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</si>
  <si>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</si>
  <si>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</si>
  <si>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</si>
  <si>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</si>
  <si>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</si>
  <si>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</si>
  <si>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</si>
  <si>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</si>
  <si>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</si>
  <si>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</si>
  <si>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</si>
  <si>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</si>
  <si>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</si>
  <si>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</si>
  <si>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</si>
  <si>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</si>
  <si>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</si>
  <si>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</si>
  <si>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</si>
  <si>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</si>
  <si>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</si>
  <si>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</si>
  <si>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</si>
  <si>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</si>
  <si>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</si>
  <si>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</si>
  <si>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</si>
  <si>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</si>
  <si>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</si>
  <si>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</si>
  <si>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</si>
  <si>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</si>
  <si>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</si>
  <si>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</si>
  <si>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</si>
  <si>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</si>
  <si>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</si>
  <si>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</si>
  <si>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</si>
  <si>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</si>
  <si>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</si>
  <si>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</si>
  <si>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</si>
  <si>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</si>
  <si>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</si>
  <si>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</si>
  <si>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</si>
  <si>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</si>
  <si>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</si>
  <si>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</si>
  <si>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</si>
  <si>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</si>
  <si>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</si>
  <si>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</si>
  <si>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</si>
  <si>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</si>
  <si>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</si>
  <si>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</si>
  <si>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</si>
  <si>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</si>
  <si>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</si>
  <si>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</si>
  <si>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</si>
  <si>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</si>
  <si>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</si>
  <si>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</si>
  <si>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</si>
  <si>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</si>
  <si>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</si>
  <si>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</si>
  <si>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</si>
  <si>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</si>
  <si>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Gross Carpet area</t>
  </si>
  <si>
    <t xml:space="preserve">Approved Floor plan No.  </t>
  </si>
  <si>
    <t>Accessibility to the Project from the City:
(Proximity to civic amenities like school, hospital, market)</t>
  </si>
  <si>
    <t>Name / No of the Building</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</si>
  <si>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</si>
  <si>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</si>
  <si>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M/s.Valshet Corporation.</t>
  </si>
  <si>
    <t>P51700019577</t>
  </si>
  <si>
    <t>Plot No</t>
  </si>
  <si>
    <t>G.No</t>
  </si>
  <si>
    <t>46/1,46/2A,46/2B,46/6</t>
  </si>
  <si>
    <t>Thane</t>
  </si>
  <si>
    <t>Shahapur</t>
  </si>
  <si>
    <t>About 1.7  Km from Asangoan Railway Station</t>
  </si>
  <si>
    <t>Mayfair Reil Meadows</t>
  </si>
  <si>
    <t>Valshet</t>
  </si>
  <si>
    <t>BS/BP/VALSHET/SHAHAPUR/SSTN/1822</t>
  </si>
  <si>
    <t>21/09/2017.</t>
  </si>
  <si>
    <t xml:space="preserve"> NA Cum Commencement Certificate No.</t>
  </si>
  <si>
    <t>29/12/2017.</t>
  </si>
  <si>
    <t>Ground Floor</t>
  </si>
  <si>
    <t>Shop</t>
  </si>
  <si>
    <t>N</t>
  </si>
  <si>
    <t>1BHK</t>
  </si>
  <si>
    <t xml:space="preserve">1st Floor </t>
  </si>
  <si>
    <t xml:space="preserve">2nd to 7th Floor </t>
  </si>
  <si>
    <t>Ground Floor is for residential &amp; Stilt</t>
  </si>
  <si>
    <t>1RK</t>
  </si>
  <si>
    <t xml:space="preserve">1st to 7th Floor </t>
  </si>
  <si>
    <t>Ground Floor is for  Stilt</t>
  </si>
  <si>
    <t xml:space="preserve">1st to 4th Floor </t>
  </si>
  <si>
    <t>Mumbai -Nashik Highway</t>
  </si>
  <si>
    <t xml:space="preserve">Approved usage of the Property: Residential + Commercisl
(Restrictive Covenants in regard to Land Use, if any)                                                                                                                                                </t>
  </si>
  <si>
    <t xml:space="preserve"> Shop -9 &amp; Flat- 401</t>
  </si>
  <si>
    <t>Axis Sanpada</t>
  </si>
  <si>
    <t>Royale Shagun</t>
  </si>
  <si>
    <t>Royale Shagun, Gut No.46/1,46/2A,46/2B,46/6, Valshet, Shahapur, Thane</t>
  </si>
  <si>
    <t>Approved Plans, NA Cum CC</t>
  </si>
  <si>
    <t>Open Plot</t>
  </si>
  <si>
    <r>
      <rPr>
        <sz val="10.5"/>
        <color indexed="8"/>
        <rFont val="Times New Roman"/>
        <family val="1"/>
      </rPr>
      <t>MHSL/KS-1/T-11/ANAP/S.B.P/SR-129/16.</t>
    </r>
    <r>
      <rPr>
        <sz val="11"/>
        <color indexed="8"/>
        <rFont val="Times New Roman"/>
        <family val="1"/>
      </rPr>
      <t xml:space="preserve">
Valid Up to: Wing A,B,C,D- Stilt +G +7th Floor
Wing E= Stilt + 4th Floor</t>
    </r>
  </si>
  <si>
    <t>05 Buildings</t>
  </si>
  <si>
    <t>Ground Floor is for Residential, Commercial &amp; Stilt</t>
  </si>
  <si>
    <t>Saleable area</t>
  </si>
  <si>
    <t>Recommended rate of the Shop Per Sq. Ft. ( on Saleable area)</t>
  </si>
  <si>
    <t>200000/-</t>
  </si>
  <si>
    <t>Recommended rate of the flat Per Sq. Ft. ( on Saleable area)</t>
  </si>
  <si>
    <t>Advance maintainence charges for 24 months</t>
  </si>
  <si>
    <t>Buiding Type/Wing - A, B, C, D, E</t>
  </si>
  <si>
    <t>Type - A (Wing A)</t>
  </si>
  <si>
    <t>Type - B (Wing B)</t>
  </si>
  <si>
    <t>Type - C (Wing C)</t>
  </si>
  <si>
    <t>Type - D (Wing D)</t>
  </si>
  <si>
    <t>Type - E (Wing E)</t>
  </si>
  <si>
    <t>14/10/2020.</t>
  </si>
  <si>
    <t>Market Research Data</t>
  </si>
  <si>
    <t>Source</t>
  </si>
  <si>
    <t>Distance from proposed property</t>
  </si>
  <si>
    <t>Net Carpet</t>
  </si>
  <si>
    <t>Saleable Area</t>
  </si>
  <si>
    <t>Rate on Saleable</t>
  </si>
  <si>
    <t>Market Value</t>
  </si>
  <si>
    <t>housing</t>
  </si>
  <si>
    <t>commonfloor</t>
  </si>
  <si>
    <t>proptiger</t>
  </si>
  <si>
    <t>Average</t>
  </si>
  <si>
    <t xml:space="preserve">Valuation Adopted </t>
  </si>
  <si>
    <t>Dhanashree</t>
  </si>
  <si>
    <t>OLD APF</t>
  </si>
  <si>
    <t>Rate has not Changed</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</si>
  <si>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</si>
  <si>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</si>
  <si>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</si>
  <si>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</si>
  <si>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</si>
  <si>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</si>
  <si>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</si>
  <si>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</si>
  <si>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</si>
  <si>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</si>
  <si>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</si>
  <si>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</si>
  <si>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</si>
  <si>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</si>
  <si>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</si>
  <si>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</si>
  <si>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</si>
  <si>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</si>
  <si>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</si>
  <si>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</si>
  <si>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</si>
  <si>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</si>
  <si>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</si>
  <si>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</si>
  <si>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</si>
  <si>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</si>
  <si>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</si>
  <si>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</si>
  <si>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</si>
  <si>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</si>
  <si>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</si>
  <si>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</si>
  <si>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</si>
  <si>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Type/Wing - D = G + 1st to 7th Floor</t>
  </si>
  <si>
    <t>24,000/-</t>
  </si>
  <si>
    <t xml:space="preserve"> Building Type/Wing A,B,C,D = G + 1st to 7th Floor
 Building Type/Wing E= S + 1st to 4th Floor</t>
  </si>
  <si>
    <t>Building Type/Wing - A, B, C = G + 1st to 7th Floor</t>
  </si>
  <si>
    <t>Building Type/Wing E = G + 1st to 4th Floor</t>
  </si>
  <si>
    <t xml:space="preserve">30/09/2023
</t>
  </si>
  <si>
    <t>Location Link</t>
  </si>
  <si>
    <t>https://goo.gl/maps/TjwGn3Md7KAXaZF58?coh=178572&amp;entry=tt</t>
  </si>
  <si>
    <t>Office No. 1031, Wing J, Akshar Business Park, Plot No. 03 Sector 25, Near APMC Market,
 Vashi, Navi Mumbai, Maharashtra 400703 TEL: 022-46090378/79/80                                                                      
 E mail : vsjcapf@gmail.com. Web site : www.vsjadon.com</t>
  </si>
  <si>
    <t>Contact Details ( Name &amp; Contact No.)</t>
  </si>
  <si>
    <r>
      <t xml:space="preserve">Remarks:  
1. Construction work is stopped from First Lockdown (From March 2020). No one found on site.
2. We considered Saleable area as per our calculation.
3. We considered Carpet area as per Approved Plan.
4. We have considered rate by verifying it from market inquire.
5. We have considered Other charges from cost sheet
6. Type A to C are not registered on RERA site &amp; Type-E's builder detail sheet was not provided to us.
7. We considered Saleable area of Type D as per builder area sheet.
8. Recommended rate should be considered as all inclusive rate if other charges are not mentioned. (Excluding GST &amp; other government Taxes)
</t>
    </r>
    <r>
      <rPr>
        <b/>
        <sz val="11"/>
        <color rgb="FFFF0000"/>
        <rFont val="Times New Roman"/>
        <family val="1"/>
      </rPr>
      <t xml:space="preserve">9.As per RERA, completion period of project Royale Shagun is expired on 30/09/2023 but still project is under construction.
</t>
    </r>
    <r>
      <rPr>
        <b/>
        <sz val="11"/>
        <rFont val="Times New Roman"/>
        <family val="1"/>
      </rPr>
      <t xml:space="preserve">10. The project has received first CC on 21/09/2017, But construction work of is not yet D Wing completed  &amp; A, B, C &amp; E is not yet started. Please provide revised approved CC.
11. As checked on RERA portal on date 13/09/2025, we have observed that above project " Royale Shagun" is kept under abeyance. Please check from your 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</si>
</sst>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0.5"/>
      <color indexed="8"/>
      <name val="Times New Roman"/>
      <family val="1"/>
    </font>
    <font>
      <b/>
      <sz val="12"/>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sz val="11"/>
      <color rgb="FF000000"/>
      <name val="Times New Roman"/>
      <family val="1"/>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7" fillId="0" borderId="0" applyNumberFormat="0" applyFill="0" applyBorder="0" applyAlignment="0" applyProtection="0"/>
    <xf numFmtId="0" fontId="16" fillId="0" borderId="0"/>
    <xf numFmtId="0" fontId="16" fillId="0" borderId="0"/>
  </cellStyleXfs>
  <cellXfs count="234">
    <xf numFmtId="0" fontId="0" fillId="0" borderId="0" xfId="0"/>
    <xf numFmtId="0" fontId="2" fillId="0" borderId="0" xfId="2"/>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8" fillId="0" borderId="2" xfId="0" applyFont="1" applyBorder="1"/>
    <xf numFmtId="0" fontId="0" fillId="0" borderId="3" xfId="0" applyBorder="1"/>
    <xf numFmtId="0" fontId="0" fillId="3" borderId="2" xfId="0" applyFill="1" applyBorder="1"/>
    <xf numFmtId="0" fontId="18"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8"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0" fontId="20" fillId="0" borderId="0" xfId="0" applyFont="1"/>
    <xf numFmtId="0" fontId="4" fillId="2" borderId="2" xfId="0" applyFont="1" applyFill="1" applyBorder="1" applyAlignment="1">
      <alignment horizontal="left" vertical="top"/>
    </xf>
    <xf numFmtId="0" fontId="4" fillId="0" borderId="1" xfId="0" applyFont="1" applyBorder="1" applyAlignment="1">
      <alignment vertical="top" wrapText="1"/>
    </xf>
    <xf numFmtId="0" fontId="21" fillId="0" borderId="0" xfId="0" applyFont="1" applyAlignment="1">
      <alignment horizontal="left" vertical="top" wrapText="1"/>
    </xf>
    <xf numFmtId="0" fontId="9" fillId="0" borderId="1" xfId="0" applyFont="1" applyBorder="1" applyAlignment="1">
      <alignment vertical="top"/>
    </xf>
    <xf numFmtId="1" fontId="0" fillId="0" borderId="0" xfId="0" applyNumberFormat="1"/>
    <xf numFmtId="1" fontId="3" fillId="0" borderId="2" xfId="0" applyNumberFormat="1" applyFont="1" applyBorder="1" applyAlignment="1">
      <alignment horizontal="center" vertical="top" wrapText="1"/>
    </xf>
    <xf numFmtId="0" fontId="1" fillId="0" borderId="0" xfId="3"/>
    <xf numFmtId="0" fontId="16" fillId="0" borderId="0" xfId="5"/>
    <xf numFmtId="0" fontId="18" fillId="0" borderId="2" xfId="5" applyFont="1" applyBorder="1" applyAlignment="1">
      <alignment horizontal="center" vertical="top" wrapText="1"/>
    </xf>
    <xf numFmtId="0" fontId="15" fillId="0" borderId="2" xfId="4" applyFont="1" applyBorder="1" applyAlignment="1">
      <alignment horizontal="center" vertical="top" wrapText="1"/>
    </xf>
    <xf numFmtId="0" fontId="16" fillId="0" borderId="2" xfId="5" applyBorder="1" applyAlignment="1">
      <alignment horizontal="left" vertical="center"/>
    </xf>
    <xf numFmtId="0" fontId="16" fillId="0" borderId="2" xfId="5" applyBorder="1" applyAlignment="1">
      <alignment horizontal="center" vertical="center"/>
    </xf>
    <xf numFmtId="1" fontId="16" fillId="0" borderId="2" xfId="5" applyNumberFormat="1" applyBorder="1" applyAlignment="1">
      <alignment horizontal="center" vertical="center"/>
    </xf>
    <xf numFmtId="165" fontId="16" fillId="0" borderId="2" xfId="1" applyNumberFormat="1" applyFont="1" applyBorder="1" applyAlignment="1">
      <alignment horizontal="right" vertical="center"/>
    </xf>
    <xf numFmtId="43" fontId="1" fillId="0" borderId="0" xfId="3" applyNumberFormat="1"/>
    <xf numFmtId="0" fontId="18" fillId="0" borderId="2" xfId="5" applyFont="1" applyBorder="1" applyAlignment="1">
      <alignment horizontal="center" vertical="center"/>
    </xf>
    <xf numFmtId="1" fontId="19" fillId="0" borderId="2" xfId="5" applyNumberFormat="1" applyFont="1" applyBorder="1" applyAlignment="1">
      <alignment horizontal="center" vertical="center"/>
    </xf>
    <xf numFmtId="0" fontId="1" fillId="0" borderId="2" xfId="3" applyBorder="1" applyAlignment="1">
      <alignment horizontal="center" vertical="center"/>
    </xf>
    <xf numFmtId="0" fontId="22" fillId="0" borderId="0" xfId="3" applyFont="1"/>
    <xf numFmtId="1" fontId="1" fillId="0" borderId="0" xfId="3" applyNumberFormat="1"/>
    <xf numFmtId="0" fontId="1" fillId="0" borderId="0" xfId="3" applyAlignment="1">
      <alignment wrapText="1"/>
    </xf>
    <xf numFmtId="0" fontId="23" fillId="0" borderId="19" xfId="6" applyFont="1" applyBorder="1" applyProtection="1">
      <protection hidden="1"/>
    </xf>
    <xf numFmtId="0" fontId="23" fillId="0" borderId="20" xfId="6" applyFont="1" applyBorder="1" applyProtection="1">
      <protection hidden="1"/>
    </xf>
    <xf numFmtId="0" fontId="24" fillId="0" borderId="21" xfId="6" applyFont="1" applyBorder="1" applyAlignment="1" applyProtection="1">
      <alignment horizontal="center" vertical="top"/>
      <protection locked="0"/>
    </xf>
    <xf numFmtId="0" fontId="24" fillId="0" borderId="2" xfId="6" applyFont="1" applyBorder="1" applyAlignment="1" applyProtection="1">
      <alignment horizontal="center" vertical="top"/>
      <protection locked="0"/>
    </xf>
    <xf numFmtId="0" fontId="23" fillId="0" borderId="0" xfId="6" applyFont="1" applyProtection="1">
      <protection hidden="1"/>
    </xf>
    <xf numFmtId="0" fontId="23" fillId="0" borderId="23" xfId="6" applyFont="1" applyBorder="1" applyProtection="1">
      <protection hidden="1"/>
    </xf>
    <xf numFmtId="0" fontId="25" fillId="0" borderId="0" xfId="0" applyFont="1" applyProtection="1">
      <protection hidden="1"/>
    </xf>
    <xf numFmtId="0" fontId="23" fillId="0" borderId="23" xfId="6" applyFont="1" applyBorder="1"/>
    <xf numFmtId="0" fontId="2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5" fillId="0" borderId="32" xfId="0" applyFont="1" applyBorder="1" applyProtection="1">
      <protection hidden="1"/>
    </xf>
    <xf numFmtId="1" fontId="0" fillId="0" borderId="33" xfId="0" applyNumberFormat="1" applyBorder="1"/>
    <xf numFmtId="0" fontId="24" fillId="0" borderId="2" xfId="6" applyFont="1" applyBorder="1" applyAlignment="1" applyProtection="1">
      <alignment horizontal="center" vertical="top" wrapText="1"/>
      <protection locked="0"/>
    </xf>
    <xf numFmtId="0" fontId="24" fillId="0" borderId="2" xfId="6" applyFont="1" applyBorder="1" applyAlignment="1" applyProtection="1">
      <alignment horizontal="center" wrapText="1"/>
      <protection locked="0"/>
    </xf>
    <xf numFmtId="1" fontId="24" fillId="0" borderId="2" xfId="6" applyNumberFormat="1" applyFont="1" applyBorder="1" applyAlignment="1" applyProtection="1">
      <alignment horizontal="center" wrapText="1"/>
      <protection locked="0"/>
    </xf>
    <xf numFmtId="0" fontId="24" fillId="0" borderId="28" xfId="6" applyFont="1" applyBorder="1" applyAlignment="1" applyProtection="1">
      <alignment horizontal="center" wrapText="1"/>
      <protection locked="0"/>
    </xf>
    <xf numFmtId="2" fontId="0" fillId="0" borderId="0" xfId="0" applyNumberFormat="1"/>
    <xf numFmtId="0" fontId="24" fillId="0" borderId="21" xfId="6" applyFont="1" applyBorder="1" applyAlignment="1" applyProtection="1">
      <alignment horizontal="center" vertical="top" wrapText="1"/>
      <protection locked="0"/>
    </xf>
    <xf numFmtId="0" fontId="24" fillId="0" borderId="2" xfId="6" applyFont="1" applyBorder="1" applyAlignment="1" applyProtection="1">
      <alignment horizontal="center" vertical="top" wrapText="1"/>
      <protection locked="0"/>
    </xf>
    <xf numFmtId="9" fontId="24" fillId="2" borderId="1" xfId="6" applyNumberFormat="1" applyFont="1" applyFill="1" applyBorder="1" applyAlignment="1" applyProtection="1">
      <alignment horizontal="center" vertical="center" wrapText="1"/>
      <protection hidden="1"/>
    </xf>
    <xf numFmtId="9" fontId="24" fillId="2" borderId="5" xfId="6" applyNumberFormat="1" applyFont="1" applyFill="1" applyBorder="1" applyAlignment="1" applyProtection="1">
      <alignment horizontal="center" vertical="center" wrapText="1"/>
      <protection hidden="1"/>
    </xf>
    <xf numFmtId="9" fontId="24" fillId="2" borderId="2" xfId="6" applyNumberFormat="1" applyFont="1" applyFill="1" applyBorder="1" applyAlignment="1" applyProtection="1">
      <alignment horizontal="center" vertical="center" wrapText="1"/>
      <protection hidden="1"/>
    </xf>
    <xf numFmtId="9" fontId="24" fillId="2" borderId="28" xfId="6" applyNumberFormat="1" applyFont="1" applyFill="1" applyBorder="1" applyAlignment="1" applyProtection="1">
      <alignment horizontal="center" vertical="center" wrapText="1"/>
      <protection hidden="1"/>
    </xf>
    <xf numFmtId="9" fontId="24" fillId="2" borderId="6" xfId="6" applyNumberFormat="1" applyFont="1" applyFill="1" applyBorder="1" applyAlignment="1" applyProtection="1">
      <alignment horizontal="center" vertical="center" wrapText="1"/>
      <protection hidden="1"/>
    </xf>
    <xf numFmtId="9" fontId="24" fillId="2" borderId="13" xfId="6" applyNumberFormat="1" applyFont="1" applyFill="1" applyBorder="1" applyAlignment="1" applyProtection="1">
      <alignment horizontal="center" vertical="center" wrapText="1"/>
      <protection hidden="1"/>
    </xf>
    <xf numFmtId="9" fontId="24" fillId="2" borderId="26" xfId="6" applyNumberFormat="1" applyFont="1" applyFill="1" applyBorder="1" applyAlignment="1" applyProtection="1">
      <alignment horizontal="center" vertical="center" wrapText="1"/>
      <protection hidden="1"/>
    </xf>
    <xf numFmtId="9" fontId="24" fillId="2" borderId="8" xfId="6" applyNumberFormat="1" applyFont="1" applyFill="1" applyBorder="1" applyAlignment="1" applyProtection="1">
      <alignment horizontal="center" vertical="center" wrapText="1"/>
      <protection hidden="1"/>
    </xf>
    <xf numFmtId="9" fontId="24" fillId="2" borderId="0" xfId="6" applyNumberFormat="1" applyFont="1" applyFill="1" applyAlignment="1" applyProtection="1">
      <alignment horizontal="center" vertical="center" wrapText="1"/>
      <protection hidden="1"/>
    </xf>
    <xf numFmtId="9" fontId="24" fillId="2" borderId="23" xfId="6" applyNumberFormat="1" applyFont="1" applyFill="1" applyBorder="1" applyAlignment="1" applyProtection="1">
      <alignment horizontal="center" vertical="center" wrapText="1"/>
      <protection hidden="1"/>
    </xf>
    <xf numFmtId="9" fontId="24" fillId="2" borderId="31" xfId="6" applyNumberFormat="1" applyFont="1" applyFill="1" applyBorder="1" applyAlignment="1" applyProtection="1">
      <alignment horizontal="center" vertical="center" wrapText="1"/>
      <protection hidden="1"/>
    </xf>
    <xf numFmtId="9" fontId="24" fillId="2" borderId="32" xfId="6" applyNumberFormat="1" applyFont="1" applyFill="1" applyBorder="1" applyAlignment="1" applyProtection="1">
      <alignment horizontal="center" vertical="center" wrapText="1"/>
      <protection hidden="1"/>
    </xf>
    <xf numFmtId="9" fontId="24" fillId="2" borderId="33" xfId="6" applyNumberFormat="1" applyFont="1" applyFill="1" applyBorder="1" applyAlignment="1" applyProtection="1">
      <alignment horizontal="center" vertical="center" wrapText="1"/>
      <protection hidden="1"/>
    </xf>
    <xf numFmtId="0" fontId="24" fillId="0" borderId="21" xfId="6" applyFont="1" applyBorder="1" applyAlignment="1" applyProtection="1">
      <alignment horizontal="center" vertical="top"/>
      <protection locked="0"/>
    </xf>
    <xf numFmtId="0" fontId="24" fillId="0" borderId="2" xfId="6" applyFont="1" applyBorder="1" applyAlignment="1" applyProtection="1">
      <alignment horizontal="center" vertical="top"/>
      <protection locked="0"/>
    </xf>
    <xf numFmtId="0" fontId="24" fillId="0" borderId="27" xfId="6" applyFont="1" applyBorder="1" applyAlignment="1" applyProtection="1">
      <alignment horizontal="center" vertical="top" wrapText="1"/>
      <protection locked="0"/>
    </xf>
    <xf numFmtId="0" fontId="24" fillId="0" borderId="28" xfId="6" applyFont="1" applyBorder="1" applyAlignment="1" applyProtection="1">
      <alignment horizontal="center" vertical="top" wrapText="1"/>
      <protection locked="0"/>
    </xf>
    <xf numFmtId="9" fontId="24" fillId="2" borderId="29" xfId="6" applyNumberFormat="1" applyFont="1" applyFill="1" applyBorder="1" applyAlignment="1" applyProtection="1">
      <alignment horizontal="center" vertical="center" wrapText="1"/>
      <protection hidden="1"/>
    </xf>
    <xf numFmtId="9" fontId="24" fillId="2" borderId="30" xfId="6" applyNumberFormat="1" applyFont="1" applyFill="1" applyBorder="1" applyAlignment="1" applyProtection="1">
      <alignment horizontal="center" vertical="center" wrapText="1"/>
      <protection hidden="1"/>
    </xf>
    <xf numFmtId="0" fontId="14" fillId="0" borderId="14" xfId="6" applyFont="1" applyBorder="1" applyAlignment="1" applyProtection="1">
      <alignment horizontal="center" vertical="top" wrapText="1"/>
      <protection locked="0"/>
    </xf>
    <xf numFmtId="0" fontId="14" fillId="0" borderId="15" xfId="6" applyFont="1" applyBorder="1" applyAlignment="1" applyProtection="1">
      <alignment horizontal="center" vertical="top" wrapText="1"/>
      <protection locked="0"/>
    </xf>
    <xf numFmtId="0" fontId="14" fillId="0" borderId="16" xfId="6" applyFont="1" applyBorder="1" applyAlignment="1" applyProtection="1">
      <alignment horizontal="left" vertical="top" wrapText="1"/>
      <protection locked="0"/>
    </xf>
    <xf numFmtId="0" fontId="14" fillId="0" borderId="17" xfId="6" applyFont="1" applyBorder="1" applyAlignment="1" applyProtection="1">
      <alignment horizontal="left" vertical="top" wrapText="1"/>
      <protection locked="0"/>
    </xf>
    <xf numFmtId="0" fontId="14" fillId="0" borderId="18" xfId="6" applyFont="1" applyBorder="1" applyAlignment="1" applyProtection="1">
      <alignment horizontal="left" vertical="top" wrapText="1"/>
      <protection locked="0"/>
    </xf>
    <xf numFmtId="0" fontId="24" fillId="0" borderId="1" xfId="6" applyFont="1" applyBorder="1" applyAlignment="1" applyProtection="1">
      <alignment horizontal="center" vertical="top"/>
      <protection locked="0"/>
    </xf>
    <xf numFmtId="0" fontId="24" fillId="0" borderId="5" xfId="6" applyFont="1" applyBorder="1" applyAlignment="1" applyProtection="1">
      <alignment horizontal="center" vertical="top"/>
      <protection locked="0"/>
    </xf>
    <xf numFmtId="0" fontId="24" fillId="0" borderId="22" xfId="6" applyFont="1" applyBorder="1" applyAlignment="1" applyProtection="1">
      <alignment horizontal="center" vertical="top"/>
      <protection locked="0"/>
    </xf>
    <xf numFmtId="0" fontId="14" fillId="0" borderId="21" xfId="6" applyFont="1" applyBorder="1" applyAlignment="1" applyProtection="1">
      <alignment horizontal="left" vertical="top"/>
      <protection locked="0"/>
    </xf>
    <xf numFmtId="0" fontId="14" fillId="0" borderId="2" xfId="6" applyFont="1" applyBorder="1" applyAlignment="1" applyProtection="1">
      <alignment horizontal="left" vertical="top"/>
      <protection locked="0"/>
    </xf>
    <xf numFmtId="0" fontId="14" fillId="0" borderId="1" xfId="6" applyFont="1" applyBorder="1" applyAlignment="1" applyProtection="1">
      <alignment horizontal="left" vertical="top" wrapText="1"/>
      <protection locked="0"/>
    </xf>
    <xf numFmtId="0" fontId="14" fillId="0" borderId="12" xfId="6" applyFont="1" applyBorder="1" applyAlignment="1" applyProtection="1">
      <alignment horizontal="left" vertical="top" wrapText="1"/>
      <protection locked="0"/>
    </xf>
    <xf numFmtId="0" fontId="14" fillId="0" borderId="22" xfId="6" applyFont="1" applyBorder="1" applyAlignment="1" applyProtection="1">
      <alignment horizontal="left" vertical="top" wrapText="1"/>
      <protection locked="0"/>
    </xf>
    <xf numFmtId="0" fontId="24" fillId="0" borderId="24" xfId="6" applyFont="1" applyBorder="1" applyAlignment="1" applyProtection="1">
      <alignment horizontal="center" vertical="top" wrapText="1"/>
      <protection locked="0"/>
    </xf>
    <xf numFmtId="0" fontId="24" fillId="0" borderId="5" xfId="6" applyFont="1" applyBorder="1" applyAlignment="1" applyProtection="1">
      <alignment horizontal="center" vertical="top" wrapText="1"/>
      <protection locked="0"/>
    </xf>
    <xf numFmtId="0" fontId="24" fillId="0" borderId="25" xfId="6" applyFont="1" applyBorder="1" applyAlignment="1" applyProtection="1">
      <alignment horizontal="center" vertical="top" wrapText="1"/>
      <protection locked="0"/>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3" fillId="0" borderId="0" xfId="0" applyFont="1" applyAlignment="1">
      <alignment vertical="top" wrapText="1"/>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9"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5" xfId="0" applyFont="1" applyBorder="1" applyAlignment="1">
      <alignment horizontal="left" vertical="top" wrapText="1"/>
    </xf>
    <xf numFmtId="0" fontId="4" fillId="0" borderId="1" xfId="0" applyFont="1" applyBorder="1" applyAlignment="1">
      <alignment horizontal="left" vertical="top"/>
    </xf>
    <xf numFmtId="0" fontId="4" fillId="0" borderId="12" xfId="0" applyFont="1" applyBorder="1" applyAlignment="1">
      <alignment horizontal="left" vertical="top"/>
    </xf>
    <xf numFmtId="0" fontId="4" fillId="0" borderId="5" xfId="0" applyFont="1" applyBorder="1" applyAlignment="1">
      <alignment horizontal="left" vertical="top"/>
    </xf>
    <xf numFmtId="0" fontId="8" fillId="0" borderId="6" xfId="0" applyFont="1" applyBorder="1" applyAlignment="1">
      <alignment vertical="top" wrapText="1"/>
    </xf>
    <xf numFmtId="0" fontId="8" fillId="0" borderId="13" xfId="0" applyFont="1" applyBorder="1" applyAlignment="1">
      <alignment vertical="top" wrapText="1"/>
    </xf>
    <xf numFmtId="0" fontId="8" fillId="0" borderId="7" xfId="0" applyFont="1" applyBorder="1" applyAlignment="1">
      <alignment vertical="top" wrapText="1"/>
    </xf>
    <xf numFmtId="0" fontId="7" fillId="0" borderId="1"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21" fillId="2" borderId="1" xfId="0" applyFont="1" applyFill="1" applyBorder="1" applyAlignment="1">
      <alignment horizontal="left" vertical="top"/>
    </xf>
    <xf numFmtId="0" fontId="21" fillId="2" borderId="12" xfId="0" applyFont="1" applyFill="1" applyBorder="1" applyAlignment="1">
      <alignment horizontal="left" vertical="top"/>
    </xf>
    <xf numFmtId="0" fontId="21" fillId="2" borderId="5" xfId="0" applyFont="1" applyFill="1" applyBorder="1" applyAlignment="1">
      <alignment horizontal="left" vertical="top"/>
    </xf>
    <xf numFmtId="0" fontId="5" fillId="0" borderId="12" xfId="0" applyFont="1" applyBorder="1" applyAlignment="1">
      <alignment horizontal="left" vertical="top"/>
    </xf>
    <xf numFmtId="0" fontId="5" fillId="0" borderId="5" xfId="0" applyFont="1" applyBorder="1" applyAlignment="1">
      <alignment horizontal="left" vertical="top"/>
    </xf>
    <xf numFmtId="0" fontId="3" fillId="0" borderId="1" xfId="0" applyFont="1" applyBorder="1" applyAlignment="1">
      <alignment horizontal="left" vertical="top"/>
    </xf>
    <xf numFmtId="0" fontId="4" fillId="2" borderId="1" xfId="0" applyFont="1" applyFill="1" applyBorder="1" applyAlignment="1">
      <alignment horizontal="left" vertical="top"/>
    </xf>
    <xf numFmtId="0" fontId="4" fillId="2" borderId="12" xfId="0" applyFont="1" applyFill="1" applyBorder="1" applyAlignment="1">
      <alignment horizontal="left" vertical="top"/>
    </xf>
    <xf numFmtId="0" fontId="4" fillId="2" borderId="5" xfId="0" applyFont="1" applyFill="1" applyBorder="1" applyAlignment="1">
      <alignment horizontal="left" vertical="top"/>
    </xf>
    <xf numFmtId="0" fontId="11" fillId="0" borderId="1" xfId="0" applyFont="1" applyBorder="1" applyAlignment="1">
      <alignment horizontal="center" vertical="top"/>
    </xf>
    <xf numFmtId="0" fontId="11" fillId="0" borderId="12" xfId="0" applyFont="1" applyBorder="1" applyAlignment="1">
      <alignment horizontal="center" vertical="top"/>
    </xf>
    <xf numFmtId="0" fontId="11" fillId="0" borderId="5" xfId="0" applyFont="1" applyBorder="1" applyAlignment="1">
      <alignment horizontal="center" vertical="top"/>
    </xf>
    <xf numFmtId="0" fontId="3" fillId="0" borderId="1" xfId="0" applyFont="1" applyBorder="1" applyAlignment="1">
      <alignment horizontal="center" vertical="top"/>
    </xf>
    <xf numFmtId="0" fontId="3" fillId="0" borderId="12"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3" fillId="0" borderId="5" xfId="0" applyFont="1" applyBorder="1" applyAlignment="1">
      <alignment horizontal="center" vertical="top" wrapText="1"/>
    </xf>
    <xf numFmtId="0" fontId="9" fillId="0" borderId="1" xfId="0" applyFont="1" applyBorder="1" applyAlignment="1">
      <alignment horizontal="center" vertical="top"/>
    </xf>
    <xf numFmtId="0" fontId="9" fillId="0" borderId="5" xfId="0" applyFont="1" applyBorder="1" applyAlignment="1">
      <alignment horizontal="center" vertical="top"/>
    </xf>
    <xf numFmtId="0" fontId="0" fillId="0" borderId="5" xfId="0" applyBorder="1" applyAlignment="1">
      <alignment horizontal="left"/>
    </xf>
    <xf numFmtId="0" fontId="9" fillId="0" borderId="1"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xf>
    <xf numFmtId="0" fontId="5" fillId="0" borderId="1" xfId="0" applyFont="1" applyBorder="1" applyAlignment="1">
      <alignment horizontal="left" vertical="top"/>
    </xf>
    <xf numFmtId="0" fontId="13" fillId="2" borderId="1" xfId="0" applyFont="1" applyFill="1" applyBorder="1" applyAlignment="1">
      <alignment horizontal="left" vertical="top"/>
    </xf>
    <xf numFmtId="0" fontId="13" fillId="2" borderId="12" xfId="0" applyFont="1" applyFill="1" applyBorder="1" applyAlignment="1">
      <alignment horizontal="left" vertical="top"/>
    </xf>
    <xf numFmtId="0" fontId="13" fillId="2" borderId="5" xfId="0" applyFont="1" applyFill="1" applyBorder="1" applyAlignment="1">
      <alignment horizontal="left" vertical="top"/>
    </xf>
    <xf numFmtId="0" fontId="4" fillId="0" borderId="12" xfId="0" applyFont="1" applyBorder="1" applyAlignment="1">
      <alignment horizontal="left" vertical="top"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Border="1" applyAlignment="1">
      <alignment horizontal="left" vertical="top" wrapText="1"/>
    </xf>
    <xf numFmtId="0" fontId="9" fillId="0" borderId="11" xfId="0" applyFont="1" applyBorder="1" applyAlignment="1">
      <alignment horizontal="left" vertical="top" wrapText="1"/>
    </xf>
    <xf numFmtId="0" fontId="8" fillId="0" borderId="1" xfId="0" applyFont="1" applyBorder="1" applyAlignment="1">
      <alignment horizontal="left" vertical="top"/>
    </xf>
    <xf numFmtId="0" fontId="8" fillId="0" borderId="12" xfId="0" applyFont="1" applyBorder="1" applyAlignment="1">
      <alignment horizontal="left" vertical="top"/>
    </xf>
    <xf numFmtId="0" fontId="8" fillId="0" borderId="5" xfId="0" applyFont="1" applyBorder="1" applyAlignment="1">
      <alignment horizontal="left" vertical="top"/>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0" fontId="5" fillId="0" borderId="1" xfId="0" applyFont="1" applyBorder="1" applyAlignment="1">
      <alignment vertical="top"/>
    </xf>
    <xf numFmtId="0" fontId="5" fillId="0" borderId="12" xfId="0" applyFont="1" applyBorder="1" applyAlignment="1">
      <alignment vertical="top"/>
    </xf>
    <xf numFmtId="0" fontId="5" fillId="0" borderId="5" xfId="0" applyFont="1" applyBorder="1" applyAlignment="1">
      <alignment vertical="top"/>
    </xf>
    <xf numFmtId="0" fontId="3" fillId="0" borderId="6" xfId="2" applyFont="1" applyBorder="1" applyAlignment="1">
      <alignment horizontal="left" vertical="top" wrapText="1"/>
    </xf>
    <xf numFmtId="0" fontId="3" fillId="0" borderId="13" xfId="2" applyFont="1" applyBorder="1" applyAlignment="1">
      <alignment horizontal="left" vertical="top" wrapText="1"/>
    </xf>
    <xf numFmtId="0" fontId="3" fillId="0" borderId="7" xfId="2" applyFont="1" applyBorder="1" applyAlignment="1">
      <alignment horizontal="left" vertical="top" wrapText="1"/>
    </xf>
    <xf numFmtId="0" fontId="4" fillId="2" borderId="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2" xfId="0"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3" fillId="0" borderId="1" xfId="0" applyFont="1" applyBorder="1" applyAlignment="1">
      <alignment vertical="top"/>
    </xf>
    <xf numFmtId="0" fontId="3" fillId="0" borderId="12" xfId="0" applyFont="1" applyBorder="1" applyAlignment="1">
      <alignment vertical="top"/>
    </xf>
    <xf numFmtId="0" fontId="3" fillId="0" borderId="5" xfId="0" applyFont="1" applyBorder="1" applyAlignment="1">
      <alignment vertical="top"/>
    </xf>
    <xf numFmtId="0" fontId="4" fillId="0" borderId="12" xfId="0" applyFont="1" applyBorder="1" applyAlignment="1">
      <alignment horizontal="center" vertical="top"/>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17" fillId="0" borderId="1" xfId="4" applyFill="1" applyBorder="1" applyAlignment="1">
      <alignment horizontal="center" vertical="top"/>
    </xf>
    <xf numFmtId="0" fontId="9" fillId="0" borderId="12" xfId="0" applyFont="1" applyBorder="1" applyAlignment="1">
      <alignment horizontal="center" vertical="top"/>
    </xf>
    <xf numFmtId="0" fontId="4" fillId="0" borderId="6" xfId="0" applyFont="1" applyBorder="1" applyAlignment="1">
      <alignment horizontal="left" vertical="top" wrapText="1"/>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6"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9" fillId="0" borderId="1"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4" fillId="2" borderId="2" xfId="0" applyFont="1" applyFill="1" applyBorder="1" applyAlignment="1">
      <alignment horizontal="left" vertical="top"/>
    </xf>
    <xf numFmtId="14" fontId="4" fillId="0" borderId="1" xfId="0" applyNumberFormat="1" applyFont="1" applyBorder="1" applyAlignment="1">
      <alignment horizontal="left" vertical="top"/>
    </xf>
    <xf numFmtId="14" fontId="4" fillId="0" borderId="12" xfId="0" applyNumberFormat="1" applyFont="1" applyBorder="1" applyAlignment="1">
      <alignment horizontal="left" vertical="top"/>
    </xf>
    <xf numFmtId="14" fontId="4" fillId="0" borderId="5" xfId="0" applyNumberFormat="1"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9" fillId="0" borderId="1" xfId="0" applyFont="1" applyBorder="1" applyAlignment="1">
      <alignment vertical="top" wrapText="1"/>
    </xf>
    <xf numFmtId="0" fontId="9" fillId="0" borderId="12" xfId="0" applyFont="1" applyBorder="1" applyAlignment="1">
      <alignment vertical="top" wrapText="1"/>
    </xf>
    <xf numFmtId="0" fontId="9" fillId="0" borderId="5" xfId="0" applyFont="1" applyBorder="1" applyAlignment="1">
      <alignment vertical="top" wrapText="1"/>
    </xf>
    <xf numFmtId="0" fontId="4" fillId="0" borderId="2" xfId="0" applyFont="1" applyBorder="1" applyAlignment="1">
      <alignment horizontal="left" vertical="top" wrapText="1"/>
    </xf>
    <xf numFmtId="0" fontId="21" fillId="0" borderId="1" xfId="0" applyFont="1" applyBorder="1" applyAlignment="1">
      <alignment horizontal="left" vertical="top" wrapText="1"/>
    </xf>
    <xf numFmtId="0" fontId="21" fillId="0" borderId="12" xfId="0" applyFont="1" applyBorder="1" applyAlignment="1">
      <alignment horizontal="left" vertical="top"/>
    </xf>
    <xf numFmtId="0" fontId="21" fillId="0" borderId="5" xfId="0" applyFont="1" applyBorder="1" applyAlignment="1">
      <alignment horizontal="left" vertical="top"/>
    </xf>
    <xf numFmtId="0" fontId="9" fillId="0" borderId="12" xfId="0" applyFont="1" applyBorder="1" applyAlignment="1">
      <alignment horizontal="center" vertical="top" wrapText="1"/>
    </xf>
    <xf numFmtId="0" fontId="18" fillId="0" borderId="2" xfId="5" applyFont="1" applyBorder="1" applyAlignment="1">
      <alignment horizontal="left"/>
    </xf>
    <xf numFmtId="0" fontId="0" fillId="3" borderId="2" xfId="0" applyFill="1" applyBorder="1" applyAlignment="1">
      <alignment horizontal="center" wrapText="1"/>
    </xf>
    <xf numFmtId="0" fontId="18"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6"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476095</xdr:colOff>
      <xdr:row>281</xdr:row>
      <xdr:rowOff>27913</xdr:rowOff>
    </xdr:from>
    <xdr:to>
      <xdr:col>9</xdr:col>
      <xdr:colOff>90409</xdr:colOff>
      <xdr:row>298</xdr:row>
      <xdr:rowOff>66013</xdr:rowOff>
    </xdr:to>
    <xdr:pic>
      <xdr:nvPicPr>
        <xdr:cNvPr id="13" name="Picture 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6095" y="58390186"/>
          <a:ext cx="5563109" cy="3276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466570</xdr:colOff>
      <xdr:row>299</xdr:row>
      <xdr:rowOff>23429</xdr:rowOff>
    </xdr:from>
    <xdr:to>
      <xdr:col>9</xdr:col>
      <xdr:colOff>90409</xdr:colOff>
      <xdr:row>318</xdr:row>
      <xdr:rowOff>61529</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66570" y="61814702"/>
          <a:ext cx="5572634" cy="3657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533400</xdr:colOff>
      <xdr:row>237</xdr:row>
      <xdr:rowOff>99060</xdr:rowOff>
    </xdr:from>
    <xdr:to>
      <xdr:col>23</xdr:col>
      <xdr:colOff>388620</xdr:colOff>
      <xdr:row>264</xdr:row>
      <xdr:rowOff>60829</xdr:rowOff>
    </xdr:to>
    <xdr:grpSp>
      <xdr:nvGrpSpPr>
        <xdr:cNvPr id="3" name="Group 2">
          <a:extLst>
            <a:ext uri="{FF2B5EF4-FFF2-40B4-BE49-F238E27FC236}">
              <a16:creationId xmlns:a16="http://schemas.microsoft.com/office/drawing/2014/main" id="{3591320A-C3C3-ECF8-77FC-6FEA02803C30}"/>
            </a:ext>
          </a:extLst>
        </xdr:cNvPr>
        <xdr:cNvGrpSpPr/>
      </xdr:nvGrpSpPr>
      <xdr:grpSpPr>
        <a:xfrm>
          <a:off x="8582025" y="51324510"/>
          <a:ext cx="6560820" cy="5105269"/>
          <a:chOff x="385309" y="792000"/>
          <a:chExt cx="6853586" cy="5181469"/>
        </a:xfrm>
      </xdr:grpSpPr>
      <xdr:pic>
        <xdr:nvPicPr>
          <xdr:cNvPr id="4" name="Picture 3">
            <a:extLst>
              <a:ext uri="{FF2B5EF4-FFF2-40B4-BE49-F238E27FC236}">
                <a16:creationId xmlns:a16="http://schemas.microsoft.com/office/drawing/2014/main" id="{FA6CC23B-717E-B4DE-7353-3C96FB6FB8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881561" y="3453469"/>
            <a:ext cx="1888031" cy="2520000"/>
          </a:xfrm>
          <a:prstGeom prst="rect">
            <a:avLst/>
          </a:prstGeom>
          <a:ln>
            <a:solidFill>
              <a:schemeClr val="tx1"/>
            </a:solidFill>
          </a:ln>
        </xdr:spPr>
      </xdr:pic>
      <xdr:pic>
        <xdr:nvPicPr>
          <xdr:cNvPr id="5" name="Picture 4">
            <a:extLst>
              <a:ext uri="{FF2B5EF4-FFF2-40B4-BE49-F238E27FC236}">
                <a16:creationId xmlns:a16="http://schemas.microsoft.com/office/drawing/2014/main" id="{04FFB1D1-3CE7-B1F6-EF71-69490F7059A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385309" y="792000"/>
            <a:ext cx="3357334" cy="2520000"/>
          </a:xfrm>
          <a:prstGeom prst="rect">
            <a:avLst/>
          </a:prstGeom>
          <a:ln>
            <a:solidFill>
              <a:schemeClr val="tx1"/>
            </a:solidFill>
          </a:ln>
        </xdr:spPr>
      </xdr:pic>
      <xdr:pic>
        <xdr:nvPicPr>
          <xdr:cNvPr id="6" name="Picture 5">
            <a:extLst>
              <a:ext uri="{FF2B5EF4-FFF2-40B4-BE49-F238E27FC236}">
                <a16:creationId xmlns:a16="http://schemas.microsoft.com/office/drawing/2014/main" id="{3B2CA5EC-0112-24D5-8176-BA9786C2C0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854612" y="3453469"/>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451DDEC4-BE94-A4C3-1B62-6A81CE55ED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3881561" y="792000"/>
            <a:ext cx="3357334" cy="2520000"/>
          </a:xfrm>
          <a:prstGeom prst="rect">
            <a:avLst/>
          </a:prstGeom>
          <a:ln>
            <a:solidFill>
              <a:schemeClr val="tx1"/>
            </a:solidFill>
          </a:ln>
        </xdr:spPr>
      </xdr:pic>
    </xdr:grpSp>
    <xdr:clientData/>
  </xdr:twoCellAnchor>
  <xdr:twoCellAnchor>
    <xdr:from>
      <xdr:col>11</xdr:col>
      <xdr:colOff>956310</xdr:colOff>
      <xdr:row>235</xdr:row>
      <xdr:rowOff>83820</xdr:rowOff>
    </xdr:from>
    <xdr:to>
      <xdr:col>20</xdr:col>
      <xdr:colOff>381287</xdr:colOff>
      <xdr:row>274</xdr:row>
      <xdr:rowOff>112776</xdr:rowOff>
    </xdr:to>
    <xdr:grpSp>
      <xdr:nvGrpSpPr>
        <xdr:cNvPr id="2" name="Group 1">
          <a:extLst>
            <a:ext uri="{FF2B5EF4-FFF2-40B4-BE49-F238E27FC236}">
              <a16:creationId xmlns:a16="http://schemas.microsoft.com/office/drawing/2014/main" id="{0BD6B68E-A581-90AE-DCE4-9475EF34042E}"/>
            </a:ext>
          </a:extLst>
        </xdr:cNvPr>
        <xdr:cNvGrpSpPr/>
      </xdr:nvGrpSpPr>
      <xdr:grpSpPr>
        <a:xfrm>
          <a:off x="8042910" y="50928270"/>
          <a:ext cx="5263802" cy="7458456"/>
          <a:chOff x="421536" y="173773"/>
          <a:chExt cx="5397152" cy="7161276"/>
        </a:xfrm>
      </xdr:grpSpPr>
      <xdr:grpSp>
        <xdr:nvGrpSpPr>
          <xdr:cNvPr id="8" name="Group 7">
            <a:extLst>
              <a:ext uri="{FF2B5EF4-FFF2-40B4-BE49-F238E27FC236}">
                <a16:creationId xmlns:a16="http://schemas.microsoft.com/office/drawing/2014/main" id="{05790B30-24DC-9AFD-1D2D-83A47CFE866E}"/>
              </a:ext>
            </a:extLst>
          </xdr:cNvPr>
          <xdr:cNvGrpSpPr/>
        </xdr:nvGrpSpPr>
        <xdr:grpSpPr>
          <a:xfrm>
            <a:off x="421536" y="2854411"/>
            <a:ext cx="5397152" cy="2520000"/>
            <a:chOff x="421536" y="2854411"/>
            <a:chExt cx="5397152" cy="2520000"/>
          </a:xfrm>
        </xdr:grpSpPr>
        <xdr:pic>
          <xdr:nvPicPr>
            <xdr:cNvPr id="17" name="Picture 16">
              <a:extLst>
                <a:ext uri="{FF2B5EF4-FFF2-40B4-BE49-F238E27FC236}">
                  <a16:creationId xmlns:a16="http://schemas.microsoft.com/office/drawing/2014/main" id="{DBBA19D1-34EE-2DE3-9BE5-060E1235358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461354" y="2854411"/>
              <a:ext cx="3357334"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0930CED8-32DB-B6D4-EA20-8F1B88FFA41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21536" y="2854411"/>
              <a:ext cx="1888031" cy="252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8B3859E8-135B-2FFF-6251-7EB3D4872DA0}"/>
              </a:ext>
            </a:extLst>
          </xdr:cNvPr>
          <xdr:cNvGrpSpPr/>
        </xdr:nvGrpSpPr>
        <xdr:grpSpPr>
          <a:xfrm>
            <a:off x="421536" y="173773"/>
            <a:ext cx="5397152" cy="2520000"/>
            <a:chOff x="421536" y="173773"/>
            <a:chExt cx="5397152" cy="2520000"/>
          </a:xfrm>
        </xdr:grpSpPr>
        <xdr:pic>
          <xdr:nvPicPr>
            <xdr:cNvPr id="14" name="Picture 13">
              <a:extLst>
                <a:ext uri="{FF2B5EF4-FFF2-40B4-BE49-F238E27FC236}">
                  <a16:creationId xmlns:a16="http://schemas.microsoft.com/office/drawing/2014/main" id="{3ABB20B1-4BB8-3DD7-3850-C4AD6628254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421536" y="173773"/>
              <a:ext cx="3357334"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EDC3A9AD-81C8-4482-D9D9-0635A177DEE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930657" y="173773"/>
              <a:ext cx="1888031" cy="25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23481026-53B2-E5C6-81BE-C90F3DCE6D40}"/>
              </a:ext>
            </a:extLst>
          </xdr:cNvPr>
          <xdr:cNvGrpSpPr/>
        </xdr:nvGrpSpPr>
        <xdr:grpSpPr>
          <a:xfrm>
            <a:off x="1068240" y="5535049"/>
            <a:ext cx="3890887" cy="1800000"/>
            <a:chOff x="1068240" y="5535049"/>
            <a:chExt cx="3890887" cy="1800000"/>
          </a:xfrm>
        </xdr:grpSpPr>
        <xdr:pic>
          <xdr:nvPicPr>
            <xdr:cNvPr id="11" name="Picture 10">
              <a:extLst>
                <a:ext uri="{FF2B5EF4-FFF2-40B4-BE49-F238E27FC236}">
                  <a16:creationId xmlns:a16="http://schemas.microsoft.com/office/drawing/2014/main" id="{859D780F-C8FB-30FF-2FAE-EFEFD46B252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1068240" y="5535049"/>
              <a:ext cx="2390506"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423F63DA-EDF5-B02F-E88E-7AE840CBB55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3610533" y="5535049"/>
              <a:ext cx="1348594" cy="1800000"/>
            </a:xfrm>
            <a:prstGeom prst="rect">
              <a:avLst/>
            </a:prstGeom>
            <a:ln>
              <a:solidFill>
                <a:schemeClr val="tx1"/>
              </a:solidFill>
            </a:ln>
          </xdr:spPr>
        </xdr:pic>
      </xdr:grpSp>
    </xdr:grpSp>
    <xdr:clientData/>
  </xdr:twoCellAnchor>
  <xdr:twoCellAnchor editAs="oneCell">
    <xdr:from>
      <xdr:col>11</xdr:col>
      <xdr:colOff>352425</xdr:colOff>
      <xdr:row>212</xdr:row>
      <xdr:rowOff>104775</xdr:rowOff>
    </xdr:from>
    <xdr:to>
      <xdr:col>19</xdr:col>
      <xdr:colOff>523200</xdr:colOff>
      <xdr:row>223</xdr:row>
      <xdr:rowOff>474155</xdr:rowOff>
    </xdr:to>
    <xdr:pic>
      <xdr:nvPicPr>
        <xdr:cNvPr id="19" name="Picture 18">
          <a:extLst>
            <a:ext uri="{FF2B5EF4-FFF2-40B4-BE49-F238E27FC236}">
              <a16:creationId xmlns:a16="http://schemas.microsoft.com/office/drawing/2014/main" id="{24CF262A-5B06-4F75-B56F-BF75674D2307}"/>
            </a:ext>
          </a:extLst>
        </xdr:cNvPr>
        <xdr:cNvPicPr>
          <a:picLocks noChangeAspect="1"/>
        </xdr:cNvPicPr>
      </xdr:nvPicPr>
      <xdr:blipFill>
        <a:blip xmlns:r="http://schemas.openxmlformats.org/officeDocument/2006/relationships" r:embed="rId13"/>
        <a:stretch>
          <a:fillRect/>
        </a:stretch>
      </xdr:blipFill>
      <xdr:spPr>
        <a:xfrm>
          <a:off x="7439025" y="43824525"/>
          <a:ext cx="5400000" cy="2569655"/>
        </a:xfrm>
        <a:prstGeom prst="rect">
          <a:avLst/>
        </a:prstGeom>
      </xdr:spPr>
    </xdr:pic>
    <xdr:clientData/>
  </xdr:twoCellAnchor>
  <xdr:twoCellAnchor>
    <xdr:from>
      <xdr:col>0</xdr:col>
      <xdr:colOff>561975</xdr:colOff>
      <xdr:row>238</xdr:row>
      <xdr:rowOff>0</xdr:rowOff>
    </xdr:from>
    <xdr:to>
      <xdr:col>8</xdr:col>
      <xdr:colOff>314978</xdr:colOff>
      <xdr:row>267</xdr:row>
      <xdr:rowOff>76536</xdr:rowOff>
    </xdr:to>
    <xdr:grpSp>
      <xdr:nvGrpSpPr>
        <xdr:cNvPr id="20" name="Group 19">
          <a:extLst>
            <a:ext uri="{FF2B5EF4-FFF2-40B4-BE49-F238E27FC236}">
              <a16:creationId xmlns:a16="http://schemas.microsoft.com/office/drawing/2014/main" id="{35926CEA-385C-453C-810F-74C6AE706694}"/>
            </a:ext>
          </a:extLst>
        </xdr:cNvPr>
        <xdr:cNvGrpSpPr/>
      </xdr:nvGrpSpPr>
      <xdr:grpSpPr>
        <a:xfrm>
          <a:off x="561975" y="51415950"/>
          <a:ext cx="5001278" cy="5601036"/>
          <a:chOff x="663391" y="276642"/>
          <a:chExt cx="5001278" cy="5601036"/>
        </a:xfrm>
      </xdr:grpSpPr>
      <xdr:pic>
        <xdr:nvPicPr>
          <xdr:cNvPr id="21" name="Picture 20">
            <a:extLst>
              <a:ext uri="{FF2B5EF4-FFF2-40B4-BE49-F238E27FC236}">
                <a16:creationId xmlns:a16="http://schemas.microsoft.com/office/drawing/2014/main" id="{98C0DB82-A613-416A-A06B-32DC0C05382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35107" y="276642"/>
            <a:ext cx="4795555" cy="3600000"/>
          </a:xfrm>
          <a:prstGeom prst="rect">
            <a:avLst/>
          </a:prstGeom>
          <a:ln>
            <a:solidFill>
              <a:schemeClr val="tx1"/>
            </a:solidFill>
          </a:ln>
        </xdr:spPr>
      </xdr:pic>
      <xdr:pic>
        <xdr:nvPicPr>
          <xdr:cNvPr id="22" name="Picture 21">
            <a:extLst>
              <a:ext uri="{FF2B5EF4-FFF2-40B4-BE49-F238E27FC236}">
                <a16:creationId xmlns:a16="http://schemas.microsoft.com/office/drawing/2014/main" id="{19B95823-4C16-4F84-816F-B692A72166C5}"/>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63391" y="4077678"/>
            <a:ext cx="2397778"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27BB94B2-86AC-4AF9-AA8E-998E2B8A145D}"/>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266891" y="4077678"/>
            <a:ext cx="2397778"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6</xdr:col>
      <xdr:colOff>352425</xdr:colOff>
      <xdr:row>35</xdr:row>
      <xdr:rowOff>171450</xdr:rowOff>
    </xdr:to>
    <xdr:pic>
      <xdr:nvPicPr>
        <xdr:cNvPr id="3165" name="Picture 1">
          <a:extLst>
            <a:ext uri="{FF2B5EF4-FFF2-40B4-BE49-F238E27FC236}">
              <a16:creationId xmlns:a16="http://schemas.microsoft.com/office/drawing/2014/main" id="{00000000-0008-0000-0200-00005D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238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0</xdr:rowOff>
    </xdr:from>
    <xdr:to>
      <xdr:col>6</xdr:col>
      <xdr:colOff>352425</xdr:colOff>
      <xdr:row>55</xdr:row>
      <xdr:rowOff>171450</xdr:rowOff>
    </xdr:to>
    <xdr:pic>
      <xdr:nvPicPr>
        <xdr:cNvPr id="3166" name="Picture 2">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7048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495300</xdr:colOff>
      <xdr:row>17</xdr:row>
      <xdr:rowOff>0</xdr:rowOff>
    </xdr:from>
    <xdr:to>
      <xdr:col>16</xdr:col>
      <xdr:colOff>95250</xdr:colOff>
      <xdr:row>35</xdr:row>
      <xdr:rowOff>171450</xdr:rowOff>
    </xdr:to>
    <xdr:pic>
      <xdr:nvPicPr>
        <xdr:cNvPr id="3167" name="Picture 3">
          <a:extLst>
            <a:ext uri="{FF2B5EF4-FFF2-40B4-BE49-F238E27FC236}">
              <a16:creationId xmlns:a16="http://schemas.microsoft.com/office/drawing/2014/main" id="{00000000-0008-0000-0200-00005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77125" y="3238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37</xdr:row>
      <xdr:rowOff>0</xdr:rowOff>
    </xdr:from>
    <xdr:to>
      <xdr:col>16</xdr:col>
      <xdr:colOff>123825</xdr:colOff>
      <xdr:row>55</xdr:row>
      <xdr:rowOff>171450</xdr:rowOff>
    </xdr:to>
    <xdr:pic>
      <xdr:nvPicPr>
        <xdr:cNvPr id="3168" name="Picture 4">
          <a:extLst>
            <a:ext uri="{FF2B5EF4-FFF2-40B4-BE49-F238E27FC236}">
              <a16:creationId xmlns:a16="http://schemas.microsoft.com/office/drawing/2014/main" id="{00000000-0008-0000-0200-0000600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05700" y="7048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jwGn3Md7KAXaZF58?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1"/>
  <sheetViews>
    <sheetView tabSelected="1" view="pageBreakPreview" topLeftCell="A13" zoomScaleNormal="100" zoomScaleSheetLayoutView="100" workbookViewId="0">
      <selection activeCell="L9" sqref="L9"/>
    </sheetView>
  </sheetViews>
  <sheetFormatPr defaultRowHeight="15" x14ac:dyDescent="0.25"/>
  <cols>
    <col min="1" max="1" width="8.7109375" customWidth="1"/>
    <col min="2" max="2" width="14.28515625" customWidth="1"/>
    <col min="3" max="3" width="14.42578125" customWidth="1"/>
    <col min="4" max="4" width="7.28515625" customWidth="1"/>
    <col min="5" max="5" width="5.5703125" customWidth="1"/>
    <col min="6" max="6" width="9" customWidth="1"/>
    <col min="7" max="8" width="9.7109375" customWidth="1"/>
    <col min="9" max="9" width="10.42578125" customWidth="1"/>
    <col min="10" max="10" width="8.7109375" customWidth="1"/>
    <col min="11" max="11" width="8.42578125" customWidth="1"/>
    <col min="12" max="12" width="14.42578125" customWidth="1"/>
  </cols>
  <sheetData>
    <row r="1" spans="1:10" ht="43.9" customHeight="1" x14ac:dyDescent="0.25">
      <c r="A1" s="145" t="s">
        <v>245</v>
      </c>
      <c r="B1" s="146"/>
      <c r="C1" s="146"/>
      <c r="D1" s="146"/>
      <c r="E1" s="146"/>
      <c r="F1" s="146"/>
      <c r="G1" s="146"/>
      <c r="H1" s="146"/>
      <c r="I1" s="146"/>
      <c r="J1" s="147"/>
    </row>
    <row r="2" spans="1:10" x14ac:dyDescent="0.25">
      <c r="A2" s="142" t="s">
        <v>47</v>
      </c>
      <c r="B2" s="143"/>
      <c r="C2" s="143"/>
      <c r="D2" s="143"/>
      <c r="E2" s="143"/>
      <c r="F2" s="143"/>
      <c r="G2" s="143"/>
      <c r="H2" s="143"/>
      <c r="I2" s="143"/>
      <c r="J2" s="144"/>
    </row>
    <row r="3" spans="1:10" x14ac:dyDescent="0.25">
      <c r="A3" s="159" t="s">
        <v>0</v>
      </c>
      <c r="B3" s="133"/>
      <c r="C3" s="133"/>
      <c r="D3" s="133"/>
      <c r="E3" s="134"/>
      <c r="F3" s="218" t="str">
        <f ca="1">TEXT(TODAY(),"DD/MM/YYYY")</f>
        <v>13/09/2025</v>
      </c>
      <c r="G3" s="219"/>
      <c r="H3" s="219"/>
      <c r="I3" s="219"/>
      <c r="J3" s="220"/>
    </row>
    <row r="4" spans="1:10" x14ac:dyDescent="0.25">
      <c r="A4" s="159" t="s">
        <v>1</v>
      </c>
      <c r="B4" s="133"/>
      <c r="C4" s="133"/>
      <c r="D4" s="133"/>
      <c r="E4" s="134"/>
      <c r="F4" s="121" t="s">
        <v>169</v>
      </c>
      <c r="G4" s="122"/>
      <c r="H4" s="122"/>
      <c r="I4" s="122"/>
      <c r="J4" s="123"/>
    </row>
    <row r="5" spans="1:10" x14ac:dyDescent="0.25">
      <c r="A5" s="159" t="s">
        <v>2</v>
      </c>
      <c r="B5" s="133"/>
      <c r="C5" s="133"/>
      <c r="D5" s="133"/>
      <c r="E5" s="134"/>
      <c r="F5" s="218">
        <v>45912</v>
      </c>
      <c r="G5" s="219"/>
      <c r="H5" s="219"/>
      <c r="I5" s="219"/>
      <c r="J5" s="220"/>
    </row>
    <row r="6" spans="1:10" x14ac:dyDescent="0.25">
      <c r="A6" s="159" t="s">
        <v>3</v>
      </c>
      <c r="B6" s="133"/>
      <c r="C6" s="133"/>
      <c r="D6" s="133"/>
      <c r="E6" s="134"/>
      <c r="F6" s="154" t="s">
        <v>141</v>
      </c>
      <c r="G6" s="163"/>
      <c r="H6" s="163"/>
      <c r="I6" s="163"/>
      <c r="J6" s="155"/>
    </row>
    <row r="7" spans="1:10" x14ac:dyDescent="0.25">
      <c r="A7" s="159" t="s">
        <v>4</v>
      </c>
      <c r="B7" s="133"/>
      <c r="C7" s="133"/>
      <c r="D7" s="133"/>
      <c r="E7" s="134"/>
      <c r="F7" s="154" t="str">
        <f>F6</f>
        <v>M/s.Valshet Corporation.</v>
      </c>
      <c r="G7" s="163"/>
      <c r="H7" s="163"/>
      <c r="I7" s="163"/>
      <c r="J7" s="155"/>
    </row>
    <row r="8" spans="1:10" x14ac:dyDescent="0.25">
      <c r="A8" s="159" t="s">
        <v>5</v>
      </c>
      <c r="B8" s="133"/>
      <c r="C8" s="133"/>
      <c r="D8" s="133"/>
      <c r="E8" s="134"/>
      <c r="F8" s="135" t="s">
        <v>170</v>
      </c>
      <c r="G8" s="221"/>
      <c r="H8" s="221"/>
      <c r="I8" s="221"/>
      <c r="J8" s="222"/>
    </row>
    <row r="9" spans="1:10" x14ac:dyDescent="0.25">
      <c r="A9" s="121" t="s">
        <v>246</v>
      </c>
      <c r="B9" s="133"/>
      <c r="C9" s="133"/>
      <c r="D9" s="133"/>
      <c r="E9" s="134"/>
      <c r="F9" s="121">
        <v>2225091011</v>
      </c>
      <c r="G9" s="122"/>
      <c r="H9" s="122"/>
      <c r="I9" s="122"/>
      <c r="J9" s="123"/>
    </row>
    <row r="10" spans="1:10" x14ac:dyDescent="0.25">
      <c r="A10" s="121" t="s">
        <v>138</v>
      </c>
      <c r="B10" s="122"/>
      <c r="C10" s="122"/>
      <c r="D10" s="122"/>
      <c r="E10" s="123"/>
      <c r="F10" s="151" t="s">
        <v>182</v>
      </c>
      <c r="G10" s="152"/>
      <c r="H10" s="152"/>
      <c r="I10" s="152"/>
      <c r="J10" s="153"/>
    </row>
    <row r="11" spans="1:10" x14ac:dyDescent="0.25">
      <c r="A11" s="159" t="s">
        <v>6</v>
      </c>
      <c r="B11" s="133"/>
      <c r="C11" s="133"/>
      <c r="D11" s="133"/>
      <c r="E11" s="134"/>
      <c r="F11" s="118" t="s">
        <v>172</v>
      </c>
      <c r="G11" s="119"/>
      <c r="H11" s="119"/>
      <c r="I11" s="119"/>
      <c r="J11" s="120"/>
    </row>
    <row r="12" spans="1:10" x14ac:dyDescent="0.25">
      <c r="A12" s="121" t="s">
        <v>134</v>
      </c>
      <c r="B12" s="122"/>
      <c r="C12" s="122"/>
      <c r="D12" s="122"/>
      <c r="E12" s="123"/>
      <c r="F12" s="121" t="s">
        <v>142</v>
      </c>
      <c r="G12" s="122"/>
      <c r="H12" s="122"/>
      <c r="I12" s="122"/>
      <c r="J12" s="123"/>
    </row>
    <row r="13" spans="1:10" x14ac:dyDescent="0.25">
      <c r="A13" s="184" t="s">
        <v>63</v>
      </c>
      <c r="B13" s="184"/>
      <c r="C13" s="154" t="s">
        <v>171</v>
      </c>
      <c r="D13" s="163"/>
      <c r="E13" s="163"/>
      <c r="F13" s="163"/>
      <c r="G13" s="163"/>
      <c r="H13" s="163"/>
      <c r="I13" s="163"/>
      <c r="J13" s="155"/>
    </row>
    <row r="14" spans="1:10" x14ac:dyDescent="0.25">
      <c r="A14" s="22" t="s">
        <v>144</v>
      </c>
      <c r="B14" s="121" t="s">
        <v>145</v>
      </c>
      <c r="C14" s="122"/>
      <c r="D14" s="123"/>
      <c r="E14" s="154" t="s">
        <v>143</v>
      </c>
      <c r="F14" s="155"/>
      <c r="G14" s="23" t="s">
        <v>52</v>
      </c>
      <c r="H14" s="4" t="s">
        <v>64</v>
      </c>
      <c r="I14" s="156" t="s">
        <v>150</v>
      </c>
      <c r="J14" s="157"/>
    </row>
    <row r="15" spans="1:10" x14ac:dyDescent="0.25">
      <c r="A15" s="24" t="s">
        <v>7</v>
      </c>
      <c r="B15" s="121" t="s">
        <v>166</v>
      </c>
      <c r="C15" s="122"/>
      <c r="D15" s="122"/>
      <c r="E15" s="123"/>
      <c r="F15" s="3" t="s">
        <v>65</v>
      </c>
      <c r="G15" s="121" t="s">
        <v>146</v>
      </c>
      <c r="H15" s="122"/>
      <c r="I15" s="122"/>
      <c r="J15" s="123"/>
    </row>
    <row r="16" spans="1:10" x14ac:dyDescent="0.25">
      <c r="A16" s="2" t="s">
        <v>8</v>
      </c>
      <c r="B16" s="121" t="s">
        <v>147</v>
      </c>
      <c r="C16" s="122"/>
      <c r="D16" s="122"/>
      <c r="E16" s="123"/>
      <c r="F16" s="3" t="s">
        <v>66</v>
      </c>
      <c r="G16" s="121">
        <v>421601</v>
      </c>
      <c r="H16" s="122"/>
      <c r="I16" s="122"/>
      <c r="J16" s="123"/>
    </row>
    <row r="17" spans="1:10" ht="32.25" customHeight="1" x14ac:dyDescent="0.25">
      <c r="A17" s="184" t="s">
        <v>67</v>
      </c>
      <c r="B17" s="184"/>
      <c r="C17" s="217" t="s">
        <v>149</v>
      </c>
      <c r="D17" s="217"/>
      <c r="E17" s="217"/>
      <c r="F17" s="226" t="s">
        <v>54</v>
      </c>
      <c r="G17" s="226"/>
      <c r="H17" s="163" t="s">
        <v>148</v>
      </c>
      <c r="I17" s="163"/>
      <c r="J17" s="155"/>
    </row>
    <row r="18" spans="1:10" ht="15" customHeight="1" x14ac:dyDescent="0.25">
      <c r="A18" s="197" t="s">
        <v>137</v>
      </c>
      <c r="B18" s="203"/>
      <c r="C18" s="203"/>
      <c r="D18" s="203"/>
      <c r="E18" s="204"/>
      <c r="F18" s="208" t="s">
        <v>61</v>
      </c>
      <c r="G18" s="209"/>
      <c r="H18" s="209"/>
      <c r="I18" s="209"/>
      <c r="J18" s="210"/>
    </row>
    <row r="19" spans="1:10" x14ac:dyDescent="0.25">
      <c r="A19" s="205"/>
      <c r="B19" s="206"/>
      <c r="C19" s="206"/>
      <c r="D19" s="206"/>
      <c r="E19" s="207"/>
      <c r="F19" s="211"/>
      <c r="G19" s="212"/>
      <c r="H19" s="212"/>
      <c r="I19" s="212"/>
      <c r="J19" s="213"/>
    </row>
    <row r="20" spans="1:10" ht="15" customHeight="1" x14ac:dyDescent="0.25">
      <c r="A20" s="197" t="s">
        <v>104</v>
      </c>
      <c r="B20" s="198"/>
      <c r="C20" s="198"/>
      <c r="D20" s="198"/>
      <c r="E20" s="199"/>
      <c r="F20" s="197" t="s">
        <v>49</v>
      </c>
      <c r="G20" s="203"/>
      <c r="H20" s="203"/>
      <c r="I20" s="203"/>
      <c r="J20" s="204"/>
    </row>
    <row r="21" spans="1:10" x14ac:dyDescent="0.25">
      <c r="A21" s="200"/>
      <c r="B21" s="201"/>
      <c r="C21" s="201"/>
      <c r="D21" s="201"/>
      <c r="E21" s="202"/>
      <c r="F21" s="205"/>
      <c r="G21" s="206"/>
      <c r="H21" s="206"/>
      <c r="I21" s="206"/>
      <c r="J21" s="207"/>
    </row>
    <row r="22" spans="1:10" x14ac:dyDescent="0.25">
      <c r="A22" s="159" t="s">
        <v>9</v>
      </c>
      <c r="B22" s="133"/>
      <c r="C22" s="133"/>
      <c r="D22" s="133"/>
      <c r="E22" s="134"/>
      <c r="F22" s="223" t="s">
        <v>132</v>
      </c>
      <c r="G22" s="224"/>
      <c r="H22" s="224"/>
      <c r="I22" s="224"/>
      <c r="J22" s="225"/>
    </row>
    <row r="23" spans="1:10" x14ac:dyDescent="0.25">
      <c r="A23" s="159" t="s">
        <v>10</v>
      </c>
      <c r="B23" s="133"/>
      <c r="C23" s="133"/>
      <c r="D23" s="133"/>
      <c r="E23" s="134"/>
      <c r="F23" s="214" t="s">
        <v>55</v>
      </c>
      <c r="G23" s="215"/>
      <c r="H23" s="215"/>
      <c r="I23" s="215"/>
      <c r="J23" s="216"/>
    </row>
    <row r="24" spans="1:10" x14ac:dyDescent="0.25">
      <c r="A24" s="159" t="s">
        <v>11</v>
      </c>
      <c r="B24" s="133"/>
      <c r="C24" s="133"/>
      <c r="D24" s="133"/>
      <c r="E24" s="134"/>
      <c r="F24" s="223" t="s">
        <v>133</v>
      </c>
      <c r="G24" s="224"/>
      <c r="H24" s="224"/>
      <c r="I24" s="224"/>
      <c r="J24" s="225"/>
    </row>
    <row r="25" spans="1:10" x14ac:dyDescent="0.25">
      <c r="A25" s="159" t="s">
        <v>28</v>
      </c>
      <c r="B25" s="133"/>
      <c r="C25" s="133"/>
      <c r="D25" s="133"/>
      <c r="E25" s="134"/>
      <c r="F25" s="214" t="s">
        <v>68</v>
      </c>
      <c r="G25" s="215"/>
      <c r="H25" s="215"/>
      <c r="I25" s="215"/>
      <c r="J25" s="216"/>
    </row>
    <row r="26" spans="1:10" x14ac:dyDescent="0.25">
      <c r="A26" s="148" t="s">
        <v>12</v>
      </c>
      <c r="B26" s="149"/>
      <c r="C26" s="148" t="s">
        <v>13</v>
      </c>
      <c r="D26" s="149"/>
      <c r="E26" s="148" t="s">
        <v>14</v>
      </c>
      <c r="F26" s="149"/>
      <c r="G26" s="148" t="s">
        <v>53</v>
      </c>
      <c r="H26" s="149"/>
      <c r="I26" s="148" t="s">
        <v>15</v>
      </c>
      <c r="J26" s="149"/>
    </row>
    <row r="27" spans="1:10" x14ac:dyDescent="0.25">
      <c r="A27" s="148" t="s">
        <v>16</v>
      </c>
      <c r="B27" s="149"/>
      <c r="C27" s="148" t="s">
        <v>52</v>
      </c>
      <c r="D27" s="149"/>
      <c r="E27" s="148" t="s">
        <v>52</v>
      </c>
      <c r="F27" s="149"/>
      <c r="G27" s="148" t="s">
        <v>52</v>
      </c>
      <c r="H27" s="149"/>
      <c r="I27" s="148" t="s">
        <v>52</v>
      </c>
      <c r="J27" s="149"/>
    </row>
    <row r="28" spans="1:10" x14ac:dyDescent="0.25">
      <c r="A28" s="148" t="s">
        <v>17</v>
      </c>
      <c r="B28" s="149"/>
      <c r="C28" s="148" t="s">
        <v>173</v>
      </c>
      <c r="D28" s="149"/>
      <c r="E28" s="148" t="s">
        <v>173</v>
      </c>
      <c r="F28" s="149"/>
      <c r="G28" s="148" t="s">
        <v>173</v>
      </c>
      <c r="H28" s="149"/>
      <c r="I28" s="148" t="s">
        <v>173</v>
      </c>
      <c r="J28" s="149"/>
    </row>
    <row r="29" spans="1:10" x14ac:dyDescent="0.25">
      <c r="A29" s="151" t="s">
        <v>60</v>
      </c>
      <c r="B29" s="152"/>
      <c r="C29" s="152"/>
      <c r="D29" s="152"/>
      <c r="E29" s="152"/>
      <c r="F29" s="152"/>
      <c r="G29" s="152"/>
      <c r="H29" s="152"/>
      <c r="I29" s="152"/>
      <c r="J29" s="153"/>
    </row>
    <row r="30" spans="1:10" x14ac:dyDescent="0.25">
      <c r="A30" s="151" t="s">
        <v>129</v>
      </c>
      <c r="B30" s="152"/>
      <c r="C30" s="152"/>
      <c r="D30" s="152"/>
      <c r="E30" s="152"/>
      <c r="F30" s="152"/>
      <c r="G30" s="152"/>
      <c r="H30" s="152"/>
      <c r="I30" s="152"/>
      <c r="J30" s="153"/>
    </row>
    <row r="31" spans="1:10" x14ac:dyDescent="0.25">
      <c r="A31" s="151" t="s">
        <v>42</v>
      </c>
      <c r="B31" s="153"/>
      <c r="C31" s="148" t="s">
        <v>43</v>
      </c>
      <c r="D31" s="149"/>
      <c r="E31" s="148">
        <v>19.4263063</v>
      </c>
      <c r="F31" s="149"/>
      <c r="G31" s="148" t="s">
        <v>44</v>
      </c>
      <c r="H31" s="149"/>
      <c r="I31" s="148">
        <v>73.303932799999998</v>
      </c>
      <c r="J31" s="149"/>
    </row>
    <row r="32" spans="1:10" x14ac:dyDescent="0.25">
      <c r="A32" s="151" t="s">
        <v>243</v>
      </c>
      <c r="B32" s="153"/>
      <c r="C32" s="195" t="s">
        <v>244</v>
      </c>
      <c r="D32" s="196"/>
      <c r="E32" s="196"/>
      <c r="F32" s="196"/>
      <c r="G32" s="196"/>
      <c r="H32" s="196"/>
      <c r="I32" s="196"/>
      <c r="J32" s="149"/>
    </row>
    <row r="33" spans="1:10" x14ac:dyDescent="0.25">
      <c r="A33" s="170" t="s">
        <v>18</v>
      </c>
      <c r="B33" s="171"/>
      <c r="C33" s="171"/>
      <c r="D33" s="171"/>
      <c r="E33" s="171"/>
      <c r="F33" s="171"/>
      <c r="G33" s="171"/>
      <c r="H33" s="171"/>
      <c r="I33" s="171"/>
      <c r="J33" s="172"/>
    </row>
    <row r="34" spans="1:10" ht="15" customHeight="1" x14ac:dyDescent="0.25">
      <c r="A34" s="164" t="s">
        <v>167</v>
      </c>
      <c r="B34" s="165"/>
      <c r="C34" s="165"/>
      <c r="D34" s="165"/>
      <c r="E34" s="165"/>
      <c r="F34" s="165"/>
      <c r="G34" s="165"/>
      <c r="H34" s="165"/>
      <c r="I34" s="165"/>
      <c r="J34" s="166"/>
    </row>
    <row r="35" spans="1:10" x14ac:dyDescent="0.25">
      <c r="A35" s="167"/>
      <c r="B35" s="168"/>
      <c r="C35" s="168"/>
      <c r="D35" s="168"/>
      <c r="E35" s="168"/>
      <c r="F35" s="168"/>
      <c r="G35" s="168"/>
      <c r="H35" s="168"/>
      <c r="I35" s="168"/>
      <c r="J35" s="169"/>
    </row>
    <row r="36" spans="1:10" ht="16.5" customHeight="1" x14ac:dyDescent="0.25">
      <c r="A36" s="121" t="s">
        <v>69</v>
      </c>
      <c r="B36" s="133"/>
      <c r="C36" s="133"/>
      <c r="D36" s="133"/>
      <c r="E36" s="134"/>
      <c r="F36" s="154">
        <v>10710</v>
      </c>
      <c r="G36" s="163"/>
      <c r="H36" s="163"/>
      <c r="I36" s="163"/>
      <c r="J36" s="155"/>
    </row>
    <row r="37" spans="1:10" x14ac:dyDescent="0.25">
      <c r="A37" s="159" t="s">
        <v>19</v>
      </c>
      <c r="B37" s="133"/>
      <c r="C37" s="133"/>
      <c r="D37" s="133"/>
      <c r="E37" s="134"/>
      <c r="F37" s="121">
        <v>1</v>
      </c>
      <c r="G37" s="122"/>
      <c r="H37" s="122"/>
      <c r="I37" s="122"/>
      <c r="J37" s="123"/>
    </row>
    <row r="38" spans="1:10" x14ac:dyDescent="0.25">
      <c r="A38" s="159" t="s">
        <v>20</v>
      </c>
      <c r="B38" s="133"/>
      <c r="C38" s="133"/>
      <c r="D38" s="133"/>
      <c r="E38" s="134"/>
      <c r="F38" s="121">
        <f>F40/F36-F37</f>
        <v>0.19999999999999996</v>
      </c>
      <c r="G38" s="122"/>
      <c r="H38" s="122"/>
      <c r="I38" s="122"/>
      <c r="J38" s="123"/>
    </row>
    <row r="39" spans="1:10" x14ac:dyDescent="0.25">
      <c r="A39" s="159" t="s">
        <v>21</v>
      </c>
      <c r="B39" s="133"/>
      <c r="C39" s="133"/>
      <c r="D39" s="133"/>
      <c r="E39" s="134"/>
      <c r="F39" s="121">
        <f>F37+F38</f>
        <v>1.2</v>
      </c>
      <c r="G39" s="122"/>
      <c r="H39" s="122"/>
      <c r="I39" s="122"/>
      <c r="J39" s="123"/>
    </row>
    <row r="40" spans="1:10" x14ac:dyDescent="0.25">
      <c r="A40" s="121" t="s">
        <v>70</v>
      </c>
      <c r="B40" s="133"/>
      <c r="C40" s="133"/>
      <c r="D40" s="133"/>
      <c r="E40" s="134"/>
      <c r="F40" s="121">
        <v>12852</v>
      </c>
      <c r="G40" s="122"/>
      <c r="H40" s="122"/>
      <c r="I40" s="122"/>
      <c r="J40" s="123"/>
    </row>
    <row r="41" spans="1:10" x14ac:dyDescent="0.25">
      <c r="A41" s="159" t="s">
        <v>22</v>
      </c>
      <c r="B41" s="133"/>
      <c r="C41" s="133"/>
      <c r="D41" s="133"/>
      <c r="E41" s="134"/>
      <c r="F41" s="151" t="s">
        <v>175</v>
      </c>
      <c r="G41" s="152"/>
      <c r="H41" s="152"/>
      <c r="I41" s="152"/>
      <c r="J41" s="153"/>
    </row>
    <row r="42" spans="1:10" x14ac:dyDescent="0.25">
      <c r="A42" s="135" t="s">
        <v>72</v>
      </c>
      <c r="B42" s="221"/>
      <c r="C42" s="221"/>
      <c r="D42" s="221"/>
      <c r="E42" s="221"/>
      <c r="F42" s="221"/>
      <c r="G42" s="221"/>
      <c r="H42" s="221"/>
      <c r="I42" s="221"/>
      <c r="J42" s="222"/>
    </row>
    <row r="43" spans="1:10" x14ac:dyDescent="0.25">
      <c r="A43" s="154" t="s">
        <v>71</v>
      </c>
      <c r="B43" s="155"/>
      <c r="C43" s="160" t="s">
        <v>151</v>
      </c>
      <c r="D43" s="161"/>
      <c r="E43" s="161"/>
      <c r="F43" s="162"/>
      <c r="G43" s="21" t="s">
        <v>62</v>
      </c>
      <c r="H43" s="154" t="s">
        <v>152</v>
      </c>
      <c r="I43" s="163"/>
      <c r="J43" s="155"/>
    </row>
    <row r="44" spans="1:10" x14ac:dyDescent="0.25">
      <c r="A44" s="154" t="s">
        <v>136</v>
      </c>
      <c r="B44" s="155"/>
      <c r="C44" s="160" t="s">
        <v>151</v>
      </c>
      <c r="D44" s="161"/>
      <c r="E44" s="161"/>
      <c r="F44" s="162"/>
      <c r="G44" s="21" t="s">
        <v>62</v>
      </c>
      <c r="H44" s="154" t="str">
        <f>H43</f>
        <v>21/09/2017.</v>
      </c>
      <c r="I44" s="163"/>
      <c r="J44" s="155"/>
    </row>
    <row r="45" spans="1:10" ht="59.1" customHeight="1" x14ac:dyDescent="0.25">
      <c r="A45" s="154" t="s">
        <v>153</v>
      </c>
      <c r="B45" s="155"/>
      <c r="C45" s="181" t="s">
        <v>174</v>
      </c>
      <c r="D45" s="137"/>
      <c r="E45" s="137"/>
      <c r="F45" s="138"/>
      <c r="G45" s="5" t="s">
        <v>62</v>
      </c>
      <c r="H45" s="136" t="s">
        <v>154</v>
      </c>
      <c r="I45" s="137"/>
      <c r="J45" s="138"/>
    </row>
    <row r="46" spans="1:10" x14ac:dyDescent="0.25">
      <c r="A46" s="154" t="s">
        <v>102</v>
      </c>
      <c r="B46" s="155"/>
      <c r="C46" s="181" t="s">
        <v>52</v>
      </c>
      <c r="D46" s="182"/>
      <c r="E46" s="182"/>
      <c r="F46" s="182" t="s">
        <v>103</v>
      </c>
      <c r="G46" s="183"/>
      <c r="H46" s="5" t="s">
        <v>62</v>
      </c>
      <c r="I46" s="217" t="s">
        <v>52</v>
      </c>
      <c r="J46" s="217"/>
    </row>
    <row r="47" spans="1:10" x14ac:dyDescent="0.25">
      <c r="A47" s="184" t="s">
        <v>75</v>
      </c>
      <c r="B47" s="184"/>
      <c r="C47" s="184"/>
      <c r="D47" s="158" t="str">
        <f>H45</f>
        <v>29/12/2017.</v>
      </c>
      <c r="E47" s="158"/>
      <c r="F47" s="121" t="s">
        <v>73</v>
      </c>
      <c r="G47" s="150"/>
      <c r="H47" s="154" t="s">
        <v>242</v>
      </c>
      <c r="I47" s="122"/>
      <c r="J47" s="123"/>
    </row>
    <row r="48" spans="1:10" x14ac:dyDescent="0.25">
      <c r="A48" s="189" t="s">
        <v>23</v>
      </c>
      <c r="B48" s="190"/>
      <c r="C48" s="190"/>
      <c r="D48" s="190"/>
      <c r="E48" s="190"/>
      <c r="F48" s="190"/>
      <c r="G48" s="190"/>
      <c r="H48" s="190"/>
      <c r="I48" s="190"/>
      <c r="J48" s="191"/>
    </row>
    <row r="49" spans="1:12" x14ac:dyDescent="0.25">
      <c r="A49" s="121" t="s">
        <v>101</v>
      </c>
      <c r="B49" s="122"/>
      <c r="C49" s="123"/>
      <c r="D49" s="185">
        <f>F40</f>
        <v>12852</v>
      </c>
      <c r="E49" s="186"/>
      <c r="F49" s="187" t="s">
        <v>130</v>
      </c>
      <c r="G49" s="188"/>
      <c r="H49" s="187" t="s">
        <v>168</v>
      </c>
      <c r="I49" s="230"/>
      <c r="J49" s="188"/>
    </row>
    <row r="50" spans="1:12" ht="32.25" customHeight="1" x14ac:dyDescent="0.25">
      <c r="A50" s="185" t="s">
        <v>74</v>
      </c>
      <c r="B50" s="192"/>
      <c r="C50" s="154" t="s">
        <v>239</v>
      </c>
      <c r="D50" s="163"/>
      <c r="E50" s="163"/>
      <c r="F50" s="163"/>
      <c r="G50" s="163"/>
      <c r="H50" s="163"/>
      <c r="I50" s="163"/>
      <c r="J50" s="155"/>
    </row>
    <row r="51" spans="1:12" x14ac:dyDescent="0.25">
      <c r="A51" s="121" t="s">
        <v>50</v>
      </c>
      <c r="B51" s="122"/>
      <c r="C51" s="122"/>
      <c r="D51" s="154" t="s">
        <v>56</v>
      </c>
      <c r="E51" s="163"/>
      <c r="F51" s="163"/>
      <c r="G51" s="163"/>
      <c r="H51" s="163"/>
      <c r="I51" s="163"/>
      <c r="J51" s="155"/>
    </row>
    <row r="52" spans="1:12" ht="15.75" thickBot="1" x14ac:dyDescent="0.3">
      <c r="A52" s="121" t="s">
        <v>57</v>
      </c>
      <c r="B52" s="122"/>
      <c r="C52" s="122"/>
      <c r="D52" s="122"/>
      <c r="E52" s="122"/>
      <c r="F52" s="122"/>
      <c r="G52" s="122"/>
      <c r="H52" s="122"/>
      <c r="I52" s="122"/>
      <c r="J52" s="123"/>
    </row>
    <row r="53" spans="1:12" ht="15" customHeight="1" x14ac:dyDescent="0.25">
      <c r="A53" s="81" t="s">
        <v>204</v>
      </c>
      <c r="B53" s="82"/>
      <c r="C53" s="83" t="s">
        <v>240</v>
      </c>
      <c r="D53" s="84"/>
      <c r="E53" s="84"/>
      <c r="F53" s="84"/>
      <c r="G53" s="84"/>
      <c r="H53" s="84"/>
      <c r="I53" s="84"/>
      <c r="J53" s="85"/>
      <c r="K53" s="42"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Work not yet Started.</v>
      </c>
      <c r="L53" s="43"/>
    </row>
    <row r="54" spans="1:12" ht="15.75" customHeight="1" x14ac:dyDescent="0.25">
      <c r="A54" s="44" t="s">
        <v>205</v>
      </c>
      <c r="B54" s="45">
        <v>0</v>
      </c>
      <c r="C54" s="45" t="s">
        <v>206</v>
      </c>
      <c r="D54" s="45">
        <v>1</v>
      </c>
      <c r="E54" s="86" t="s">
        <v>207</v>
      </c>
      <c r="F54" s="87"/>
      <c r="G54" s="45">
        <v>0</v>
      </c>
      <c r="H54" s="45" t="s">
        <v>208</v>
      </c>
      <c r="I54" s="86">
        <f ca="1">--TRIM(RIGHT(SUBSTITUTE(LEFT(C53,_xlfn.AGGREGATE(16,6,FIND({0,1,2,3,4,5,6,7,8,9},C53,ROW(INDIRECT("1:"&amp;LEN(C53)))),1))," ",REPT(" ",LEN(C53))),LEN(C53)))</f>
        <v>7</v>
      </c>
      <c r="J54" s="88"/>
      <c r="K54" s="46"/>
      <c r="L54" s="47"/>
    </row>
    <row r="55" spans="1:12" ht="15" customHeight="1" x14ac:dyDescent="0.25">
      <c r="A55" s="89" t="s">
        <v>209</v>
      </c>
      <c r="B55" s="90"/>
      <c r="C55" s="91" t="str">
        <f ca="1">K53</f>
        <v>Work not yet Started.</v>
      </c>
      <c r="D55" s="92"/>
      <c r="E55" s="92"/>
      <c r="F55" s="92"/>
      <c r="G55" s="92"/>
      <c r="H55" s="92"/>
      <c r="I55" s="92"/>
      <c r="J55" s="93"/>
      <c r="K55" s="46" t="s">
        <v>210</v>
      </c>
      <c r="L55" s="47"/>
    </row>
    <row r="56" spans="1:12" ht="15.75" x14ac:dyDescent="0.25">
      <c r="A56" s="94" t="s">
        <v>34</v>
      </c>
      <c r="B56" s="95"/>
      <c r="C56" s="55" t="s">
        <v>211</v>
      </c>
      <c r="D56" s="61" t="s">
        <v>212</v>
      </c>
      <c r="E56" s="61"/>
      <c r="F56" s="61" t="s">
        <v>213</v>
      </c>
      <c r="G56" s="61"/>
      <c r="H56" s="61" t="s">
        <v>214</v>
      </c>
      <c r="I56" s="61"/>
      <c r="J56" s="96"/>
      <c r="K56" s="48" t="s">
        <v>215</v>
      </c>
      <c r="L56" s="49">
        <f ca="1">I54*25%</f>
        <v>1.75</v>
      </c>
    </row>
    <row r="57" spans="1:12" ht="15.75" x14ac:dyDescent="0.25">
      <c r="A57" s="60" t="s">
        <v>216</v>
      </c>
      <c r="B57" s="61"/>
      <c r="C57" s="56">
        <v>0</v>
      </c>
      <c r="D57" s="62">
        <f ca="1">((100/I54)*C57)/100</f>
        <v>0</v>
      </c>
      <c r="E57" s="63"/>
      <c r="F57" s="64">
        <f ca="1">(((C58/I54*10)+(40/(D54+G54+I54)*C59)+(7.5/(I54)*C60)+(7.5/(I54)*C61)+(10/I54*C62)+(10/I54*C63)+(5/I54*C64)+(5/I54*C65)+(5/I54*C66))/100)</f>
        <v>0</v>
      </c>
      <c r="G57" s="64"/>
      <c r="H57" s="66">
        <f ca="1">((((C57/I54)*20)+((C58/I54)*25)+(30/(I54+G54+D54)*C59)+(5/I54*C60)+(5/I54*C61)+(5/I54*C62)+(5/I54*C63)+(0/I54*C64)+(0/I54*C65)+(5/I54*C66))/100)</f>
        <v>0</v>
      </c>
      <c r="I57" s="67"/>
      <c r="J57" s="68"/>
      <c r="K57" s="48" t="s">
        <v>217</v>
      </c>
      <c r="L57" s="50">
        <f ca="1">I54*50%</f>
        <v>3.5</v>
      </c>
    </row>
    <row r="58" spans="1:12" ht="15.75" x14ac:dyDescent="0.25">
      <c r="A58" s="60" t="s">
        <v>35</v>
      </c>
      <c r="B58" s="61"/>
      <c r="C58" s="57">
        <v>0</v>
      </c>
      <c r="D58" s="62">
        <f ca="1">((100/I54)*C58)/100</f>
        <v>0</v>
      </c>
      <c r="E58" s="63"/>
      <c r="F58" s="64"/>
      <c r="G58" s="64"/>
      <c r="H58" s="69"/>
      <c r="I58" s="70"/>
      <c r="J58" s="71"/>
      <c r="K58" s="48" t="s">
        <v>218</v>
      </c>
      <c r="L58" s="50">
        <f ca="1">I54</f>
        <v>7</v>
      </c>
    </row>
    <row r="59" spans="1:12" ht="15.75" x14ac:dyDescent="0.25">
      <c r="A59" s="75" t="s">
        <v>219</v>
      </c>
      <c r="B59" s="76"/>
      <c r="C59" s="57">
        <v>0</v>
      </c>
      <c r="D59" s="62">
        <f ca="1">((100/(D54+G54+I54))*C59)/100</f>
        <v>0</v>
      </c>
      <c r="E59" s="63"/>
      <c r="F59" s="64"/>
      <c r="G59" s="64"/>
      <c r="H59" s="69"/>
      <c r="I59" s="70"/>
      <c r="J59" s="71"/>
      <c r="K59" s="48" t="s">
        <v>220</v>
      </c>
      <c r="L59" s="51">
        <f ca="1">(IF(B54&gt;1,(I54/(B54+2)),I54/4))</f>
        <v>1.75</v>
      </c>
    </row>
    <row r="60" spans="1:12" ht="15.75" x14ac:dyDescent="0.25">
      <c r="A60" s="60" t="s">
        <v>221</v>
      </c>
      <c r="B60" s="61" t="s">
        <v>222</v>
      </c>
      <c r="C60" s="56">
        <v>0</v>
      </c>
      <c r="D60" s="62">
        <f ca="1">((100/I54)*C60)/100</f>
        <v>0</v>
      </c>
      <c r="E60" s="63"/>
      <c r="F60" s="64"/>
      <c r="G60" s="64"/>
      <c r="H60" s="69"/>
      <c r="I60" s="70"/>
      <c r="J60" s="71"/>
      <c r="K60" s="48" t="s">
        <v>223</v>
      </c>
      <c r="L60" s="51">
        <f ca="1">(IF(B54&gt;1,(I54/(B54+2)+L59),I54/4+L59))</f>
        <v>3.5</v>
      </c>
    </row>
    <row r="61" spans="1:12" ht="15.75" x14ac:dyDescent="0.25">
      <c r="A61" s="60" t="s">
        <v>224</v>
      </c>
      <c r="B61" s="61" t="s">
        <v>222</v>
      </c>
      <c r="C61" s="56">
        <v>0</v>
      </c>
      <c r="D61" s="62">
        <f ca="1">((100/I54)*C61)/100</f>
        <v>0</v>
      </c>
      <c r="E61" s="63"/>
      <c r="F61" s="64"/>
      <c r="G61" s="64"/>
      <c r="H61" s="69"/>
      <c r="I61" s="70"/>
      <c r="J61" s="71"/>
      <c r="K61" s="48" t="s">
        <v>225</v>
      </c>
      <c r="L61" s="51">
        <f>(IF(B54&gt;1,(I54/(B54+2)+L60),0))</f>
        <v>0</v>
      </c>
    </row>
    <row r="62" spans="1:12" ht="15.75" x14ac:dyDescent="0.25">
      <c r="A62" s="75" t="s">
        <v>226</v>
      </c>
      <c r="B62" s="76" t="s">
        <v>227</v>
      </c>
      <c r="C62" s="56">
        <v>0</v>
      </c>
      <c r="D62" s="62">
        <f ca="1">((100/(I54))*C62)/100</f>
        <v>0</v>
      </c>
      <c r="E62" s="63"/>
      <c r="F62" s="64"/>
      <c r="G62" s="64"/>
      <c r="H62" s="69"/>
      <c r="I62" s="70"/>
      <c r="J62" s="71"/>
      <c r="K62" s="48" t="s">
        <v>228</v>
      </c>
      <c r="L62" s="51">
        <f>(IF(B54&gt;2,(I54/(B54+2)+L61),0))</f>
        <v>0</v>
      </c>
    </row>
    <row r="63" spans="1:12" ht="15.75" x14ac:dyDescent="0.25">
      <c r="A63" s="60" t="s">
        <v>229</v>
      </c>
      <c r="B63" s="61" t="s">
        <v>229</v>
      </c>
      <c r="C63" s="56">
        <v>0</v>
      </c>
      <c r="D63" s="62">
        <f ca="1">((100/I54)*C63)/100</f>
        <v>0</v>
      </c>
      <c r="E63" s="63"/>
      <c r="F63" s="64"/>
      <c r="G63" s="64"/>
      <c r="H63" s="69"/>
      <c r="I63" s="70"/>
      <c r="J63" s="71"/>
      <c r="K63" s="48" t="s">
        <v>230</v>
      </c>
      <c r="L63" s="52">
        <f>(IF(B54&gt;3,(I54/(B54+2)+L62),0))</f>
        <v>0</v>
      </c>
    </row>
    <row r="64" spans="1:12" ht="15" customHeight="1" x14ac:dyDescent="0.25">
      <c r="A64" s="60" t="s">
        <v>231</v>
      </c>
      <c r="B64" s="61"/>
      <c r="C64" s="56">
        <v>0</v>
      </c>
      <c r="D64" s="62">
        <f ca="1">((100/I54)*C64)/100</f>
        <v>0</v>
      </c>
      <c r="E64" s="63"/>
      <c r="F64" s="64"/>
      <c r="G64" s="64"/>
      <c r="H64" s="69"/>
      <c r="I64" s="70"/>
      <c r="J64" s="71"/>
      <c r="K64" s="48" t="s">
        <v>232</v>
      </c>
      <c r="L64" s="51">
        <f>(IF(B54&gt;4,(I54/(B54+2)+L63),0))</f>
        <v>0</v>
      </c>
    </row>
    <row r="65" spans="1:12" ht="15.75" x14ac:dyDescent="0.25">
      <c r="A65" s="60" t="s">
        <v>233</v>
      </c>
      <c r="B65" s="61" t="s">
        <v>233</v>
      </c>
      <c r="C65" s="56">
        <v>0</v>
      </c>
      <c r="D65" s="62">
        <f ca="1">((100/(I54))*C65)/100</f>
        <v>0</v>
      </c>
      <c r="E65" s="63"/>
      <c r="F65" s="64"/>
      <c r="G65" s="64"/>
      <c r="H65" s="69"/>
      <c r="I65" s="70"/>
      <c r="J65" s="71"/>
      <c r="K65" s="48" t="s">
        <v>234</v>
      </c>
      <c r="L65" s="51">
        <f ca="1">(IF(B54=1,(I54/(B54+3)+L60),IF(B54=0,(I54/4+L60),IF(B54&gt;1,0))))</f>
        <v>5.25</v>
      </c>
    </row>
    <row r="66" spans="1:12" ht="16.5" thickBot="1" x14ac:dyDescent="0.3">
      <c r="A66" s="77" t="s">
        <v>235</v>
      </c>
      <c r="B66" s="78"/>
      <c r="C66" s="58">
        <v>0</v>
      </c>
      <c r="D66" s="79">
        <f ca="1">((100/(I54))*C66)/100</f>
        <v>0</v>
      </c>
      <c r="E66" s="80"/>
      <c r="F66" s="65"/>
      <c r="G66" s="65"/>
      <c r="H66" s="72"/>
      <c r="I66" s="73"/>
      <c r="J66" s="74"/>
      <c r="K66" s="53" t="s">
        <v>236</v>
      </c>
      <c r="L66" s="54">
        <f ca="1">(IF(B54&gt;1.5,(I54/(B54+2)+L60+MAX(0,L61-L60)+MAX(0,L62-L61)+MAX(0,L63-L62)+MAX(0,L64-L63)+MAX(0,L65-L64)),IF(B54=1,(I54/(B54+3)+L65),IF(B54=0,I54/4+L65))))</f>
        <v>7</v>
      </c>
    </row>
    <row r="67" spans="1:12" ht="15" customHeight="1" x14ac:dyDescent="0.25">
      <c r="A67" s="81" t="s">
        <v>204</v>
      </c>
      <c r="B67" s="82"/>
      <c r="C67" s="83" t="s">
        <v>237</v>
      </c>
      <c r="D67" s="84"/>
      <c r="E67" s="84"/>
      <c r="F67" s="84"/>
      <c r="G67" s="84"/>
      <c r="H67" s="84"/>
      <c r="I67" s="84"/>
      <c r="J67" s="85"/>
      <c r="K67" s="42"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upto 2 Slab Completed</v>
      </c>
      <c r="L67" s="43"/>
    </row>
    <row r="68" spans="1:12" ht="15.75" customHeight="1" x14ac:dyDescent="0.25">
      <c r="A68" s="44" t="s">
        <v>205</v>
      </c>
      <c r="B68" s="45">
        <v>0</v>
      </c>
      <c r="C68" s="45" t="s">
        <v>206</v>
      </c>
      <c r="D68" s="45">
        <v>1</v>
      </c>
      <c r="E68" s="86" t="s">
        <v>207</v>
      </c>
      <c r="F68" s="87"/>
      <c r="G68" s="45">
        <v>0</v>
      </c>
      <c r="H68" s="45" t="s">
        <v>208</v>
      </c>
      <c r="I68" s="86">
        <f ca="1">--TRIM(RIGHT(SUBSTITUTE(LEFT(C67,_xlfn.AGGREGATE(16,6,FIND({0,1,2,3,4,5,6,7,8,9},C67,ROW(INDIRECT("1:"&amp;LEN(C67)))),1))," ",REPT(" ",LEN(C67))),LEN(C67)))</f>
        <v>7</v>
      </c>
      <c r="J68" s="88"/>
      <c r="K68" s="46"/>
      <c r="L68" s="47"/>
    </row>
    <row r="69" spans="1:12" ht="34.5" customHeight="1" x14ac:dyDescent="0.25">
      <c r="A69" s="89" t="s">
        <v>209</v>
      </c>
      <c r="B69" s="90"/>
      <c r="C69" s="91" t="str">
        <f ca="1">K67</f>
        <v>Excavation work Completed. Plinth work completed, RCC upto 2 Slab Completed</v>
      </c>
      <c r="D69" s="92"/>
      <c r="E69" s="92"/>
      <c r="F69" s="92"/>
      <c r="G69" s="92"/>
      <c r="H69" s="92"/>
      <c r="I69" s="92"/>
      <c r="J69" s="93"/>
      <c r="K69" s="46" t="s">
        <v>210</v>
      </c>
      <c r="L69" s="47"/>
    </row>
    <row r="70" spans="1:12" ht="15.75" x14ac:dyDescent="0.25">
      <c r="A70" s="94" t="s">
        <v>34</v>
      </c>
      <c r="B70" s="95"/>
      <c r="C70" s="55" t="s">
        <v>211</v>
      </c>
      <c r="D70" s="61" t="s">
        <v>212</v>
      </c>
      <c r="E70" s="61"/>
      <c r="F70" s="61" t="s">
        <v>213</v>
      </c>
      <c r="G70" s="61"/>
      <c r="H70" s="61" t="s">
        <v>214</v>
      </c>
      <c r="I70" s="61"/>
      <c r="J70" s="96"/>
      <c r="K70" s="48" t="s">
        <v>215</v>
      </c>
      <c r="L70" s="49">
        <f ca="1">I68*25%</f>
        <v>1.75</v>
      </c>
    </row>
    <row r="71" spans="1:12" ht="15.75" x14ac:dyDescent="0.25">
      <c r="A71" s="60" t="s">
        <v>216</v>
      </c>
      <c r="B71" s="61"/>
      <c r="C71" s="56">
        <f ca="1">L72</f>
        <v>7</v>
      </c>
      <c r="D71" s="62">
        <f ca="1">((100/I68)*C71)/100</f>
        <v>1</v>
      </c>
      <c r="E71" s="63"/>
      <c r="F71" s="64">
        <f ca="1">(((C72/I68*10)+(40/(D68+G68+I68)*C73)+(7.5/(I68)*C74)+(7.5/(I68)*C75)+(10/I68*C76)+(10/I68*C77)+(5/I68*C78)+(5/I68*C79)+(5/I68*C80))/100)</f>
        <v>0.2</v>
      </c>
      <c r="G71" s="64"/>
      <c r="H71" s="66">
        <f ca="1">((((C71/I68)*20)+((C72/I68)*25)+(30/(I68+G68+D68)*C73)+(5/I68*C74)+(5/I68*C75)+(5/I68*C76)+(5/I68*C77)+(0/I68*C78)+(0/I68*C79)+(5/I68*C80))/100)</f>
        <v>0.52500000000000002</v>
      </c>
      <c r="I71" s="67"/>
      <c r="J71" s="68"/>
      <c r="K71" s="48" t="s">
        <v>217</v>
      </c>
      <c r="L71" s="50">
        <f ca="1">I68*50%</f>
        <v>3.5</v>
      </c>
    </row>
    <row r="72" spans="1:12" ht="15.75" x14ac:dyDescent="0.25">
      <c r="A72" s="60" t="s">
        <v>35</v>
      </c>
      <c r="B72" s="61"/>
      <c r="C72" s="57">
        <f ca="1">L80</f>
        <v>7</v>
      </c>
      <c r="D72" s="62">
        <f ca="1">((100/I68)*C72)/100</f>
        <v>1</v>
      </c>
      <c r="E72" s="63"/>
      <c r="F72" s="64"/>
      <c r="G72" s="64"/>
      <c r="H72" s="69"/>
      <c r="I72" s="70"/>
      <c r="J72" s="71"/>
      <c r="K72" s="48" t="s">
        <v>218</v>
      </c>
      <c r="L72" s="50">
        <f ca="1">I68</f>
        <v>7</v>
      </c>
    </row>
    <row r="73" spans="1:12" ht="15.75" x14ac:dyDescent="0.25">
      <c r="A73" s="75" t="s">
        <v>219</v>
      </c>
      <c r="B73" s="76"/>
      <c r="C73" s="57">
        <v>2</v>
      </c>
      <c r="D73" s="62">
        <f ca="1">((100/(D68+G68+I68))*C73)/100</f>
        <v>0.25</v>
      </c>
      <c r="E73" s="63"/>
      <c r="F73" s="64"/>
      <c r="G73" s="64"/>
      <c r="H73" s="69"/>
      <c r="I73" s="70"/>
      <c r="J73" s="71"/>
      <c r="K73" s="48" t="s">
        <v>220</v>
      </c>
      <c r="L73" s="51">
        <f ca="1">(IF(B68&gt;1,(I68/(B68+2)),I68/4))</f>
        <v>1.75</v>
      </c>
    </row>
    <row r="74" spans="1:12" ht="15.75" x14ac:dyDescent="0.25">
      <c r="A74" s="60" t="s">
        <v>221</v>
      </c>
      <c r="B74" s="61" t="s">
        <v>222</v>
      </c>
      <c r="C74" s="56">
        <v>0</v>
      </c>
      <c r="D74" s="62">
        <f ca="1">((100/I68)*C74)/100</f>
        <v>0</v>
      </c>
      <c r="E74" s="63"/>
      <c r="F74" s="64"/>
      <c r="G74" s="64"/>
      <c r="H74" s="69"/>
      <c r="I74" s="70"/>
      <c r="J74" s="71"/>
      <c r="K74" s="48" t="s">
        <v>223</v>
      </c>
      <c r="L74" s="51">
        <f ca="1">(IF(B68&gt;1,(I68/(B68+2)+L73),I68/4+L73))</f>
        <v>3.5</v>
      </c>
    </row>
    <row r="75" spans="1:12" ht="15.75" x14ac:dyDescent="0.25">
      <c r="A75" s="60" t="s">
        <v>224</v>
      </c>
      <c r="B75" s="61" t="s">
        <v>222</v>
      </c>
      <c r="C75" s="56">
        <v>0</v>
      </c>
      <c r="D75" s="62">
        <f ca="1">((100/I68)*C75)/100</f>
        <v>0</v>
      </c>
      <c r="E75" s="63"/>
      <c r="F75" s="64"/>
      <c r="G75" s="64"/>
      <c r="H75" s="69"/>
      <c r="I75" s="70"/>
      <c r="J75" s="71"/>
      <c r="K75" s="48" t="s">
        <v>225</v>
      </c>
      <c r="L75" s="51">
        <f>(IF(B68&gt;1,(I68/(B68+2)+L74),0))</f>
        <v>0</v>
      </c>
    </row>
    <row r="76" spans="1:12" ht="15.75" x14ac:dyDescent="0.25">
      <c r="A76" s="75" t="s">
        <v>226</v>
      </c>
      <c r="B76" s="76" t="s">
        <v>227</v>
      </c>
      <c r="C76" s="56">
        <v>0</v>
      </c>
      <c r="D76" s="62">
        <f ca="1">((100/(I68))*C76)/100</f>
        <v>0</v>
      </c>
      <c r="E76" s="63"/>
      <c r="F76" s="64"/>
      <c r="G76" s="64"/>
      <c r="H76" s="69"/>
      <c r="I76" s="70"/>
      <c r="J76" s="71"/>
      <c r="K76" s="48" t="s">
        <v>228</v>
      </c>
      <c r="L76" s="51">
        <f>(IF(B68&gt;2,(I68/(B68+2)+L75),0))</f>
        <v>0</v>
      </c>
    </row>
    <row r="77" spans="1:12" ht="15.75" x14ac:dyDescent="0.25">
      <c r="A77" s="60" t="s">
        <v>229</v>
      </c>
      <c r="B77" s="61" t="s">
        <v>229</v>
      </c>
      <c r="C77" s="56">
        <v>0</v>
      </c>
      <c r="D77" s="62">
        <f ca="1">((100/I68)*C77)/100</f>
        <v>0</v>
      </c>
      <c r="E77" s="63"/>
      <c r="F77" s="64"/>
      <c r="G77" s="64"/>
      <c r="H77" s="69"/>
      <c r="I77" s="70"/>
      <c r="J77" s="71"/>
      <c r="K77" s="48" t="s">
        <v>230</v>
      </c>
      <c r="L77" s="52">
        <f>(IF(B68&gt;3,(I68/(B68+2)+L76),0))</f>
        <v>0</v>
      </c>
    </row>
    <row r="78" spans="1:12" ht="15" customHeight="1" x14ac:dyDescent="0.25">
      <c r="A78" s="60" t="s">
        <v>231</v>
      </c>
      <c r="B78" s="61"/>
      <c r="C78" s="56">
        <v>0</v>
      </c>
      <c r="D78" s="62">
        <f ca="1">((100/I68)*C78)/100</f>
        <v>0</v>
      </c>
      <c r="E78" s="63"/>
      <c r="F78" s="64"/>
      <c r="G78" s="64"/>
      <c r="H78" s="69"/>
      <c r="I78" s="70"/>
      <c r="J78" s="71"/>
      <c r="K78" s="48" t="s">
        <v>232</v>
      </c>
      <c r="L78" s="51">
        <f>(IF(B68&gt;4,(I68/(B68+2)+L77),0))</f>
        <v>0</v>
      </c>
    </row>
    <row r="79" spans="1:12" ht="15.75" x14ac:dyDescent="0.25">
      <c r="A79" s="60" t="s">
        <v>233</v>
      </c>
      <c r="B79" s="61" t="s">
        <v>233</v>
      </c>
      <c r="C79" s="56">
        <v>0</v>
      </c>
      <c r="D79" s="62">
        <f ca="1">((100/(I68))*C79)/100</f>
        <v>0</v>
      </c>
      <c r="E79" s="63"/>
      <c r="F79" s="64"/>
      <c r="G79" s="64"/>
      <c r="H79" s="69"/>
      <c r="I79" s="70"/>
      <c r="J79" s="71"/>
      <c r="K79" s="48" t="s">
        <v>234</v>
      </c>
      <c r="L79" s="51">
        <f ca="1">(IF(B68=1,(I68/(B68+3)+L74),IF(B68=0,(I68/4+L74),IF(B68&gt;1,0))))</f>
        <v>5.25</v>
      </c>
    </row>
    <row r="80" spans="1:12" ht="16.5" thickBot="1" x14ac:dyDescent="0.3">
      <c r="A80" s="77" t="s">
        <v>235</v>
      </c>
      <c r="B80" s="78"/>
      <c r="C80" s="58">
        <v>0</v>
      </c>
      <c r="D80" s="79">
        <f ca="1">((100/(I68))*C80)/100</f>
        <v>0</v>
      </c>
      <c r="E80" s="80"/>
      <c r="F80" s="65"/>
      <c r="G80" s="65"/>
      <c r="H80" s="72"/>
      <c r="I80" s="73"/>
      <c r="J80" s="74"/>
      <c r="K80" s="53" t="s">
        <v>236</v>
      </c>
      <c r="L80" s="54">
        <f ca="1">(IF(B68&gt;1.5,(I68/(B68+2)+L74+MAX(0,L75-L74)+MAX(0,L76-L75)+MAX(0,L77-L76)+MAX(0,L78-L77)+MAX(0,L79-L78)),IF(B68=1,(I68/(B68+3)+L79),IF(B68=0,I68/4+L79))))</f>
        <v>7</v>
      </c>
    </row>
    <row r="81" spans="1:12" ht="15" customHeight="1" x14ac:dyDescent="0.25">
      <c r="A81" s="81" t="s">
        <v>204</v>
      </c>
      <c r="B81" s="82"/>
      <c r="C81" s="83" t="s">
        <v>241</v>
      </c>
      <c r="D81" s="84"/>
      <c r="E81" s="84"/>
      <c r="F81" s="84"/>
      <c r="G81" s="84"/>
      <c r="H81" s="84"/>
      <c r="I81" s="84"/>
      <c r="J81" s="85"/>
      <c r="K81" s="42"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Work not yet Started.</v>
      </c>
      <c r="L81" s="43"/>
    </row>
    <row r="82" spans="1:12" ht="15.75" customHeight="1" x14ac:dyDescent="0.25">
      <c r="A82" s="44" t="s">
        <v>205</v>
      </c>
      <c r="B82" s="45">
        <v>0</v>
      </c>
      <c r="C82" s="45" t="s">
        <v>206</v>
      </c>
      <c r="D82" s="45">
        <v>1</v>
      </c>
      <c r="E82" s="86" t="s">
        <v>207</v>
      </c>
      <c r="F82" s="87"/>
      <c r="G82" s="45">
        <v>0</v>
      </c>
      <c r="H82" s="45" t="s">
        <v>208</v>
      </c>
      <c r="I82" s="86">
        <f ca="1">--TRIM(RIGHT(SUBSTITUTE(LEFT(C81,_xlfn.AGGREGATE(16,6,FIND({0,1,2,3,4,5,6,7,8,9},C81,ROW(INDIRECT("1:"&amp;LEN(C81)))),1))," ",REPT(" ",LEN(C81))),LEN(C81)))</f>
        <v>4</v>
      </c>
      <c r="J82" s="88"/>
      <c r="K82" s="46"/>
      <c r="L82" s="47"/>
    </row>
    <row r="83" spans="1:12" ht="15" customHeight="1" x14ac:dyDescent="0.25">
      <c r="A83" s="89" t="s">
        <v>209</v>
      </c>
      <c r="B83" s="90"/>
      <c r="C83" s="91" t="str">
        <f ca="1">K81</f>
        <v>Work not yet Started.</v>
      </c>
      <c r="D83" s="92"/>
      <c r="E83" s="92"/>
      <c r="F83" s="92"/>
      <c r="G83" s="92"/>
      <c r="H83" s="92"/>
      <c r="I83" s="92"/>
      <c r="J83" s="93"/>
      <c r="K83" s="46" t="s">
        <v>210</v>
      </c>
      <c r="L83" s="47"/>
    </row>
    <row r="84" spans="1:12" ht="15.75" x14ac:dyDescent="0.25">
      <c r="A84" s="94" t="s">
        <v>34</v>
      </c>
      <c r="B84" s="95"/>
      <c r="C84" s="55" t="s">
        <v>211</v>
      </c>
      <c r="D84" s="61" t="s">
        <v>212</v>
      </c>
      <c r="E84" s="61"/>
      <c r="F84" s="61" t="s">
        <v>213</v>
      </c>
      <c r="G84" s="61"/>
      <c r="H84" s="61" t="s">
        <v>214</v>
      </c>
      <c r="I84" s="61"/>
      <c r="J84" s="96"/>
      <c r="K84" s="48" t="s">
        <v>215</v>
      </c>
      <c r="L84" s="49">
        <f ca="1">I82*25%</f>
        <v>1</v>
      </c>
    </row>
    <row r="85" spans="1:12" ht="15.75" x14ac:dyDescent="0.25">
      <c r="A85" s="60" t="s">
        <v>216</v>
      </c>
      <c r="B85" s="61"/>
      <c r="C85" s="56">
        <v>0</v>
      </c>
      <c r="D85" s="62">
        <f ca="1">((100/I82)*C85)/100</f>
        <v>0</v>
      </c>
      <c r="E85" s="63"/>
      <c r="F85" s="64">
        <f ca="1">(((C86/I82*10)+(40/(D82+G82+I82)*C87)+(7.5/(I82)*C88)+(7.5/(I82)*C89)+(10/I82*C90)+(10/I82*C91)+(5/I82*C92)+(5/I82*C93)+(5/I82*C94))/100)</f>
        <v>0</v>
      </c>
      <c r="G85" s="64"/>
      <c r="H85" s="66">
        <f ca="1">((((C85/I82)*20)+((C86/I82)*25)+(30/(I82+G82+D82)*C87)+(5/I82*C88)+(5/I82*C89)+(5/I82*C90)+(5/I82*C91)+(0/I82*C92)+(0/I82*C93)+(5/I82*C94))/100)</f>
        <v>0</v>
      </c>
      <c r="I85" s="67"/>
      <c r="J85" s="68"/>
      <c r="K85" s="48" t="s">
        <v>217</v>
      </c>
      <c r="L85" s="50">
        <f ca="1">I82*50%</f>
        <v>2</v>
      </c>
    </row>
    <row r="86" spans="1:12" ht="15.75" x14ac:dyDescent="0.25">
      <c r="A86" s="60" t="s">
        <v>35</v>
      </c>
      <c r="B86" s="61"/>
      <c r="C86" s="57">
        <v>0</v>
      </c>
      <c r="D86" s="62">
        <f ca="1">((100/I82)*C86)/100</f>
        <v>0</v>
      </c>
      <c r="E86" s="63"/>
      <c r="F86" s="64"/>
      <c r="G86" s="64"/>
      <c r="H86" s="69"/>
      <c r="I86" s="70"/>
      <c r="J86" s="71"/>
      <c r="K86" s="48" t="s">
        <v>218</v>
      </c>
      <c r="L86" s="50">
        <f ca="1">I82</f>
        <v>4</v>
      </c>
    </row>
    <row r="87" spans="1:12" ht="15.75" x14ac:dyDescent="0.25">
      <c r="A87" s="75" t="s">
        <v>219</v>
      </c>
      <c r="B87" s="76"/>
      <c r="C87" s="57">
        <v>0</v>
      </c>
      <c r="D87" s="62">
        <f ca="1">((100/(D82+G82+I82))*C87)/100</f>
        <v>0</v>
      </c>
      <c r="E87" s="63"/>
      <c r="F87" s="64"/>
      <c r="G87" s="64"/>
      <c r="H87" s="69"/>
      <c r="I87" s="70"/>
      <c r="J87" s="71"/>
      <c r="K87" s="48" t="s">
        <v>220</v>
      </c>
      <c r="L87" s="51">
        <f ca="1">(IF(B82&gt;1,(I82/(B82+2)),I82/4))</f>
        <v>1</v>
      </c>
    </row>
    <row r="88" spans="1:12" ht="15.75" x14ac:dyDescent="0.25">
      <c r="A88" s="60" t="s">
        <v>221</v>
      </c>
      <c r="B88" s="61" t="s">
        <v>222</v>
      </c>
      <c r="C88" s="56">
        <v>0</v>
      </c>
      <c r="D88" s="62">
        <f ca="1">((100/I82)*C88)/100</f>
        <v>0</v>
      </c>
      <c r="E88" s="63"/>
      <c r="F88" s="64"/>
      <c r="G88" s="64"/>
      <c r="H88" s="69"/>
      <c r="I88" s="70"/>
      <c r="J88" s="71"/>
      <c r="K88" s="48" t="s">
        <v>223</v>
      </c>
      <c r="L88" s="51">
        <f ca="1">(IF(B82&gt;1,(I82/(B82+2)+L87),I82/4+L87))</f>
        <v>2</v>
      </c>
    </row>
    <row r="89" spans="1:12" ht="15.75" x14ac:dyDescent="0.25">
      <c r="A89" s="60" t="s">
        <v>224</v>
      </c>
      <c r="B89" s="61" t="s">
        <v>222</v>
      </c>
      <c r="C89" s="56">
        <v>0</v>
      </c>
      <c r="D89" s="62">
        <f ca="1">((100/I82)*C89)/100</f>
        <v>0</v>
      </c>
      <c r="E89" s="63"/>
      <c r="F89" s="64"/>
      <c r="G89" s="64"/>
      <c r="H89" s="69"/>
      <c r="I89" s="70"/>
      <c r="J89" s="71"/>
      <c r="K89" s="48" t="s">
        <v>225</v>
      </c>
      <c r="L89" s="51">
        <f>(IF(B82&gt;1,(I82/(B82+2)+L88),0))</f>
        <v>0</v>
      </c>
    </row>
    <row r="90" spans="1:12" ht="15.75" x14ac:dyDescent="0.25">
      <c r="A90" s="75" t="s">
        <v>226</v>
      </c>
      <c r="B90" s="76" t="s">
        <v>227</v>
      </c>
      <c r="C90" s="56">
        <v>0</v>
      </c>
      <c r="D90" s="62">
        <f ca="1">((100/(I82))*C90)/100</f>
        <v>0</v>
      </c>
      <c r="E90" s="63"/>
      <c r="F90" s="64"/>
      <c r="G90" s="64"/>
      <c r="H90" s="69"/>
      <c r="I90" s="70"/>
      <c r="J90" s="71"/>
      <c r="K90" s="48" t="s">
        <v>228</v>
      </c>
      <c r="L90" s="51">
        <f>(IF(B82&gt;2,(I82/(B82+2)+L89),0))</f>
        <v>0</v>
      </c>
    </row>
    <row r="91" spans="1:12" ht="15.75" x14ac:dyDescent="0.25">
      <c r="A91" s="60" t="s">
        <v>229</v>
      </c>
      <c r="B91" s="61" t="s">
        <v>229</v>
      </c>
      <c r="C91" s="56">
        <v>0</v>
      </c>
      <c r="D91" s="62">
        <f ca="1">((100/I82)*C91)/100</f>
        <v>0</v>
      </c>
      <c r="E91" s="63"/>
      <c r="F91" s="64"/>
      <c r="G91" s="64"/>
      <c r="H91" s="69"/>
      <c r="I91" s="70"/>
      <c r="J91" s="71"/>
      <c r="K91" s="48" t="s">
        <v>230</v>
      </c>
      <c r="L91" s="52">
        <f>(IF(B82&gt;3,(I82/(B82+2)+L90),0))</f>
        <v>0</v>
      </c>
    </row>
    <row r="92" spans="1:12" ht="15" customHeight="1" x14ac:dyDescent="0.25">
      <c r="A92" s="60" t="s">
        <v>231</v>
      </c>
      <c r="B92" s="61"/>
      <c r="C92" s="56">
        <v>0</v>
      </c>
      <c r="D92" s="62">
        <f ca="1">((100/I82)*C92)/100</f>
        <v>0</v>
      </c>
      <c r="E92" s="63"/>
      <c r="F92" s="64"/>
      <c r="G92" s="64"/>
      <c r="H92" s="69"/>
      <c r="I92" s="70"/>
      <c r="J92" s="71"/>
      <c r="K92" s="48" t="s">
        <v>232</v>
      </c>
      <c r="L92" s="51">
        <f>(IF(B82&gt;4,(I82/(B82+2)+L91),0))</f>
        <v>0</v>
      </c>
    </row>
    <row r="93" spans="1:12" ht="15.75" x14ac:dyDescent="0.25">
      <c r="A93" s="60" t="s">
        <v>233</v>
      </c>
      <c r="B93" s="61" t="s">
        <v>233</v>
      </c>
      <c r="C93" s="56">
        <v>0</v>
      </c>
      <c r="D93" s="62">
        <f ca="1">((100/(I82))*C93)/100</f>
        <v>0</v>
      </c>
      <c r="E93" s="63"/>
      <c r="F93" s="64"/>
      <c r="G93" s="64"/>
      <c r="H93" s="69"/>
      <c r="I93" s="70"/>
      <c r="J93" s="71"/>
      <c r="K93" s="48" t="s">
        <v>234</v>
      </c>
      <c r="L93" s="51">
        <f ca="1">(IF(B82=1,(I82/(B82+3)+L88),IF(B82=0,(I82/4+L88),IF(B82&gt;1,0))))</f>
        <v>3</v>
      </c>
    </row>
    <row r="94" spans="1:12" ht="16.5" thickBot="1" x14ac:dyDescent="0.3">
      <c r="A94" s="77" t="s">
        <v>235</v>
      </c>
      <c r="B94" s="78"/>
      <c r="C94" s="58">
        <v>0</v>
      </c>
      <c r="D94" s="79">
        <f ca="1">((100/(I82))*C94)/100</f>
        <v>0</v>
      </c>
      <c r="E94" s="80"/>
      <c r="F94" s="65"/>
      <c r="G94" s="65"/>
      <c r="H94" s="72"/>
      <c r="I94" s="73"/>
      <c r="J94" s="74"/>
      <c r="K94" s="53" t="s">
        <v>236</v>
      </c>
      <c r="L94" s="54">
        <f ca="1">(IF(B82&gt;1.5,(I82/(B82+2)+L88+MAX(0,L89-L88)+MAX(0,L90-L89)+MAX(0,L91-L90)+MAX(0,L92-L91)+MAX(0,L93-L92)),IF(B82=1,(I82/(B82+3)+L93),IF(B82=0,I82/4+L93))))</f>
        <v>4</v>
      </c>
    </row>
    <row r="95" spans="1:12" x14ac:dyDescent="0.25">
      <c r="A95" s="121" t="s">
        <v>58</v>
      </c>
      <c r="B95" s="122"/>
      <c r="C95" s="122"/>
      <c r="D95" s="122"/>
      <c r="E95" s="122"/>
      <c r="F95" s="122"/>
      <c r="G95" s="122"/>
      <c r="H95" s="122"/>
      <c r="I95" s="122"/>
      <c r="J95" s="123"/>
    </row>
    <row r="96" spans="1:12" x14ac:dyDescent="0.25">
      <c r="A96" s="121" t="s">
        <v>51</v>
      </c>
      <c r="B96" s="122"/>
      <c r="C96" s="122"/>
      <c r="D96" s="122"/>
      <c r="E96" s="122"/>
      <c r="F96" s="122"/>
      <c r="G96" s="122"/>
      <c r="H96" s="122"/>
      <c r="I96" s="122"/>
      <c r="J96" s="123"/>
    </row>
    <row r="97" spans="1:10" ht="15" customHeight="1" x14ac:dyDescent="0.25">
      <c r="A97" s="124" t="s">
        <v>140</v>
      </c>
      <c r="B97" s="125"/>
      <c r="C97" s="125"/>
      <c r="D97" s="125"/>
      <c r="E97" s="125"/>
      <c r="F97" s="125"/>
      <c r="G97" s="125"/>
      <c r="H97" s="125"/>
      <c r="I97" s="125"/>
      <c r="J97" s="126"/>
    </row>
    <row r="98" spans="1:10" x14ac:dyDescent="0.25">
      <c r="A98" s="127" t="s">
        <v>24</v>
      </c>
      <c r="B98" s="128"/>
      <c r="C98" s="128"/>
      <c r="D98" s="128"/>
      <c r="E98" s="128"/>
      <c r="F98" s="128"/>
      <c r="G98" s="128"/>
      <c r="H98" s="128"/>
      <c r="I98" s="128"/>
      <c r="J98" s="129"/>
    </row>
    <row r="99" spans="1:10" x14ac:dyDescent="0.25">
      <c r="A99" s="227" t="s">
        <v>180</v>
      </c>
      <c r="B99" s="228"/>
      <c r="C99" s="228"/>
      <c r="D99" s="228"/>
      <c r="E99" s="228"/>
      <c r="F99" s="229"/>
      <c r="G99" s="130">
        <v>3800</v>
      </c>
      <c r="H99" s="131"/>
      <c r="I99" s="131"/>
      <c r="J99" s="132"/>
    </row>
    <row r="100" spans="1:10" x14ac:dyDescent="0.25">
      <c r="A100" s="121" t="s">
        <v>178</v>
      </c>
      <c r="B100" s="133"/>
      <c r="C100" s="133"/>
      <c r="D100" s="133"/>
      <c r="E100" s="133"/>
      <c r="F100" s="134"/>
      <c r="G100" s="136">
        <v>5000</v>
      </c>
      <c r="H100" s="137"/>
      <c r="I100" s="137"/>
      <c r="J100" s="138"/>
    </row>
    <row r="101" spans="1:10" x14ac:dyDescent="0.25">
      <c r="A101" s="121" t="s">
        <v>181</v>
      </c>
      <c r="B101" s="122"/>
      <c r="C101" s="122"/>
      <c r="D101" s="122"/>
      <c r="E101" s="122"/>
      <c r="F101" s="123"/>
      <c r="G101" s="181" t="s">
        <v>238</v>
      </c>
      <c r="H101" s="182"/>
      <c r="I101" s="182"/>
      <c r="J101" s="183"/>
    </row>
    <row r="102" spans="1:10" x14ac:dyDescent="0.25">
      <c r="A102" s="121" t="s">
        <v>97</v>
      </c>
      <c r="B102" s="133"/>
      <c r="C102" s="133"/>
      <c r="D102" s="133"/>
      <c r="E102" s="133"/>
      <c r="F102" s="134"/>
      <c r="G102" s="181" t="s">
        <v>179</v>
      </c>
      <c r="H102" s="182"/>
      <c r="I102" s="182"/>
      <c r="J102" s="183"/>
    </row>
    <row r="103" spans="1:10" s="1" customFormat="1" ht="14.65" customHeight="1" x14ac:dyDescent="0.25">
      <c r="A103" s="135" t="s">
        <v>105</v>
      </c>
      <c r="B103" s="128"/>
      <c r="C103" s="128"/>
      <c r="D103" s="128"/>
      <c r="E103" s="128"/>
      <c r="F103" s="129"/>
      <c r="G103" s="136">
        <f>G99*0.8</f>
        <v>3040</v>
      </c>
      <c r="H103" s="137"/>
      <c r="I103" s="137"/>
      <c r="J103" s="138"/>
    </row>
    <row r="104" spans="1:10" s="1" customFormat="1" ht="18.75" x14ac:dyDescent="0.25">
      <c r="A104" s="139" t="s">
        <v>106</v>
      </c>
      <c r="B104" s="140"/>
      <c r="C104" s="140"/>
      <c r="D104" s="140"/>
      <c r="E104" s="140"/>
      <c r="F104" s="140"/>
      <c r="G104" s="140"/>
      <c r="H104" s="140"/>
      <c r="I104" s="140"/>
      <c r="J104" s="141"/>
    </row>
    <row r="105" spans="1:10" x14ac:dyDescent="0.25">
      <c r="A105" s="142" t="s">
        <v>48</v>
      </c>
      <c r="B105" s="143"/>
      <c r="C105" s="143"/>
      <c r="D105" s="143"/>
      <c r="E105" s="143"/>
      <c r="F105" s="143"/>
      <c r="G105" s="143"/>
      <c r="H105" s="143"/>
      <c r="I105" s="143"/>
      <c r="J105" s="144"/>
    </row>
    <row r="106" spans="1:10" ht="39.75" customHeight="1" x14ac:dyDescent="0.25">
      <c r="A106" s="173" t="s">
        <v>32</v>
      </c>
      <c r="B106" s="174"/>
      <c r="C106" s="6" t="s">
        <v>29</v>
      </c>
      <c r="D106" s="193" t="s">
        <v>135</v>
      </c>
      <c r="E106" s="194"/>
      <c r="F106" s="13" t="s">
        <v>30</v>
      </c>
      <c r="G106" s="26" t="s">
        <v>177</v>
      </c>
      <c r="H106" s="6" t="s">
        <v>31</v>
      </c>
      <c r="I106" s="173" t="s">
        <v>107</v>
      </c>
      <c r="J106" s="174"/>
    </row>
    <row r="107" spans="1:10" ht="15.75" x14ac:dyDescent="0.25">
      <c r="A107" s="105" t="s">
        <v>183</v>
      </c>
      <c r="B107" s="106"/>
      <c r="C107" s="106"/>
      <c r="D107" s="106"/>
      <c r="E107" s="106"/>
      <c r="F107" s="106"/>
      <c r="G107" s="106"/>
      <c r="H107" s="106"/>
      <c r="I107" s="106"/>
      <c r="J107" s="107"/>
    </row>
    <row r="108" spans="1:10" ht="15.75" x14ac:dyDescent="0.25">
      <c r="A108" s="105" t="s">
        <v>176</v>
      </c>
      <c r="B108" s="106"/>
      <c r="C108" s="106"/>
      <c r="D108" s="106"/>
      <c r="E108" s="106"/>
      <c r="F108" s="106"/>
      <c r="G108" s="106"/>
      <c r="H108" s="106"/>
      <c r="I108" s="106"/>
      <c r="J108" s="107"/>
    </row>
    <row r="109" spans="1:10" ht="15.75" x14ac:dyDescent="0.25">
      <c r="A109" s="97">
        <v>1</v>
      </c>
      <c r="B109" s="98"/>
      <c r="C109" s="12" t="s">
        <v>156</v>
      </c>
      <c r="D109" s="97">
        <f>12.23*10.764</f>
        <v>131.64372</v>
      </c>
      <c r="E109" s="98"/>
      <c r="F109" s="12">
        <v>0</v>
      </c>
      <c r="G109" s="12">
        <f>D109*1.5</f>
        <v>197.46557999999999</v>
      </c>
      <c r="H109" s="12" t="s">
        <v>157</v>
      </c>
      <c r="I109" s="99" t="s">
        <v>155</v>
      </c>
      <c r="J109" s="100"/>
    </row>
    <row r="110" spans="1:10" ht="15.75" x14ac:dyDescent="0.25">
      <c r="A110" s="97">
        <v>2</v>
      </c>
      <c r="B110" s="98"/>
      <c r="C110" s="12" t="s">
        <v>156</v>
      </c>
      <c r="D110" s="97">
        <f>9.305*10.764</f>
        <v>100.15901999999998</v>
      </c>
      <c r="E110" s="98"/>
      <c r="F110" s="12">
        <v>0</v>
      </c>
      <c r="G110" s="12">
        <f t="shared" ref="G110:G117" si="0">D110*1.5</f>
        <v>150.23852999999997</v>
      </c>
      <c r="H110" s="12" t="s">
        <v>157</v>
      </c>
      <c r="I110" s="101"/>
      <c r="J110" s="102"/>
    </row>
    <row r="111" spans="1:10" ht="15.75" x14ac:dyDescent="0.25">
      <c r="A111" s="97">
        <v>3</v>
      </c>
      <c r="B111" s="98"/>
      <c r="C111" s="12" t="s">
        <v>156</v>
      </c>
      <c r="D111" s="97">
        <f>15.117*10.764</f>
        <v>162.71938800000001</v>
      </c>
      <c r="E111" s="98"/>
      <c r="F111" s="12">
        <v>0</v>
      </c>
      <c r="G111" s="12">
        <f t="shared" si="0"/>
        <v>244.07908200000003</v>
      </c>
      <c r="H111" s="12" t="s">
        <v>157</v>
      </c>
      <c r="I111" s="101"/>
      <c r="J111" s="102"/>
    </row>
    <row r="112" spans="1:10" ht="15.75" x14ac:dyDescent="0.25">
      <c r="A112" s="97">
        <v>4</v>
      </c>
      <c r="B112" s="98"/>
      <c r="C112" s="12" t="s">
        <v>156</v>
      </c>
      <c r="D112" s="97">
        <f>13.192*10.764</f>
        <v>141.99868799999999</v>
      </c>
      <c r="E112" s="98"/>
      <c r="F112" s="12">
        <v>0</v>
      </c>
      <c r="G112" s="12">
        <f t="shared" si="0"/>
        <v>212.99803199999997</v>
      </c>
      <c r="H112" s="12" t="s">
        <v>157</v>
      </c>
      <c r="I112" s="101"/>
      <c r="J112" s="102"/>
    </row>
    <row r="113" spans="1:11" ht="15.75" x14ac:dyDescent="0.25">
      <c r="A113" s="97">
        <v>5</v>
      </c>
      <c r="B113" s="98"/>
      <c r="C113" s="12" t="s">
        <v>156</v>
      </c>
      <c r="D113" s="97">
        <f>10.04*10.764</f>
        <v>108.07055999999999</v>
      </c>
      <c r="E113" s="98"/>
      <c r="F113" s="12">
        <v>0</v>
      </c>
      <c r="G113" s="12">
        <f t="shared" si="0"/>
        <v>162.10583999999997</v>
      </c>
      <c r="H113" s="12" t="s">
        <v>157</v>
      </c>
      <c r="I113" s="101"/>
      <c r="J113" s="102"/>
    </row>
    <row r="114" spans="1:11" ht="15.75" x14ac:dyDescent="0.25">
      <c r="A114" s="97">
        <v>6</v>
      </c>
      <c r="B114" s="98"/>
      <c r="C114" s="12" t="s">
        <v>156</v>
      </c>
      <c r="D114" s="97">
        <f>15.117*10.764</f>
        <v>162.71938800000001</v>
      </c>
      <c r="E114" s="98"/>
      <c r="F114" s="12">
        <v>0</v>
      </c>
      <c r="G114" s="12">
        <f t="shared" si="0"/>
        <v>244.07908200000003</v>
      </c>
      <c r="H114" s="12" t="s">
        <v>157</v>
      </c>
      <c r="I114" s="101"/>
      <c r="J114" s="102"/>
    </row>
    <row r="115" spans="1:11" ht="15.75" x14ac:dyDescent="0.25">
      <c r="A115" s="97">
        <v>7</v>
      </c>
      <c r="B115" s="98"/>
      <c r="C115" s="12" t="s">
        <v>156</v>
      </c>
      <c r="D115" s="97">
        <f>15.117*10.764</f>
        <v>162.71938800000001</v>
      </c>
      <c r="E115" s="98"/>
      <c r="F115" s="12">
        <v>0</v>
      </c>
      <c r="G115" s="12">
        <f t="shared" si="0"/>
        <v>244.07908200000003</v>
      </c>
      <c r="H115" s="12" t="s">
        <v>157</v>
      </c>
      <c r="I115" s="101"/>
      <c r="J115" s="102"/>
    </row>
    <row r="116" spans="1:11" ht="15.75" x14ac:dyDescent="0.25">
      <c r="A116" s="97">
        <v>8</v>
      </c>
      <c r="B116" s="98"/>
      <c r="C116" s="12" t="s">
        <v>156</v>
      </c>
      <c r="D116" s="97">
        <f>9.305*10.764</f>
        <v>100.15901999999998</v>
      </c>
      <c r="E116" s="98"/>
      <c r="F116" s="12">
        <v>0</v>
      </c>
      <c r="G116" s="12">
        <f t="shared" si="0"/>
        <v>150.23852999999997</v>
      </c>
      <c r="H116" s="12" t="s">
        <v>157</v>
      </c>
      <c r="I116" s="101"/>
      <c r="J116" s="102"/>
    </row>
    <row r="117" spans="1:11" ht="15.75" x14ac:dyDescent="0.25">
      <c r="A117" s="97">
        <v>9</v>
      </c>
      <c r="B117" s="98"/>
      <c r="C117" s="12" t="s">
        <v>156</v>
      </c>
      <c r="D117" s="97">
        <f>12.23*10.764</f>
        <v>131.64372</v>
      </c>
      <c r="E117" s="98"/>
      <c r="F117" s="12">
        <v>0</v>
      </c>
      <c r="G117" s="12">
        <f t="shared" si="0"/>
        <v>197.46557999999999</v>
      </c>
      <c r="H117" s="12" t="s">
        <v>157</v>
      </c>
      <c r="I117" s="101"/>
      <c r="J117" s="102"/>
    </row>
    <row r="118" spans="1:11" ht="15.75" x14ac:dyDescent="0.25">
      <c r="A118" s="97">
        <v>1</v>
      </c>
      <c r="B118" s="98"/>
      <c r="C118" s="12" t="s">
        <v>158</v>
      </c>
      <c r="D118" s="97">
        <f>25.75*10.764</f>
        <v>277.173</v>
      </c>
      <c r="E118" s="98"/>
      <c r="F118" s="12">
        <v>0</v>
      </c>
      <c r="G118" s="12">
        <f>D118*1.5</f>
        <v>415.7595</v>
      </c>
      <c r="H118" s="12" t="s">
        <v>157</v>
      </c>
      <c r="I118" s="101"/>
      <c r="J118" s="102"/>
    </row>
    <row r="119" spans="1:11" ht="15.75" x14ac:dyDescent="0.25">
      <c r="A119" s="97">
        <v>2</v>
      </c>
      <c r="B119" s="98"/>
      <c r="C119" s="12" t="s">
        <v>158</v>
      </c>
      <c r="D119" s="97">
        <f>25.09*10.764</f>
        <v>270.06876</v>
      </c>
      <c r="E119" s="98"/>
      <c r="F119" s="12">
        <v>0</v>
      </c>
      <c r="G119" s="12">
        <f>D119*1.5</f>
        <v>405.10314</v>
      </c>
      <c r="H119" s="12" t="s">
        <v>157</v>
      </c>
      <c r="I119" s="103"/>
      <c r="J119" s="104"/>
    </row>
    <row r="120" spans="1:11" ht="15.75" x14ac:dyDescent="0.25">
      <c r="A120" s="105" t="s">
        <v>159</v>
      </c>
      <c r="B120" s="106"/>
      <c r="C120" s="106"/>
      <c r="D120" s="106"/>
      <c r="E120" s="106"/>
      <c r="F120" s="106"/>
      <c r="G120" s="106"/>
      <c r="H120" s="106"/>
      <c r="I120" s="106"/>
      <c r="J120" s="107"/>
    </row>
    <row r="121" spans="1:11" ht="15.75" x14ac:dyDescent="0.25">
      <c r="A121" s="97">
        <v>1</v>
      </c>
      <c r="B121" s="98"/>
      <c r="C121" s="12" t="s">
        <v>158</v>
      </c>
      <c r="D121" s="97">
        <f>30.975*10.764</f>
        <v>333.41489999999999</v>
      </c>
      <c r="E121" s="98"/>
      <c r="F121" s="12">
        <v>0</v>
      </c>
      <c r="G121" s="12">
        <f>D121*1.5</f>
        <v>500.12234999999998</v>
      </c>
      <c r="H121" s="12" t="s">
        <v>157</v>
      </c>
      <c r="I121" s="99" t="str">
        <f>A120</f>
        <v xml:space="preserve">1st Floor </v>
      </c>
      <c r="J121" s="100"/>
      <c r="K121" s="59">
        <f>G121/D121</f>
        <v>1.5</v>
      </c>
    </row>
    <row r="122" spans="1:11" ht="15.75" x14ac:dyDescent="0.25">
      <c r="A122" s="97">
        <v>2</v>
      </c>
      <c r="B122" s="98"/>
      <c r="C122" s="12" t="s">
        <v>158</v>
      </c>
      <c r="D122" s="97">
        <f>30.315*10.764</f>
        <v>326.31065999999998</v>
      </c>
      <c r="E122" s="98"/>
      <c r="F122" s="12">
        <v>0</v>
      </c>
      <c r="G122" s="12">
        <f t="shared" ref="G122:G129" si="1">D122*1.5</f>
        <v>489.46598999999998</v>
      </c>
      <c r="H122" s="12" t="s">
        <v>157</v>
      </c>
      <c r="I122" s="101"/>
      <c r="J122" s="102"/>
    </row>
    <row r="123" spans="1:11" ht="15.75" x14ac:dyDescent="0.25">
      <c r="A123" s="97">
        <v>3</v>
      </c>
      <c r="B123" s="98"/>
      <c r="C123" s="12" t="s">
        <v>158</v>
      </c>
      <c r="D123" s="97">
        <f>30.555*10.764</f>
        <v>328.89401999999995</v>
      </c>
      <c r="E123" s="98"/>
      <c r="F123" s="12">
        <v>0</v>
      </c>
      <c r="G123" s="12">
        <f t="shared" si="1"/>
        <v>493.34102999999993</v>
      </c>
      <c r="H123" s="12" t="s">
        <v>157</v>
      </c>
      <c r="I123" s="101"/>
      <c r="J123" s="102"/>
    </row>
    <row r="124" spans="1:11" ht="15.75" x14ac:dyDescent="0.25">
      <c r="A124" s="97">
        <v>4</v>
      </c>
      <c r="B124" s="98"/>
      <c r="C124" s="12" t="s">
        <v>158</v>
      </c>
      <c r="D124" s="97">
        <f>30.315*10.764</f>
        <v>326.31065999999998</v>
      </c>
      <c r="E124" s="98"/>
      <c r="F124" s="12">
        <v>0</v>
      </c>
      <c r="G124" s="12">
        <f t="shared" si="1"/>
        <v>489.46598999999998</v>
      </c>
      <c r="H124" s="12" t="s">
        <v>157</v>
      </c>
      <c r="I124" s="101"/>
      <c r="J124" s="102"/>
    </row>
    <row r="125" spans="1:11" ht="15.75" x14ac:dyDescent="0.25">
      <c r="A125" s="97">
        <v>5</v>
      </c>
      <c r="B125" s="98"/>
      <c r="C125" s="12" t="s">
        <v>158</v>
      </c>
      <c r="D125" s="97">
        <f>30.315*10.764</f>
        <v>326.31065999999998</v>
      </c>
      <c r="E125" s="98"/>
      <c r="F125" s="12">
        <v>0</v>
      </c>
      <c r="G125" s="12">
        <f t="shared" si="1"/>
        <v>489.46598999999998</v>
      </c>
      <c r="H125" s="12" t="s">
        <v>157</v>
      </c>
      <c r="I125" s="101"/>
      <c r="J125" s="102"/>
    </row>
    <row r="126" spans="1:11" ht="15.75" x14ac:dyDescent="0.25">
      <c r="A126" s="97">
        <v>6</v>
      </c>
      <c r="B126" s="98"/>
      <c r="C126" s="12" t="s">
        <v>158</v>
      </c>
      <c r="D126" s="97">
        <f>25.09*10.764</f>
        <v>270.06876</v>
      </c>
      <c r="E126" s="98"/>
      <c r="F126" s="12">
        <v>0</v>
      </c>
      <c r="G126" s="12">
        <f t="shared" si="1"/>
        <v>405.10314</v>
      </c>
      <c r="H126" s="12" t="s">
        <v>157</v>
      </c>
      <c r="I126" s="101"/>
      <c r="J126" s="102"/>
    </row>
    <row r="127" spans="1:11" ht="15.75" x14ac:dyDescent="0.25">
      <c r="A127" s="97">
        <v>7</v>
      </c>
      <c r="B127" s="98"/>
      <c r="C127" s="12" t="s">
        <v>158</v>
      </c>
      <c r="D127" s="97">
        <f>25.75*10.764</f>
        <v>277.173</v>
      </c>
      <c r="E127" s="98"/>
      <c r="F127" s="12">
        <v>0</v>
      </c>
      <c r="G127" s="12">
        <f t="shared" si="1"/>
        <v>415.7595</v>
      </c>
      <c r="H127" s="12" t="s">
        <v>157</v>
      </c>
      <c r="I127" s="101"/>
      <c r="J127" s="102"/>
    </row>
    <row r="128" spans="1:11" ht="15.75" x14ac:dyDescent="0.25">
      <c r="A128" s="97">
        <v>8</v>
      </c>
      <c r="B128" s="98"/>
      <c r="C128" s="12" t="s">
        <v>158</v>
      </c>
      <c r="D128" s="97">
        <f>25.09*10.764</f>
        <v>270.06876</v>
      </c>
      <c r="E128" s="98"/>
      <c r="F128" s="12">
        <v>0</v>
      </c>
      <c r="G128" s="12">
        <f t="shared" si="1"/>
        <v>405.10314</v>
      </c>
      <c r="H128" s="12" t="s">
        <v>157</v>
      </c>
      <c r="I128" s="101"/>
      <c r="J128" s="102"/>
    </row>
    <row r="129" spans="1:10" ht="15.75" x14ac:dyDescent="0.25">
      <c r="A129" s="97">
        <v>9</v>
      </c>
      <c r="B129" s="98"/>
      <c r="C129" s="12" t="s">
        <v>158</v>
      </c>
      <c r="D129" s="97">
        <f>30.125*10.764</f>
        <v>324.26549999999997</v>
      </c>
      <c r="E129" s="98"/>
      <c r="F129" s="12">
        <v>0</v>
      </c>
      <c r="G129" s="12">
        <f t="shared" si="1"/>
        <v>486.39824999999996</v>
      </c>
      <c r="H129" s="12" t="s">
        <v>157</v>
      </c>
      <c r="I129" s="103"/>
      <c r="J129" s="104"/>
    </row>
    <row r="130" spans="1:10" ht="15.75" x14ac:dyDescent="0.25">
      <c r="A130" s="105" t="s">
        <v>160</v>
      </c>
      <c r="B130" s="106"/>
      <c r="C130" s="106"/>
      <c r="D130" s="106"/>
      <c r="E130" s="106"/>
      <c r="F130" s="106"/>
      <c r="G130" s="106"/>
      <c r="H130" s="106"/>
      <c r="I130" s="106"/>
      <c r="J130" s="107"/>
    </row>
    <row r="131" spans="1:10" ht="15.75" x14ac:dyDescent="0.25">
      <c r="A131" s="97">
        <v>1</v>
      </c>
      <c r="B131" s="98"/>
      <c r="C131" s="12" t="s">
        <v>158</v>
      </c>
      <c r="D131" s="97">
        <f>30.975*10.764</f>
        <v>333.41489999999999</v>
      </c>
      <c r="E131" s="98"/>
      <c r="F131" s="12">
        <v>0</v>
      </c>
      <c r="G131" s="12">
        <f>D131*1.5</f>
        <v>500.12234999999998</v>
      </c>
      <c r="H131" s="12" t="s">
        <v>157</v>
      </c>
      <c r="I131" s="99" t="str">
        <f>A130</f>
        <v xml:space="preserve">2nd to 7th Floor </v>
      </c>
      <c r="J131" s="100"/>
    </row>
    <row r="132" spans="1:10" ht="15.75" x14ac:dyDescent="0.25">
      <c r="A132" s="97">
        <v>2</v>
      </c>
      <c r="B132" s="98"/>
      <c r="C132" s="12" t="s">
        <v>158</v>
      </c>
      <c r="D132" s="97">
        <f>30.315*10.764</f>
        <v>326.31065999999998</v>
      </c>
      <c r="E132" s="98"/>
      <c r="F132" s="12">
        <v>0</v>
      </c>
      <c r="G132" s="12">
        <f t="shared" ref="G132:G139" si="2">D132*1.5</f>
        <v>489.46598999999998</v>
      </c>
      <c r="H132" s="12" t="s">
        <v>157</v>
      </c>
      <c r="I132" s="101"/>
      <c r="J132" s="102"/>
    </row>
    <row r="133" spans="1:10" ht="15.75" x14ac:dyDescent="0.25">
      <c r="A133" s="97">
        <v>3</v>
      </c>
      <c r="B133" s="98"/>
      <c r="C133" s="12" t="s">
        <v>158</v>
      </c>
      <c r="D133" s="97">
        <f>30.555*10.764</f>
        <v>328.89401999999995</v>
      </c>
      <c r="E133" s="98"/>
      <c r="F133" s="12">
        <v>0</v>
      </c>
      <c r="G133" s="12">
        <f t="shared" si="2"/>
        <v>493.34102999999993</v>
      </c>
      <c r="H133" s="12" t="s">
        <v>157</v>
      </c>
      <c r="I133" s="101"/>
      <c r="J133" s="102"/>
    </row>
    <row r="134" spans="1:10" ht="15.75" x14ac:dyDescent="0.25">
      <c r="A134" s="97">
        <v>4</v>
      </c>
      <c r="B134" s="98"/>
      <c r="C134" s="12" t="s">
        <v>158</v>
      </c>
      <c r="D134" s="97">
        <f>30.315*10.764</f>
        <v>326.31065999999998</v>
      </c>
      <c r="E134" s="98"/>
      <c r="F134" s="12">
        <v>0</v>
      </c>
      <c r="G134" s="12">
        <f t="shared" si="2"/>
        <v>489.46598999999998</v>
      </c>
      <c r="H134" s="12" t="s">
        <v>157</v>
      </c>
      <c r="I134" s="101"/>
      <c r="J134" s="102"/>
    </row>
    <row r="135" spans="1:10" ht="15.75" x14ac:dyDescent="0.25">
      <c r="A135" s="97">
        <v>5</v>
      </c>
      <c r="B135" s="98"/>
      <c r="C135" s="12" t="s">
        <v>158</v>
      </c>
      <c r="D135" s="97">
        <f>30.315*10.764</f>
        <v>326.31065999999998</v>
      </c>
      <c r="E135" s="98"/>
      <c r="F135" s="12">
        <v>0</v>
      </c>
      <c r="G135" s="12">
        <f t="shared" si="2"/>
        <v>489.46598999999998</v>
      </c>
      <c r="H135" s="12" t="s">
        <v>157</v>
      </c>
      <c r="I135" s="101"/>
      <c r="J135" s="102"/>
    </row>
    <row r="136" spans="1:10" ht="15.75" x14ac:dyDescent="0.25">
      <c r="A136" s="97">
        <v>6</v>
      </c>
      <c r="B136" s="98"/>
      <c r="C136" s="12" t="s">
        <v>158</v>
      </c>
      <c r="D136" s="97">
        <f>30.315*10.764</f>
        <v>326.31065999999998</v>
      </c>
      <c r="E136" s="98"/>
      <c r="F136" s="12">
        <v>0</v>
      </c>
      <c r="G136" s="12">
        <f t="shared" si="2"/>
        <v>489.46598999999998</v>
      </c>
      <c r="H136" s="12" t="s">
        <v>157</v>
      </c>
      <c r="I136" s="101"/>
      <c r="J136" s="102"/>
    </row>
    <row r="137" spans="1:10" ht="15.75" x14ac:dyDescent="0.25">
      <c r="A137" s="97">
        <v>7</v>
      </c>
      <c r="B137" s="98"/>
      <c r="C137" s="12" t="s">
        <v>158</v>
      </c>
      <c r="D137" s="97">
        <f>30.975*10.764</f>
        <v>333.41489999999999</v>
      </c>
      <c r="E137" s="98"/>
      <c r="F137" s="12">
        <v>0</v>
      </c>
      <c r="G137" s="12">
        <f t="shared" si="2"/>
        <v>500.12234999999998</v>
      </c>
      <c r="H137" s="12" t="s">
        <v>157</v>
      </c>
      <c r="I137" s="101"/>
      <c r="J137" s="102"/>
    </row>
    <row r="138" spans="1:10" ht="15.75" x14ac:dyDescent="0.25">
      <c r="A138" s="97">
        <v>8</v>
      </c>
      <c r="B138" s="98"/>
      <c r="C138" s="12" t="s">
        <v>158</v>
      </c>
      <c r="D138" s="97">
        <f>30.125*10.764</f>
        <v>324.26549999999997</v>
      </c>
      <c r="E138" s="98"/>
      <c r="F138" s="12">
        <v>0</v>
      </c>
      <c r="G138" s="12">
        <f t="shared" si="2"/>
        <v>486.39824999999996</v>
      </c>
      <c r="H138" s="12" t="s">
        <v>157</v>
      </c>
      <c r="I138" s="101"/>
      <c r="J138" s="102"/>
    </row>
    <row r="139" spans="1:10" ht="15.75" x14ac:dyDescent="0.25">
      <c r="A139" s="97">
        <v>9</v>
      </c>
      <c r="B139" s="98"/>
      <c r="C139" s="12" t="s">
        <v>158</v>
      </c>
      <c r="D139" s="97">
        <f>30.125*10.764</f>
        <v>324.26549999999997</v>
      </c>
      <c r="E139" s="98"/>
      <c r="F139" s="12">
        <v>0</v>
      </c>
      <c r="G139" s="12">
        <f t="shared" si="2"/>
        <v>486.39824999999996</v>
      </c>
      <c r="H139" s="12" t="s">
        <v>157</v>
      </c>
      <c r="I139" s="103"/>
      <c r="J139" s="104"/>
    </row>
    <row r="140" spans="1:10" ht="15.75" x14ac:dyDescent="0.25">
      <c r="A140" s="105" t="s">
        <v>184</v>
      </c>
      <c r="B140" s="106"/>
      <c r="C140" s="106"/>
      <c r="D140" s="106"/>
      <c r="E140" s="106"/>
      <c r="F140" s="106"/>
      <c r="G140" s="106"/>
      <c r="H140" s="106"/>
      <c r="I140" s="106"/>
      <c r="J140" s="107"/>
    </row>
    <row r="141" spans="1:10" ht="15.75" x14ac:dyDescent="0.25">
      <c r="A141" s="105" t="s">
        <v>161</v>
      </c>
      <c r="B141" s="106"/>
      <c r="C141" s="106"/>
      <c r="D141" s="106"/>
      <c r="E141" s="106"/>
      <c r="F141" s="106"/>
      <c r="G141" s="106"/>
      <c r="H141" s="106"/>
      <c r="I141" s="106"/>
      <c r="J141" s="107"/>
    </row>
    <row r="142" spans="1:10" ht="15.75" x14ac:dyDescent="0.25">
      <c r="A142" s="97">
        <v>1</v>
      </c>
      <c r="B142" s="98"/>
      <c r="C142" s="12" t="s">
        <v>162</v>
      </c>
      <c r="D142" s="97">
        <f>18.922*10.764</f>
        <v>203.67640799999998</v>
      </c>
      <c r="E142" s="98"/>
      <c r="F142" s="12">
        <v>0</v>
      </c>
      <c r="G142" s="12">
        <f>D142*1.5</f>
        <v>305.51461199999994</v>
      </c>
      <c r="H142" s="12" t="s">
        <v>157</v>
      </c>
      <c r="I142" s="99" t="s">
        <v>155</v>
      </c>
      <c r="J142" s="100"/>
    </row>
    <row r="143" spans="1:10" ht="15.75" x14ac:dyDescent="0.25">
      <c r="A143" s="97">
        <v>2</v>
      </c>
      <c r="B143" s="98"/>
      <c r="C143" s="12" t="s">
        <v>162</v>
      </c>
      <c r="D143" s="97">
        <f>17.425*10.764</f>
        <v>187.56270000000001</v>
      </c>
      <c r="E143" s="98"/>
      <c r="F143" s="12">
        <v>0</v>
      </c>
      <c r="G143" s="12">
        <f t="shared" ref="G143:G150" si="3">D143*1.5</f>
        <v>281.34405000000004</v>
      </c>
      <c r="H143" s="12" t="s">
        <v>157</v>
      </c>
      <c r="I143" s="101"/>
      <c r="J143" s="102"/>
    </row>
    <row r="144" spans="1:10" ht="15.75" x14ac:dyDescent="0.25">
      <c r="A144" s="97">
        <v>3</v>
      </c>
      <c r="B144" s="98"/>
      <c r="C144" s="12" t="s">
        <v>162</v>
      </c>
      <c r="D144" s="97">
        <f>17.425*10.764</f>
        <v>187.56270000000001</v>
      </c>
      <c r="E144" s="98"/>
      <c r="F144" s="12">
        <v>0</v>
      </c>
      <c r="G144" s="12">
        <f t="shared" si="3"/>
        <v>281.34405000000004</v>
      </c>
      <c r="H144" s="12" t="s">
        <v>157</v>
      </c>
      <c r="I144" s="101"/>
      <c r="J144" s="102"/>
    </row>
    <row r="145" spans="1:10" ht="15.75" x14ac:dyDescent="0.25">
      <c r="A145" s="97">
        <v>4</v>
      </c>
      <c r="B145" s="98"/>
      <c r="C145" s="12" t="s">
        <v>162</v>
      </c>
      <c r="D145" s="97">
        <f>17.425*10.764</f>
        <v>187.56270000000001</v>
      </c>
      <c r="E145" s="98"/>
      <c r="F145" s="12">
        <v>0</v>
      </c>
      <c r="G145" s="12">
        <f t="shared" si="3"/>
        <v>281.34405000000004</v>
      </c>
      <c r="H145" s="12" t="s">
        <v>157</v>
      </c>
      <c r="I145" s="101"/>
      <c r="J145" s="102"/>
    </row>
    <row r="146" spans="1:10" ht="15.75" x14ac:dyDescent="0.25">
      <c r="A146" s="97">
        <v>5</v>
      </c>
      <c r="B146" s="98"/>
      <c r="C146" s="12" t="s">
        <v>162</v>
      </c>
      <c r="D146" s="97">
        <f>17.425*10.764</f>
        <v>187.56270000000001</v>
      </c>
      <c r="E146" s="98"/>
      <c r="F146" s="12">
        <v>0</v>
      </c>
      <c r="G146" s="12">
        <f t="shared" si="3"/>
        <v>281.34405000000004</v>
      </c>
      <c r="H146" s="12" t="s">
        <v>157</v>
      </c>
      <c r="I146" s="101"/>
      <c r="J146" s="102"/>
    </row>
    <row r="147" spans="1:10" ht="15.75" x14ac:dyDescent="0.25">
      <c r="A147" s="97">
        <v>6</v>
      </c>
      <c r="B147" s="98"/>
      <c r="C147" s="12" t="s">
        <v>162</v>
      </c>
      <c r="D147" s="97">
        <f>17.29*10.764</f>
        <v>186.10955999999999</v>
      </c>
      <c r="E147" s="98"/>
      <c r="F147" s="12">
        <v>0</v>
      </c>
      <c r="G147" s="12">
        <f t="shared" si="3"/>
        <v>279.16433999999998</v>
      </c>
      <c r="H147" s="12" t="s">
        <v>157</v>
      </c>
      <c r="I147" s="101"/>
      <c r="J147" s="102"/>
    </row>
    <row r="148" spans="1:10" ht="15.75" x14ac:dyDescent="0.25">
      <c r="A148" s="97">
        <v>7</v>
      </c>
      <c r="B148" s="98"/>
      <c r="C148" s="12" t="s">
        <v>162</v>
      </c>
      <c r="D148" s="97">
        <f>18.785*10.764</f>
        <v>202.20174</v>
      </c>
      <c r="E148" s="98"/>
      <c r="F148" s="12">
        <v>0</v>
      </c>
      <c r="G148" s="12">
        <f t="shared" si="3"/>
        <v>303.30261000000002</v>
      </c>
      <c r="H148" s="12" t="s">
        <v>157</v>
      </c>
      <c r="I148" s="101"/>
      <c r="J148" s="102"/>
    </row>
    <row r="149" spans="1:10" ht="15.75" x14ac:dyDescent="0.25">
      <c r="A149" s="97">
        <v>8</v>
      </c>
      <c r="B149" s="98"/>
      <c r="C149" s="12" t="s">
        <v>158</v>
      </c>
      <c r="D149" s="97">
        <f>25.09*10.764</f>
        <v>270.06876</v>
      </c>
      <c r="E149" s="98"/>
      <c r="F149" s="12">
        <v>0</v>
      </c>
      <c r="G149" s="12">
        <f t="shared" si="3"/>
        <v>405.10314</v>
      </c>
      <c r="H149" s="12" t="s">
        <v>157</v>
      </c>
      <c r="I149" s="101"/>
      <c r="J149" s="102"/>
    </row>
    <row r="150" spans="1:10" ht="15.75" x14ac:dyDescent="0.25">
      <c r="A150" s="97">
        <v>9</v>
      </c>
      <c r="B150" s="98"/>
      <c r="C150" s="12" t="s">
        <v>158</v>
      </c>
      <c r="D150" s="97">
        <f>25.75*10.764</f>
        <v>277.173</v>
      </c>
      <c r="E150" s="98"/>
      <c r="F150" s="12">
        <v>0</v>
      </c>
      <c r="G150" s="12">
        <f t="shared" si="3"/>
        <v>415.7595</v>
      </c>
      <c r="H150" s="12" t="s">
        <v>157</v>
      </c>
      <c r="I150" s="103"/>
      <c r="J150" s="104"/>
    </row>
    <row r="151" spans="1:10" ht="15.75" x14ac:dyDescent="0.25">
      <c r="A151" s="105" t="s">
        <v>163</v>
      </c>
      <c r="B151" s="106"/>
      <c r="C151" s="106"/>
      <c r="D151" s="106"/>
      <c r="E151" s="106"/>
      <c r="F151" s="106"/>
      <c r="G151" s="106"/>
      <c r="H151" s="106"/>
      <c r="I151" s="106"/>
      <c r="J151" s="107"/>
    </row>
    <row r="152" spans="1:10" ht="15.75" x14ac:dyDescent="0.25">
      <c r="A152" s="97">
        <v>1</v>
      </c>
      <c r="B152" s="98"/>
      <c r="C152" s="12" t="s">
        <v>158</v>
      </c>
      <c r="D152" s="97">
        <f>30.785*10.764</f>
        <v>331.36973999999998</v>
      </c>
      <c r="E152" s="98"/>
      <c r="F152" s="12">
        <v>0</v>
      </c>
      <c r="G152" s="12">
        <f>D152*1.5</f>
        <v>497.05460999999997</v>
      </c>
      <c r="H152" s="12" t="s">
        <v>157</v>
      </c>
      <c r="I152" s="99" t="str">
        <f>A151</f>
        <v xml:space="preserve">1st to 7th Floor </v>
      </c>
      <c r="J152" s="100"/>
    </row>
    <row r="153" spans="1:10" ht="15.75" x14ac:dyDescent="0.25">
      <c r="A153" s="97">
        <v>2</v>
      </c>
      <c r="B153" s="98"/>
      <c r="C153" s="12" t="s">
        <v>158</v>
      </c>
      <c r="D153" s="97">
        <f>30.975*10.764</f>
        <v>333.41489999999999</v>
      </c>
      <c r="E153" s="98"/>
      <c r="F153" s="12">
        <v>0</v>
      </c>
      <c r="G153" s="12">
        <f t="shared" ref="G153:G167" si="4">D153*1.5</f>
        <v>500.12234999999998</v>
      </c>
      <c r="H153" s="12" t="s">
        <v>157</v>
      </c>
      <c r="I153" s="101"/>
      <c r="J153" s="102"/>
    </row>
    <row r="154" spans="1:10" ht="15.75" x14ac:dyDescent="0.25">
      <c r="A154" s="97">
        <v>3</v>
      </c>
      <c r="B154" s="98"/>
      <c r="C154" s="12" t="s">
        <v>158</v>
      </c>
      <c r="D154" s="97">
        <f>30.315*10.764</f>
        <v>326.31065999999998</v>
      </c>
      <c r="E154" s="98"/>
      <c r="F154" s="12">
        <v>0</v>
      </c>
      <c r="G154" s="12">
        <f t="shared" si="4"/>
        <v>489.46598999999998</v>
      </c>
      <c r="H154" s="12" t="s">
        <v>157</v>
      </c>
      <c r="I154" s="101"/>
      <c r="J154" s="102"/>
    </row>
    <row r="155" spans="1:10" ht="15.75" x14ac:dyDescent="0.25">
      <c r="A155" s="97">
        <v>4</v>
      </c>
      <c r="B155" s="98"/>
      <c r="C155" s="12" t="s">
        <v>158</v>
      </c>
      <c r="D155" s="97">
        <f>30.08*10.764</f>
        <v>323.78111999999999</v>
      </c>
      <c r="E155" s="98"/>
      <c r="F155" s="12">
        <v>0</v>
      </c>
      <c r="G155" s="12">
        <f t="shared" si="4"/>
        <v>485.67167999999998</v>
      </c>
      <c r="H155" s="12" t="s">
        <v>157</v>
      </c>
      <c r="I155" s="101"/>
      <c r="J155" s="102"/>
    </row>
    <row r="156" spans="1:10" ht="15.75" x14ac:dyDescent="0.25">
      <c r="A156" s="97">
        <v>5</v>
      </c>
      <c r="B156" s="98"/>
      <c r="C156" s="12" t="s">
        <v>162</v>
      </c>
      <c r="D156" s="97">
        <f>21.786*10.764</f>
        <v>234.504504</v>
      </c>
      <c r="E156" s="98"/>
      <c r="F156" s="12">
        <v>0</v>
      </c>
      <c r="G156" s="12">
        <f t="shared" si="4"/>
        <v>351.756756</v>
      </c>
      <c r="H156" s="12" t="s">
        <v>157</v>
      </c>
      <c r="I156" s="101"/>
      <c r="J156" s="102"/>
    </row>
    <row r="157" spans="1:10" ht="15.75" x14ac:dyDescent="0.25">
      <c r="A157" s="97">
        <v>6</v>
      </c>
      <c r="B157" s="98"/>
      <c r="C157" s="12" t="s">
        <v>162</v>
      </c>
      <c r="D157" s="97">
        <f>22.1*10.764</f>
        <v>237.8844</v>
      </c>
      <c r="E157" s="98"/>
      <c r="F157" s="12">
        <v>0</v>
      </c>
      <c r="G157" s="12">
        <f t="shared" si="4"/>
        <v>356.82659999999998</v>
      </c>
      <c r="H157" s="12" t="s">
        <v>157</v>
      </c>
      <c r="I157" s="101"/>
      <c r="J157" s="102"/>
    </row>
    <row r="158" spans="1:10" ht="15.75" x14ac:dyDescent="0.25">
      <c r="A158" s="97">
        <v>7</v>
      </c>
      <c r="B158" s="98"/>
      <c r="C158" s="12" t="s">
        <v>162</v>
      </c>
      <c r="D158" s="97">
        <f>22.1*10.764</f>
        <v>237.8844</v>
      </c>
      <c r="E158" s="98"/>
      <c r="F158" s="12">
        <v>0</v>
      </c>
      <c r="G158" s="12">
        <f t="shared" si="4"/>
        <v>356.82659999999998</v>
      </c>
      <c r="H158" s="12" t="s">
        <v>157</v>
      </c>
      <c r="I158" s="101"/>
      <c r="J158" s="102"/>
    </row>
    <row r="159" spans="1:10" ht="15.75" x14ac:dyDescent="0.25">
      <c r="A159" s="97">
        <v>8</v>
      </c>
      <c r="B159" s="98"/>
      <c r="C159" s="12" t="s">
        <v>162</v>
      </c>
      <c r="D159" s="97">
        <f>21.55*10.764</f>
        <v>231.96420000000001</v>
      </c>
      <c r="E159" s="98"/>
      <c r="F159" s="12">
        <v>0</v>
      </c>
      <c r="G159" s="12">
        <f t="shared" si="4"/>
        <v>347.94630000000001</v>
      </c>
      <c r="H159" s="12" t="s">
        <v>157</v>
      </c>
      <c r="I159" s="101"/>
      <c r="J159" s="102"/>
    </row>
    <row r="160" spans="1:10" ht="15.75" x14ac:dyDescent="0.25">
      <c r="A160" s="97">
        <v>9</v>
      </c>
      <c r="B160" s="98"/>
      <c r="C160" s="12" t="s">
        <v>162</v>
      </c>
      <c r="D160" s="97">
        <f>21.415*10.764</f>
        <v>230.51105999999999</v>
      </c>
      <c r="E160" s="98"/>
      <c r="F160" s="12">
        <v>0</v>
      </c>
      <c r="G160" s="12">
        <f t="shared" si="4"/>
        <v>345.76658999999995</v>
      </c>
      <c r="H160" s="12" t="s">
        <v>157</v>
      </c>
      <c r="I160" s="101"/>
      <c r="J160" s="102"/>
    </row>
    <row r="161" spans="1:10" ht="15.75" x14ac:dyDescent="0.25">
      <c r="A161" s="97">
        <v>10</v>
      </c>
      <c r="B161" s="98"/>
      <c r="C161" s="12" t="s">
        <v>158</v>
      </c>
      <c r="D161" s="97">
        <f>29.207*10.764</f>
        <v>314.38414799999998</v>
      </c>
      <c r="E161" s="98"/>
      <c r="F161" s="12">
        <v>0</v>
      </c>
      <c r="G161" s="12">
        <f t="shared" si="4"/>
        <v>471.57622199999997</v>
      </c>
      <c r="H161" s="12" t="s">
        <v>157</v>
      </c>
      <c r="I161" s="101"/>
      <c r="J161" s="102"/>
    </row>
    <row r="162" spans="1:10" ht="15.75" x14ac:dyDescent="0.25">
      <c r="A162" s="97">
        <v>11</v>
      </c>
      <c r="B162" s="98"/>
      <c r="C162" s="12" t="s">
        <v>158</v>
      </c>
      <c r="D162" s="97">
        <f>30.367*10.764</f>
        <v>326.87038799999999</v>
      </c>
      <c r="E162" s="98"/>
      <c r="F162" s="12">
        <v>0</v>
      </c>
      <c r="G162" s="12">
        <f t="shared" si="4"/>
        <v>490.30558199999996</v>
      </c>
      <c r="H162" s="12" t="s">
        <v>157</v>
      </c>
      <c r="I162" s="101"/>
      <c r="J162" s="102"/>
    </row>
    <row r="163" spans="1:10" ht="15.75" x14ac:dyDescent="0.25">
      <c r="A163" s="97">
        <v>12</v>
      </c>
      <c r="B163" s="98"/>
      <c r="C163" s="12" t="s">
        <v>158</v>
      </c>
      <c r="D163" s="97">
        <f>31.028*10.764</f>
        <v>333.98539199999999</v>
      </c>
      <c r="E163" s="98"/>
      <c r="F163" s="12">
        <v>0</v>
      </c>
      <c r="G163" s="12">
        <f t="shared" si="4"/>
        <v>500.97808799999996</v>
      </c>
      <c r="H163" s="12" t="s">
        <v>157</v>
      </c>
      <c r="I163" s="101"/>
      <c r="J163" s="102"/>
    </row>
    <row r="164" spans="1:10" ht="15.75" x14ac:dyDescent="0.25">
      <c r="A164" s="97">
        <v>13</v>
      </c>
      <c r="B164" s="98"/>
      <c r="C164" s="12" t="s">
        <v>158</v>
      </c>
      <c r="D164" s="97">
        <f>31.028*10.764</f>
        <v>333.98539199999999</v>
      </c>
      <c r="E164" s="98"/>
      <c r="F164" s="12">
        <v>0</v>
      </c>
      <c r="G164" s="12">
        <f t="shared" si="4"/>
        <v>500.97808799999996</v>
      </c>
      <c r="H164" s="12" t="s">
        <v>157</v>
      </c>
      <c r="I164" s="101"/>
      <c r="J164" s="102"/>
    </row>
    <row r="165" spans="1:10" ht="15.75" x14ac:dyDescent="0.25">
      <c r="A165" s="97">
        <v>14</v>
      </c>
      <c r="B165" s="98"/>
      <c r="C165" s="12" t="s">
        <v>158</v>
      </c>
      <c r="D165" s="97">
        <f>30.315*10.764</f>
        <v>326.31065999999998</v>
      </c>
      <c r="E165" s="98"/>
      <c r="F165" s="12">
        <v>0</v>
      </c>
      <c r="G165" s="12">
        <f t="shared" si="4"/>
        <v>489.46598999999998</v>
      </c>
      <c r="H165" s="12" t="s">
        <v>157</v>
      </c>
      <c r="I165" s="101"/>
      <c r="J165" s="102"/>
    </row>
    <row r="166" spans="1:10" ht="15.75" x14ac:dyDescent="0.25">
      <c r="A166" s="97">
        <v>15</v>
      </c>
      <c r="B166" s="98"/>
      <c r="C166" s="12" t="s">
        <v>158</v>
      </c>
      <c r="D166" s="97">
        <f>30.975*10.764</f>
        <v>333.41489999999999</v>
      </c>
      <c r="E166" s="98"/>
      <c r="F166" s="12">
        <v>0</v>
      </c>
      <c r="G166" s="12">
        <f t="shared" si="4"/>
        <v>500.12234999999998</v>
      </c>
      <c r="H166" s="12" t="s">
        <v>157</v>
      </c>
      <c r="I166" s="101"/>
      <c r="J166" s="102"/>
    </row>
    <row r="167" spans="1:10" ht="15.75" x14ac:dyDescent="0.25">
      <c r="A167" s="97">
        <v>16</v>
      </c>
      <c r="B167" s="98"/>
      <c r="C167" s="12" t="s">
        <v>158</v>
      </c>
      <c r="D167" s="97">
        <f>30.785*10.764</f>
        <v>331.36973999999998</v>
      </c>
      <c r="E167" s="98"/>
      <c r="F167" s="12">
        <v>0</v>
      </c>
      <c r="G167" s="12">
        <f t="shared" si="4"/>
        <v>497.05460999999997</v>
      </c>
      <c r="H167" s="12" t="s">
        <v>157</v>
      </c>
      <c r="I167" s="103"/>
      <c r="J167" s="104"/>
    </row>
    <row r="168" spans="1:10" ht="15.75" x14ac:dyDescent="0.25">
      <c r="A168" s="105" t="s">
        <v>185</v>
      </c>
      <c r="B168" s="106"/>
      <c r="C168" s="106"/>
      <c r="D168" s="106"/>
      <c r="E168" s="106"/>
      <c r="F168" s="106"/>
      <c r="G168" s="106"/>
      <c r="H168" s="106"/>
      <c r="I168" s="106"/>
      <c r="J168" s="107"/>
    </row>
    <row r="169" spans="1:10" ht="15.75" x14ac:dyDescent="0.25">
      <c r="A169" s="105" t="s">
        <v>161</v>
      </c>
      <c r="B169" s="106"/>
      <c r="C169" s="106"/>
      <c r="D169" s="106"/>
      <c r="E169" s="106"/>
      <c r="F169" s="106"/>
      <c r="G169" s="106"/>
      <c r="H169" s="106"/>
      <c r="I169" s="106"/>
      <c r="J169" s="107"/>
    </row>
    <row r="170" spans="1:10" ht="15.75" x14ac:dyDescent="0.25">
      <c r="A170" s="97">
        <v>1</v>
      </c>
      <c r="B170" s="98"/>
      <c r="C170" s="12" t="s">
        <v>158</v>
      </c>
      <c r="D170" s="97">
        <f>25.072*10.764</f>
        <v>269.87500799999998</v>
      </c>
      <c r="E170" s="98"/>
      <c r="F170" s="12">
        <v>0</v>
      </c>
      <c r="G170" s="12">
        <f>D170*1.5</f>
        <v>404.81251199999997</v>
      </c>
      <c r="H170" s="12" t="s">
        <v>157</v>
      </c>
      <c r="I170" s="99" t="s">
        <v>155</v>
      </c>
      <c r="J170" s="100"/>
    </row>
    <row r="171" spans="1:10" ht="15.75" x14ac:dyDescent="0.25">
      <c r="A171" s="97">
        <v>2</v>
      </c>
      <c r="B171" s="98"/>
      <c r="C171" s="12" t="s">
        <v>158</v>
      </c>
      <c r="D171" s="97">
        <f>25.75*10.764</f>
        <v>277.173</v>
      </c>
      <c r="E171" s="98"/>
      <c r="F171" s="12">
        <v>0</v>
      </c>
      <c r="G171" s="12">
        <f t="shared" ref="G171:G177" si="5">D171*1.5</f>
        <v>415.7595</v>
      </c>
      <c r="H171" s="12" t="s">
        <v>157</v>
      </c>
      <c r="I171" s="101"/>
      <c r="J171" s="102"/>
    </row>
    <row r="172" spans="1:10" ht="15.75" x14ac:dyDescent="0.25">
      <c r="A172" s="97">
        <v>3</v>
      </c>
      <c r="B172" s="98"/>
      <c r="C172" s="12" t="s">
        <v>158</v>
      </c>
      <c r="D172" s="97">
        <f>25.75*10.764</f>
        <v>277.173</v>
      </c>
      <c r="E172" s="98"/>
      <c r="F172" s="12">
        <v>0</v>
      </c>
      <c r="G172" s="12">
        <f t="shared" si="5"/>
        <v>415.7595</v>
      </c>
      <c r="H172" s="12" t="s">
        <v>157</v>
      </c>
      <c r="I172" s="101"/>
      <c r="J172" s="102"/>
    </row>
    <row r="173" spans="1:10" ht="15.75" x14ac:dyDescent="0.25">
      <c r="A173" s="97">
        <v>4</v>
      </c>
      <c r="B173" s="98"/>
      <c r="C173" s="12" t="s">
        <v>158</v>
      </c>
      <c r="D173" s="97">
        <f>25.213*10.764</f>
        <v>271.39273199999997</v>
      </c>
      <c r="E173" s="98"/>
      <c r="F173" s="12">
        <v>0</v>
      </c>
      <c r="G173" s="12">
        <f t="shared" si="5"/>
        <v>407.08909799999992</v>
      </c>
      <c r="H173" s="12" t="s">
        <v>157</v>
      </c>
      <c r="I173" s="101"/>
      <c r="J173" s="102"/>
    </row>
    <row r="174" spans="1:10" ht="15.75" x14ac:dyDescent="0.25">
      <c r="A174" s="97">
        <v>5</v>
      </c>
      <c r="B174" s="98"/>
      <c r="C174" s="12" t="s">
        <v>162</v>
      </c>
      <c r="D174" s="97">
        <f>18.263*10.764</f>
        <v>196.582932</v>
      </c>
      <c r="E174" s="98"/>
      <c r="F174" s="12">
        <v>0</v>
      </c>
      <c r="G174" s="12">
        <f t="shared" si="5"/>
        <v>294.87439799999999</v>
      </c>
      <c r="H174" s="12" t="s">
        <v>157</v>
      </c>
      <c r="I174" s="101"/>
      <c r="J174" s="102"/>
    </row>
    <row r="175" spans="1:10" ht="15.75" x14ac:dyDescent="0.25">
      <c r="A175" s="97">
        <v>6</v>
      </c>
      <c r="B175" s="98"/>
      <c r="C175" s="12" t="s">
        <v>162</v>
      </c>
      <c r="D175" s="97">
        <f>17.425*10.764</f>
        <v>187.56270000000001</v>
      </c>
      <c r="E175" s="98"/>
      <c r="F175" s="12">
        <v>0</v>
      </c>
      <c r="G175" s="12">
        <f t="shared" si="5"/>
        <v>281.34405000000004</v>
      </c>
      <c r="H175" s="12" t="s">
        <v>157</v>
      </c>
      <c r="I175" s="101"/>
      <c r="J175" s="102"/>
    </row>
    <row r="176" spans="1:10" ht="15.75" x14ac:dyDescent="0.25">
      <c r="A176" s="97">
        <v>7</v>
      </c>
      <c r="B176" s="98"/>
      <c r="C176" s="12" t="s">
        <v>162</v>
      </c>
      <c r="D176" s="97">
        <f>17.425*10.764</f>
        <v>187.56270000000001</v>
      </c>
      <c r="E176" s="98"/>
      <c r="F176" s="12">
        <v>0</v>
      </c>
      <c r="G176" s="12">
        <f t="shared" si="5"/>
        <v>281.34405000000004</v>
      </c>
      <c r="H176" s="12" t="s">
        <v>157</v>
      </c>
      <c r="I176" s="101"/>
      <c r="J176" s="102"/>
    </row>
    <row r="177" spans="1:10" ht="15.75" x14ac:dyDescent="0.25">
      <c r="A177" s="97">
        <v>8</v>
      </c>
      <c r="B177" s="98"/>
      <c r="C177" s="12" t="s">
        <v>162</v>
      </c>
      <c r="D177" s="97">
        <f>17.29*10.764</f>
        <v>186.10955999999999</v>
      </c>
      <c r="E177" s="98"/>
      <c r="F177" s="12">
        <v>0</v>
      </c>
      <c r="G177" s="12">
        <f t="shared" si="5"/>
        <v>279.16433999999998</v>
      </c>
      <c r="H177" s="12" t="s">
        <v>157</v>
      </c>
      <c r="I177" s="103"/>
      <c r="J177" s="104"/>
    </row>
    <row r="178" spans="1:10" ht="15.75" x14ac:dyDescent="0.25">
      <c r="A178" s="105" t="s">
        <v>163</v>
      </c>
      <c r="B178" s="106"/>
      <c r="C178" s="106"/>
      <c r="D178" s="106"/>
      <c r="E178" s="106"/>
      <c r="F178" s="106"/>
      <c r="G178" s="106"/>
      <c r="H178" s="106"/>
      <c r="I178" s="106"/>
      <c r="J178" s="107"/>
    </row>
    <row r="179" spans="1:10" ht="15.75" customHeight="1" x14ac:dyDescent="0.25">
      <c r="A179" s="97">
        <v>1</v>
      </c>
      <c r="B179" s="98"/>
      <c r="C179" s="12" t="s">
        <v>162</v>
      </c>
      <c r="D179" s="97">
        <f>21.707*10.764</f>
        <v>233.65414799999999</v>
      </c>
      <c r="E179" s="98"/>
      <c r="F179" s="12">
        <v>0</v>
      </c>
      <c r="G179" s="12">
        <f>D179*1.5</f>
        <v>350.481222</v>
      </c>
      <c r="H179" s="12" t="s">
        <v>157</v>
      </c>
      <c r="I179" s="99" t="str">
        <f>A178</f>
        <v xml:space="preserve">1st to 7th Floor </v>
      </c>
      <c r="J179" s="100"/>
    </row>
    <row r="180" spans="1:10" ht="15.75" x14ac:dyDescent="0.25">
      <c r="A180" s="97">
        <v>2</v>
      </c>
      <c r="B180" s="98"/>
      <c r="C180" s="12" t="s">
        <v>162</v>
      </c>
      <c r="D180" s="97">
        <f>21.712*10.764</f>
        <v>233.70796799999999</v>
      </c>
      <c r="E180" s="98"/>
      <c r="F180" s="12">
        <v>0</v>
      </c>
      <c r="G180" s="12">
        <f t="shared" ref="G180:G192" si="6">D180*1.5</f>
        <v>350.56195200000002</v>
      </c>
      <c r="H180" s="12" t="s">
        <v>157</v>
      </c>
      <c r="I180" s="101"/>
      <c r="J180" s="102"/>
    </row>
    <row r="181" spans="1:10" ht="15.75" x14ac:dyDescent="0.25">
      <c r="A181" s="97">
        <v>3</v>
      </c>
      <c r="B181" s="98"/>
      <c r="C181" s="12" t="s">
        <v>158</v>
      </c>
      <c r="D181" s="97">
        <f>30.7*10.764</f>
        <v>330.45479999999998</v>
      </c>
      <c r="E181" s="98"/>
      <c r="F181" s="12">
        <v>0</v>
      </c>
      <c r="G181" s="12">
        <f t="shared" si="6"/>
        <v>495.68219999999997</v>
      </c>
      <c r="H181" s="12" t="s">
        <v>157</v>
      </c>
      <c r="I181" s="101"/>
      <c r="J181" s="102"/>
    </row>
    <row r="182" spans="1:10" ht="15.75" x14ac:dyDescent="0.25">
      <c r="A182" s="97">
        <v>4</v>
      </c>
      <c r="B182" s="98"/>
      <c r="C182" s="12" t="s">
        <v>158</v>
      </c>
      <c r="D182" s="97">
        <f t="shared" ref="D182:D187" si="7">30.7*10.764</f>
        <v>330.45479999999998</v>
      </c>
      <c r="E182" s="98"/>
      <c r="F182" s="12">
        <v>0</v>
      </c>
      <c r="G182" s="12">
        <f t="shared" si="6"/>
        <v>495.68219999999997</v>
      </c>
      <c r="H182" s="12" t="s">
        <v>157</v>
      </c>
      <c r="I182" s="101"/>
      <c r="J182" s="102"/>
    </row>
    <row r="183" spans="1:10" ht="15.75" customHeight="1" x14ac:dyDescent="0.25">
      <c r="A183" s="97">
        <v>5</v>
      </c>
      <c r="B183" s="98"/>
      <c r="C183" s="12" t="s">
        <v>158</v>
      </c>
      <c r="D183" s="97">
        <f>30.022*10.764</f>
        <v>323.15680799999996</v>
      </c>
      <c r="E183" s="98"/>
      <c r="F183" s="12">
        <v>0</v>
      </c>
      <c r="G183" s="12">
        <f t="shared" si="6"/>
        <v>484.73521199999993</v>
      </c>
      <c r="H183" s="12" t="s">
        <v>157</v>
      </c>
      <c r="I183" s="101"/>
      <c r="J183" s="102"/>
    </row>
    <row r="184" spans="1:10" ht="15.75" x14ac:dyDescent="0.25">
      <c r="A184" s="97">
        <v>6</v>
      </c>
      <c r="B184" s="98"/>
      <c r="C184" s="12" t="s">
        <v>158</v>
      </c>
      <c r="D184" s="97">
        <f>30.7*10.764</f>
        <v>330.45479999999998</v>
      </c>
      <c r="E184" s="98"/>
      <c r="F184" s="12">
        <v>0</v>
      </c>
      <c r="G184" s="12">
        <f t="shared" si="6"/>
        <v>495.68219999999997</v>
      </c>
      <c r="H184" s="12" t="s">
        <v>157</v>
      </c>
      <c r="I184" s="101"/>
      <c r="J184" s="102"/>
    </row>
    <row r="185" spans="1:10" ht="15.75" x14ac:dyDescent="0.25">
      <c r="A185" s="97">
        <v>7</v>
      </c>
      <c r="B185" s="98"/>
      <c r="C185" s="12" t="s">
        <v>158</v>
      </c>
      <c r="D185" s="97">
        <f t="shared" si="7"/>
        <v>330.45479999999998</v>
      </c>
      <c r="E185" s="98"/>
      <c r="F185" s="12">
        <v>0</v>
      </c>
      <c r="G185" s="12">
        <f t="shared" si="6"/>
        <v>495.68219999999997</v>
      </c>
      <c r="H185" s="12" t="s">
        <v>157</v>
      </c>
      <c r="I185" s="101"/>
      <c r="J185" s="102"/>
    </row>
    <row r="186" spans="1:10" ht="15.75" x14ac:dyDescent="0.25">
      <c r="A186" s="97">
        <v>8</v>
      </c>
      <c r="B186" s="98"/>
      <c r="C186" s="12" t="s">
        <v>158</v>
      </c>
      <c r="D186" s="97">
        <f t="shared" si="7"/>
        <v>330.45479999999998</v>
      </c>
      <c r="E186" s="98"/>
      <c r="F186" s="12">
        <v>0</v>
      </c>
      <c r="G186" s="12">
        <f t="shared" si="6"/>
        <v>495.68219999999997</v>
      </c>
      <c r="H186" s="12" t="s">
        <v>157</v>
      </c>
      <c r="I186" s="101"/>
      <c r="J186" s="102"/>
    </row>
    <row r="187" spans="1:10" ht="15.75" x14ac:dyDescent="0.25">
      <c r="A187" s="97">
        <v>9</v>
      </c>
      <c r="B187" s="98"/>
      <c r="C187" s="12" t="s">
        <v>158</v>
      </c>
      <c r="D187" s="97">
        <f t="shared" si="7"/>
        <v>330.45479999999998</v>
      </c>
      <c r="E187" s="98"/>
      <c r="F187" s="12">
        <v>0</v>
      </c>
      <c r="G187" s="12">
        <f t="shared" si="6"/>
        <v>495.68219999999997</v>
      </c>
      <c r="H187" s="12" t="s">
        <v>157</v>
      </c>
      <c r="I187" s="101"/>
      <c r="J187" s="102"/>
    </row>
    <row r="188" spans="1:10" ht="15.75" x14ac:dyDescent="0.25">
      <c r="A188" s="97">
        <v>10</v>
      </c>
      <c r="B188" s="98"/>
      <c r="C188" s="12" t="s">
        <v>158</v>
      </c>
      <c r="D188" s="97">
        <f>30.163*10.764</f>
        <v>324.674532</v>
      </c>
      <c r="E188" s="98"/>
      <c r="F188" s="12">
        <v>0</v>
      </c>
      <c r="G188" s="12">
        <f t="shared" si="6"/>
        <v>487.011798</v>
      </c>
      <c r="H188" s="12" t="s">
        <v>157</v>
      </c>
      <c r="I188" s="101"/>
      <c r="J188" s="102"/>
    </row>
    <row r="189" spans="1:10" ht="15.75" x14ac:dyDescent="0.25">
      <c r="A189" s="97">
        <v>11</v>
      </c>
      <c r="B189" s="98"/>
      <c r="C189" s="12" t="s">
        <v>158</v>
      </c>
      <c r="D189" s="97">
        <f>29.859*10.764</f>
        <v>321.40227599999997</v>
      </c>
      <c r="E189" s="98"/>
      <c r="F189" s="12">
        <v>0</v>
      </c>
      <c r="G189" s="12">
        <f t="shared" si="6"/>
        <v>482.10341399999993</v>
      </c>
      <c r="H189" s="12" t="s">
        <v>157</v>
      </c>
      <c r="I189" s="101"/>
      <c r="J189" s="102"/>
    </row>
    <row r="190" spans="1:10" ht="15.75" x14ac:dyDescent="0.25">
      <c r="A190" s="97">
        <v>12</v>
      </c>
      <c r="B190" s="98"/>
      <c r="C190" s="12" t="s">
        <v>162</v>
      </c>
      <c r="D190" s="97">
        <f>21.665*10.764</f>
        <v>233.20205999999999</v>
      </c>
      <c r="E190" s="98"/>
      <c r="F190" s="12">
        <v>0</v>
      </c>
      <c r="G190" s="12">
        <f t="shared" si="6"/>
        <v>349.80309</v>
      </c>
      <c r="H190" s="12" t="s">
        <v>157</v>
      </c>
      <c r="I190" s="101"/>
      <c r="J190" s="102"/>
    </row>
    <row r="191" spans="1:10" ht="15.75" x14ac:dyDescent="0.25">
      <c r="A191" s="97">
        <v>13</v>
      </c>
      <c r="B191" s="98"/>
      <c r="C191" s="12" t="s">
        <v>162</v>
      </c>
      <c r="D191" s="97">
        <f>21.825*10.764</f>
        <v>234.92429999999999</v>
      </c>
      <c r="E191" s="98"/>
      <c r="F191" s="12">
        <v>0</v>
      </c>
      <c r="G191" s="12">
        <f t="shared" si="6"/>
        <v>352.38644999999997</v>
      </c>
      <c r="H191" s="12" t="s">
        <v>157</v>
      </c>
      <c r="I191" s="101"/>
      <c r="J191" s="102"/>
    </row>
    <row r="192" spans="1:10" ht="15.75" x14ac:dyDescent="0.25">
      <c r="A192" s="97">
        <v>14</v>
      </c>
      <c r="B192" s="98"/>
      <c r="C192" s="12" t="s">
        <v>162</v>
      </c>
      <c r="D192" s="97">
        <f>21.69*10.764</f>
        <v>233.47116</v>
      </c>
      <c r="E192" s="98"/>
      <c r="F192" s="12">
        <v>0</v>
      </c>
      <c r="G192" s="12">
        <f t="shared" si="6"/>
        <v>350.20673999999997</v>
      </c>
      <c r="H192" s="12" t="s">
        <v>157</v>
      </c>
      <c r="I192" s="103"/>
      <c r="J192" s="104"/>
    </row>
    <row r="193" spans="1:11" ht="15.75" x14ac:dyDescent="0.25">
      <c r="A193" s="105" t="s">
        <v>186</v>
      </c>
      <c r="B193" s="106"/>
      <c r="C193" s="106"/>
      <c r="D193" s="106"/>
      <c r="E193" s="106"/>
      <c r="F193" s="106"/>
      <c r="G193" s="106"/>
      <c r="H193" s="106"/>
      <c r="I193" s="106"/>
      <c r="J193" s="107"/>
    </row>
    <row r="194" spans="1:11" ht="15.75" x14ac:dyDescent="0.25">
      <c r="A194" s="105" t="s">
        <v>161</v>
      </c>
      <c r="B194" s="106"/>
      <c r="C194" s="106"/>
      <c r="D194" s="106"/>
      <c r="E194" s="106"/>
      <c r="F194" s="106"/>
      <c r="G194" s="106"/>
      <c r="H194" s="106"/>
      <c r="I194" s="106"/>
      <c r="J194" s="107"/>
    </row>
    <row r="195" spans="1:11" ht="15.75" x14ac:dyDescent="0.25">
      <c r="A195" s="97">
        <v>1</v>
      </c>
      <c r="B195" s="98"/>
      <c r="C195" s="12" t="s">
        <v>158</v>
      </c>
      <c r="D195" s="97">
        <f>24.953*10.764</f>
        <v>268.59409199999999</v>
      </c>
      <c r="E195" s="98"/>
      <c r="F195" s="12">
        <v>0</v>
      </c>
      <c r="G195" s="12">
        <v>399</v>
      </c>
      <c r="H195" s="12" t="s">
        <v>157</v>
      </c>
      <c r="I195" s="99" t="s">
        <v>155</v>
      </c>
      <c r="J195" s="100"/>
      <c r="K195" s="25"/>
    </row>
    <row r="196" spans="1:11" ht="15.75" x14ac:dyDescent="0.25">
      <c r="A196" s="97">
        <v>2</v>
      </c>
      <c r="B196" s="98"/>
      <c r="C196" s="12" t="s">
        <v>158</v>
      </c>
      <c r="D196" s="97">
        <f>24.953*10.764</f>
        <v>268.59409199999999</v>
      </c>
      <c r="E196" s="98"/>
      <c r="F196" s="12">
        <v>0</v>
      </c>
      <c r="G196" s="12">
        <v>399</v>
      </c>
      <c r="H196" s="12" t="s">
        <v>157</v>
      </c>
      <c r="I196" s="101"/>
      <c r="J196" s="102"/>
      <c r="K196" s="25"/>
    </row>
    <row r="197" spans="1:11" ht="15.75" x14ac:dyDescent="0.25">
      <c r="A197" s="97">
        <v>3</v>
      </c>
      <c r="B197" s="98"/>
      <c r="C197" s="12" t="s">
        <v>162</v>
      </c>
      <c r="D197" s="97">
        <f>17.29*10.764</f>
        <v>186.10955999999999</v>
      </c>
      <c r="E197" s="98"/>
      <c r="F197" s="12">
        <v>0</v>
      </c>
      <c r="G197" s="12">
        <v>276</v>
      </c>
      <c r="H197" s="12" t="s">
        <v>157</v>
      </c>
      <c r="I197" s="101"/>
      <c r="J197" s="102"/>
      <c r="K197" s="25"/>
    </row>
    <row r="198" spans="1:11" ht="15.75" x14ac:dyDescent="0.25">
      <c r="A198" s="97">
        <v>4</v>
      </c>
      <c r="B198" s="98"/>
      <c r="C198" s="12" t="s">
        <v>162</v>
      </c>
      <c r="D198" s="97">
        <f>17.29*10.764</f>
        <v>186.10955999999999</v>
      </c>
      <c r="E198" s="98"/>
      <c r="F198" s="12">
        <v>0</v>
      </c>
      <c r="G198" s="12">
        <v>276</v>
      </c>
      <c r="H198" s="12" t="s">
        <v>157</v>
      </c>
      <c r="I198" s="101"/>
      <c r="J198" s="102"/>
      <c r="K198" s="25"/>
    </row>
    <row r="199" spans="1:11" ht="15.75" x14ac:dyDescent="0.25">
      <c r="A199" s="97">
        <v>5</v>
      </c>
      <c r="B199" s="98"/>
      <c r="C199" s="12" t="s">
        <v>162</v>
      </c>
      <c r="D199" s="97">
        <f>17.29*10.764</f>
        <v>186.10955999999999</v>
      </c>
      <c r="E199" s="98"/>
      <c r="F199" s="12">
        <v>0</v>
      </c>
      <c r="G199" s="12">
        <v>276</v>
      </c>
      <c r="H199" s="12" t="s">
        <v>157</v>
      </c>
      <c r="I199" s="101"/>
      <c r="J199" s="102"/>
      <c r="K199" s="25"/>
    </row>
    <row r="200" spans="1:11" ht="15.75" x14ac:dyDescent="0.25">
      <c r="A200" s="97">
        <v>6</v>
      </c>
      <c r="B200" s="98"/>
      <c r="C200" s="12" t="s">
        <v>162</v>
      </c>
      <c r="D200" s="97">
        <f>17.29*10.764</f>
        <v>186.10955999999999</v>
      </c>
      <c r="E200" s="98"/>
      <c r="F200" s="12">
        <v>0</v>
      </c>
      <c r="G200" s="12">
        <v>276</v>
      </c>
      <c r="H200" s="12" t="s">
        <v>157</v>
      </c>
      <c r="I200" s="103"/>
      <c r="J200" s="104"/>
      <c r="K200" s="25"/>
    </row>
    <row r="201" spans="1:11" ht="15.75" x14ac:dyDescent="0.25">
      <c r="A201" s="105" t="s">
        <v>163</v>
      </c>
      <c r="B201" s="106"/>
      <c r="C201" s="106"/>
      <c r="D201" s="106"/>
      <c r="E201" s="106"/>
      <c r="F201" s="106"/>
      <c r="G201" s="106"/>
      <c r="H201" s="106"/>
      <c r="I201" s="106"/>
      <c r="J201" s="107"/>
      <c r="K201" s="25"/>
    </row>
    <row r="202" spans="1:11" ht="15.75" customHeight="1" x14ac:dyDescent="0.25">
      <c r="A202" s="97">
        <v>1</v>
      </c>
      <c r="B202" s="98"/>
      <c r="C202" s="12" t="s">
        <v>162</v>
      </c>
      <c r="D202" s="97">
        <f>21.397*10.764</f>
        <v>230.31730799999997</v>
      </c>
      <c r="E202" s="98"/>
      <c r="F202" s="12">
        <v>0</v>
      </c>
      <c r="G202" s="12">
        <v>340</v>
      </c>
      <c r="H202" s="12" t="s">
        <v>157</v>
      </c>
      <c r="I202" s="99" t="str">
        <f>A201</f>
        <v xml:space="preserve">1st to 7th Floor </v>
      </c>
      <c r="J202" s="100"/>
      <c r="K202" s="25"/>
    </row>
    <row r="203" spans="1:11" ht="15.75" x14ac:dyDescent="0.25">
      <c r="A203" s="97">
        <v>2</v>
      </c>
      <c r="B203" s="98"/>
      <c r="C203" s="12" t="s">
        <v>158</v>
      </c>
      <c r="D203" s="97">
        <f>28.928*10.764</f>
        <v>311.38099199999999</v>
      </c>
      <c r="E203" s="98"/>
      <c r="F203" s="12">
        <v>0</v>
      </c>
      <c r="G203" s="12">
        <v>461</v>
      </c>
      <c r="H203" s="12" t="s">
        <v>157</v>
      </c>
      <c r="I203" s="101"/>
      <c r="J203" s="102"/>
      <c r="K203" s="25"/>
    </row>
    <row r="204" spans="1:11" ht="15.75" x14ac:dyDescent="0.25">
      <c r="A204" s="97">
        <v>3</v>
      </c>
      <c r="B204" s="98"/>
      <c r="C204" s="12" t="s">
        <v>162</v>
      </c>
      <c r="D204" s="97">
        <f>22.097*10.764</f>
        <v>237.85210799999999</v>
      </c>
      <c r="E204" s="98"/>
      <c r="F204" s="12">
        <v>0</v>
      </c>
      <c r="G204" s="12">
        <v>350</v>
      </c>
      <c r="H204" s="12" t="s">
        <v>157</v>
      </c>
      <c r="I204" s="101"/>
      <c r="J204" s="102"/>
      <c r="K204" s="25"/>
    </row>
    <row r="205" spans="1:11" ht="15.75" x14ac:dyDescent="0.25">
      <c r="A205" s="97">
        <v>4</v>
      </c>
      <c r="B205" s="98"/>
      <c r="C205" s="12" t="s">
        <v>158</v>
      </c>
      <c r="D205" s="97">
        <f>29.078*10.764</f>
        <v>312.99559199999999</v>
      </c>
      <c r="E205" s="98"/>
      <c r="F205" s="12">
        <v>0</v>
      </c>
      <c r="G205" s="12">
        <v>463</v>
      </c>
      <c r="H205" s="12" t="s">
        <v>157</v>
      </c>
      <c r="I205" s="101"/>
      <c r="J205" s="102"/>
      <c r="K205" s="25"/>
    </row>
    <row r="206" spans="1:11" ht="15.75" customHeight="1" x14ac:dyDescent="0.25">
      <c r="A206" s="97">
        <v>5</v>
      </c>
      <c r="B206" s="98"/>
      <c r="C206" s="12" t="s">
        <v>162</v>
      </c>
      <c r="D206" s="97">
        <f>21.397*10.764</f>
        <v>230.31730799999997</v>
      </c>
      <c r="E206" s="98"/>
      <c r="F206" s="12">
        <v>0</v>
      </c>
      <c r="G206" s="12">
        <v>340</v>
      </c>
      <c r="H206" s="12" t="s">
        <v>157</v>
      </c>
      <c r="I206" s="101"/>
      <c r="J206" s="102"/>
      <c r="K206" s="25"/>
    </row>
    <row r="207" spans="1:11" ht="15.75" x14ac:dyDescent="0.25">
      <c r="A207" s="97">
        <v>6</v>
      </c>
      <c r="B207" s="98"/>
      <c r="C207" s="12" t="s">
        <v>162</v>
      </c>
      <c r="D207" s="97">
        <f>21.552*10.764</f>
        <v>231.98572799999999</v>
      </c>
      <c r="E207" s="98"/>
      <c r="F207" s="12">
        <v>0</v>
      </c>
      <c r="G207" s="12">
        <v>342</v>
      </c>
      <c r="H207" s="12" t="s">
        <v>157</v>
      </c>
      <c r="I207" s="101"/>
      <c r="J207" s="102"/>
      <c r="K207" s="25"/>
    </row>
    <row r="208" spans="1:11" ht="15.75" x14ac:dyDescent="0.25">
      <c r="A208" s="97">
        <v>7</v>
      </c>
      <c r="B208" s="98"/>
      <c r="C208" s="12" t="s">
        <v>162</v>
      </c>
      <c r="D208" s="97">
        <f>21.552*10.764</f>
        <v>231.98572799999999</v>
      </c>
      <c r="E208" s="98"/>
      <c r="F208" s="12">
        <v>0</v>
      </c>
      <c r="G208" s="12">
        <v>342</v>
      </c>
      <c r="H208" s="12" t="s">
        <v>157</v>
      </c>
      <c r="I208" s="101"/>
      <c r="J208" s="102"/>
      <c r="K208" s="25"/>
    </row>
    <row r="209" spans="1:11" ht="15.75" x14ac:dyDescent="0.25">
      <c r="A209" s="97">
        <v>8</v>
      </c>
      <c r="B209" s="98"/>
      <c r="C209" s="12" t="s">
        <v>162</v>
      </c>
      <c r="D209" s="97">
        <f>21.552*10.764</f>
        <v>231.98572799999999</v>
      </c>
      <c r="E209" s="98"/>
      <c r="F209" s="12">
        <v>0</v>
      </c>
      <c r="G209" s="12">
        <v>342</v>
      </c>
      <c r="H209" s="12" t="s">
        <v>157</v>
      </c>
      <c r="I209" s="101"/>
      <c r="J209" s="102"/>
      <c r="K209" s="25"/>
    </row>
    <row r="210" spans="1:11" ht="15.75" x14ac:dyDescent="0.25">
      <c r="A210" s="97">
        <v>9</v>
      </c>
      <c r="B210" s="98"/>
      <c r="C210" s="12" t="s">
        <v>162</v>
      </c>
      <c r="D210" s="97">
        <f>21.552*10.764</f>
        <v>231.98572799999999</v>
      </c>
      <c r="E210" s="98"/>
      <c r="F210" s="12">
        <v>0</v>
      </c>
      <c r="G210" s="12">
        <v>342</v>
      </c>
      <c r="H210" s="12" t="s">
        <v>157</v>
      </c>
      <c r="I210" s="103"/>
      <c r="J210" s="104"/>
      <c r="K210" s="25"/>
    </row>
    <row r="211" spans="1:11" ht="15.75" x14ac:dyDescent="0.25">
      <c r="A211" s="105" t="s">
        <v>187</v>
      </c>
      <c r="B211" s="106"/>
      <c r="C211" s="106"/>
      <c r="D211" s="106"/>
      <c r="E211" s="106"/>
      <c r="F211" s="106"/>
      <c r="G211" s="106"/>
      <c r="H211" s="106"/>
      <c r="I211" s="106"/>
      <c r="J211" s="107"/>
    </row>
    <row r="212" spans="1:11" ht="15.75" x14ac:dyDescent="0.25">
      <c r="A212" s="105" t="s">
        <v>164</v>
      </c>
      <c r="B212" s="106"/>
      <c r="C212" s="106"/>
      <c r="D212" s="106"/>
      <c r="E212" s="106"/>
      <c r="F212" s="106"/>
      <c r="G212" s="106"/>
      <c r="H212" s="106"/>
      <c r="I212" s="106"/>
      <c r="J212" s="107"/>
    </row>
    <row r="213" spans="1:11" ht="15.75" x14ac:dyDescent="0.25">
      <c r="A213" s="105" t="s">
        <v>165</v>
      </c>
      <c r="B213" s="106"/>
      <c r="C213" s="106"/>
      <c r="D213" s="106"/>
      <c r="E213" s="106"/>
      <c r="F213" s="106"/>
      <c r="G213" s="106"/>
      <c r="H213" s="106"/>
      <c r="I213" s="106"/>
      <c r="J213" s="107"/>
    </row>
    <row r="214" spans="1:11" ht="15.75" x14ac:dyDescent="0.25">
      <c r="A214" s="97">
        <v>1</v>
      </c>
      <c r="B214" s="98"/>
      <c r="C214" s="12" t="s">
        <v>158</v>
      </c>
      <c r="D214" s="97">
        <f>29.365*10.764</f>
        <v>316.08485999999999</v>
      </c>
      <c r="E214" s="98"/>
      <c r="F214" s="12">
        <v>0</v>
      </c>
      <c r="G214" s="12">
        <f>D214*1.5</f>
        <v>474.12729000000002</v>
      </c>
      <c r="H214" s="12" t="s">
        <v>157</v>
      </c>
      <c r="I214" s="99" t="str">
        <f>A213</f>
        <v xml:space="preserve">1st to 4th Floor </v>
      </c>
      <c r="J214" s="100"/>
    </row>
    <row r="215" spans="1:11" ht="15.75" x14ac:dyDescent="0.25">
      <c r="A215" s="97">
        <v>2</v>
      </c>
      <c r="B215" s="98"/>
      <c r="C215" s="12" t="s">
        <v>158</v>
      </c>
      <c r="D215" s="97">
        <f>29.365*10.764</f>
        <v>316.08485999999999</v>
      </c>
      <c r="E215" s="98"/>
      <c r="F215" s="12">
        <v>0</v>
      </c>
      <c r="G215" s="12">
        <f t="shared" ref="G215:G223" si="8">D215*1.5</f>
        <v>474.12729000000002</v>
      </c>
      <c r="H215" s="12" t="s">
        <v>157</v>
      </c>
      <c r="I215" s="101"/>
      <c r="J215" s="102"/>
    </row>
    <row r="216" spans="1:11" ht="15.75" x14ac:dyDescent="0.25">
      <c r="A216" s="97">
        <v>3</v>
      </c>
      <c r="B216" s="98"/>
      <c r="C216" s="12" t="s">
        <v>162</v>
      </c>
      <c r="D216" s="97">
        <f>21.62*10.764</f>
        <v>232.71768</v>
      </c>
      <c r="E216" s="98"/>
      <c r="F216" s="12">
        <v>0</v>
      </c>
      <c r="G216" s="12">
        <f t="shared" si="8"/>
        <v>349.07652000000002</v>
      </c>
      <c r="H216" s="12" t="s">
        <v>157</v>
      </c>
      <c r="I216" s="101"/>
      <c r="J216" s="102"/>
    </row>
    <row r="217" spans="1:11" ht="15.75" x14ac:dyDescent="0.25">
      <c r="A217" s="97">
        <v>4</v>
      </c>
      <c r="B217" s="98"/>
      <c r="C217" s="12" t="s">
        <v>162</v>
      </c>
      <c r="D217" s="97">
        <f>21.47*10.764</f>
        <v>231.10307999999998</v>
      </c>
      <c r="E217" s="98"/>
      <c r="F217" s="12">
        <v>0</v>
      </c>
      <c r="G217" s="12">
        <f t="shared" si="8"/>
        <v>346.65461999999997</v>
      </c>
      <c r="H217" s="12" t="s">
        <v>157</v>
      </c>
      <c r="I217" s="101"/>
      <c r="J217" s="102"/>
    </row>
    <row r="218" spans="1:11" ht="15.75" x14ac:dyDescent="0.25">
      <c r="A218" s="97">
        <v>5</v>
      </c>
      <c r="B218" s="98"/>
      <c r="C218" s="12" t="s">
        <v>162</v>
      </c>
      <c r="D218" s="97">
        <f>21.47*10.764</f>
        <v>231.10307999999998</v>
      </c>
      <c r="E218" s="98"/>
      <c r="F218" s="12">
        <v>0</v>
      </c>
      <c r="G218" s="12">
        <f t="shared" si="8"/>
        <v>346.65461999999997</v>
      </c>
      <c r="H218" s="12" t="s">
        <v>157</v>
      </c>
      <c r="I218" s="101"/>
      <c r="J218" s="102"/>
    </row>
    <row r="219" spans="1:11" ht="15.75" x14ac:dyDescent="0.25">
      <c r="A219" s="97">
        <v>6</v>
      </c>
      <c r="B219" s="98"/>
      <c r="C219" s="12" t="s">
        <v>162</v>
      </c>
      <c r="D219" s="97">
        <f>21.47*10.764</f>
        <v>231.10307999999998</v>
      </c>
      <c r="E219" s="98"/>
      <c r="F219" s="12">
        <v>0</v>
      </c>
      <c r="G219" s="12">
        <f t="shared" si="8"/>
        <v>346.65461999999997</v>
      </c>
      <c r="H219" s="12" t="s">
        <v>157</v>
      </c>
      <c r="I219" s="101"/>
      <c r="J219" s="102"/>
    </row>
    <row r="220" spans="1:11" ht="15.75" x14ac:dyDescent="0.25">
      <c r="A220" s="97">
        <v>7</v>
      </c>
      <c r="B220" s="98"/>
      <c r="C220" s="12" t="s">
        <v>162</v>
      </c>
      <c r="D220" s="97">
        <f>21.47*10.764</f>
        <v>231.10307999999998</v>
      </c>
      <c r="E220" s="98"/>
      <c r="F220" s="12">
        <v>0</v>
      </c>
      <c r="G220" s="12">
        <f t="shared" si="8"/>
        <v>346.65461999999997</v>
      </c>
      <c r="H220" s="12" t="s">
        <v>157</v>
      </c>
      <c r="I220" s="101"/>
      <c r="J220" s="102"/>
    </row>
    <row r="221" spans="1:11" ht="15.75" x14ac:dyDescent="0.25">
      <c r="A221" s="97">
        <v>8</v>
      </c>
      <c r="B221" s="98"/>
      <c r="C221" s="12" t="s">
        <v>162</v>
      </c>
      <c r="D221" s="97">
        <f>21.47*10.764</f>
        <v>231.10307999999998</v>
      </c>
      <c r="E221" s="98"/>
      <c r="F221" s="12">
        <v>0</v>
      </c>
      <c r="G221" s="12">
        <f t="shared" si="8"/>
        <v>346.65461999999997</v>
      </c>
      <c r="H221" s="12" t="s">
        <v>157</v>
      </c>
      <c r="I221" s="101"/>
      <c r="J221" s="102"/>
    </row>
    <row r="222" spans="1:11" ht="15.75" x14ac:dyDescent="0.25">
      <c r="A222" s="97">
        <v>9</v>
      </c>
      <c r="B222" s="98"/>
      <c r="C222" s="12" t="s">
        <v>158</v>
      </c>
      <c r="D222" s="97">
        <f>29.875*10.764</f>
        <v>321.5745</v>
      </c>
      <c r="E222" s="98"/>
      <c r="F222" s="12">
        <v>0</v>
      </c>
      <c r="G222" s="12">
        <f t="shared" si="8"/>
        <v>482.36175000000003</v>
      </c>
      <c r="H222" s="12" t="s">
        <v>157</v>
      </c>
      <c r="I222" s="101"/>
      <c r="J222" s="102"/>
    </row>
    <row r="223" spans="1:11" ht="15.75" x14ac:dyDescent="0.25">
      <c r="A223" s="97">
        <v>10</v>
      </c>
      <c r="B223" s="98"/>
      <c r="C223" s="12" t="s">
        <v>158</v>
      </c>
      <c r="D223" s="97">
        <f>29.875*10.764</f>
        <v>321.5745</v>
      </c>
      <c r="E223" s="98"/>
      <c r="F223" s="12">
        <v>0</v>
      </c>
      <c r="G223" s="12">
        <f t="shared" si="8"/>
        <v>482.36175000000003</v>
      </c>
      <c r="H223" s="12" t="s">
        <v>157</v>
      </c>
      <c r="I223" s="103"/>
      <c r="J223" s="104"/>
    </row>
    <row r="224" spans="1:11" ht="236.25" customHeight="1" x14ac:dyDescent="0.25">
      <c r="A224" s="178" t="s">
        <v>247</v>
      </c>
      <c r="B224" s="179"/>
      <c r="C224" s="179"/>
      <c r="D224" s="179"/>
      <c r="E224" s="179"/>
      <c r="F224" s="179"/>
      <c r="G224" s="179"/>
      <c r="H224" s="179"/>
      <c r="I224" s="179"/>
      <c r="J224" s="180"/>
    </row>
    <row r="225" spans="1:10" x14ac:dyDescent="0.25">
      <c r="A225" s="175" t="s">
        <v>25</v>
      </c>
      <c r="B225" s="176"/>
      <c r="C225" s="176"/>
      <c r="D225" s="176"/>
      <c r="E225" s="176"/>
      <c r="F225" s="176"/>
      <c r="G225" s="176"/>
      <c r="H225" s="176"/>
      <c r="I225" s="176"/>
      <c r="J225" s="177"/>
    </row>
    <row r="226" spans="1:10" x14ac:dyDescent="0.25">
      <c r="A226" s="159" t="s">
        <v>33</v>
      </c>
      <c r="B226" s="133"/>
      <c r="C226" s="133"/>
      <c r="D226" s="133"/>
      <c r="E226" s="133"/>
      <c r="F226" s="133"/>
      <c r="G226" s="133"/>
      <c r="H226" s="133"/>
      <c r="I226" s="133"/>
      <c r="J226" s="134"/>
    </row>
    <row r="227" spans="1:10" x14ac:dyDescent="0.25">
      <c r="A227" s="175" t="s">
        <v>27</v>
      </c>
      <c r="B227" s="176"/>
      <c r="C227" s="176"/>
      <c r="D227" s="176"/>
      <c r="E227" s="176"/>
      <c r="F227" s="176"/>
      <c r="G227" s="176"/>
      <c r="H227" s="176"/>
      <c r="I227" s="176"/>
      <c r="J227" s="177"/>
    </row>
    <row r="228" spans="1:10" x14ac:dyDescent="0.25">
      <c r="A228" s="121" t="s">
        <v>38</v>
      </c>
      <c r="B228" s="122"/>
      <c r="C228" s="122"/>
      <c r="D228" s="122"/>
      <c r="E228" s="122"/>
      <c r="F228" s="122"/>
      <c r="G228" s="122"/>
      <c r="H228" s="122"/>
      <c r="I228" s="122"/>
      <c r="J228" s="123"/>
    </row>
    <row r="229" spans="1:10" ht="16.5" customHeight="1" x14ac:dyDescent="0.25">
      <c r="A229" s="118" t="s">
        <v>59</v>
      </c>
      <c r="B229" s="119"/>
      <c r="C229" s="119"/>
      <c r="D229" s="119"/>
      <c r="E229" s="119"/>
      <c r="F229" s="119"/>
      <c r="G229" s="119"/>
      <c r="H229" s="119"/>
      <c r="I229" s="119"/>
      <c r="J229" s="120"/>
    </row>
    <row r="230" spans="1:10" x14ac:dyDescent="0.25">
      <c r="A230" s="121" t="s">
        <v>39</v>
      </c>
      <c r="B230" s="122"/>
      <c r="C230" s="122"/>
      <c r="D230" s="122"/>
      <c r="E230" s="122"/>
      <c r="F230" s="122"/>
      <c r="G230" s="122"/>
      <c r="H230" s="122"/>
      <c r="I230" s="122"/>
      <c r="J230" s="123"/>
    </row>
    <row r="231" spans="1:10" x14ac:dyDescent="0.25">
      <c r="A231" s="121" t="s">
        <v>40</v>
      </c>
      <c r="B231" s="122"/>
      <c r="C231" s="122"/>
      <c r="D231" s="122"/>
      <c r="E231" s="122"/>
      <c r="F231" s="122"/>
      <c r="G231" s="122"/>
      <c r="H231" s="122"/>
      <c r="I231" s="122"/>
      <c r="J231" s="123"/>
    </row>
    <row r="232" spans="1:10" hidden="1" x14ac:dyDescent="0.25">
      <c r="A232" s="154" t="s">
        <v>41</v>
      </c>
      <c r="B232" s="163"/>
      <c r="C232" s="163"/>
      <c r="D232" s="163"/>
      <c r="E232" s="163"/>
      <c r="F232" s="163"/>
      <c r="G232" s="163"/>
      <c r="H232" s="163"/>
      <c r="I232" s="163"/>
      <c r="J232" s="155"/>
    </row>
    <row r="233" spans="1:10" ht="15" customHeight="1" x14ac:dyDescent="0.25">
      <c r="A233" s="109" t="s">
        <v>26</v>
      </c>
      <c r="B233" s="110"/>
      <c r="C233" s="110"/>
      <c r="D233" s="110"/>
      <c r="E233" s="110"/>
      <c r="F233" s="110"/>
      <c r="G233" s="110"/>
      <c r="H233" s="110"/>
      <c r="I233" s="110"/>
      <c r="J233" s="111"/>
    </row>
    <row r="234" spans="1:10" x14ac:dyDescent="0.25">
      <c r="A234" s="112"/>
      <c r="B234" s="113"/>
      <c r="C234" s="113"/>
      <c r="D234" s="113"/>
      <c r="E234" s="113"/>
      <c r="F234" s="113"/>
      <c r="G234" s="113"/>
      <c r="H234" s="113"/>
      <c r="I234" s="113"/>
      <c r="J234" s="114"/>
    </row>
    <row r="235" spans="1:10" x14ac:dyDescent="0.25">
      <c r="A235" s="112"/>
      <c r="B235" s="113"/>
      <c r="C235" s="113"/>
      <c r="D235" s="113"/>
      <c r="E235" s="113"/>
      <c r="F235" s="113"/>
      <c r="G235" s="113"/>
      <c r="H235" s="113"/>
      <c r="I235" s="113"/>
      <c r="J235" s="114"/>
    </row>
    <row r="236" spans="1:10" x14ac:dyDescent="0.25">
      <c r="A236" s="115"/>
      <c r="B236" s="116"/>
      <c r="C236" s="116"/>
      <c r="D236" s="116"/>
      <c r="E236" s="116"/>
      <c r="F236" s="116"/>
      <c r="G236" s="116"/>
      <c r="H236" s="116"/>
      <c r="I236" s="116"/>
      <c r="J236" s="117"/>
    </row>
    <row r="237" spans="1:10" x14ac:dyDescent="0.25">
      <c r="A237" s="19" t="s">
        <v>139</v>
      </c>
      <c r="B237" s="18"/>
      <c r="C237" s="18"/>
      <c r="D237" s="108" t="str">
        <f>F8</f>
        <v>Royale Shagun</v>
      </c>
      <c r="E237" s="108"/>
      <c r="F237" s="108"/>
      <c r="G237" s="18"/>
      <c r="H237" s="18"/>
      <c r="I237" s="18"/>
      <c r="J237" s="18"/>
    </row>
    <row r="238" spans="1:10" x14ac:dyDescent="0.25">
      <c r="A238" s="18"/>
      <c r="B238" s="18"/>
      <c r="C238" s="18"/>
      <c r="D238" s="18"/>
      <c r="E238" s="18"/>
      <c r="F238" s="18"/>
      <c r="G238" s="18"/>
      <c r="H238" s="18"/>
      <c r="I238" s="18"/>
      <c r="J238" s="18"/>
    </row>
    <row r="239" spans="1:10" x14ac:dyDescent="0.25">
      <c r="A239" s="18"/>
      <c r="B239" s="18"/>
      <c r="C239" s="18"/>
      <c r="D239" s="18"/>
      <c r="E239" s="18"/>
      <c r="F239" s="18"/>
      <c r="G239" s="18"/>
      <c r="H239" s="18"/>
      <c r="I239" s="18"/>
      <c r="J239" s="18"/>
    </row>
    <row r="240" spans="1:10" x14ac:dyDescent="0.25">
      <c r="A240" s="18"/>
      <c r="B240" s="18"/>
      <c r="C240" s="18"/>
      <c r="D240" s="18"/>
      <c r="E240" s="18"/>
      <c r="F240" s="18"/>
      <c r="G240" s="18"/>
      <c r="H240" s="18"/>
      <c r="I240" s="18"/>
      <c r="J240" s="18"/>
    </row>
    <row r="241" spans="1:10" x14ac:dyDescent="0.25">
      <c r="A241" s="18"/>
      <c r="B241" s="18"/>
      <c r="C241" s="18"/>
      <c r="D241" s="18"/>
      <c r="E241" s="18"/>
      <c r="F241" s="18"/>
      <c r="G241" s="18"/>
      <c r="H241" s="18"/>
      <c r="I241" s="18"/>
      <c r="J241" s="18"/>
    </row>
    <row r="242" spans="1:10" x14ac:dyDescent="0.25">
      <c r="A242" s="18"/>
      <c r="B242" s="18"/>
      <c r="C242" s="18"/>
      <c r="D242" s="18"/>
      <c r="E242" s="18"/>
      <c r="F242" s="18"/>
      <c r="G242" s="18"/>
      <c r="H242" s="18"/>
      <c r="I242" s="18"/>
      <c r="J242" s="18"/>
    </row>
    <row r="243" spans="1:10" x14ac:dyDescent="0.25">
      <c r="A243" s="18"/>
      <c r="B243" s="18"/>
      <c r="C243" s="18"/>
      <c r="D243" s="18"/>
      <c r="E243" s="18"/>
      <c r="F243" s="18"/>
      <c r="G243" s="18"/>
      <c r="H243" s="18"/>
      <c r="I243" s="18"/>
      <c r="J243" s="18"/>
    </row>
    <row r="244" spans="1:10" x14ac:dyDescent="0.25">
      <c r="A244" s="18"/>
      <c r="B244" s="18"/>
      <c r="C244" s="18"/>
      <c r="D244" s="18"/>
      <c r="E244" s="18"/>
      <c r="F244" s="18"/>
      <c r="G244" s="18"/>
      <c r="H244" s="18"/>
      <c r="I244" s="18"/>
      <c r="J244" s="18"/>
    </row>
    <row r="245" spans="1:10" x14ac:dyDescent="0.25">
      <c r="A245" s="18"/>
      <c r="B245" s="18"/>
      <c r="C245" s="18"/>
      <c r="D245" s="18"/>
      <c r="E245" s="18"/>
      <c r="F245" s="18"/>
      <c r="G245" s="18"/>
      <c r="H245" s="18"/>
      <c r="I245" s="18"/>
      <c r="J245" s="18"/>
    </row>
    <row r="246" spans="1:10" x14ac:dyDescent="0.25">
      <c r="A246" s="18"/>
      <c r="B246" s="18"/>
      <c r="C246" s="18"/>
      <c r="D246" s="18"/>
      <c r="E246" s="18"/>
      <c r="F246" s="18"/>
      <c r="G246" s="18"/>
      <c r="H246" s="18"/>
      <c r="I246" s="18"/>
      <c r="J246" s="18"/>
    </row>
    <row r="247" spans="1:10" x14ac:dyDescent="0.25">
      <c r="A247" s="18"/>
      <c r="B247" s="18"/>
      <c r="C247" s="18"/>
      <c r="D247" s="18"/>
      <c r="E247" s="18"/>
      <c r="F247" s="18"/>
      <c r="G247" s="18"/>
      <c r="H247" s="18"/>
      <c r="I247" s="18"/>
      <c r="J247" s="18"/>
    </row>
    <row r="248" spans="1:10" x14ac:dyDescent="0.25">
      <c r="A248" s="18"/>
      <c r="B248" s="18"/>
      <c r="C248" s="18"/>
      <c r="D248" s="18"/>
      <c r="E248" s="18"/>
      <c r="F248" s="18"/>
      <c r="G248" s="18"/>
      <c r="H248" s="18"/>
      <c r="I248" s="18"/>
      <c r="J248" s="18"/>
    </row>
    <row r="249" spans="1:10" x14ac:dyDescent="0.25">
      <c r="A249" s="18"/>
      <c r="B249" s="18"/>
      <c r="C249" s="18"/>
      <c r="D249" s="18"/>
      <c r="E249" s="18"/>
      <c r="F249" s="18"/>
      <c r="G249" s="18"/>
      <c r="H249" s="18"/>
      <c r="I249" s="18"/>
      <c r="J249" s="18"/>
    </row>
    <row r="250" spans="1:10" x14ac:dyDescent="0.25">
      <c r="A250" s="18"/>
      <c r="B250" s="18"/>
      <c r="C250" s="18"/>
      <c r="D250" s="18"/>
      <c r="E250" s="18"/>
      <c r="F250" s="18"/>
      <c r="G250" s="18"/>
      <c r="H250" s="18"/>
      <c r="I250" s="18"/>
      <c r="J250" s="18"/>
    </row>
    <row r="251" spans="1:10" x14ac:dyDescent="0.25">
      <c r="A251" s="18"/>
      <c r="B251" s="18"/>
      <c r="C251" s="18"/>
      <c r="D251" s="18"/>
      <c r="E251" s="18"/>
      <c r="F251" s="18"/>
      <c r="G251" s="18"/>
      <c r="H251" s="18"/>
      <c r="I251" s="18"/>
      <c r="J251" s="18"/>
    </row>
    <row r="252" spans="1:10" x14ac:dyDescent="0.25">
      <c r="A252" s="18"/>
      <c r="B252" s="18"/>
      <c r="C252" s="18"/>
      <c r="D252" s="18"/>
      <c r="E252" s="18"/>
      <c r="F252" s="18"/>
      <c r="G252" s="18"/>
      <c r="H252" s="18"/>
      <c r="I252" s="18"/>
      <c r="J252" s="18"/>
    </row>
    <row r="253" spans="1:10" x14ac:dyDescent="0.25">
      <c r="A253" s="18"/>
      <c r="B253" s="18"/>
      <c r="C253" s="18"/>
      <c r="D253" s="18"/>
      <c r="E253" s="18"/>
      <c r="F253" s="18"/>
      <c r="G253" s="18"/>
      <c r="H253" s="18"/>
      <c r="I253" s="18"/>
      <c r="J253" s="18"/>
    </row>
    <row r="254" spans="1:10" x14ac:dyDescent="0.25">
      <c r="A254" s="18"/>
      <c r="B254" s="18"/>
      <c r="C254" s="18"/>
      <c r="D254" s="18"/>
      <c r="E254" s="18"/>
      <c r="F254" s="18"/>
      <c r="G254" s="18"/>
      <c r="H254" s="18"/>
      <c r="I254" s="18"/>
      <c r="J254" s="18"/>
    </row>
    <row r="255" spans="1:10" x14ac:dyDescent="0.25">
      <c r="A255" s="18"/>
      <c r="B255" s="18"/>
      <c r="C255" s="18"/>
      <c r="D255" s="18"/>
      <c r="E255" s="18"/>
      <c r="F255" s="18"/>
      <c r="G255" s="18"/>
      <c r="H255" s="18"/>
      <c r="I255" s="18"/>
      <c r="J255" s="18"/>
    </row>
    <row r="256" spans="1:10" x14ac:dyDescent="0.25">
      <c r="A256" s="18"/>
      <c r="B256" s="18"/>
      <c r="C256" s="18"/>
      <c r="D256" s="18"/>
      <c r="E256" s="18"/>
      <c r="F256" s="18"/>
      <c r="G256" s="18"/>
      <c r="H256" s="18"/>
      <c r="I256" s="18"/>
      <c r="J256" s="18"/>
    </row>
    <row r="257" spans="1:10" x14ac:dyDescent="0.25">
      <c r="A257" s="18"/>
      <c r="B257" s="18"/>
      <c r="C257" s="18"/>
      <c r="D257" s="18"/>
      <c r="E257" s="18"/>
      <c r="F257" s="18"/>
      <c r="G257" s="18"/>
      <c r="H257" s="18"/>
      <c r="I257" s="18"/>
      <c r="J257" s="18"/>
    </row>
    <row r="258" spans="1:10" x14ac:dyDescent="0.25">
      <c r="A258" s="18"/>
      <c r="B258" s="18"/>
      <c r="C258" s="18"/>
      <c r="D258" s="18"/>
      <c r="E258" s="18"/>
      <c r="F258" s="18"/>
      <c r="G258" s="18"/>
      <c r="H258" s="18"/>
      <c r="I258" s="18"/>
      <c r="J258" s="18"/>
    </row>
    <row r="259" spans="1:10" x14ac:dyDescent="0.25">
      <c r="A259" s="18"/>
      <c r="B259" s="18"/>
      <c r="C259" s="18"/>
      <c r="D259" s="18"/>
      <c r="E259" s="18"/>
      <c r="F259" s="18"/>
      <c r="G259" s="18"/>
      <c r="H259" s="18"/>
      <c r="I259" s="18"/>
      <c r="J259" s="18"/>
    </row>
    <row r="260" spans="1:10" x14ac:dyDescent="0.25">
      <c r="A260" s="18"/>
      <c r="B260" s="18"/>
      <c r="C260" s="18"/>
      <c r="D260" s="18"/>
      <c r="E260" s="18"/>
      <c r="F260" s="18"/>
      <c r="G260" s="18"/>
      <c r="H260" s="18"/>
      <c r="I260" s="18"/>
      <c r="J260" s="18"/>
    </row>
    <row r="261" spans="1:10" x14ac:dyDescent="0.25">
      <c r="A261" s="18"/>
      <c r="B261" s="18"/>
      <c r="C261" s="18"/>
      <c r="D261" s="18"/>
      <c r="E261" s="18"/>
      <c r="F261" s="18"/>
      <c r="G261" s="18"/>
      <c r="H261" s="18"/>
      <c r="I261" s="18"/>
      <c r="J261" s="18"/>
    </row>
    <row r="262" spans="1:10" x14ac:dyDescent="0.25">
      <c r="G262" s="18"/>
      <c r="H262" s="18"/>
      <c r="I262" s="18"/>
      <c r="J262" s="18"/>
    </row>
    <row r="281" spans="1:1" x14ac:dyDescent="0.25">
      <c r="A281" s="20" t="s">
        <v>131</v>
      </c>
    </row>
  </sheetData>
  <mergeCells count="466">
    <mergeCell ref="C50:J50"/>
    <mergeCell ref="H49:J49"/>
    <mergeCell ref="D221:E221"/>
    <mergeCell ref="A219:B219"/>
    <mergeCell ref="D219:E219"/>
    <mergeCell ref="D215:E215"/>
    <mergeCell ref="A216:B216"/>
    <mergeCell ref="D216:E216"/>
    <mergeCell ref="A217:B217"/>
    <mergeCell ref="D217:E217"/>
    <mergeCell ref="A212:J212"/>
    <mergeCell ref="A209:B209"/>
    <mergeCell ref="D209:E209"/>
    <mergeCell ref="A210:B210"/>
    <mergeCell ref="D210:E210"/>
    <mergeCell ref="I202:J210"/>
    <mergeCell ref="A203:B203"/>
    <mergeCell ref="A220:B220"/>
    <mergeCell ref="A221:B221"/>
    <mergeCell ref="D214:E214"/>
    <mergeCell ref="A57:B57"/>
    <mergeCell ref="D57:E57"/>
    <mergeCell ref="F57:G66"/>
    <mergeCell ref="D203:E203"/>
    <mergeCell ref="A204:B204"/>
    <mergeCell ref="D204:E204"/>
    <mergeCell ref="I214:J223"/>
    <mergeCell ref="A207:B207"/>
    <mergeCell ref="D207:E207"/>
    <mergeCell ref="A208:B208"/>
    <mergeCell ref="D208:E208"/>
    <mergeCell ref="A205:B205"/>
    <mergeCell ref="D205:E205"/>
    <mergeCell ref="A206:B206"/>
    <mergeCell ref="D206:E206"/>
    <mergeCell ref="A213:J213"/>
    <mergeCell ref="A223:B223"/>
    <mergeCell ref="D223:E223"/>
    <mergeCell ref="A222:B222"/>
    <mergeCell ref="D222:E222"/>
    <mergeCell ref="D220:E220"/>
    <mergeCell ref="A218:B218"/>
    <mergeCell ref="D218:E218"/>
    <mergeCell ref="A215:B215"/>
    <mergeCell ref="A214:B214"/>
    <mergeCell ref="A211:J211"/>
    <mergeCell ref="A183:B183"/>
    <mergeCell ref="D183:E183"/>
    <mergeCell ref="A184:B184"/>
    <mergeCell ref="D184:E184"/>
    <mergeCell ref="A202:B202"/>
    <mergeCell ref="D202:E202"/>
    <mergeCell ref="A201:J201"/>
    <mergeCell ref="A199:B199"/>
    <mergeCell ref="D199:E199"/>
    <mergeCell ref="A200:B200"/>
    <mergeCell ref="D200:E200"/>
    <mergeCell ref="A197:B197"/>
    <mergeCell ref="D197:E197"/>
    <mergeCell ref="A198:B198"/>
    <mergeCell ref="D198:E198"/>
    <mergeCell ref="I195:J200"/>
    <mergeCell ref="A195:B195"/>
    <mergeCell ref="D195:E195"/>
    <mergeCell ref="A196:B196"/>
    <mergeCell ref="D196:E196"/>
    <mergeCell ref="A193:J193"/>
    <mergeCell ref="A194:J194"/>
    <mergeCell ref="A191:B191"/>
    <mergeCell ref="D191:E191"/>
    <mergeCell ref="A192:B192"/>
    <mergeCell ref="D192:E192"/>
    <mergeCell ref="A189:B189"/>
    <mergeCell ref="D189:E189"/>
    <mergeCell ref="A190:B190"/>
    <mergeCell ref="D190:E190"/>
    <mergeCell ref="A175:B175"/>
    <mergeCell ref="D175:E175"/>
    <mergeCell ref="A170:B170"/>
    <mergeCell ref="D170:E170"/>
    <mergeCell ref="A171:B171"/>
    <mergeCell ref="D171:E171"/>
    <mergeCell ref="A181:B181"/>
    <mergeCell ref="D181:E181"/>
    <mergeCell ref="A182:B182"/>
    <mergeCell ref="D182:E182"/>
    <mergeCell ref="A179:B179"/>
    <mergeCell ref="D179:E179"/>
    <mergeCell ref="A180:B180"/>
    <mergeCell ref="D180:E180"/>
    <mergeCell ref="A178:J178"/>
    <mergeCell ref="I179:J192"/>
    <mergeCell ref="A187:B187"/>
    <mergeCell ref="D187:E187"/>
    <mergeCell ref="A188:B188"/>
    <mergeCell ref="D188:E188"/>
    <mergeCell ref="A185:B185"/>
    <mergeCell ref="D185:E185"/>
    <mergeCell ref="A186:B186"/>
    <mergeCell ref="D186:E186"/>
    <mergeCell ref="A42:J42"/>
    <mergeCell ref="I46:J46"/>
    <mergeCell ref="A43:B43"/>
    <mergeCell ref="H43:J43"/>
    <mergeCell ref="C43:F43"/>
    <mergeCell ref="C45:F45"/>
    <mergeCell ref="A110:B110"/>
    <mergeCell ref="A112:B112"/>
    <mergeCell ref="D112:E112"/>
    <mergeCell ref="D116:E116"/>
    <mergeCell ref="A102:F102"/>
    <mergeCell ref="G102:J102"/>
    <mergeCell ref="A101:F101"/>
    <mergeCell ref="G101:J101"/>
    <mergeCell ref="A99:F99"/>
    <mergeCell ref="A52:J52"/>
    <mergeCell ref="A106:B106"/>
    <mergeCell ref="A95:J95"/>
    <mergeCell ref="F11:J11"/>
    <mergeCell ref="B15:E15"/>
    <mergeCell ref="A11:E11"/>
    <mergeCell ref="A12:E12"/>
    <mergeCell ref="I26:J26"/>
    <mergeCell ref="A25:E25"/>
    <mergeCell ref="F24:J24"/>
    <mergeCell ref="A22:E22"/>
    <mergeCell ref="F22:J22"/>
    <mergeCell ref="F12:J12"/>
    <mergeCell ref="F17:G17"/>
    <mergeCell ref="A18:E19"/>
    <mergeCell ref="B14:D14"/>
    <mergeCell ref="G16:J16"/>
    <mergeCell ref="B16:E16"/>
    <mergeCell ref="A17:B17"/>
    <mergeCell ref="A13:B13"/>
    <mergeCell ref="C13:J13"/>
    <mergeCell ref="A2:J2"/>
    <mergeCell ref="A3:E3"/>
    <mergeCell ref="F3:J3"/>
    <mergeCell ref="A4:E4"/>
    <mergeCell ref="F4:J4"/>
    <mergeCell ref="F9:J9"/>
    <mergeCell ref="A6:E6"/>
    <mergeCell ref="F6:J6"/>
    <mergeCell ref="A5:E5"/>
    <mergeCell ref="A7:E7"/>
    <mergeCell ref="F8:J8"/>
    <mergeCell ref="A8:E8"/>
    <mergeCell ref="F5:J5"/>
    <mergeCell ref="F7:J7"/>
    <mergeCell ref="A9:E9"/>
    <mergeCell ref="A27:B27"/>
    <mergeCell ref="A20:E21"/>
    <mergeCell ref="F20:J21"/>
    <mergeCell ref="G15:J15"/>
    <mergeCell ref="F18:J19"/>
    <mergeCell ref="A26:B26"/>
    <mergeCell ref="C26:D26"/>
    <mergeCell ref="A24:E24"/>
    <mergeCell ref="F25:J25"/>
    <mergeCell ref="F23:J23"/>
    <mergeCell ref="H17:J17"/>
    <mergeCell ref="A23:E23"/>
    <mergeCell ref="C17:E17"/>
    <mergeCell ref="G27:H27"/>
    <mergeCell ref="E26:F26"/>
    <mergeCell ref="G26:H26"/>
    <mergeCell ref="C27:D27"/>
    <mergeCell ref="E27:F27"/>
    <mergeCell ref="A28:B28"/>
    <mergeCell ref="C28:D28"/>
    <mergeCell ref="A30:J30"/>
    <mergeCell ref="A37:E37"/>
    <mergeCell ref="F37:J37"/>
    <mergeCell ref="F36:J36"/>
    <mergeCell ref="F41:J41"/>
    <mergeCell ref="F40:J40"/>
    <mergeCell ref="A36:E36"/>
    <mergeCell ref="G31:H31"/>
    <mergeCell ref="E31:F31"/>
    <mergeCell ref="A38:E38"/>
    <mergeCell ref="F38:J38"/>
    <mergeCell ref="E28:F28"/>
    <mergeCell ref="G28:H28"/>
    <mergeCell ref="A40:E40"/>
    <mergeCell ref="A32:B32"/>
    <mergeCell ref="C32:J32"/>
    <mergeCell ref="A227:J227"/>
    <mergeCell ref="A224:J224"/>
    <mergeCell ref="D172:E172"/>
    <mergeCell ref="A173:B173"/>
    <mergeCell ref="C46:G46"/>
    <mergeCell ref="A47:C47"/>
    <mergeCell ref="D49:E49"/>
    <mergeCell ref="F49:G49"/>
    <mergeCell ref="H47:J47"/>
    <mergeCell ref="A48:J48"/>
    <mergeCell ref="A50:B50"/>
    <mergeCell ref="D66:E66"/>
    <mergeCell ref="F56:G56"/>
    <mergeCell ref="I170:J177"/>
    <mergeCell ref="A176:B176"/>
    <mergeCell ref="D176:E176"/>
    <mergeCell ref="A177:B177"/>
    <mergeCell ref="D177:E177"/>
    <mergeCell ref="A174:B174"/>
    <mergeCell ref="D174:E174"/>
    <mergeCell ref="A49:C49"/>
    <mergeCell ref="A51:C51"/>
    <mergeCell ref="D51:J51"/>
    <mergeCell ref="D106:E106"/>
    <mergeCell ref="A231:J231"/>
    <mergeCell ref="A232:J232"/>
    <mergeCell ref="A156:B156"/>
    <mergeCell ref="I106:J106"/>
    <mergeCell ref="A116:B116"/>
    <mergeCell ref="I121:J129"/>
    <mergeCell ref="D111:E111"/>
    <mergeCell ref="A109:B109"/>
    <mergeCell ref="D109:E109"/>
    <mergeCell ref="D110:E110"/>
    <mergeCell ref="A124:B124"/>
    <mergeCell ref="D124:E124"/>
    <mergeCell ref="A117:B117"/>
    <mergeCell ref="D146:E146"/>
    <mergeCell ref="A113:B113"/>
    <mergeCell ref="D113:E113"/>
    <mergeCell ref="A119:B119"/>
    <mergeCell ref="A228:J228"/>
    <mergeCell ref="A225:J225"/>
    <mergeCell ref="A168:J168"/>
    <mergeCell ref="A169:J169"/>
    <mergeCell ref="A172:B172"/>
    <mergeCell ref="D173:E173"/>
    <mergeCell ref="A226:J226"/>
    <mergeCell ref="A1:J1"/>
    <mergeCell ref="I31:J31"/>
    <mergeCell ref="F47:G47"/>
    <mergeCell ref="A10:E10"/>
    <mergeCell ref="F10:J10"/>
    <mergeCell ref="E14:F14"/>
    <mergeCell ref="I14:J14"/>
    <mergeCell ref="I27:J27"/>
    <mergeCell ref="A29:J29"/>
    <mergeCell ref="D47:E47"/>
    <mergeCell ref="A39:E39"/>
    <mergeCell ref="F39:J39"/>
    <mergeCell ref="A44:B44"/>
    <mergeCell ref="C44:F44"/>
    <mergeCell ref="H44:J44"/>
    <mergeCell ref="A46:B46"/>
    <mergeCell ref="A45:B45"/>
    <mergeCell ref="H45:J45"/>
    <mergeCell ref="A34:J35"/>
    <mergeCell ref="I28:J28"/>
    <mergeCell ref="A31:B31"/>
    <mergeCell ref="C31:D31"/>
    <mergeCell ref="A41:E41"/>
    <mergeCell ref="A33:J33"/>
    <mergeCell ref="A96:J96"/>
    <mergeCell ref="A97:J97"/>
    <mergeCell ref="A98:J98"/>
    <mergeCell ref="G99:J99"/>
    <mergeCell ref="A100:F100"/>
    <mergeCell ref="A103:F103"/>
    <mergeCell ref="G103:J103"/>
    <mergeCell ref="A104:J104"/>
    <mergeCell ref="A105:J105"/>
    <mergeCell ref="G100:J100"/>
    <mergeCell ref="A107:J107"/>
    <mergeCell ref="D156:E156"/>
    <mergeCell ref="A114:B114"/>
    <mergeCell ref="D114:E114"/>
    <mergeCell ref="A115:B115"/>
    <mergeCell ref="D115:E115"/>
    <mergeCell ref="D117:E117"/>
    <mergeCell ref="A118:B118"/>
    <mergeCell ref="D118:E118"/>
    <mergeCell ref="A122:B122"/>
    <mergeCell ref="D122:E122"/>
    <mergeCell ref="A123:B123"/>
    <mergeCell ref="D123:E123"/>
    <mergeCell ref="A132:B132"/>
    <mergeCell ref="D132:E132"/>
    <mergeCell ref="A125:B125"/>
    <mergeCell ref="D125:E125"/>
    <mergeCell ref="A126:B126"/>
    <mergeCell ref="D126:E126"/>
    <mergeCell ref="A127:B127"/>
    <mergeCell ref="A108:J108"/>
    <mergeCell ref="I109:J119"/>
    <mergeCell ref="A120:J120"/>
    <mergeCell ref="A135:B135"/>
    <mergeCell ref="D119:E119"/>
    <mergeCell ref="A121:B121"/>
    <mergeCell ref="D121:E121"/>
    <mergeCell ref="A111:B111"/>
    <mergeCell ref="D127:E127"/>
    <mergeCell ref="A136:B136"/>
    <mergeCell ref="D136:E136"/>
    <mergeCell ref="A128:B128"/>
    <mergeCell ref="D128:E128"/>
    <mergeCell ref="A129:B129"/>
    <mergeCell ref="D129:E129"/>
    <mergeCell ref="A131:B131"/>
    <mergeCell ref="D131:E131"/>
    <mergeCell ref="A130:J130"/>
    <mergeCell ref="I131:J139"/>
    <mergeCell ref="A133:B133"/>
    <mergeCell ref="D133:E133"/>
    <mergeCell ref="A134:B134"/>
    <mergeCell ref="D134:E134"/>
    <mergeCell ref="D145:E145"/>
    <mergeCell ref="A146:B146"/>
    <mergeCell ref="A149:B149"/>
    <mergeCell ref="D149:E149"/>
    <mergeCell ref="A150:B150"/>
    <mergeCell ref="D150:E150"/>
    <mergeCell ref="D135:E135"/>
    <mergeCell ref="A137:B137"/>
    <mergeCell ref="D137:E137"/>
    <mergeCell ref="A138:B138"/>
    <mergeCell ref="D138:E138"/>
    <mergeCell ref="A139:B139"/>
    <mergeCell ref="D139:E139"/>
    <mergeCell ref="A140:J140"/>
    <mergeCell ref="A141:J141"/>
    <mergeCell ref="D237:F237"/>
    <mergeCell ref="A153:B153"/>
    <mergeCell ref="D153:E153"/>
    <mergeCell ref="A154:B154"/>
    <mergeCell ref="D154:E154"/>
    <mergeCell ref="A167:B167"/>
    <mergeCell ref="D167:E167"/>
    <mergeCell ref="A166:B166"/>
    <mergeCell ref="D166:E166"/>
    <mergeCell ref="A155:B155"/>
    <mergeCell ref="A164:B164"/>
    <mergeCell ref="D164:E164"/>
    <mergeCell ref="D155:E155"/>
    <mergeCell ref="D163:E163"/>
    <mergeCell ref="A160:B160"/>
    <mergeCell ref="D160:E160"/>
    <mergeCell ref="A163:B163"/>
    <mergeCell ref="A157:B157"/>
    <mergeCell ref="D157:E157"/>
    <mergeCell ref="A158:B158"/>
    <mergeCell ref="D158:E158"/>
    <mergeCell ref="A233:J236"/>
    <mergeCell ref="A229:J229"/>
    <mergeCell ref="A230:J230"/>
    <mergeCell ref="A165:B165"/>
    <mergeCell ref="D165:E165"/>
    <mergeCell ref="A159:B159"/>
    <mergeCell ref="D159:E159"/>
    <mergeCell ref="A161:B161"/>
    <mergeCell ref="D161:E161"/>
    <mergeCell ref="A162:B162"/>
    <mergeCell ref="D162:E162"/>
    <mergeCell ref="I142:J150"/>
    <mergeCell ref="A151:J151"/>
    <mergeCell ref="A144:B144"/>
    <mergeCell ref="D144:E144"/>
    <mergeCell ref="A145:B145"/>
    <mergeCell ref="I152:J167"/>
    <mergeCell ref="D142:E142"/>
    <mergeCell ref="A142:B142"/>
    <mergeCell ref="A143:B143"/>
    <mergeCell ref="D143:E143"/>
    <mergeCell ref="A152:B152"/>
    <mergeCell ref="D152:E152"/>
    <mergeCell ref="A147:B147"/>
    <mergeCell ref="D147:E147"/>
    <mergeCell ref="A148:B148"/>
    <mergeCell ref="D148:E148"/>
    <mergeCell ref="A53:B53"/>
    <mergeCell ref="C53:J53"/>
    <mergeCell ref="E54:F54"/>
    <mergeCell ref="I54:J54"/>
    <mergeCell ref="A55:B55"/>
    <mergeCell ref="C55:J55"/>
    <mergeCell ref="A56:B56"/>
    <mergeCell ref="D56:E56"/>
    <mergeCell ref="H56:J56"/>
    <mergeCell ref="H57:J66"/>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B66"/>
    <mergeCell ref="A81:B81"/>
    <mergeCell ref="C81:J81"/>
    <mergeCell ref="E82:F82"/>
    <mergeCell ref="I82:J82"/>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67:B67"/>
    <mergeCell ref="C67:J67"/>
    <mergeCell ref="E68:F68"/>
    <mergeCell ref="I68:J68"/>
    <mergeCell ref="A69:B69"/>
    <mergeCell ref="C69:J69"/>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s>
  <phoneticPr fontId="0" type="noConversion"/>
  <hyperlinks>
    <hyperlink ref="C32" r:id="rId1" xr:uid="{00000000-0004-0000-0000-000000000000}"/>
  </hyperlinks>
  <pageMargins left="0.31496062992125984" right="0.31496062992125984" top="0.78740157480314965" bottom="0.78740157480314965" header="0.19685039370078741" footer="0.19685039370078741"/>
  <pageSetup fitToHeight="0" orientation="portrait" r:id="rId2"/>
  <headerFooter>
    <oddHeader>&amp;C&amp;G</oddHeader>
    <oddFooter>&amp;L&amp;"Times New Roman,Bold"Ref No: &amp;F&amp;C&amp;G&amp;R&amp;P</oddFooter>
  </headerFooter>
  <rowBreaks count="3" manualBreakCount="3">
    <brk id="80" max="16383" man="1"/>
    <brk id="236" max="16383" man="1"/>
    <brk id="28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H12" sqref="H12"/>
    </sheetView>
  </sheetViews>
  <sheetFormatPr defaultRowHeight="15" x14ac:dyDescent="0.25"/>
  <cols>
    <col min="1" max="1" width="11.42578125" customWidth="1"/>
    <col min="2" max="2" width="12" customWidth="1"/>
  </cols>
  <sheetData>
    <row r="1" spans="1:3" x14ac:dyDescent="0.25">
      <c r="A1" t="s">
        <v>188</v>
      </c>
      <c r="B1" t="s">
        <v>201</v>
      </c>
      <c r="C1" t="s">
        <v>202</v>
      </c>
    </row>
    <row r="2" spans="1:3" x14ac:dyDescent="0.25">
      <c r="C2"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topLeftCell="A10" workbookViewId="0">
      <selection activeCell="I14" sqref="I14"/>
    </sheetView>
  </sheetViews>
  <sheetFormatPr defaultColWidth="8.7109375" defaultRowHeight="15" x14ac:dyDescent="0.25"/>
  <cols>
    <col min="1" max="1" width="8.7109375" style="27"/>
    <col min="2" max="2" width="22.28515625" style="27" customWidth="1"/>
    <col min="3" max="3" width="37" style="27" customWidth="1"/>
    <col min="4" max="5" width="11.42578125" style="27" customWidth="1"/>
    <col min="6" max="6" width="14" style="27" customWidth="1"/>
    <col min="7" max="7" width="20" style="27" customWidth="1"/>
    <col min="8" max="8" width="16.42578125" style="27" customWidth="1"/>
    <col min="9" max="9" width="8.7109375" style="27"/>
    <col min="10" max="10" width="9.7109375" style="27" bestFit="1" customWidth="1"/>
    <col min="11" max="16384" width="8.7109375" style="27"/>
  </cols>
  <sheetData>
    <row r="1" spans="1:10" ht="15" customHeight="1" x14ac:dyDescent="0.25"/>
    <row r="2" spans="1:10" ht="15" customHeight="1" x14ac:dyDescent="0.25">
      <c r="A2" s="28"/>
      <c r="B2" s="28"/>
      <c r="C2" s="28"/>
      <c r="D2" s="28"/>
      <c r="E2" s="28"/>
      <c r="F2" s="28"/>
      <c r="G2" s="28"/>
      <c r="H2" s="28"/>
    </row>
    <row r="3" spans="1:10" ht="15.75" customHeight="1" x14ac:dyDescent="0.25">
      <c r="A3" s="28"/>
      <c r="B3" s="231" t="s">
        <v>189</v>
      </c>
      <c r="C3" s="231"/>
      <c r="D3" s="231"/>
      <c r="E3" s="231"/>
      <c r="F3" s="231"/>
      <c r="G3" s="231"/>
      <c r="H3" s="231"/>
    </row>
    <row r="4" spans="1:10" ht="14.25" customHeight="1" x14ac:dyDescent="0.25">
      <c r="A4" s="28"/>
      <c r="B4" s="29" t="s">
        <v>190</v>
      </c>
      <c r="C4" s="29" t="s">
        <v>191</v>
      </c>
      <c r="D4" s="29" t="s">
        <v>96</v>
      </c>
      <c r="E4" s="29" t="s">
        <v>192</v>
      </c>
      <c r="F4" s="29" t="s">
        <v>193</v>
      </c>
      <c r="G4" s="29" t="s">
        <v>194</v>
      </c>
      <c r="H4" s="29" t="s">
        <v>195</v>
      </c>
    </row>
    <row r="5" spans="1:10" ht="15" customHeight="1" x14ac:dyDescent="0.25">
      <c r="A5" s="28"/>
      <c r="B5" s="30" t="s">
        <v>196</v>
      </c>
      <c r="C5" s="31" t="s">
        <v>170</v>
      </c>
      <c r="D5" s="32" t="s">
        <v>162</v>
      </c>
      <c r="E5" s="32">
        <v>190</v>
      </c>
      <c r="F5" s="33">
        <f>E5*1.45</f>
        <v>275.5</v>
      </c>
      <c r="G5" s="33">
        <f>H5/E5</f>
        <v>4726.3157894736842</v>
      </c>
      <c r="H5" s="34">
        <v>898000</v>
      </c>
      <c r="J5" s="35"/>
    </row>
    <row r="6" spans="1:10" x14ac:dyDescent="0.25">
      <c r="A6" s="28"/>
      <c r="B6" s="30" t="s">
        <v>196</v>
      </c>
      <c r="C6" s="31" t="s">
        <v>170</v>
      </c>
      <c r="D6" s="32" t="s">
        <v>162</v>
      </c>
      <c r="E6" s="32">
        <v>197</v>
      </c>
      <c r="F6" s="33">
        <f t="shared" ref="F6:F14" si="0">E6*1.45</f>
        <v>285.64999999999998</v>
      </c>
      <c r="G6" s="33">
        <f t="shared" ref="G6:G14" si="1">H6/E6</f>
        <v>4725.8883248730963</v>
      </c>
      <c r="H6" s="34">
        <v>931000</v>
      </c>
      <c r="J6" s="35"/>
    </row>
    <row r="7" spans="1:10" x14ac:dyDescent="0.25">
      <c r="A7" s="28"/>
      <c r="B7" s="30" t="s">
        <v>196</v>
      </c>
      <c r="C7" s="31" t="s">
        <v>170</v>
      </c>
      <c r="D7" s="32" t="s">
        <v>158</v>
      </c>
      <c r="E7" s="32">
        <v>275</v>
      </c>
      <c r="F7" s="33">
        <f t="shared" si="0"/>
        <v>398.75</v>
      </c>
      <c r="G7" s="33">
        <f t="shared" si="1"/>
        <v>4723.636363636364</v>
      </c>
      <c r="H7" s="34">
        <v>1299000</v>
      </c>
      <c r="J7" s="35"/>
    </row>
    <row r="8" spans="1:10" x14ac:dyDescent="0.25">
      <c r="A8" s="28"/>
      <c r="B8" s="30" t="s">
        <v>197</v>
      </c>
      <c r="C8" s="31" t="s">
        <v>170</v>
      </c>
      <c r="D8" s="32" t="s">
        <v>158</v>
      </c>
      <c r="E8" s="32">
        <v>276</v>
      </c>
      <c r="F8" s="33">
        <f t="shared" si="0"/>
        <v>400.2</v>
      </c>
      <c r="G8" s="33">
        <f t="shared" si="1"/>
        <v>4728.260869565217</v>
      </c>
      <c r="H8" s="34">
        <v>1305000</v>
      </c>
      <c r="J8" s="35"/>
    </row>
    <row r="9" spans="1:10" x14ac:dyDescent="0.25">
      <c r="A9" s="28"/>
      <c r="B9" s="30" t="s">
        <v>197</v>
      </c>
      <c r="C9" s="31" t="s">
        <v>170</v>
      </c>
      <c r="D9" s="32" t="s">
        <v>158</v>
      </c>
      <c r="E9" s="32">
        <v>284</v>
      </c>
      <c r="F9" s="33">
        <f t="shared" si="0"/>
        <v>411.8</v>
      </c>
      <c r="G9" s="33">
        <f t="shared" si="1"/>
        <v>4728.8732394366198</v>
      </c>
      <c r="H9" s="34">
        <v>1343000</v>
      </c>
      <c r="J9" s="35"/>
    </row>
    <row r="10" spans="1:10" x14ac:dyDescent="0.25">
      <c r="A10" s="28"/>
      <c r="B10" s="30" t="s">
        <v>197</v>
      </c>
      <c r="C10" s="31" t="s">
        <v>170</v>
      </c>
      <c r="D10" s="32" t="s">
        <v>162</v>
      </c>
      <c r="E10" s="32">
        <v>190</v>
      </c>
      <c r="F10" s="33">
        <f t="shared" si="0"/>
        <v>275.5</v>
      </c>
      <c r="G10" s="33">
        <f t="shared" si="1"/>
        <v>4726.3157894736842</v>
      </c>
      <c r="H10" s="34">
        <v>898000</v>
      </c>
      <c r="J10" s="35"/>
    </row>
    <row r="11" spans="1:10" x14ac:dyDescent="0.25">
      <c r="A11" s="28"/>
      <c r="B11" s="30" t="s">
        <v>197</v>
      </c>
      <c r="C11" s="31" t="s">
        <v>170</v>
      </c>
      <c r="D11" s="32" t="s">
        <v>162</v>
      </c>
      <c r="E11" s="32">
        <v>197</v>
      </c>
      <c r="F11" s="33">
        <f t="shared" si="0"/>
        <v>285.64999999999998</v>
      </c>
      <c r="G11" s="33">
        <f t="shared" si="1"/>
        <v>4725.8883248730963</v>
      </c>
      <c r="H11" s="34">
        <v>931000</v>
      </c>
      <c r="J11" s="35"/>
    </row>
    <row r="12" spans="1:10" x14ac:dyDescent="0.25">
      <c r="A12" s="28"/>
      <c r="B12" s="30" t="s">
        <v>198</v>
      </c>
      <c r="C12" s="31" t="s">
        <v>170</v>
      </c>
      <c r="D12" s="32" t="s">
        <v>158</v>
      </c>
      <c r="E12" s="32">
        <v>190</v>
      </c>
      <c r="F12" s="33">
        <f t="shared" si="0"/>
        <v>275.5</v>
      </c>
      <c r="G12" s="33">
        <f t="shared" si="1"/>
        <v>4726.3157894736842</v>
      </c>
      <c r="H12" s="34">
        <v>898000</v>
      </c>
      <c r="J12" s="35"/>
    </row>
    <row r="13" spans="1:10" x14ac:dyDescent="0.25">
      <c r="A13" s="28"/>
      <c r="B13" s="30" t="s">
        <v>198</v>
      </c>
      <c r="C13" s="31" t="s">
        <v>170</v>
      </c>
      <c r="D13" s="32" t="s">
        <v>158</v>
      </c>
      <c r="E13" s="32">
        <v>276</v>
      </c>
      <c r="F13" s="33">
        <f t="shared" si="0"/>
        <v>400.2</v>
      </c>
      <c r="G13" s="33">
        <f t="shared" si="1"/>
        <v>4724.63768115942</v>
      </c>
      <c r="H13" s="34">
        <v>1304000</v>
      </c>
      <c r="J13" s="35"/>
    </row>
    <row r="14" spans="1:10" x14ac:dyDescent="0.25">
      <c r="A14" s="28"/>
      <c r="B14" s="30" t="s">
        <v>198</v>
      </c>
      <c r="C14" s="31" t="s">
        <v>170</v>
      </c>
      <c r="D14" s="32" t="s">
        <v>158</v>
      </c>
      <c r="E14" s="32">
        <v>284</v>
      </c>
      <c r="F14" s="33">
        <f t="shared" si="0"/>
        <v>411.8</v>
      </c>
      <c r="G14" s="33">
        <f t="shared" si="1"/>
        <v>4725.3521126760561</v>
      </c>
      <c r="H14" s="34">
        <v>1342000</v>
      </c>
      <c r="J14" s="35"/>
    </row>
    <row r="15" spans="1:10" ht="15" customHeight="1" x14ac:dyDescent="0.25">
      <c r="A15" s="28"/>
      <c r="B15" s="36" t="s">
        <v>199</v>
      </c>
      <c r="C15" s="32"/>
      <c r="D15" s="32"/>
      <c r="E15" s="32">
        <v>0</v>
      </c>
      <c r="F15" s="33">
        <f>E15*1.5</f>
        <v>0</v>
      </c>
      <c r="G15" s="37">
        <f>AVERAGE(G5:G14)</f>
        <v>4726.1484284640919</v>
      </c>
      <c r="H15" s="32"/>
      <c r="J15" s="35"/>
    </row>
    <row r="16" spans="1:10" ht="15" customHeight="1" x14ac:dyDescent="0.25">
      <c r="B16" s="36" t="s">
        <v>200</v>
      </c>
      <c r="C16" s="32"/>
      <c r="D16" s="32"/>
      <c r="E16" s="32"/>
      <c r="F16" s="38"/>
      <c r="G16" s="36">
        <v>4700</v>
      </c>
      <c r="H16" s="36"/>
      <c r="I16" s="39"/>
      <c r="J16" s="35"/>
    </row>
    <row r="17" spans="2:7" ht="15" customHeight="1" x14ac:dyDescent="0.25">
      <c r="G17" s="40"/>
    </row>
    <row r="18" spans="2:7" x14ac:dyDescent="0.25">
      <c r="G18" s="40"/>
    </row>
    <row r="19" spans="2:7" x14ac:dyDescent="0.25">
      <c r="G19" s="40"/>
    </row>
    <row r="20" spans="2:7" x14ac:dyDescent="0.25">
      <c r="G20" s="40"/>
    </row>
    <row r="21" spans="2:7" x14ac:dyDescent="0.25">
      <c r="G21" s="40"/>
    </row>
    <row r="22" spans="2:7" x14ac:dyDescent="0.25">
      <c r="G22" s="40"/>
    </row>
    <row r="23" spans="2:7" x14ac:dyDescent="0.25">
      <c r="G23" s="40"/>
    </row>
    <row r="24" spans="2:7" x14ac:dyDescent="0.25">
      <c r="G24" s="40"/>
    </row>
    <row r="25" spans="2:7" x14ac:dyDescent="0.25">
      <c r="G25" s="40"/>
    </row>
    <row r="26" spans="2:7" x14ac:dyDescent="0.25">
      <c r="B26" s="41"/>
      <c r="G26" s="40"/>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B19" sqref="B19"/>
    </sheetView>
  </sheetViews>
  <sheetFormatPr defaultRowHeight="15" x14ac:dyDescent="0.25"/>
  <cols>
    <col min="2" max="2" width="11.7109375" customWidth="1"/>
  </cols>
  <sheetData>
    <row r="2" spans="1:15" x14ac:dyDescent="0.25">
      <c r="A2" t="s">
        <v>108</v>
      </c>
      <c r="B2" s="14" t="s">
        <v>128</v>
      </c>
      <c r="C2" s="14">
        <v>7</v>
      </c>
    </row>
    <row r="3" spans="1:15" x14ac:dyDescent="0.25">
      <c r="B3" t="s">
        <v>109</v>
      </c>
      <c r="C3" t="s">
        <v>110</v>
      </c>
    </row>
    <row r="4" spans="1:15" x14ac:dyDescent="0.25">
      <c r="A4" t="s">
        <v>111</v>
      </c>
      <c r="B4" s="7">
        <v>10</v>
      </c>
      <c r="C4" s="7">
        <v>10</v>
      </c>
      <c r="E4">
        <f>(100/B4)*C4</f>
        <v>100</v>
      </c>
    </row>
    <row r="5" spans="1:15" x14ac:dyDescent="0.25">
      <c r="A5" t="s">
        <v>112</v>
      </c>
      <c r="B5" t="s">
        <v>113</v>
      </c>
      <c r="C5" t="s">
        <v>114</v>
      </c>
      <c r="E5">
        <f>(100/B6)*C6</f>
        <v>25</v>
      </c>
      <c r="I5" s="7" t="s">
        <v>115</v>
      </c>
      <c r="J5" s="7" t="s">
        <v>116</v>
      </c>
      <c r="K5" s="7" t="s">
        <v>117</v>
      </c>
      <c r="L5" s="7" t="s">
        <v>37</v>
      </c>
      <c r="M5" s="7" t="s">
        <v>45</v>
      </c>
      <c r="N5" s="7" t="s">
        <v>118</v>
      </c>
      <c r="O5" s="7" t="s">
        <v>46</v>
      </c>
    </row>
    <row r="6" spans="1:15" x14ac:dyDescent="0.25">
      <c r="B6" s="7">
        <f>C2+1</f>
        <v>8</v>
      </c>
      <c r="C6" s="7">
        <v>2</v>
      </c>
      <c r="E6">
        <f>(100/B8)*C8</f>
        <v>0</v>
      </c>
      <c r="F6" s="15" t="s">
        <v>119</v>
      </c>
      <c r="I6" s="15">
        <f>C4</f>
        <v>10</v>
      </c>
      <c r="J6" s="15">
        <f>40/B6*C6</f>
        <v>10</v>
      </c>
      <c r="K6" s="15">
        <f>15/B8*C8</f>
        <v>0</v>
      </c>
      <c r="L6" s="15">
        <f>10/B10*C10</f>
        <v>0</v>
      </c>
      <c r="M6" s="15">
        <f>10/B12*C12</f>
        <v>0</v>
      </c>
      <c r="N6" s="15">
        <f>5/B14*C14</f>
        <v>0</v>
      </c>
      <c r="O6" s="15">
        <f>5/B16*C16</f>
        <v>0</v>
      </c>
    </row>
    <row r="7" spans="1:15" x14ac:dyDescent="0.25">
      <c r="A7" t="s">
        <v>120</v>
      </c>
      <c r="B7" t="s">
        <v>121</v>
      </c>
      <c r="C7" t="s">
        <v>122</v>
      </c>
      <c r="E7">
        <f>(100/B10)*C10</f>
        <v>0</v>
      </c>
      <c r="F7" s="7" t="s">
        <v>123</v>
      </c>
      <c r="G7" s="7"/>
      <c r="H7" s="7"/>
      <c r="I7" s="7">
        <f>I6+20</f>
        <v>30</v>
      </c>
      <c r="J7" s="7">
        <f>30/B6*C6</f>
        <v>7.5</v>
      </c>
      <c r="K7" s="7">
        <f>15/B8*C8</f>
        <v>0</v>
      </c>
      <c r="L7" s="7">
        <f>10/B10*C10</f>
        <v>0</v>
      </c>
      <c r="M7" s="7">
        <f>5/B12*C12</f>
        <v>0</v>
      </c>
      <c r="N7" s="7">
        <f>5/B14*C14</f>
        <v>0</v>
      </c>
      <c r="O7" s="7">
        <f>5/B16*C16</f>
        <v>0</v>
      </c>
    </row>
    <row r="8" spans="1:15" x14ac:dyDescent="0.25">
      <c r="B8" s="7">
        <f>C2</f>
        <v>7</v>
      </c>
      <c r="C8" s="7">
        <v>0</v>
      </c>
      <c r="E8">
        <f>(100/B12)*C12</f>
        <v>0</v>
      </c>
    </row>
    <row r="9" spans="1:15" x14ac:dyDescent="0.25">
      <c r="A9" t="s">
        <v>124</v>
      </c>
      <c r="B9" t="s">
        <v>121</v>
      </c>
      <c r="C9" t="s">
        <v>122</v>
      </c>
      <c r="E9">
        <f>(100/B14)*C14</f>
        <v>0</v>
      </c>
    </row>
    <row r="10" spans="1:15" x14ac:dyDescent="0.25">
      <c r="B10" s="7">
        <f>C2</f>
        <v>7</v>
      </c>
      <c r="C10" s="7">
        <v>0</v>
      </c>
      <c r="E10">
        <f>(100/B16)*C16</f>
        <v>0</v>
      </c>
    </row>
    <row r="11" spans="1:15" x14ac:dyDescent="0.25">
      <c r="A11" t="s">
        <v>45</v>
      </c>
      <c r="B11" t="s">
        <v>121</v>
      </c>
      <c r="C11" t="s">
        <v>122</v>
      </c>
    </row>
    <row r="12" spans="1:15" x14ac:dyDescent="0.25">
      <c r="B12" s="7">
        <f>C2</f>
        <v>7</v>
      </c>
      <c r="C12" s="7">
        <v>0</v>
      </c>
      <c r="F12" s="7"/>
      <c r="G12" s="7" t="s">
        <v>119</v>
      </c>
      <c r="H12" s="7" t="s">
        <v>125</v>
      </c>
      <c r="L12" t="s">
        <v>126</v>
      </c>
    </row>
    <row r="13" spans="1:15" ht="30" x14ac:dyDescent="0.25">
      <c r="A13" s="16" t="s">
        <v>118</v>
      </c>
      <c r="B13" t="s">
        <v>121</v>
      </c>
      <c r="C13" t="s">
        <v>122</v>
      </c>
      <c r="F13" s="7" t="s">
        <v>35</v>
      </c>
      <c r="G13" s="7">
        <f>I6</f>
        <v>10</v>
      </c>
      <c r="H13" s="7">
        <f>I7</f>
        <v>30</v>
      </c>
      <c r="L13" t="s">
        <v>126</v>
      </c>
    </row>
    <row r="14" spans="1:15" x14ac:dyDescent="0.25">
      <c r="B14" s="7">
        <f>C2</f>
        <v>7</v>
      </c>
      <c r="C14" s="7">
        <v>0</v>
      </c>
      <c r="F14" s="7" t="s">
        <v>36</v>
      </c>
      <c r="G14" s="7">
        <f>J6</f>
        <v>10</v>
      </c>
      <c r="H14" s="7">
        <f>J7</f>
        <v>7.5</v>
      </c>
    </row>
    <row r="15" spans="1:15" x14ac:dyDescent="0.25">
      <c r="A15" t="s">
        <v>46</v>
      </c>
      <c r="B15" t="s">
        <v>121</v>
      </c>
      <c r="C15" t="s">
        <v>122</v>
      </c>
      <c r="F15" s="7" t="s">
        <v>117</v>
      </c>
      <c r="G15" s="7">
        <f>K6</f>
        <v>0</v>
      </c>
      <c r="H15" s="7">
        <f>K7</f>
        <v>0</v>
      </c>
    </row>
    <row r="16" spans="1:15" x14ac:dyDescent="0.25">
      <c r="B16" s="7">
        <f>C2</f>
        <v>7</v>
      </c>
      <c r="C16" s="7">
        <v>0</v>
      </c>
      <c r="F16" s="7" t="s">
        <v>37</v>
      </c>
      <c r="G16" s="7">
        <f>L6</f>
        <v>0</v>
      </c>
      <c r="H16" s="7">
        <f>L7</f>
        <v>0</v>
      </c>
    </row>
    <row r="17" spans="6:8" x14ac:dyDescent="0.25">
      <c r="F17" s="7" t="s">
        <v>45</v>
      </c>
      <c r="G17" s="7">
        <f>M6</f>
        <v>0</v>
      </c>
      <c r="H17" s="7">
        <f>M7</f>
        <v>0</v>
      </c>
    </row>
    <row r="18" spans="6:8" ht="30" x14ac:dyDescent="0.25">
      <c r="F18" s="17" t="s">
        <v>118</v>
      </c>
      <c r="G18" s="7">
        <f>N6</f>
        <v>0</v>
      </c>
      <c r="H18" s="7">
        <f>N7</f>
        <v>0</v>
      </c>
    </row>
    <row r="19" spans="6:8" x14ac:dyDescent="0.25">
      <c r="F19" s="7" t="s">
        <v>46</v>
      </c>
      <c r="G19" s="7">
        <f>O6</f>
        <v>0</v>
      </c>
      <c r="H19" s="7">
        <f>O7</f>
        <v>0</v>
      </c>
    </row>
    <row r="20" spans="6:8" x14ac:dyDescent="0.25">
      <c r="F20" s="7" t="s">
        <v>127</v>
      </c>
      <c r="G20" s="7">
        <f>G13+G14+G15+G16+G17+G18+G19</f>
        <v>20</v>
      </c>
      <c r="H20" s="7">
        <f>H13+H14+H15+H16+H17+H18+H19</f>
        <v>37.5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topLeftCell="A13" workbookViewId="0">
      <selection activeCell="D35" sqref="D35"/>
    </sheetView>
  </sheetViews>
  <sheetFormatPr defaultRowHeight="15" x14ac:dyDescent="0.25"/>
  <sheetData>
    <row r="2" spans="2:13" x14ac:dyDescent="0.25">
      <c r="C2" s="10" t="s">
        <v>95</v>
      </c>
      <c r="D2" s="232"/>
      <c r="E2" s="232"/>
    </row>
    <row r="3" spans="2:13" x14ac:dyDescent="0.25">
      <c r="E3" s="9"/>
      <c r="F3" s="9"/>
      <c r="G3" s="9"/>
      <c r="H3" s="9"/>
      <c r="I3" s="9"/>
      <c r="J3" s="9"/>
    </row>
    <row r="4" spans="2:13" x14ac:dyDescent="0.25">
      <c r="B4" s="10" t="s">
        <v>96</v>
      </c>
      <c r="C4" s="8" t="s">
        <v>76</v>
      </c>
      <c r="D4" s="233" t="s">
        <v>77</v>
      </c>
      <c r="E4" s="233"/>
      <c r="F4" s="233"/>
      <c r="G4" s="11"/>
      <c r="H4" s="233" t="s">
        <v>78</v>
      </c>
      <c r="I4" s="233"/>
      <c r="J4" s="233"/>
      <c r="K4" s="233" t="s">
        <v>79</v>
      </c>
      <c r="L4" s="233"/>
      <c r="M4" s="233"/>
    </row>
    <row r="5" spans="2:13" x14ac:dyDescent="0.25">
      <c r="B5" s="10">
        <v>1</v>
      </c>
      <c r="C5" s="8"/>
      <c r="D5" s="8" t="s">
        <v>80</v>
      </c>
      <c r="E5" s="8" t="s">
        <v>81</v>
      </c>
      <c r="F5" s="8" t="s">
        <v>82</v>
      </c>
      <c r="G5" s="8"/>
      <c r="H5" s="8" t="s">
        <v>80</v>
      </c>
      <c r="I5" s="8" t="s">
        <v>81</v>
      </c>
      <c r="J5" s="8" t="s">
        <v>82</v>
      </c>
      <c r="K5" s="8" t="s">
        <v>80</v>
      </c>
      <c r="L5" s="8" t="s">
        <v>81</v>
      </c>
      <c r="M5" s="8" t="s">
        <v>82</v>
      </c>
    </row>
    <row r="6" spans="2:13" x14ac:dyDescent="0.25">
      <c r="C6" s="7" t="s">
        <v>83</v>
      </c>
      <c r="D6" s="7">
        <v>2.75</v>
      </c>
      <c r="E6" s="7">
        <v>3.65</v>
      </c>
      <c r="F6" s="7">
        <f>D6*E6</f>
        <v>10.0375</v>
      </c>
      <c r="G6" s="7" t="s">
        <v>98</v>
      </c>
      <c r="H6" s="7"/>
      <c r="I6" s="7"/>
      <c r="J6" s="7">
        <f>H6*I6</f>
        <v>0</v>
      </c>
      <c r="K6" s="7"/>
      <c r="L6" s="7"/>
      <c r="M6" s="7">
        <f>K6*L6</f>
        <v>0</v>
      </c>
    </row>
    <row r="7" spans="2:13" x14ac:dyDescent="0.25">
      <c r="C7" s="7"/>
      <c r="D7" s="7"/>
      <c r="E7" s="7"/>
      <c r="F7" s="7">
        <f t="shared" ref="F7:F33" si="0">D7*E7</f>
        <v>0</v>
      </c>
      <c r="G7" s="7" t="s">
        <v>99</v>
      </c>
      <c r="H7" s="7"/>
      <c r="I7" s="7"/>
      <c r="J7" s="7">
        <f t="shared" ref="J7:J29" si="1">H7*I7</f>
        <v>0</v>
      </c>
      <c r="K7" s="7"/>
      <c r="L7" s="7"/>
      <c r="M7" s="7">
        <f t="shared" ref="M7:M29" si="2">K7*L7</f>
        <v>0</v>
      </c>
    </row>
    <row r="8" spans="2:13" x14ac:dyDescent="0.25">
      <c r="C8" s="7"/>
      <c r="D8" s="7"/>
      <c r="E8" s="7"/>
      <c r="F8" s="7">
        <f t="shared" si="0"/>
        <v>0</v>
      </c>
      <c r="G8" s="7"/>
      <c r="H8" s="7"/>
      <c r="I8" s="7"/>
      <c r="J8" s="7">
        <f t="shared" si="1"/>
        <v>0</v>
      </c>
      <c r="K8" s="7"/>
      <c r="L8" s="7"/>
      <c r="M8" s="7">
        <f t="shared" si="2"/>
        <v>0</v>
      </c>
    </row>
    <row r="9" spans="2:13" x14ac:dyDescent="0.25">
      <c r="C9" s="7" t="s">
        <v>86</v>
      </c>
      <c r="D9" s="7">
        <v>2.1</v>
      </c>
      <c r="E9" s="7">
        <v>1.8</v>
      </c>
      <c r="F9" s="7">
        <f t="shared" si="0"/>
        <v>3.7800000000000002</v>
      </c>
      <c r="G9" s="7" t="s">
        <v>98</v>
      </c>
      <c r="H9" s="7"/>
      <c r="I9" s="7"/>
      <c r="J9" s="7">
        <f t="shared" si="1"/>
        <v>0</v>
      </c>
      <c r="K9" s="7"/>
      <c r="L9" s="7"/>
      <c r="M9" s="7">
        <f t="shared" si="2"/>
        <v>0</v>
      </c>
    </row>
    <row r="10" spans="2:13" x14ac:dyDescent="0.25">
      <c r="C10" s="7"/>
      <c r="D10" s="7"/>
      <c r="E10" s="7"/>
      <c r="F10" s="7">
        <f t="shared" si="0"/>
        <v>0</v>
      </c>
      <c r="G10" s="7" t="s">
        <v>99</v>
      </c>
      <c r="H10" s="7"/>
      <c r="I10" s="7"/>
      <c r="J10" s="7">
        <f t="shared" si="1"/>
        <v>0</v>
      </c>
      <c r="K10" s="7"/>
      <c r="L10" s="7"/>
      <c r="M10" s="7">
        <f t="shared" si="2"/>
        <v>0</v>
      </c>
    </row>
    <row r="11" spans="2:13" x14ac:dyDescent="0.25">
      <c r="C11" s="7"/>
      <c r="D11" s="7"/>
      <c r="E11" s="7"/>
      <c r="F11" s="7">
        <f t="shared" si="0"/>
        <v>0</v>
      </c>
      <c r="G11" s="7"/>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t="s">
        <v>84</v>
      </c>
      <c r="D13" s="7">
        <v>2.75</v>
      </c>
      <c r="E13" s="7">
        <v>2.4500000000000002</v>
      </c>
      <c r="F13" s="7">
        <f t="shared" si="0"/>
        <v>6.7375000000000007</v>
      </c>
      <c r="G13" s="7" t="s">
        <v>98</v>
      </c>
      <c r="H13" s="7"/>
      <c r="I13" s="7"/>
      <c r="J13" s="7">
        <f t="shared" si="1"/>
        <v>0</v>
      </c>
      <c r="K13" s="7"/>
      <c r="L13" s="7"/>
      <c r="M13" s="7">
        <f t="shared" si="2"/>
        <v>0</v>
      </c>
    </row>
    <row r="14" spans="2:13" x14ac:dyDescent="0.25">
      <c r="C14" s="7"/>
      <c r="D14" s="7"/>
      <c r="E14" s="7"/>
      <c r="F14" s="7">
        <f t="shared" si="0"/>
        <v>0</v>
      </c>
      <c r="G14" s="7" t="s">
        <v>99</v>
      </c>
      <c r="H14" s="7"/>
      <c r="I14" s="7"/>
      <c r="J14" s="7">
        <f t="shared" si="1"/>
        <v>0</v>
      </c>
      <c r="K14" s="7"/>
      <c r="L14" s="7"/>
      <c r="M14" s="7">
        <f t="shared" si="2"/>
        <v>0</v>
      </c>
    </row>
    <row r="15" spans="2:13" x14ac:dyDescent="0.25">
      <c r="C15" s="7"/>
      <c r="D15" s="7"/>
      <c r="E15" s="7"/>
      <c r="F15" s="7">
        <f t="shared" si="0"/>
        <v>0</v>
      </c>
      <c r="G15" s="7"/>
      <c r="H15" s="7"/>
      <c r="I15" s="7"/>
      <c r="J15" s="7">
        <f t="shared" si="1"/>
        <v>0</v>
      </c>
      <c r="K15" s="7"/>
      <c r="L15" s="7"/>
      <c r="M15" s="7">
        <f t="shared" si="2"/>
        <v>0</v>
      </c>
    </row>
    <row r="16" spans="2:13" x14ac:dyDescent="0.25">
      <c r="C16" s="7"/>
      <c r="D16" s="7"/>
      <c r="E16" s="7"/>
      <c r="F16" s="7">
        <f t="shared" si="0"/>
        <v>0</v>
      </c>
      <c r="G16" s="7"/>
      <c r="H16" s="7"/>
      <c r="I16" s="7"/>
      <c r="J16" s="7">
        <f t="shared" si="1"/>
        <v>0</v>
      </c>
      <c r="K16" s="7"/>
      <c r="L16" s="7"/>
      <c r="M16" s="7">
        <f t="shared" si="2"/>
        <v>0</v>
      </c>
    </row>
    <row r="17" spans="3:13" x14ac:dyDescent="0.25">
      <c r="C17" s="7" t="s">
        <v>85</v>
      </c>
      <c r="D17" s="7"/>
      <c r="E17" s="7"/>
      <c r="F17" s="7">
        <f t="shared" si="0"/>
        <v>0</v>
      </c>
      <c r="G17" s="7" t="s">
        <v>98</v>
      </c>
      <c r="H17" s="7"/>
      <c r="I17" s="7"/>
      <c r="J17" s="7">
        <f t="shared" si="1"/>
        <v>0</v>
      </c>
      <c r="K17" s="7"/>
      <c r="L17" s="7"/>
      <c r="M17" s="7">
        <f t="shared" si="2"/>
        <v>0</v>
      </c>
    </row>
    <row r="18" spans="3:13" x14ac:dyDescent="0.25">
      <c r="C18" s="7"/>
      <c r="D18" s="7"/>
      <c r="E18" s="7"/>
      <c r="F18" s="7">
        <f t="shared" si="0"/>
        <v>0</v>
      </c>
      <c r="G18" s="7" t="s">
        <v>99</v>
      </c>
      <c r="H18" s="7"/>
      <c r="I18" s="7"/>
      <c r="J18" s="7">
        <f t="shared" si="1"/>
        <v>0</v>
      </c>
      <c r="K18" s="7"/>
      <c r="L18" s="7"/>
      <c r="M18" s="7">
        <f t="shared" si="2"/>
        <v>0</v>
      </c>
    </row>
    <row r="19" spans="3:13" x14ac:dyDescent="0.25">
      <c r="C19" s="7"/>
      <c r="D19" s="7"/>
      <c r="E19" s="7"/>
      <c r="F19" s="7">
        <f t="shared" si="0"/>
        <v>0</v>
      </c>
      <c r="G19" s="7"/>
      <c r="H19" s="7"/>
      <c r="I19" s="7"/>
      <c r="J19" s="7">
        <f t="shared" si="1"/>
        <v>0</v>
      </c>
      <c r="K19" s="7"/>
      <c r="L19" s="7"/>
      <c r="M19" s="7">
        <f t="shared" si="2"/>
        <v>0</v>
      </c>
    </row>
    <row r="20" spans="3:13" x14ac:dyDescent="0.25">
      <c r="C20" s="7" t="s">
        <v>85</v>
      </c>
      <c r="D20" s="7"/>
      <c r="E20" s="7"/>
      <c r="F20" s="7">
        <f t="shared" si="0"/>
        <v>0</v>
      </c>
      <c r="G20" s="7" t="s">
        <v>98</v>
      </c>
      <c r="H20" s="7"/>
      <c r="I20" s="7"/>
      <c r="J20" s="7">
        <f t="shared" si="1"/>
        <v>0</v>
      </c>
      <c r="K20" s="7"/>
      <c r="L20" s="7"/>
      <c r="M20" s="7">
        <f t="shared" si="2"/>
        <v>0</v>
      </c>
    </row>
    <row r="21" spans="3:13" x14ac:dyDescent="0.25">
      <c r="C21" s="7"/>
      <c r="D21" s="7"/>
      <c r="E21" s="7"/>
      <c r="F21" s="7">
        <f t="shared" si="0"/>
        <v>0</v>
      </c>
      <c r="G21" s="7" t="s">
        <v>99</v>
      </c>
      <c r="H21" s="7"/>
      <c r="I21" s="7"/>
      <c r="J21" s="7">
        <f t="shared" si="1"/>
        <v>0</v>
      </c>
      <c r="K21" s="7"/>
      <c r="L21" s="7"/>
      <c r="M21" s="7">
        <f t="shared" si="2"/>
        <v>0</v>
      </c>
    </row>
    <row r="22" spans="3:13" x14ac:dyDescent="0.25">
      <c r="C22" s="7"/>
      <c r="D22" s="7"/>
      <c r="E22" s="7"/>
      <c r="F22" s="7">
        <f t="shared" si="0"/>
        <v>0</v>
      </c>
      <c r="G22" s="7"/>
      <c r="H22" s="7"/>
      <c r="I22" s="7"/>
      <c r="J22" s="7">
        <f t="shared" si="1"/>
        <v>0</v>
      </c>
      <c r="K22" s="7"/>
      <c r="L22" s="7"/>
      <c r="M22" s="7">
        <f t="shared" si="2"/>
        <v>0</v>
      </c>
    </row>
    <row r="23" spans="3:13" x14ac:dyDescent="0.25">
      <c r="C23" s="7" t="s">
        <v>91</v>
      </c>
      <c r="D23" s="7">
        <v>1.1000000000000001</v>
      </c>
      <c r="E23" s="7">
        <v>1.5</v>
      </c>
      <c r="F23" s="7">
        <f t="shared" si="0"/>
        <v>1.6500000000000001</v>
      </c>
      <c r="G23" s="7" t="s">
        <v>100</v>
      </c>
      <c r="H23" s="7"/>
      <c r="I23" s="7"/>
      <c r="J23" s="7">
        <f t="shared" si="1"/>
        <v>0</v>
      </c>
      <c r="K23" s="7"/>
      <c r="L23" s="7"/>
      <c r="M23" s="7">
        <f t="shared" si="2"/>
        <v>0</v>
      </c>
    </row>
    <row r="24" spans="3:13" x14ac:dyDescent="0.25">
      <c r="C24" s="7" t="s">
        <v>92</v>
      </c>
      <c r="D24" s="7">
        <v>0.9</v>
      </c>
      <c r="E24" s="7">
        <v>1.2</v>
      </c>
      <c r="F24" s="7">
        <f t="shared" si="0"/>
        <v>1.08</v>
      </c>
      <c r="G24" s="7" t="s">
        <v>100</v>
      </c>
      <c r="H24" s="7"/>
      <c r="I24" s="7"/>
      <c r="J24" s="7">
        <f t="shared" si="1"/>
        <v>0</v>
      </c>
      <c r="K24" s="7"/>
      <c r="L24" s="7"/>
      <c r="M24" s="7">
        <f t="shared" si="2"/>
        <v>0</v>
      </c>
    </row>
    <row r="25" spans="3:13" x14ac:dyDescent="0.25">
      <c r="C25" s="7" t="s">
        <v>93</v>
      </c>
      <c r="D25" s="7"/>
      <c r="E25" s="7"/>
      <c r="F25" s="7">
        <f t="shared" si="0"/>
        <v>0</v>
      </c>
      <c r="G25" s="7" t="s">
        <v>100</v>
      </c>
      <c r="H25" s="7"/>
      <c r="I25" s="7"/>
      <c r="J25" s="7">
        <f t="shared" si="1"/>
        <v>0</v>
      </c>
      <c r="K25" s="7"/>
      <c r="L25" s="7"/>
      <c r="M25" s="7">
        <f t="shared" si="2"/>
        <v>0</v>
      </c>
    </row>
    <row r="26" spans="3:13" x14ac:dyDescent="0.25">
      <c r="C26" s="7"/>
      <c r="D26" s="7"/>
      <c r="E26" s="7"/>
      <c r="F26" s="7">
        <f t="shared" si="0"/>
        <v>0</v>
      </c>
      <c r="G26" s="7"/>
      <c r="H26" s="7"/>
      <c r="I26" s="7"/>
      <c r="J26" s="7">
        <f t="shared" si="1"/>
        <v>0</v>
      </c>
      <c r="K26" s="7"/>
      <c r="L26" s="7"/>
      <c r="M26" s="7">
        <f t="shared" si="2"/>
        <v>0</v>
      </c>
    </row>
    <row r="27" spans="3:13" x14ac:dyDescent="0.25">
      <c r="C27" s="7" t="s">
        <v>87</v>
      </c>
      <c r="D27" s="7"/>
      <c r="E27" s="7"/>
      <c r="F27" s="7">
        <f t="shared" si="0"/>
        <v>0</v>
      </c>
      <c r="G27" s="7"/>
      <c r="H27" s="7"/>
      <c r="I27" s="7"/>
      <c r="J27" s="7">
        <f t="shared" si="1"/>
        <v>0</v>
      </c>
      <c r="K27" s="7"/>
      <c r="L27" s="7"/>
      <c r="M27" s="7">
        <f t="shared" si="2"/>
        <v>0</v>
      </c>
    </row>
    <row r="28" spans="3:13" x14ac:dyDescent="0.25">
      <c r="C28" s="7" t="s">
        <v>88</v>
      </c>
      <c r="D28" s="7"/>
      <c r="E28" s="7"/>
      <c r="F28" s="7">
        <f t="shared" si="0"/>
        <v>0</v>
      </c>
      <c r="G28" s="7"/>
      <c r="H28" s="7"/>
      <c r="I28" s="7"/>
      <c r="J28" s="7">
        <f t="shared" si="1"/>
        <v>0</v>
      </c>
      <c r="K28" s="7"/>
      <c r="L28" s="7"/>
      <c r="M28" s="7">
        <f t="shared" si="2"/>
        <v>0</v>
      </c>
    </row>
    <row r="29" spans="3:13" x14ac:dyDescent="0.25">
      <c r="C29" s="7" t="s">
        <v>89</v>
      </c>
      <c r="D29" s="7"/>
      <c r="E29" s="7"/>
      <c r="F29" s="7">
        <f t="shared" si="0"/>
        <v>0</v>
      </c>
      <c r="G29" s="7"/>
      <c r="H29" s="7"/>
      <c r="I29" s="7"/>
      <c r="J29" s="7">
        <f t="shared" si="1"/>
        <v>0</v>
      </c>
      <c r="K29" s="7"/>
      <c r="L29" s="7"/>
      <c r="M29" s="7">
        <f t="shared" si="2"/>
        <v>0</v>
      </c>
    </row>
    <row r="30" spans="3:13" x14ac:dyDescent="0.25">
      <c r="C30" s="7" t="s">
        <v>90</v>
      </c>
      <c r="D30" s="7"/>
      <c r="E30" s="7"/>
      <c r="F30" s="7">
        <f t="shared" si="0"/>
        <v>0</v>
      </c>
      <c r="G30" s="7"/>
      <c r="H30" s="7"/>
      <c r="I30" s="7"/>
      <c r="J30" s="7">
        <f>H30*I30</f>
        <v>0</v>
      </c>
      <c r="K30" s="7"/>
      <c r="L30" s="7"/>
      <c r="M30" s="7">
        <f>K30*L30</f>
        <v>0</v>
      </c>
    </row>
    <row r="31" spans="3:13" x14ac:dyDescent="0.25">
      <c r="C31" s="7"/>
      <c r="D31" s="7"/>
      <c r="E31" s="7"/>
      <c r="F31" s="7">
        <f t="shared" si="0"/>
        <v>0</v>
      </c>
      <c r="G31" s="7"/>
      <c r="H31" s="7"/>
      <c r="I31" s="7"/>
      <c r="J31" s="7">
        <f>H31*I31</f>
        <v>0</v>
      </c>
      <c r="K31" s="7"/>
      <c r="L31" s="7"/>
      <c r="M31" s="7">
        <f>K31*L31</f>
        <v>0</v>
      </c>
    </row>
    <row r="32" spans="3:13" x14ac:dyDescent="0.25">
      <c r="C32" s="7"/>
      <c r="D32" s="7"/>
      <c r="E32" s="7"/>
      <c r="F32" s="7">
        <f t="shared" si="0"/>
        <v>0</v>
      </c>
      <c r="G32" s="7"/>
      <c r="H32" s="7"/>
      <c r="I32" s="7"/>
      <c r="J32" s="7">
        <f>H32*I32</f>
        <v>0</v>
      </c>
      <c r="K32" s="7"/>
      <c r="L32" s="7"/>
      <c r="M32" s="7">
        <f>K32*L32</f>
        <v>0</v>
      </c>
    </row>
    <row r="33" spans="3:13" x14ac:dyDescent="0.25">
      <c r="C33" s="7"/>
      <c r="D33" s="7"/>
      <c r="E33" s="7"/>
      <c r="F33" s="7">
        <f t="shared" si="0"/>
        <v>0</v>
      </c>
      <c r="G33" s="7"/>
      <c r="H33" s="7"/>
      <c r="I33" s="7"/>
      <c r="J33" s="7">
        <f>H33*I33</f>
        <v>0</v>
      </c>
      <c r="K33" s="7"/>
      <c r="L33" s="7"/>
      <c r="M33" s="7">
        <f>K33*L33</f>
        <v>0</v>
      </c>
    </row>
    <row r="34" spans="3:13" x14ac:dyDescent="0.25">
      <c r="C34" s="7" t="s">
        <v>94</v>
      </c>
      <c r="D34" s="7"/>
      <c r="E34" s="7">
        <f>F34*10.764</f>
        <v>250.63973999999996</v>
      </c>
      <c r="F34" s="7">
        <f>SUM(F6:F33)</f>
        <v>23.284999999999997</v>
      </c>
      <c r="G34" s="7"/>
      <c r="H34" s="7"/>
      <c r="I34" s="7">
        <f>J34*10.764</f>
        <v>0</v>
      </c>
      <c r="J34" s="7">
        <f>SUM(J6:J33)</f>
        <v>0</v>
      </c>
      <c r="K34" s="7"/>
      <c r="L34" s="7">
        <f>M34*10.764</f>
        <v>0</v>
      </c>
      <c r="M34" s="7">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5"/>
  <sheetViews>
    <sheetView topLeftCell="A13" workbookViewId="0">
      <selection activeCell="D37" sqref="D37"/>
    </sheetView>
  </sheetViews>
  <sheetFormatPr defaultRowHeight="15" x14ac:dyDescent="0.25"/>
  <sheetData>
    <row r="3" spans="2:13" x14ac:dyDescent="0.25">
      <c r="C3" s="10" t="s">
        <v>95</v>
      </c>
      <c r="D3" s="232"/>
      <c r="E3" s="232"/>
    </row>
    <row r="4" spans="2:13" x14ac:dyDescent="0.25">
      <c r="E4" s="9"/>
      <c r="F4" s="9"/>
      <c r="G4" s="9"/>
      <c r="H4" s="9"/>
      <c r="I4" s="9"/>
      <c r="J4" s="9"/>
    </row>
    <row r="5" spans="2:13" x14ac:dyDescent="0.25">
      <c r="B5" s="10" t="s">
        <v>96</v>
      </c>
      <c r="C5" s="8" t="s">
        <v>76</v>
      </c>
      <c r="D5" s="233" t="s">
        <v>77</v>
      </c>
      <c r="E5" s="233"/>
      <c r="F5" s="233"/>
      <c r="G5" s="11"/>
      <c r="H5" s="233" t="s">
        <v>78</v>
      </c>
      <c r="I5" s="233"/>
      <c r="J5" s="233"/>
      <c r="K5" s="233" t="s">
        <v>79</v>
      </c>
      <c r="L5" s="233"/>
      <c r="M5" s="233"/>
    </row>
    <row r="6" spans="2:13" x14ac:dyDescent="0.25">
      <c r="B6" s="10">
        <v>1</v>
      </c>
      <c r="C6" s="8"/>
      <c r="D6" s="8" t="s">
        <v>80</v>
      </c>
      <c r="E6" s="8" t="s">
        <v>81</v>
      </c>
      <c r="F6" s="8" t="s">
        <v>82</v>
      </c>
      <c r="G6" s="8"/>
      <c r="H6" s="8" t="s">
        <v>80</v>
      </c>
      <c r="I6" s="8" t="s">
        <v>81</v>
      </c>
      <c r="J6" s="8" t="s">
        <v>82</v>
      </c>
      <c r="K6" s="8" t="s">
        <v>80</v>
      </c>
      <c r="L6" s="8" t="s">
        <v>81</v>
      </c>
      <c r="M6" s="8" t="s">
        <v>82</v>
      </c>
    </row>
    <row r="7" spans="2:13" x14ac:dyDescent="0.25">
      <c r="C7" s="7" t="s">
        <v>83</v>
      </c>
      <c r="D7" s="7">
        <v>2.75</v>
      </c>
      <c r="E7" s="7">
        <v>3.55</v>
      </c>
      <c r="F7" s="7">
        <f>D7*E7</f>
        <v>9.7624999999999993</v>
      </c>
      <c r="G7" s="7" t="s">
        <v>98</v>
      </c>
      <c r="H7" s="7"/>
      <c r="I7" s="7"/>
      <c r="J7" s="7">
        <f>H7*I7</f>
        <v>0</v>
      </c>
      <c r="K7" s="7"/>
      <c r="L7" s="7"/>
      <c r="M7" s="7">
        <f>K7*L7</f>
        <v>0</v>
      </c>
    </row>
    <row r="8" spans="2:13" x14ac:dyDescent="0.25">
      <c r="C8" s="7"/>
      <c r="D8" s="7"/>
      <c r="E8" s="7"/>
      <c r="F8" s="7">
        <f t="shared" ref="F8:F34" si="0">D8*E8</f>
        <v>0</v>
      </c>
      <c r="G8" s="7" t="s">
        <v>99</v>
      </c>
      <c r="H8" s="7"/>
      <c r="I8" s="7"/>
      <c r="J8" s="7">
        <f t="shared" ref="J8:J34" si="1">H8*I8</f>
        <v>0</v>
      </c>
      <c r="K8" s="7"/>
      <c r="L8" s="7"/>
      <c r="M8" s="7">
        <f t="shared" ref="M8:M34" si="2">K8*L8</f>
        <v>0</v>
      </c>
    </row>
    <row r="9" spans="2:13" x14ac:dyDescent="0.25">
      <c r="C9" s="7"/>
      <c r="D9" s="7"/>
      <c r="E9" s="7"/>
      <c r="F9" s="7">
        <f t="shared" si="0"/>
        <v>0</v>
      </c>
      <c r="G9" s="7"/>
      <c r="H9" s="7"/>
      <c r="I9" s="7"/>
      <c r="J9" s="7">
        <f t="shared" si="1"/>
        <v>0</v>
      </c>
      <c r="K9" s="7"/>
      <c r="L9" s="7"/>
      <c r="M9" s="7">
        <f t="shared" si="2"/>
        <v>0</v>
      </c>
    </row>
    <row r="10" spans="2:13" x14ac:dyDescent="0.25">
      <c r="C10" s="7" t="s">
        <v>86</v>
      </c>
      <c r="D10" s="7">
        <v>2.1</v>
      </c>
      <c r="E10" s="7">
        <v>1.8</v>
      </c>
      <c r="F10" s="7">
        <f t="shared" si="0"/>
        <v>3.7800000000000002</v>
      </c>
      <c r="G10" s="7" t="s">
        <v>98</v>
      </c>
      <c r="H10" s="7"/>
      <c r="I10" s="7"/>
      <c r="J10" s="7">
        <f t="shared" si="1"/>
        <v>0</v>
      </c>
      <c r="K10" s="7"/>
      <c r="L10" s="7"/>
      <c r="M10" s="7">
        <f t="shared" si="2"/>
        <v>0</v>
      </c>
    </row>
    <row r="11" spans="2:13" x14ac:dyDescent="0.25">
      <c r="C11" s="7"/>
      <c r="D11" s="7"/>
      <c r="E11" s="7"/>
      <c r="F11" s="7">
        <f t="shared" si="0"/>
        <v>0</v>
      </c>
      <c r="G11" s="7" t="s">
        <v>99</v>
      </c>
      <c r="H11" s="7"/>
      <c r="I11" s="7"/>
      <c r="J11" s="7">
        <f t="shared" si="1"/>
        <v>0</v>
      </c>
      <c r="K11" s="7"/>
      <c r="L11" s="7"/>
      <c r="M11" s="7">
        <f t="shared" si="2"/>
        <v>0</v>
      </c>
    </row>
    <row r="12" spans="2:13" x14ac:dyDescent="0.25">
      <c r="C12" s="7"/>
      <c r="D12" s="7"/>
      <c r="E12" s="7"/>
      <c r="F12" s="7">
        <f t="shared" si="0"/>
        <v>0</v>
      </c>
      <c r="G12" s="7"/>
      <c r="H12" s="7"/>
      <c r="I12" s="7"/>
      <c r="J12" s="7">
        <f t="shared" si="1"/>
        <v>0</v>
      </c>
      <c r="K12" s="7"/>
      <c r="L12" s="7"/>
      <c r="M12" s="7">
        <f t="shared" si="2"/>
        <v>0</v>
      </c>
    </row>
    <row r="13" spans="2:13" x14ac:dyDescent="0.25">
      <c r="C13" s="7"/>
      <c r="D13" s="7"/>
      <c r="E13" s="7"/>
      <c r="F13" s="7">
        <f t="shared" si="0"/>
        <v>0</v>
      </c>
      <c r="G13" s="7"/>
      <c r="H13" s="7"/>
      <c r="I13" s="7"/>
      <c r="J13" s="7">
        <f t="shared" si="1"/>
        <v>0</v>
      </c>
      <c r="K13" s="7"/>
      <c r="L13" s="7"/>
      <c r="M13" s="7">
        <f t="shared" si="2"/>
        <v>0</v>
      </c>
    </row>
    <row r="14" spans="2:13" x14ac:dyDescent="0.25">
      <c r="C14" s="7" t="s">
        <v>84</v>
      </c>
      <c r="D14" s="7"/>
      <c r="E14" s="7"/>
      <c r="F14" s="7">
        <f t="shared" si="0"/>
        <v>0</v>
      </c>
      <c r="G14" s="7" t="s">
        <v>98</v>
      </c>
      <c r="H14" s="7"/>
      <c r="I14" s="7"/>
      <c r="J14" s="7">
        <f t="shared" si="1"/>
        <v>0</v>
      </c>
      <c r="K14" s="7"/>
      <c r="L14" s="7"/>
      <c r="M14" s="7">
        <f t="shared" si="2"/>
        <v>0</v>
      </c>
    </row>
    <row r="15" spans="2:13" x14ac:dyDescent="0.25">
      <c r="C15" s="7"/>
      <c r="D15" s="7"/>
      <c r="E15" s="7"/>
      <c r="F15" s="7">
        <f t="shared" si="0"/>
        <v>0</v>
      </c>
      <c r="G15" s="7" t="s">
        <v>99</v>
      </c>
      <c r="H15" s="7"/>
      <c r="I15" s="7"/>
      <c r="J15" s="7">
        <f t="shared" si="1"/>
        <v>0</v>
      </c>
      <c r="K15" s="7"/>
      <c r="L15" s="7"/>
      <c r="M15" s="7">
        <f t="shared" si="2"/>
        <v>0</v>
      </c>
    </row>
    <row r="16" spans="2:13" x14ac:dyDescent="0.25">
      <c r="C16" s="7"/>
      <c r="D16" s="7"/>
      <c r="E16" s="7"/>
      <c r="F16" s="7">
        <f t="shared" si="0"/>
        <v>0</v>
      </c>
      <c r="G16" s="7"/>
      <c r="H16" s="7"/>
      <c r="I16" s="7"/>
      <c r="J16" s="7">
        <f t="shared" si="1"/>
        <v>0</v>
      </c>
      <c r="K16" s="7"/>
      <c r="L16" s="7"/>
      <c r="M16" s="7">
        <f t="shared" si="2"/>
        <v>0</v>
      </c>
    </row>
    <row r="17" spans="3:13" x14ac:dyDescent="0.25">
      <c r="C17" s="7"/>
      <c r="D17" s="7"/>
      <c r="E17" s="7"/>
      <c r="F17" s="7">
        <f t="shared" si="0"/>
        <v>0</v>
      </c>
      <c r="G17" s="7"/>
      <c r="H17" s="7"/>
      <c r="I17" s="7"/>
      <c r="J17" s="7">
        <f t="shared" si="1"/>
        <v>0</v>
      </c>
      <c r="K17" s="7"/>
      <c r="L17" s="7"/>
      <c r="M17" s="7">
        <f t="shared" si="2"/>
        <v>0</v>
      </c>
    </row>
    <row r="18" spans="3:13" x14ac:dyDescent="0.25">
      <c r="C18" s="7" t="s">
        <v>85</v>
      </c>
      <c r="D18" s="7"/>
      <c r="E18" s="7"/>
      <c r="F18" s="7">
        <f t="shared" si="0"/>
        <v>0</v>
      </c>
      <c r="G18" s="7" t="s">
        <v>98</v>
      </c>
      <c r="H18" s="7"/>
      <c r="I18" s="7"/>
      <c r="J18" s="7">
        <f t="shared" si="1"/>
        <v>0</v>
      </c>
      <c r="K18" s="7"/>
      <c r="L18" s="7"/>
      <c r="M18" s="7">
        <f t="shared" si="2"/>
        <v>0</v>
      </c>
    </row>
    <row r="19" spans="3:13" x14ac:dyDescent="0.25">
      <c r="C19" s="7"/>
      <c r="D19" s="7"/>
      <c r="E19" s="7"/>
      <c r="F19" s="7">
        <f t="shared" si="0"/>
        <v>0</v>
      </c>
      <c r="G19" s="7" t="s">
        <v>99</v>
      </c>
      <c r="H19" s="7"/>
      <c r="I19" s="7"/>
      <c r="J19" s="7">
        <f t="shared" si="1"/>
        <v>0</v>
      </c>
      <c r="K19" s="7"/>
      <c r="L19" s="7"/>
      <c r="M19" s="7">
        <f t="shared" si="2"/>
        <v>0</v>
      </c>
    </row>
    <row r="20" spans="3:13" x14ac:dyDescent="0.25">
      <c r="C20" s="7"/>
      <c r="D20" s="7"/>
      <c r="E20" s="7"/>
      <c r="F20" s="7">
        <f t="shared" si="0"/>
        <v>0</v>
      </c>
      <c r="G20" s="7"/>
      <c r="H20" s="7"/>
      <c r="I20" s="7"/>
      <c r="J20" s="7">
        <f t="shared" si="1"/>
        <v>0</v>
      </c>
      <c r="K20" s="7"/>
      <c r="L20" s="7"/>
      <c r="M20" s="7">
        <f t="shared" si="2"/>
        <v>0</v>
      </c>
    </row>
    <row r="21" spans="3:13" x14ac:dyDescent="0.25">
      <c r="C21" s="7" t="s">
        <v>85</v>
      </c>
      <c r="D21" s="7"/>
      <c r="E21" s="7"/>
      <c r="F21" s="7">
        <f t="shared" si="0"/>
        <v>0</v>
      </c>
      <c r="G21" s="7" t="s">
        <v>98</v>
      </c>
      <c r="H21" s="7"/>
      <c r="I21" s="7"/>
      <c r="J21" s="7">
        <f t="shared" si="1"/>
        <v>0</v>
      </c>
      <c r="K21" s="7"/>
      <c r="L21" s="7"/>
      <c r="M21" s="7">
        <f t="shared" si="2"/>
        <v>0</v>
      </c>
    </row>
    <row r="22" spans="3:13" x14ac:dyDescent="0.25">
      <c r="C22" s="7"/>
      <c r="D22" s="7"/>
      <c r="E22" s="7"/>
      <c r="F22" s="7">
        <f t="shared" si="0"/>
        <v>0</v>
      </c>
      <c r="G22" s="7" t="s">
        <v>99</v>
      </c>
      <c r="H22" s="7"/>
      <c r="I22" s="7"/>
      <c r="J22" s="7">
        <f t="shared" si="1"/>
        <v>0</v>
      </c>
      <c r="K22" s="7"/>
      <c r="L22" s="7"/>
      <c r="M22" s="7">
        <f t="shared" si="2"/>
        <v>0</v>
      </c>
    </row>
    <row r="23" spans="3:13" x14ac:dyDescent="0.25">
      <c r="C23" s="7"/>
      <c r="D23" s="7"/>
      <c r="E23" s="7"/>
      <c r="F23" s="7">
        <f t="shared" si="0"/>
        <v>0</v>
      </c>
      <c r="G23" s="7"/>
      <c r="H23" s="7"/>
      <c r="I23" s="7"/>
      <c r="J23" s="7">
        <f t="shared" si="1"/>
        <v>0</v>
      </c>
      <c r="K23" s="7"/>
      <c r="L23" s="7"/>
      <c r="M23" s="7">
        <f t="shared" si="2"/>
        <v>0</v>
      </c>
    </row>
    <row r="24" spans="3:13" x14ac:dyDescent="0.25">
      <c r="C24" s="7" t="s">
        <v>91</v>
      </c>
      <c r="D24" s="7">
        <v>1.1000000000000001</v>
      </c>
      <c r="E24" s="7">
        <v>1.5</v>
      </c>
      <c r="F24" s="7">
        <f t="shared" si="0"/>
        <v>1.6500000000000001</v>
      </c>
      <c r="G24" s="7" t="s">
        <v>100</v>
      </c>
      <c r="H24" s="7"/>
      <c r="I24" s="7"/>
      <c r="J24" s="7">
        <f t="shared" si="1"/>
        <v>0</v>
      </c>
      <c r="K24" s="7"/>
      <c r="L24" s="7"/>
      <c r="M24" s="7">
        <f t="shared" si="2"/>
        <v>0</v>
      </c>
    </row>
    <row r="25" spans="3:13" x14ac:dyDescent="0.25">
      <c r="C25" s="7" t="s">
        <v>92</v>
      </c>
      <c r="D25" s="7">
        <v>0.9</v>
      </c>
      <c r="E25" s="7">
        <v>1.2</v>
      </c>
      <c r="F25" s="7">
        <f t="shared" si="0"/>
        <v>1.08</v>
      </c>
      <c r="G25" s="7" t="s">
        <v>100</v>
      </c>
      <c r="H25" s="7"/>
      <c r="I25" s="7"/>
      <c r="J25" s="7">
        <f t="shared" si="1"/>
        <v>0</v>
      </c>
      <c r="K25" s="7"/>
      <c r="L25" s="7"/>
      <c r="M25" s="7">
        <f t="shared" si="2"/>
        <v>0</v>
      </c>
    </row>
    <row r="26" spans="3:13" x14ac:dyDescent="0.25">
      <c r="C26" s="7" t="s">
        <v>93</v>
      </c>
      <c r="D26" s="7"/>
      <c r="E26" s="7"/>
      <c r="F26" s="7">
        <f t="shared" si="0"/>
        <v>0</v>
      </c>
      <c r="G26" s="7" t="s">
        <v>100</v>
      </c>
      <c r="H26" s="7"/>
      <c r="I26" s="7"/>
      <c r="J26" s="7">
        <f t="shared" si="1"/>
        <v>0</v>
      </c>
      <c r="K26" s="7"/>
      <c r="L26" s="7"/>
      <c r="M26" s="7">
        <f t="shared" si="2"/>
        <v>0</v>
      </c>
    </row>
    <row r="27" spans="3:13" x14ac:dyDescent="0.25">
      <c r="C27" s="7"/>
      <c r="D27" s="7"/>
      <c r="E27" s="7"/>
      <c r="F27" s="7">
        <f t="shared" si="0"/>
        <v>0</v>
      </c>
      <c r="G27" s="7"/>
      <c r="H27" s="7"/>
      <c r="I27" s="7"/>
      <c r="J27" s="7">
        <f t="shared" si="1"/>
        <v>0</v>
      </c>
      <c r="K27" s="7"/>
      <c r="L27" s="7"/>
      <c r="M27" s="7">
        <f t="shared" si="2"/>
        <v>0</v>
      </c>
    </row>
    <row r="28" spans="3:13" x14ac:dyDescent="0.25">
      <c r="C28" s="7" t="s">
        <v>87</v>
      </c>
      <c r="D28" s="7"/>
      <c r="E28" s="7"/>
      <c r="F28" s="7">
        <f t="shared" si="0"/>
        <v>0</v>
      </c>
      <c r="G28" s="7"/>
      <c r="H28" s="7"/>
      <c r="I28" s="7"/>
      <c r="J28" s="7">
        <f t="shared" si="1"/>
        <v>0</v>
      </c>
      <c r="K28" s="7"/>
      <c r="L28" s="7"/>
      <c r="M28" s="7">
        <f t="shared" si="2"/>
        <v>0</v>
      </c>
    </row>
    <row r="29" spans="3:13" x14ac:dyDescent="0.25">
      <c r="C29" s="7" t="s">
        <v>88</v>
      </c>
      <c r="D29" s="7"/>
      <c r="E29" s="7"/>
      <c r="F29" s="7">
        <f t="shared" si="0"/>
        <v>0</v>
      </c>
      <c r="G29" s="7"/>
      <c r="H29" s="7"/>
      <c r="I29" s="7"/>
      <c r="J29" s="7">
        <f t="shared" si="1"/>
        <v>0</v>
      </c>
      <c r="K29" s="7"/>
      <c r="L29" s="7"/>
      <c r="M29" s="7">
        <f t="shared" si="2"/>
        <v>0</v>
      </c>
    </row>
    <row r="30" spans="3:13" x14ac:dyDescent="0.25">
      <c r="C30" s="7" t="s">
        <v>89</v>
      </c>
      <c r="D30" s="7"/>
      <c r="E30" s="7"/>
      <c r="F30" s="7">
        <f t="shared" si="0"/>
        <v>0</v>
      </c>
      <c r="G30" s="7"/>
      <c r="H30" s="7"/>
      <c r="I30" s="7"/>
      <c r="J30" s="7">
        <f t="shared" si="1"/>
        <v>0</v>
      </c>
      <c r="K30" s="7"/>
      <c r="L30" s="7"/>
      <c r="M30" s="7">
        <f t="shared" si="2"/>
        <v>0</v>
      </c>
    </row>
    <row r="31" spans="3:13" x14ac:dyDescent="0.25">
      <c r="C31" s="7" t="s">
        <v>90</v>
      </c>
      <c r="D31" s="7"/>
      <c r="E31" s="7"/>
      <c r="F31" s="7">
        <f t="shared" si="0"/>
        <v>0</v>
      </c>
      <c r="G31" s="7"/>
      <c r="H31" s="7"/>
      <c r="I31" s="7"/>
      <c r="J31" s="7">
        <f t="shared" si="1"/>
        <v>0</v>
      </c>
      <c r="K31" s="7"/>
      <c r="L31" s="7"/>
      <c r="M31" s="7">
        <f t="shared" si="2"/>
        <v>0</v>
      </c>
    </row>
    <row r="32" spans="3:13" x14ac:dyDescent="0.25">
      <c r="C32" s="7"/>
      <c r="D32" s="7"/>
      <c r="E32" s="7"/>
      <c r="F32" s="7">
        <f t="shared" si="0"/>
        <v>0</v>
      </c>
      <c r="G32" s="7"/>
      <c r="H32" s="7"/>
      <c r="I32" s="7"/>
      <c r="J32" s="7">
        <f t="shared" si="1"/>
        <v>0</v>
      </c>
      <c r="K32" s="7"/>
      <c r="L32" s="7"/>
      <c r="M32" s="7">
        <f t="shared" si="2"/>
        <v>0</v>
      </c>
    </row>
    <row r="33" spans="3:13" x14ac:dyDescent="0.25">
      <c r="C33" s="7"/>
      <c r="D33" s="7"/>
      <c r="E33" s="7"/>
      <c r="F33" s="7">
        <f t="shared" si="0"/>
        <v>0</v>
      </c>
      <c r="G33" s="7"/>
      <c r="H33" s="7"/>
      <c r="I33" s="7"/>
      <c r="J33" s="7">
        <f t="shared" si="1"/>
        <v>0</v>
      </c>
      <c r="K33" s="7"/>
      <c r="L33" s="7"/>
      <c r="M33" s="7">
        <f t="shared" si="2"/>
        <v>0</v>
      </c>
    </row>
    <row r="34" spans="3:13" x14ac:dyDescent="0.25">
      <c r="C34" s="7"/>
      <c r="D34" s="7"/>
      <c r="E34" s="7"/>
      <c r="F34" s="7">
        <f t="shared" si="0"/>
        <v>0</v>
      </c>
      <c r="G34" s="7"/>
      <c r="H34" s="7"/>
      <c r="I34" s="7"/>
      <c r="J34" s="7">
        <f t="shared" si="1"/>
        <v>0</v>
      </c>
      <c r="K34" s="7"/>
      <c r="L34" s="7"/>
      <c r="M34" s="7">
        <f t="shared" si="2"/>
        <v>0</v>
      </c>
    </row>
    <row r="35" spans="3:13" x14ac:dyDescent="0.25">
      <c r="C35" s="7" t="s">
        <v>94</v>
      </c>
      <c r="D35" s="7"/>
      <c r="E35" s="7">
        <f>F35*10.764</f>
        <v>175.15718999999999</v>
      </c>
      <c r="F35" s="7">
        <f>SUM(F7:F34)</f>
        <v>16.272500000000001</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H7" sqref="H7:H8"/>
    </sheetView>
  </sheetViews>
  <sheetFormatPr defaultRowHeight="15" x14ac:dyDescent="0.25"/>
  <sheetData>
    <row r="3" spans="3:14" x14ac:dyDescent="0.25">
      <c r="D3" s="10" t="s">
        <v>95</v>
      </c>
      <c r="E3" s="232"/>
      <c r="F3" s="232"/>
    </row>
    <row r="4" spans="3:14" x14ac:dyDescent="0.25">
      <c r="F4" s="9"/>
      <c r="G4" s="9"/>
      <c r="H4" s="9"/>
      <c r="I4" s="9"/>
      <c r="J4" s="9"/>
      <c r="K4" s="9"/>
    </row>
    <row r="5" spans="3:14" x14ac:dyDescent="0.25">
      <c r="C5" s="10" t="s">
        <v>96</v>
      </c>
      <c r="D5" s="8" t="s">
        <v>76</v>
      </c>
      <c r="E5" s="233" t="s">
        <v>77</v>
      </c>
      <c r="F5" s="233"/>
      <c r="G5" s="233"/>
      <c r="H5" s="11"/>
      <c r="I5" s="233" t="s">
        <v>78</v>
      </c>
      <c r="J5" s="233"/>
      <c r="K5" s="233"/>
      <c r="L5" s="233" t="s">
        <v>79</v>
      </c>
      <c r="M5" s="233"/>
      <c r="N5" s="233"/>
    </row>
    <row r="6" spans="3:14" x14ac:dyDescent="0.25">
      <c r="C6" s="10">
        <v>1</v>
      </c>
      <c r="D6" s="8"/>
      <c r="E6" s="8" t="s">
        <v>80</v>
      </c>
      <c r="F6" s="8" t="s">
        <v>81</v>
      </c>
      <c r="G6" s="8" t="s">
        <v>82</v>
      </c>
      <c r="H6" s="8"/>
      <c r="I6" s="8" t="s">
        <v>80</v>
      </c>
      <c r="J6" s="8" t="s">
        <v>81</v>
      </c>
      <c r="K6" s="8" t="s">
        <v>82</v>
      </c>
      <c r="L6" s="8" t="s">
        <v>80</v>
      </c>
      <c r="M6" s="8" t="s">
        <v>81</v>
      </c>
      <c r="N6" s="8" t="s">
        <v>82</v>
      </c>
    </row>
    <row r="7" spans="3:14" x14ac:dyDescent="0.25">
      <c r="D7" s="7" t="s">
        <v>83</v>
      </c>
      <c r="E7" s="7"/>
      <c r="F7" s="7"/>
      <c r="G7" s="7">
        <f>E7*F7</f>
        <v>0</v>
      </c>
      <c r="H7" s="7" t="s">
        <v>98</v>
      </c>
      <c r="I7" s="7"/>
      <c r="J7" s="7"/>
      <c r="K7" s="7">
        <f>I7*J7</f>
        <v>0</v>
      </c>
      <c r="L7" s="7"/>
      <c r="M7" s="7"/>
      <c r="N7" s="7">
        <f>L7*M7</f>
        <v>0</v>
      </c>
    </row>
    <row r="8" spans="3:14" x14ac:dyDescent="0.25">
      <c r="D8" s="7"/>
      <c r="E8" s="7"/>
      <c r="F8" s="7"/>
      <c r="G8" s="7">
        <f t="shared" ref="G8:G34" si="0">E8*F8</f>
        <v>0</v>
      </c>
      <c r="H8" s="7" t="s">
        <v>99</v>
      </c>
      <c r="I8" s="7"/>
      <c r="J8" s="7"/>
      <c r="K8" s="7">
        <f t="shared" ref="K8:K34" si="1">I8*J8</f>
        <v>0</v>
      </c>
      <c r="L8" s="7"/>
      <c r="M8" s="7"/>
      <c r="N8" s="7">
        <f t="shared" ref="N8:N34" si="2">L8*M8</f>
        <v>0</v>
      </c>
    </row>
    <row r="9" spans="3:14" x14ac:dyDescent="0.25">
      <c r="D9" s="7"/>
      <c r="E9" s="7"/>
      <c r="F9" s="7"/>
      <c r="G9" s="7">
        <f t="shared" si="0"/>
        <v>0</v>
      </c>
      <c r="H9" s="7"/>
      <c r="I9" s="7"/>
      <c r="J9" s="7"/>
      <c r="K9" s="7">
        <f t="shared" si="1"/>
        <v>0</v>
      </c>
      <c r="L9" s="7"/>
      <c r="M9" s="7"/>
      <c r="N9" s="7">
        <f t="shared" si="2"/>
        <v>0</v>
      </c>
    </row>
    <row r="10" spans="3:14" x14ac:dyDescent="0.25">
      <c r="D10" s="7" t="s">
        <v>86</v>
      </c>
      <c r="E10" s="7"/>
      <c r="F10" s="7"/>
      <c r="G10" s="7">
        <f t="shared" si="0"/>
        <v>0</v>
      </c>
      <c r="H10" s="7" t="s">
        <v>98</v>
      </c>
      <c r="I10" s="7"/>
      <c r="J10" s="7"/>
      <c r="K10" s="7">
        <f t="shared" si="1"/>
        <v>0</v>
      </c>
      <c r="L10" s="7"/>
      <c r="M10" s="7"/>
      <c r="N10" s="7">
        <f t="shared" si="2"/>
        <v>0</v>
      </c>
    </row>
    <row r="11" spans="3:14" x14ac:dyDescent="0.25">
      <c r="D11" s="7"/>
      <c r="E11" s="7"/>
      <c r="F11" s="7"/>
      <c r="G11" s="7">
        <f t="shared" si="0"/>
        <v>0</v>
      </c>
      <c r="H11" s="7" t="s">
        <v>99</v>
      </c>
      <c r="I11" s="7"/>
      <c r="J11" s="7"/>
      <c r="K11" s="7">
        <f t="shared" si="1"/>
        <v>0</v>
      </c>
      <c r="L11" s="7"/>
      <c r="M11" s="7"/>
      <c r="N11" s="7">
        <f t="shared" si="2"/>
        <v>0</v>
      </c>
    </row>
    <row r="12" spans="3:14" x14ac:dyDescent="0.25">
      <c r="D12" s="7"/>
      <c r="E12" s="7"/>
      <c r="F12" s="7"/>
      <c r="G12" s="7">
        <f t="shared" si="0"/>
        <v>0</v>
      </c>
      <c r="H12" s="7"/>
      <c r="I12" s="7"/>
      <c r="J12" s="7"/>
      <c r="K12" s="7">
        <f t="shared" si="1"/>
        <v>0</v>
      </c>
      <c r="L12" s="7"/>
      <c r="M12" s="7"/>
      <c r="N12" s="7">
        <f t="shared" si="2"/>
        <v>0</v>
      </c>
    </row>
    <row r="13" spans="3:14" x14ac:dyDescent="0.25">
      <c r="D13" s="7"/>
      <c r="E13" s="7"/>
      <c r="F13" s="7"/>
      <c r="G13" s="7">
        <f t="shared" si="0"/>
        <v>0</v>
      </c>
      <c r="H13" s="7"/>
      <c r="I13" s="7"/>
      <c r="J13" s="7"/>
      <c r="K13" s="7">
        <f t="shared" si="1"/>
        <v>0</v>
      </c>
      <c r="L13" s="7"/>
      <c r="M13" s="7"/>
      <c r="N13" s="7">
        <f t="shared" si="2"/>
        <v>0</v>
      </c>
    </row>
    <row r="14" spans="3:14" x14ac:dyDescent="0.25">
      <c r="D14" s="7" t="s">
        <v>84</v>
      </c>
      <c r="E14" s="7"/>
      <c r="F14" s="7"/>
      <c r="G14" s="7">
        <f t="shared" si="0"/>
        <v>0</v>
      </c>
      <c r="H14" s="7" t="s">
        <v>98</v>
      </c>
      <c r="I14" s="7"/>
      <c r="J14" s="7"/>
      <c r="K14" s="7">
        <f t="shared" si="1"/>
        <v>0</v>
      </c>
      <c r="L14" s="7"/>
      <c r="M14" s="7"/>
      <c r="N14" s="7">
        <f t="shared" si="2"/>
        <v>0</v>
      </c>
    </row>
    <row r="15" spans="3:14" x14ac:dyDescent="0.25">
      <c r="D15" s="7"/>
      <c r="E15" s="7"/>
      <c r="F15" s="7"/>
      <c r="G15" s="7">
        <f t="shared" si="0"/>
        <v>0</v>
      </c>
      <c r="H15" s="7" t="s">
        <v>99</v>
      </c>
      <c r="I15" s="7"/>
      <c r="J15" s="7"/>
      <c r="K15" s="7">
        <f t="shared" si="1"/>
        <v>0</v>
      </c>
      <c r="L15" s="7"/>
      <c r="M15" s="7"/>
      <c r="N15" s="7">
        <f t="shared" si="2"/>
        <v>0</v>
      </c>
    </row>
    <row r="16" spans="3:14" x14ac:dyDescent="0.25">
      <c r="D16" s="7"/>
      <c r="E16" s="7"/>
      <c r="F16" s="7"/>
      <c r="G16" s="7">
        <f t="shared" si="0"/>
        <v>0</v>
      </c>
      <c r="H16" s="7"/>
      <c r="I16" s="7"/>
      <c r="J16" s="7"/>
      <c r="K16" s="7">
        <f t="shared" si="1"/>
        <v>0</v>
      </c>
      <c r="L16" s="7"/>
      <c r="M16" s="7"/>
      <c r="N16" s="7">
        <f t="shared" si="2"/>
        <v>0</v>
      </c>
    </row>
    <row r="17" spans="4:14" x14ac:dyDescent="0.25">
      <c r="D17" s="7"/>
      <c r="E17" s="7"/>
      <c r="F17" s="7"/>
      <c r="G17" s="7">
        <f t="shared" si="0"/>
        <v>0</v>
      </c>
      <c r="H17" s="7"/>
      <c r="I17" s="7"/>
      <c r="J17" s="7"/>
      <c r="K17" s="7">
        <f t="shared" si="1"/>
        <v>0</v>
      </c>
      <c r="L17" s="7"/>
      <c r="M17" s="7"/>
      <c r="N17" s="7">
        <f t="shared" si="2"/>
        <v>0</v>
      </c>
    </row>
    <row r="18" spans="4:14" x14ac:dyDescent="0.25">
      <c r="D18" s="7" t="s">
        <v>85</v>
      </c>
      <c r="E18" s="7"/>
      <c r="F18" s="7"/>
      <c r="G18" s="7">
        <f t="shared" si="0"/>
        <v>0</v>
      </c>
      <c r="H18" s="7" t="s">
        <v>98</v>
      </c>
      <c r="I18" s="7"/>
      <c r="J18" s="7"/>
      <c r="K18" s="7">
        <f t="shared" si="1"/>
        <v>0</v>
      </c>
      <c r="L18" s="7"/>
      <c r="M18" s="7"/>
      <c r="N18" s="7">
        <f t="shared" si="2"/>
        <v>0</v>
      </c>
    </row>
    <row r="19" spans="4:14" x14ac:dyDescent="0.25">
      <c r="D19" s="7"/>
      <c r="E19" s="7"/>
      <c r="F19" s="7"/>
      <c r="G19" s="7">
        <f t="shared" si="0"/>
        <v>0</v>
      </c>
      <c r="H19" s="7" t="s">
        <v>99</v>
      </c>
      <c r="I19" s="7"/>
      <c r="J19" s="7"/>
      <c r="K19" s="7">
        <f t="shared" si="1"/>
        <v>0</v>
      </c>
      <c r="L19" s="7"/>
      <c r="M19" s="7"/>
      <c r="N19" s="7">
        <f t="shared" si="2"/>
        <v>0</v>
      </c>
    </row>
    <row r="20" spans="4:14" x14ac:dyDescent="0.25">
      <c r="D20" s="7"/>
      <c r="E20" s="7"/>
      <c r="F20" s="7"/>
      <c r="G20" s="7">
        <f t="shared" si="0"/>
        <v>0</v>
      </c>
      <c r="H20" s="7"/>
      <c r="I20" s="7"/>
      <c r="J20" s="7"/>
      <c r="K20" s="7">
        <f t="shared" si="1"/>
        <v>0</v>
      </c>
      <c r="L20" s="7"/>
      <c r="M20" s="7"/>
      <c r="N20" s="7">
        <f t="shared" si="2"/>
        <v>0</v>
      </c>
    </row>
    <row r="21" spans="4:14" x14ac:dyDescent="0.25">
      <c r="D21" s="7" t="s">
        <v>85</v>
      </c>
      <c r="E21" s="7"/>
      <c r="F21" s="7"/>
      <c r="G21" s="7">
        <f t="shared" si="0"/>
        <v>0</v>
      </c>
      <c r="H21" s="7" t="s">
        <v>98</v>
      </c>
      <c r="I21" s="7"/>
      <c r="J21" s="7"/>
      <c r="K21" s="7">
        <f t="shared" si="1"/>
        <v>0</v>
      </c>
      <c r="L21" s="7"/>
      <c r="M21" s="7"/>
      <c r="N21" s="7">
        <f t="shared" si="2"/>
        <v>0</v>
      </c>
    </row>
    <row r="22" spans="4:14" x14ac:dyDescent="0.25">
      <c r="D22" s="7"/>
      <c r="E22" s="7"/>
      <c r="F22" s="7"/>
      <c r="G22" s="7">
        <f t="shared" si="0"/>
        <v>0</v>
      </c>
      <c r="H22" s="7" t="s">
        <v>99</v>
      </c>
      <c r="I22" s="7"/>
      <c r="J22" s="7"/>
      <c r="K22" s="7">
        <f t="shared" si="1"/>
        <v>0</v>
      </c>
      <c r="L22" s="7"/>
      <c r="M22" s="7"/>
      <c r="N22" s="7">
        <f t="shared" si="2"/>
        <v>0</v>
      </c>
    </row>
    <row r="23" spans="4:14" x14ac:dyDescent="0.25">
      <c r="D23" s="7"/>
      <c r="E23" s="7"/>
      <c r="F23" s="7"/>
      <c r="G23" s="7">
        <f t="shared" si="0"/>
        <v>0</v>
      </c>
      <c r="H23" s="7"/>
      <c r="I23" s="7"/>
      <c r="J23" s="7"/>
      <c r="K23" s="7">
        <f t="shared" si="1"/>
        <v>0</v>
      </c>
      <c r="L23" s="7"/>
      <c r="M23" s="7"/>
      <c r="N23" s="7">
        <f t="shared" si="2"/>
        <v>0</v>
      </c>
    </row>
    <row r="24" spans="4:14" x14ac:dyDescent="0.25">
      <c r="D24" s="7" t="s">
        <v>91</v>
      </c>
      <c r="E24" s="7"/>
      <c r="F24" s="7"/>
      <c r="G24" s="7">
        <f t="shared" si="0"/>
        <v>0</v>
      </c>
      <c r="H24" s="7" t="s">
        <v>100</v>
      </c>
      <c r="I24" s="7"/>
      <c r="J24" s="7"/>
      <c r="K24" s="7">
        <f t="shared" si="1"/>
        <v>0</v>
      </c>
      <c r="L24" s="7"/>
      <c r="M24" s="7"/>
      <c r="N24" s="7">
        <f t="shared" si="2"/>
        <v>0</v>
      </c>
    </row>
    <row r="25" spans="4:14" x14ac:dyDescent="0.25">
      <c r="D25" s="7" t="s">
        <v>92</v>
      </c>
      <c r="E25" s="7"/>
      <c r="F25" s="7"/>
      <c r="G25" s="7">
        <f t="shared" si="0"/>
        <v>0</v>
      </c>
      <c r="H25" s="7" t="s">
        <v>100</v>
      </c>
      <c r="I25" s="7"/>
      <c r="J25" s="7"/>
      <c r="K25" s="7">
        <f t="shared" si="1"/>
        <v>0</v>
      </c>
      <c r="L25" s="7"/>
      <c r="M25" s="7"/>
      <c r="N25" s="7">
        <f t="shared" si="2"/>
        <v>0</v>
      </c>
    </row>
    <row r="26" spans="4:14" x14ac:dyDescent="0.25">
      <c r="D26" s="7" t="s">
        <v>93</v>
      </c>
      <c r="E26" s="7"/>
      <c r="F26" s="7"/>
      <c r="G26" s="7">
        <f t="shared" si="0"/>
        <v>0</v>
      </c>
      <c r="H26" s="7" t="s">
        <v>100</v>
      </c>
      <c r="I26" s="7"/>
      <c r="J26" s="7"/>
      <c r="K26" s="7">
        <f t="shared" si="1"/>
        <v>0</v>
      </c>
      <c r="L26" s="7"/>
      <c r="M26" s="7"/>
      <c r="N26" s="7">
        <f t="shared" si="2"/>
        <v>0</v>
      </c>
    </row>
    <row r="27" spans="4:14" x14ac:dyDescent="0.25">
      <c r="D27" s="7"/>
      <c r="E27" s="7"/>
      <c r="F27" s="7"/>
      <c r="G27" s="7">
        <f t="shared" si="0"/>
        <v>0</v>
      </c>
      <c r="H27" s="7"/>
      <c r="I27" s="7"/>
      <c r="J27" s="7"/>
      <c r="K27" s="7">
        <f t="shared" si="1"/>
        <v>0</v>
      </c>
      <c r="L27" s="7"/>
      <c r="M27" s="7"/>
      <c r="N27" s="7">
        <f t="shared" si="2"/>
        <v>0</v>
      </c>
    </row>
    <row r="28" spans="4:14" x14ac:dyDescent="0.25">
      <c r="D28" s="7" t="s">
        <v>87</v>
      </c>
      <c r="E28" s="7"/>
      <c r="F28" s="7"/>
      <c r="G28" s="7">
        <f t="shared" si="0"/>
        <v>0</v>
      </c>
      <c r="H28" s="7"/>
      <c r="I28" s="7"/>
      <c r="J28" s="7"/>
      <c r="K28" s="7">
        <f t="shared" si="1"/>
        <v>0</v>
      </c>
      <c r="L28" s="7"/>
      <c r="M28" s="7"/>
      <c r="N28" s="7">
        <f t="shared" si="2"/>
        <v>0</v>
      </c>
    </row>
    <row r="29" spans="4:14" x14ac:dyDescent="0.25">
      <c r="D29" s="7" t="s">
        <v>88</v>
      </c>
      <c r="E29" s="7"/>
      <c r="F29" s="7"/>
      <c r="G29" s="7">
        <f t="shared" si="0"/>
        <v>0</v>
      </c>
      <c r="H29" s="7"/>
      <c r="I29" s="7"/>
      <c r="J29" s="7"/>
      <c r="K29" s="7">
        <f t="shared" si="1"/>
        <v>0</v>
      </c>
      <c r="L29" s="7"/>
      <c r="M29" s="7"/>
      <c r="N29" s="7">
        <f t="shared" si="2"/>
        <v>0</v>
      </c>
    </row>
    <row r="30" spans="4:14" x14ac:dyDescent="0.25">
      <c r="D30" s="7" t="s">
        <v>89</v>
      </c>
      <c r="E30" s="7"/>
      <c r="F30" s="7"/>
      <c r="G30" s="7">
        <f t="shared" si="0"/>
        <v>0</v>
      </c>
      <c r="H30" s="7"/>
      <c r="I30" s="7"/>
      <c r="J30" s="7"/>
      <c r="K30" s="7">
        <f t="shared" si="1"/>
        <v>0</v>
      </c>
      <c r="L30" s="7"/>
      <c r="M30" s="7"/>
      <c r="N30" s="7">
        <f t="shared" si="2"/>
        <v>0</v>
      </c>
    </row>
    <row r="31" spans="4:14" x14ac:dyDescent="0.25">
      <c r="D31" s="7" t="s">
        <v>90</v>
      </c>
      <c r="E31" s="7"/>
      <c r="F31" s="7"/>
      <c r="G31" s="7">
        <f t="shared" si="0"/>
        <v>0</v>
      </c>
      <c r="H31" s="7"/>
      <c r="I31" s="7"/>
      <c r="J31" s="7"/>
      <c r="K31" s="7">
        <f t="shared" si="1"/>
        <v>0</v>
      </c>
      <c r="L31" s="7"/>
      <c r="M31" s="7"/>
      <c r="N31" s="7">
        <f t="shared" si="2"/>
        <v>0</v>
      </c>
    </row>
    <row r="32" spans="4:14" x14ac:dyDescent="0.25">
      <c r="D32" s="7"/>
      <c r="E32" s="7"/>
      <c r="F32" s="7"/>
      <c r="G32" s="7">
        <f t="shared" si="0"/>
        <v>0</v>
      </c>
      <c r="H32" s="7"/>
      <c r="I32" s="7"/>
      <c r="J32" s="7"/>
      <c r="K32" s="7">
        <f t="shared" si="1"/>
        <v>0</v>
      </c>
      <c r="L32" s="7"/>
      <c r="M32" s="7"/>
      <c r="N32" s="7">
        <f t="shared" si="2"/>
        <v>0</v>
      </c>
    </row>
    <row r="33" spans="4:14" x14ac:dyDescent="0.25">
      <c r="D33" s="7"/>
      <c r="E33" s="7"/>
      <c r="F33" s="7"/>
      <c r="G33" s="7">
        <f t="shared" si="0"/>
        <v>0</v>
      </c>
      <c r="H33" s="7"/>
      <c r="I33" s="7"/>
      <c r="J33" s="7"/>
      <c r="K33" s="7">
        <f t="shared" si="1"/>
        <v>0</v>
      </c>
      <c r="L33" s="7"/>
      <c r="M33" s="7"/>
      <c r="N33" s="7">
        <f t="shared" si="2"/>
        <v>0</v>
      </c>
    </row>
    <row r="34" spans="4:14" x14ac:dyDescent="0.25">
      <c r="D34" s="7"/>
      <c r="E34" s="7"/>
      <c r="F34" s="7"/>
      <c r="G34" s="7">
        <f t="shared" si="0"/>
        <v>0</v>
      </c>
      <c r="H34" s="7"/>
      <c r="I34" s="7"/>
      <c r="J34" s="7"/>
      <c r="K34" s="7">
        <f t="shared" si="1"/>
        <v>0</v>
      </c>
      <c r="L34" s="7"/>
      <c r="M34" s="7"/>
      <c r="N34" s="7">
        <f t="shared" si="2"/>
        <v>0</v>
      </c>
    </row>
    <row r="35" spans="4:14" x14ac:dyDescent="0.25">
      <c r="D35" s="7" t="s">
        <v>94</v>
      </c>
      <c r="E35" s="7"/>
      <c r="F35" s="7">
        <f>G35*10.764</f>
        <v>0</v>
      </c>
      <c r="G35" s="7">
        <f>SUM(G7:G34)</f>
        <v>0</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VALUATION</vt:lpstr>
      <vt:lpstr>Construction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madhurapanchal77@gmail.com</cp:lastModifiedBy>
  <cp:lastPrinted>2025-09-13T10:30:26Z</cp:lastPrinted>
  <dcterms:created xsi:type="dcterms:W3CDTF">2013-11-23T05:32:33Z</dcterms:created>
  <dcterms:modified xsi:type="dcterms:W3CDTF">2025-09-13T10:34:24Z</dcterms:modified>
</cp:coreProperties>
</file>