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FA2EF472-4AA9-4CD5-ADC7-231B6FCFF62C}" xr6:coauthVersionLast="36" xr6:coauthVersionMax="47" xr10:uidLastSave="{00000000-0000-0000-0000-000000000000}"/>
  <bookViews>
    <workbookView xWindow="-105" yWindow="-105" windowWidth="23250" windowHeight="12450" tabRatio="725" xr2:uid="{00000000-000D-0000-FFFF-FFFF00000000}"/>
  </bookViews>
  <sheets>
    <sheet name="Report" sheetId="1" r:id="rId1"/>
    <sheet name="valuation" sheetId="5" r:id="rId2"/>
    <sheet name="Note" sheetId="4" r:id="rId3"/>
  </sheets>
  <definedNames>
    <definedName name="_xlnm.Print_Area" localSheetId="0">Report!$A$1:$H$435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 l="1"/>
  <c r="C72" i="1"/>
  <c r="C74" i="1" s="1"/>
  <c r="C86" i="1"/>
  <c r="C88" i="1" s="1"/>
  <c r="C87" i="1" l="1"/>
  <c r="C73" i="1"/>
  <c r="C49" i="1"/>
  <c r="D273" i="1" l="1"/>
  <c r="I96" i="1" l="1"/>
  <c r="I95" i="1"/>
  <c r="L244" i="1" l="1"/>
  <c r="L213" i="1"/>
  <c r="D274" i="1" l="1"/>
  <c r="D263" i="1"/>
  <c r="D252" i="1"/>
  <c r="D281" i="1" l="1"/>
  <c r="F281" i="1" s="1"/>
  <c r="D280" i="1"/>
  <c r="F280" i="1" s="1"/>
  <c r="D279" i="1"/>
  <c r="F279" i="1" s="1"/>
  <c r="F274" i="1"/>
  <c r="J275" i="1" s="1"/>
  <c r="F273" i="1"/>
  <c r="G272" i="1"/>
  <c r="D272" i="1"/>
  <c r="F272" i="1" s="1"/>
  <c r="D270" i="1" l="1"/>
  <c r="F270" i="1" s="1"/>
  <c r="D269" i="1"/>
  <c r="F269" i="1" s="1"/>
  <c r="D268" i="1"/>
  <c r="F268" i="1" s="1"/>
  <c r="D267" i="1"/>
  <c r="F267" i="1" s="1"/>
  <c r="D266" i="1"/>
  <c r="F266" i="1" s="1"/>
  <c r="D265" i="1"/>
  <c r="F265" i="1" s="1"/>
  <c r="D264" i="1"/>
  <c r="F264" i="1" s="1"/>
  <c r="F263" i="1"/>
  <c r="J264" i="1" s="1"/>
  <c r="D262" i="1"/>
  <c r="F262" i="1" s="1"/>
  <c r="G261" i="1"/>
  <c r="D261" i="1"/>
  <c r="F261" i="1" s="1"/>
  <c r="D259" i="1"/>
  <c r="F259" i="1" s="1"/>
  <c r="D258" i="1"/>
  <c r="F258" i="1" s="1"/>
  <c r="D257" i="1"/>
  <c r="F257" i="1" s="1"/>
  <c r="D256" i="1"/>
  <c r="F256" i="1" s="1"/>
  <c r="D255" i="1"/>
  <c r="F255" i="1" s="1"/>
  <c r="D254" i="1"/>
  <c r="F254" i="1" s="1"/>
  <c r="D253" i="1"/>
  <c r="F253" i="1" s="1"/>
  <c r="F252" i="1"/>
  <c r="J253" i="1" s="1"/>
  <c r="D251" i="1"/>
  <c r="F251" i="1" s="1"/>
  <c r="G250" i="1"/>
  <c r="D250" i="1"/>
  <c r="F250" i="1" s="1"/>
  <c r="D248" i="1"/>
  <c r="F248" i="1" s="1"/>
  <c r="D247" i="1"/>
  <c r="F247" i="1" s="1"/>
  <c r="D246" i="1"/>
  <c r="F246" i="1" s="1"/>
  <c r="D245" i="1"/>
  <c r="J244" i="1"/>
  <c r="A242" i="1"/>
  <c r="A243" i="1" s="1"/>
  <c r="A244" i="1" s="1"/>
  <c r="A245" i="1" s="1"/>
  <c r="A246" i="1" s="1"/>
  <c r="A247" i="1" s="1"/>
  <c r="A248" i="1" s="1"/>
  <c r="G241" i="1"/>
  <c r="D238" i="1"/>
  <c r="F238" i="1" s="1"/>
  <c r="D237" i="1"/>
  <c r="F237" i="1" s="1"/>
  <c r="D236" i="1"/>
  <c r="F236" i="1" s="1"/>
  <c r="D235" i="1"/>
  <c r="F235" i="1" s="1"/>
  <c r="D234" i="1"/>
  <c r="F234" i="1" s="1"/>
  <c r="D233" i="1"/>
  <c r="F233" i="1" s="1"/>
  <c r="D232" i="1"/>
  <c r="F232" i="1" s="1"/>
  <c r="D231" i="1"/>
  <c r="F231" i="1" s="1"/>
  <c r="J232" i="1" s="1"/>
  <c r="D230" i="1"/>
  <c r="F230" i="1" s="1"/>
  <c r="G229" i="1"/>
  <c r="D229" i="1"/>
  <c r="F229" i="1" s="1"/>
  <c r="D226" i="1"/>
  <c r="D227" i="1"/>
  <c r="D219" i="1"/>
  <c r="D218" i="1"/>
  <c r="D225" i="1"/>
  <c r="D224" i="1"/>
  <c r="D223" i="1"/>
  <c r="D222" i="1"/>
  <c r="D221" i="1"/>
  <c r="D220" i="1"/>
  <c r="D216" i="1"/>
  <c r="D215" i="1"/>
  <c r="D212" i="1"/>
  <c r="D214" i="1"/>
  <c r="D213" i="1"/>
  <c r="D211" i="1"/>
  <c r="D203" i="1"/>
  <c r="F203" i="1" s="1"/>
  <c r="D202" i="1"/>
  <c r="F202" i="1" s="1"/>
  <c r="D201" i="1"/>
  <c r="F201" i="1" s="1"/>
  <c r="D200" i="1"/>
  <c r="F200" i="1" s="1"/>
  <c r="D199" i="1"/>
  <c r="F199" i="1" s="1"/>
  <c r="D198" i="1"/>
  <c r="F198" i="1" s="1"/>
  <c r="D197" i="1"/>
  <c r="F197" i="1" s="1"/>
  <c r="D196" i="1"/>
  <c r="F196" i="1" s="1"/>
  <c r="D195" i="1"/>
  <c r="F195" i="1" s="1"/>
  <c r="D194" i="1"/>
  <c r="F194" i="1" s="1"/>
  <c r="D193" i="1"/>
  <c r="F193" i="1" s="1"/>
  <c r="D192" i="1"/>
  <c r="F192" i="1" s="1"/>
  <c r="D191" i="1"/>
  <c r="F191" i="1" s="1"/>
  <c r="D190" i="1"/>
  <c r="F190" i="1" s="1"/>
  <c r="D189" i="1"/>
  <c r="F189" i="1" s="1"/>
  <c r="D188" i="1"/>
  <c r="F188" i="1" s="1"/>
  <c r="D187" i="1"/>
  <c r="F187" i="1" s="1"/>
  <c r="D186" i="1"/>
  <c r="F186" i="1" s="1"/>
  <c r="D185" i="1"/>
  <c r="F185" i="1" s="1"/>
  <c r="D184" i="1"/>
  <c r="F184" i="1" s="1"/>
  <c r="D183" i="1"/>
  <c r="F183" i="1" s="1"/>
  <c r="D182" i="1"/>
  <c r="F182" i="1" s="1"/>
  <c r="D181" i="1"/>
  <c r="F181" i="1" s="1"/>
  <c r="A182" i="1"/>
  <c r="G181" i="1"/>
  <c r="D157" i="1"/>
  <c r="D179" i="1"/>
  <c r="D178" i="1"/>
  <c r="D177" i="1"/>
  <c r="D176" i="1"/>
  <c r="D175" i="1"/>
  <c r="D174" i="1"/>
  <c r="D173" i="1"/>
  <c r="D172" i="1"/>
  <c r="D171" i="1"/>
  <c r="D170" i="1"/>
  <c r="D169" i="1"/>
  <c r="D168" i="1"/>
  <c r="D167" i="1"/>
  <c r="D166" i="1"/>
  <c r="D165" i="1"/>
  <c r="D164" i="1"/>
  <c r="D163" i="1"/>
  <c r="D162" i="1"/>
  <c r="D161" i="1"/>
  <c r="D160" i="1"/>
  <c r="D159" i="1"/>
  <c r="D158" i="1"/>
  <c r="D156" i="1"/>
  <c r="D155" i="1"/>
  <c r="D154" i="1"/>
  <c r="D153" i="1"/>
  <c r="D152" i="1"/>
  <c r="D151" i="1"/>
  <c r="D150" i="1"/>
  <c r="D149" i="1"/>
  <c r="D148" i="1"/>
  <c r="F245" i="1" l="1"/>
  <c r="G112" i="1" s="1"/>
  <c r="E112" i="1"/>
  <c r="C112" i="1"/>
  <c r="E111" i="1"/>
  <c r="C111" i="1"/>
  <c r="C113" i="1" s="1"/>
  <c r="D147" i="1"/>
  <c r="F147" i="1" s="1"/>
  <c r="D146" i="1"/>
  <c r="F146" i="1" s="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A147" i="1"/>
  <c r="G146" i="1"/>
  <c r="D144" i="1"/>
  <c r="F144" i="1" s="1"/>
  <c r="D143" i="1"/>
  <c r="F143" i="1" s="1"/>
  <c r="D142" i="1"/>
  <c r="F142" i="1" s="1"/>
  <c r="D141" i="1"/>
  <c r="F141" i="1" s="1"/>
  <c r="D140" i="1"/>
  <c r="F140" i="1" s="1"/>
  <c r="D139" i="1"/>
  <c r="F139" i="1" s="1"/>
  <c r="D138" i="1"/>
  <c r="F138" i="1" s="1"/>
  <c r="D137" i="1"/>
  <c r="F137" i="1" s="1"/>
  <c r="D136" i="1"/>
  <c r="F136" i="1" s="1"/>
  <c r="D135" i="1"/>
  <c r="F135" i="1" s="1"/>
  <c r="D134" i="1"/>
  <c r="D133" i="1"/>
  <c r="F133" i="1" s="1"/>
  <c r="D131" i="1"/>
  <c r="F131" i="1" s="1"/>
  <c r="D132" i="1"/>
  <c r="F132" i="1" s="1"/>
  <c r="D130" i="1"/>
  <c r="F130" i="1" s="1"/>
  <c r="D129" i="1"/>
  <c r="F129" i="1" s="1"/>
  <c r="D128" i="1"/>
  <c r="F128" i="1" s="1"/>
  <c r="D127" i="1"/>
  <c r="F127" i="1" s="1"/>
  <c r="D126" i="1"/>
  <c r="D125" i="1"/>
  <c r="D124" i="1"/>
  <c r="F124" i="1" s="1"/>
  <c r="D123" i="1"/>
  <c r="F134" i="1"/>
  <c r="D122" i="1"/>
  <c r="E113" i="1" l="1"/>
  <c r="C107" i="1"/>
  <c r="C108" i="1" s="1"/>
  <c r="C114" i="1" s="1"/>
  <c r="E107" i="1"/>
  <c r="E108" i="1" s="1"/>
  <c r="I94" i="1"/>
  <c r="B284" i="1"/>
  <c r="B285" i="1"/>
  <c r="F225" i="1"/>
  <c r="F224" i="1"/>
  <c r="F216" i="1"/>
  <c r="F214" i="1"/>
  <c r="F215" i="1"/>
  <c r="F227" i="1"/>
  <c r="F226" i="1"/>
  <c r="F223" i="1"/>
  <c r="E114" i="1" l="1"/>
  <c r="F122" i="1"/>
  <c r="E42" i="1" l="1"/>
  <c r="E43" i="1" s="1"/>
  <c r="C14" i="1" l="1"/>
  <c r="E29" i="1" l="1"/>
  <c r="F104" i="1" l="1"/>
  <c r="F123" i="1" l="1"/>
  <c r="F125" i="1"/>
  <c r="F126" i="1"/>
  <c r="G107" i="1" l="1"/>
  <c r="G108" i="1" s="1"/>
  <c r="F222" i="1"/>
  <c r="F221" i="1"/>
  <c r="F220" i="1"/>
  <c r="J221" i="1" s="1"/>
  <c r="F219" i="1"/>
  <c r="F218" i="1"/>
  <c r="F213" i="1"/>
  <c r="F212" i="1"/>
  <c r="F211" i="1"/>
  <c r="J212" i="1" l="1"/>
  <c r="G111" i="1"/>
  <c r="G113" i="1" s="1"/>
  <c r="G114" i="1" s="1"/>
  <c r="F11" i="5"/>
  <c r="G11" i="5" s="1"/>
  <c r="F10" i="5"/>
  <c r="G10" i="5" s="1"/>
  <c r="F9" i="5"/>
  <c r="G9" i="5" s="1"/>
  <c r="F8" i="5"/>
  <c r="G8" i="5" s="1"/>
  <c r="F7" i="5"/>
  <c r="G7" i="5" s="1"/>
  <c r="F6" i="5"/>
  <c r="G6" i="5" s="1"/>
  <c r="F5" i="5"/>
  <c r="G5" i="5" s="1"/>
  <c r="G12" i="5" s="1"/>
  <c r="D310" i="1"/>
  <c r="G218" i="1"/>
  <c r="G209" i="1"/>
  <c r="A210" i="1"/>
  <c r="A211" i="1" s="1"/>
  <c r="A212" i="1" s="1"/>
  <c r="A213" i="1" s="1"/>
  <c r="A214" i="1" s="1"/>
  <c r="A215" i="1" s="1"/>
  <c r="A216" i="1" s="1"/>
  <c r="A123" i="1"/>
  <c r="G122" i="1"/>
  <c r="B66" i="1"/>
  <c r="G49" i="1"/>
  <c r="E26" i="1"/>
  <c r="E24" i="1"/>
  <c r="E7" i="1"/>
  <c r="E3" i="1"/>
  <c r="A125" i="1" l="1"/>
  <c r="A126" i="1" s="1"/>
  <c r="A127" i="1" s="1"/>
  <c r="A128" i="1" s="1"/>
  <c r="A129" i="1" s="1"/>
  <c r="A130" i="1" s="1"/>
  <c r="A131" i="1" s="1"/>
  <c r="A132" i="1" s="1"/>
  <c r="A133" i="1" s="1"/>
  <c r="A134" i="1" s="1"/>
  <c r="A135" i="1" s="1"/>
  <c r="A136" i="1" s="1"/>
  <c r="A137" i="1" s="1"/>
  <c r="D59" i="1"/>
  <c r="H66" i="1"/>
  <c r="A142" i="1" l="1"/>
  <c r="A143" i="1" s="1"/>
  <c r="A144" i="1" s="1"/>
  <c r="D78" i="1"/>
  <c r="D76" i="1"/>
  <c r="D75" i="1"/>
  <c r="D72" i="1"/>
  <c r="D74" i="1"/>
  <c r="J71" i="1"/>
  <c r="D77" i="1"/>
  <c r="D73" i="1"/>
  <c r="J69" i="1"/>
  <c r="J70" i="1"/>
  <c r="C69" i="1" s="1"/>
  <c r="D69" i="1" s="1"/>
  <c r="J68" i="1"/>
  <c r="J72" i="1" l="1"/>
  <c r="J77" i="1" s="1"/>
  <c r="B80" i="1"/>
  <c r="H80" i="1"/>
  <c r="J73" i="1" l="1"/>
  <c r="J83" i="1"/>
  <c r="D91" i="1"/>
  <c r="D89" i="1"/>
  <c r="D87" i="1"/>
  <c r="J82" i="1"/>
  <c r="J84" i="1"/>
  <c r="C83" i="1" s="1"/>
  <c r="D92" i="1"/>
  <c r="D90" i="1"/>
  <c r="D88" i="1"/>
  <c r="D86" i="1"/>
  <c r="J89" i="1"/>
  <c r="J85" i="1"/>
  <c r="J90" i="1"/>
  <c r="J88" i="1"/>
  <c r="J65" i="1" l="1"/>
  <c r="J67" i="1" s="1"/>
  <c r="D71" i="1"/>
  <c r="J74" i="1"/>
  <c r="J75" i="1" s="1"/>
  <c r="J76" i="1" s="1"/>
  <c r="J86" i="1"/>
  <c r="J91" i="1" s="1"/>
  <c r="J78" i="1"/>
  <c r="D83" i="1"/>
  <c r="C70" i="1" l="1"/>
  <c r="G69" i="1" s="1"/>
  <c r="D63" i="1" s="1"/>
  <c r="J87" i="1"/>
  <c r="D85" i="1" l="1"/>
  <c r="J79" i="1"/>
  <c r="J81" i="1" s="1"/>
  <c r="J66" i="1"/>
  <c r="D70" i="1"/>
  <c r="I66" i="1" s="1"/>
  <c r="I67" i="1" s="1"/>
  <c r="E69" i="1"/>
  <c r="D64" i="1"/>
  <c r="F64" i="1"/>
  <c r="J92" i="1"/>
  <c r="C84" i="1" s="1"/>
  <c r="I65" i="1" l="1"/>
  <c r="C67" i="1" s="1"/>
  <c r="G83" i="1"/>
  <c r="D84" i="1"/>
  <c r="I80" i="1" s="1"/>
  <c r="E83" i="1"/>
  <c r="J80" i="1"/>
  <c r="I81" i="1" l="1"/>
  <c r="I79" i="1" s="1"/>
  <c r="C8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E11"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D54" authorId="0" shapeId="0" xr:uid="{00000000-0006-0000-0000-00000200000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<sst xmlns="http://schemas.openxmlformats.org/spreadsheetml/2006/main" count="463" uniqueCount="246">
  <si>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</si>
  <si>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</si>
  <si>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</si>
  <si>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</si>
  <si>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</si>
  <si>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</si>
  <si>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</si>
  <si>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</si>
  <si>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</si>
  <si>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</si>
  <si>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</si>
  <si>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</si>
  <si>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</si>
  <si>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</si>
  <si>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</si>
  <si>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</si>
  <si>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</si>
  <si>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</si>
  <si>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</si>
  <si>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</si>
  <si>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</si>
  <si>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</si>
  <si>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</si>
  <si>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</si>
  <si>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</si>
  <si>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</si>
  <si>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</si>
  <si>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</si>
  <si>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</si>
  <si>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</si>
  <si>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</si>
  <si>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</si>
  <si>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</si>
  <si>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</si>
  <si>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</si>
  <si>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</si>
  <si>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</si>
  <si>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</si>
  <si>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</si>
  <si>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</si>
  <si>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</si>
  <si>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</si>
  <si>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</si>
  <si>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</si>
  <si>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</si>
  <si>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</si>
  <si>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</si>
  <si>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</si>
  <si>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</si>
  <si>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</si>
  <si>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</si>
  <si>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</si>
  <si>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</si>
  <si>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</si>
  <si>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</si>
  <si>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</si>
  <si>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</si>
  <si>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</si>
  <si>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</si>
  <si>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</si>
  <si>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</si>
  <si>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</si>
  <si>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</si>
  <si>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</si>
  <si>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</si>
  <si>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</si>
  <si>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</si>
  <si>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</si>
  <si>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</si>
  <si>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</si>
  <si>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</si>
  <si>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</si>
  <si>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</si>
  <si>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</si>
  <si>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</si>
  <si>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</si>
  <si>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</si>
  <si>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</si>
  <si>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</si>
  <si>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</si>
  <si>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</si>
  <si>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</si>
  <si>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</si>
  <si>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</si>
  <si>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</si>
  <si>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</si>
  <si>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</si>
  <si>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</si>
  <si>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</si>
  <si>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</si>
  <si>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</si>
  <si>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</si>
  <si>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</si>
  <si>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</si>
  <si>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</si>
  <si>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</si>
  <si>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</si>
  <si>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</si>
  <si>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</si>
  <si>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</si>
  <si>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</si>
  <si>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</si>
  <si>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</si>
  <si>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</si>
  <si>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</si>
  <si>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</si>
  <si>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</si>
  <si>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</si>
  <si>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</si>
  <si>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</si>
  <si>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</si>
  <si>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</si>
  <si>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</si>
  <si>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</si>
  <si>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</si>
  <si>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</si>
  <si>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</si>
  <si>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</si>
  <si>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</si>
  <si>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</si>
  <si>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</si>
  <si>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</si>
  <si>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</si>
  <si>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</si>
  <si>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</si>
  <si>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</si>
  <si>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</si>
  <si>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</si>
  <si>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</si>
  <si>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</si>
  <si>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</si>
  <si>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</si>
  <si>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</si>
  <si>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</si>
  <si>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</si>
  <si>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</si>
  <si>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</si>
  <si>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</si>
  <si>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</si>
  <si>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</si>
  <si>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</si>
  <si>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</si>
  <si>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</si>
  <si>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</si>
  <si>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</si>
  <si>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</si>
  <si>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</si>
  <si>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</si>
  <si>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</si>
  <si>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</si>
  <si>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</si>
  <si>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</si>
  <si>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</si>
  <si>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</si>
  <si>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</si>
  <si>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</si>
  <si>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</si>
  <si>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</si>
  <si>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</si>
  <si>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</si>
  <si>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</si>
  <si>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</si>
  <si>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</si>
  <si>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</si>
  <si>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</si>
  <si>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CTS No.</t>
  </si>
  <si>
    <t>Axis Goregaon</t>
  </si>
  <si>
    <t>Mumbai</t>
  </si>
  <si>
    <t>As per Layout</t>
  </si>
  <si>
    <t xml:space="preserve">Details of Residential &amp; Commercials in Building   </t>
  </si>
  <si>
    <t>Evie Real Estate Pvt. Ltd</t>
  </si>
  <si>
    <t>Approved Plans, CC</t>
  </si>
  <si>
    <t>676, 1004, 1005, 1005/1, 1006, 1007(pt), 1007/1 to 4, 1008, 1008/1, 1009, 1009/1 to 6, 1010, 1011, 1013, 1014, 1014/1 to 6, 1017, 1017/1 to 6, 1018, 1018/1 to 9</t>
  </si>
  <si>
    <t>Kanjur</t>
  </si>
  <si>
    <t>https://goo.gl/maps/XAXcUhFMF36xZW1M7</t>
  </si>
  <si>
    <t>2.7KM from Kanjurmarg Railway Station</t>
  </si>
  <si>
    <t>Kanjurmarg East</t>
  </si>
  <si>
    <t>Kurla</t>
  </si>
  <si>
    <t>Kanjur Village Road</t>
  </si>
  <si>
    <t>Fern Arkade Earth</t>
  </si>
  <si>
    <t>Nalla</t>
  </si>
  <si>
    <t>Open Plot</t>
  </si>
  <si>
    <t>Internal road</t>
  </si>
  <si>
    <t>Internal Road</t>
  </si>
  <si>
    <t xml:space="preserve">Municipal Corporation Of Greater Mumbai (MCGM)
</t>
  </si>
  <si>
    <t>As per RERA - 31/12/2027</t>
  </si>
  <si>
    <t>1BHK</t>
  </si>
  <si>
    <t>2BHK</t>
  </si>
  <si>
    <t>Parking Area</t>
  </si>
  <si>
    <t>Refuge Area</t>
  </si>
  <si>
    <t>1.5BHK</t>
  </si>
  <si>
    <t>We considered Gross carpet area = Net carpet.</t>
  </si>
  <si>
    <t>Seating area, Kids swimming pool,lawn area, Kids play area</t>
  </si>
  <si>
    <t>Other Charges</t>
  </si>
  <si>
    <t>Maintenance Charges  (For 24th Months)</t>
  </si>
  <si>
    <t>MSEB Charges</t>
  </si>
  <si>
    <t>Floor Rise Rate from  2nd Habitable Floor</t>
  </si>
  <si>
    <t>Society Formation</t>
  </si>
  <si>
    <t xml:space="preserve">Development Charges </t>
  </si>
  <si>
    <t>Wing G - P51800035134
Wing H - P51800050459</t>
  </si>
  <si>
    <t>02 Building</t>
  </si>
  <si>
    <t>Wing G + H</t>
  </si>
  <si>
    <t xml:space="preserve">1st &amp; 2nd Basement Floor for Parking </t>
  </si>
  <si>
    <t>Ground Floor For parking &amp; Commercial</t>
  </si>
  <si>
    <t>Shop</t>
  </si>
  <si>
    <t>2A</t>
  </si>
  <si>
    <t>16A</t>
  </si>
  <si>
    <t>16B</t>
  </si>
  <si>
    <t>1st retail Floor For parking &amp; Commercial</t>
  </si>
  <si>
    <t>2nd retail/1st residential Floor For parking &amp; Commercial &amp; Diagnostic</t>
  </si>
  <si>
    <t>1st to 3rd Floor For Parking &amp; Residential</t>
  </si>
  <si>
    <t xml:space="preserve">Building No.3 (G Wing) = 2B + G + 1st to 25th Floor
Building No.3 (H Wing) = 2B + G + 1st to 19th Floor
</t>
  </si>
  <si>
    <t>4th, 5th, 7th to 12th, 14th to 19th &amp; 21st to 25th Floor</t>
  </si>
  <si>
    <t>6th, 13th &amp; 20th Floor For  Residential (Part Refuge Area)</t>
  </si>
  <si>
    <t>Wing G</t>
  </si>
  <si>
    <t>Wing H</t>
  </si>
  <si>
    <t>4th, 5th, 7th to 12th, 14th to 18th Floor</t>
  </si>
  <si>
    <t>6th &amp; 13th Floor For  Residential (Part Refuge Area)</t>
  </si>
  <si>
    <t xml:space="preserve">We have updated revised approved floor plan &amp; C.C Wing H (on 27/09/2023).
</t>
  </si>
  <si>
    <t xml:space="preserve"> Wing G</t>
  </si>
  <si>
    <t>Terrace Area</t>
  </si>
  <si>
    <t>19th Floor For  Residential (Part Terrace Area)</t>
  </si>
  <si>
    <t>P-8324/2021/(1004  And Other)/S Ward/KANJUR-E/337/4/Amend</t>
  </si>
  <si>
    <t>Building No.3 (G &amp; H Wing) = 2B + G + 1st to 50th Floor</t>
  </si>
  <si>
    <t>Building No.3 (G Wing) = 2B + G + 1st to 50th Floor</t>
  </si>
  <si>
    <t>Building No.3 (H Wing) = 2B + G + 1st to 50th Floor</t>
  </si>
  <si>
    <t>Flats - 396 &amp; Shop - 80</t>
  </si>
  <si>
    <t>Runwal Bliss Wing G &amp; H</t>
  </si>
  <si>
    <t>Office No. 1031, Wing J, Akshar Business Park, Plot No. 03 Sector 25, Near APMC Market, 
Vashi, Navi Mumbai, Maharashtra 400703 TEL: 022-46090378/79/80                                                                       
E mail : vsjcapf@gmail.com. Web site : www.vsjadon.com</t>
  </si>
  <si>
    <t>19.132532,72.932555</t>
  </si>
  <si>
    <t>Validity of CC is expired on 25/12/2023. Please provide revised CC.</t>
  </si>
  <si>
    <t>C. C. is re-endorsed up to stilt top for wing ‘G’ &amp; ‘H’ (including Non tower part). Full C.C. is granted for wing ‘G' &amp; CC upto 15th floor is granted for wing ‘H’ for Tower part only excluding non-tower portion as per approved amended plans dated 28.07.2023 by restricting CC of 16th to 19th floor of wing H.” for instalment facility and restricting further C.C. of commercial building 01 for handing over of amenity open space as per reg. 14B subject to timely renewal of B.G, SWM NOC, Workmen’s compensation policy and taking all sorts of precautions during construction and for air pollution.</t>
  </si>
  <si>
    <t>P-8324/2021/(1004 And Other)/S
Ward/KANJUR-E/FCC/1/New</t>
  </si>
  <si>
    <t>Building No.3 
Wing G - Garden Vista
Wing H - Parkside</t>
  </si>
  <si>
    <t>Recommended rate of the 1st &amp; 2nd Floor Shop Per Sq. Ft.</t>
  </si>
  <si>
    <t>Recommended rate of the Ground Floor Shop Per Sq. Ft.</t>
  </si>
  <si>
    <t xml:space="preserve">We have updated revised approved C.C (on 20/06/2024).
</t>
  </si>
  <si>
    <t>Rate change by Nilesh on 06/07/2024</t>
  </si>
  <si>
    <t xml:space="preserve">Recommended Rates/Other Charges for Commercial Units are revised as discussed with Builder sales director Miss. Luci on 06/07/2024.
</t>
  </si>
  <si>
    <t>Commercail units of Project Runwal Bliss and Runwal Avenue are named as different Project Runwal Fifth Avenue.</t>
  </si>
  <si>
    <t>Mr.Nandu : 7710065736 &amp; Mr.Dhareshi : 9769347990</t>
  </si>
  <si>
    <t>Construction work is in process at the time of Visit. Internal photographs was not allowed.</t>
  </si>
  <si>
    <t>Nainesh Tambe</t>
  </si>
  <si>
    <t xml:space="preserve">Validity of CC is expired on 21/04/2025. Please provide revised CC.
</t>
  </si>
  <si>
    <t>Gaurav Panchal</t>
  </si>
  <si>
    <t>Construction work is in process at the time of the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</si>
</sst>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 fontId="7" fillId="0" borderId="1" xfId="1" applyNumberFormat="1" applyFont="1" applyBorder="1" applyAlignment="1" applyProtection="1">
      <alignment horizontal="center" vertical="top" wrapText="1"/>
      <protection locked="0"/>
    </xf>
    <xf numFmtId="0" fontId="7" fillId="0" borderId="0" xfId="0" applyFont="1" applyAlignment="1">
      <alignment horizontal="left" vertical="center"/>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 fontId="10" fillId="0" borderId="8" xfId="0" applyNumberFormat="1"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1" fontId="8" fillId="0" borderId="9"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1" fontId="8" fillId="0" borderId="21" xfId="0" applyNumberFormat="1" applyFont="1" applyBorder="1" applyAlignment="1" applyProtection="1">
      <alignment horizontal="center" vertical="center" wrapText="1"/>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left" vertical="top" wrapText="1"/>
      <protection locked="0"/>
    </xf>
    <xf numFmtId="1" fontId="8" fillId="0" borderId="21" xfId="0" applyNumberFormat="1" applyFont="1" applyBorder="1" applyAlignment="1" applyProtection="1">
      <alignment horizontal="left" vertical="top" wrapText="1"/>
      <protection locked="0"/>
    </xf>
    <xf numFmtId="1" fontId="8" fillId="0" borderId="9" xfId="0" applyNumberFormat="1" applyFont="1" applyBorder="1" applyAlignment="1" applyProtection="1">
      <alignment horizontal="left" vertical="top" wrapText="1"/>
      <protection locked="0"/>
    </xf>
    <xf numFmtId="0" fontId="8" fillId="0" borderId="13" xfId="1" applyFont="1" applyBorder="1" applyAlignment="1" applyProtection="1">
      <alignment horizontal="center" vertical="top"/>
      <protection locked="0"/>
    </xf>
    <xf numFmtId="0" fontId="8" fillId="0" borderId="14" xfId="1" applyFont="1" applyBorder="1" applyAlignment="1" applyProtection="1">
      <alignment horizontal="center" vertical="top"/>
      <protection locked="0"/>
    </xf>
    <xf numFmtId="0" fontId="8" fillId="0" borderId="15" xfId="1" applyFont="1" applyBorder="1" applyAlignment="1" applyProtection="1">
      <alignment horizontal="center" vertical="top"/>
      <protection locked="0"/>
    </xf>
    <xf numFmtId="1" fontId="6" fillId="0" borderId="8" xfId="0" applyNumberFormat="1" applyFont="1" applyBorder="1" applyAlignment="1" applyProtection="1">
      <alignment horizontal="center" vertical="center" wrapText="1"/>
      <protection locked="0"/>
    </xf>
    <xf numFmtId="1" fontId="6" fillId="0" borderId="9"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0" xfId="1" applyFont="1" applyAlignment="1" applyProtection="1">
      <alignment horizontal="center" vertical="top" wrapText="1"/>
      <protection locked="0"/>
    </xf>
    <xf numFmtId="0" fontId="13" fillId="0" borderId="26"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21" xfId="1" applyFont="1" applyBorder="1" applyAlignment="1" applyProtection="1">
      <alignment horizontal="left" vertical="top" wrapText="1"/>
      <protection locked="0"/>
    </xf>
    <xf numFmtId="1" fontId="6" fillId="0" borderId="24"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6" fillId="0" borderId="3"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6" fillId="0" borderId="8" xfId="1" applyFont="1" applyBorder="1" applyAlignment="1" applyProtection="1">
      <alignment vertical="top"/>
      <protection locked="0"/>
    </xf>
    <xf numFmtId="0" fontId="6" fillId="0" borderId="21" xfId="1" applyFont="1" applyBorder="1" applyAlignment="1" applyProtection="1">
      <alignment vertical="top"/>
      <protection locked="0"/>
    </xf>
    <xf numFmtId="0" fontId="6" fillId="0" borderId="9" xfId="1" applyFont="1" applyBorder="1" applyAlignment="1" applyProtection="1">
      <alignmen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0" fontId="8" fillId="0" borderId="8" xfId="1" applyFont="1" applyBorder="1" applyAlignment="1" applyProtection="1">
      <alignment horizontal="center" vertical="top"/>
      <protection locked="0"/>
    </xf>
    <xf numFmtId="0" fontId="8" fillId="0" borderId="21" xfId="1" applyFont="1" applyBorder="1" applyAlignment="1" applyProtection="1">
      <alignment horizontal="center" vertical="top"/>
      <protection locked="0"/>
    </xf>
    <xf numFmtId="0" fontId="8" fillId="0" borderId="9" xfId="1" applyFont="1" applyBorder="1" applyAlignment="1" applyProtection="1">
      <alignment horizontal="center" vertical="top"/>
      <protection locked="0"/>
    </xf>
    <xf numFmtId="0" fontId="10" fillId="0" borderId="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6" fillId="0" borderId="0" xfId="1" applyNumberFormat="1" applyFont="1" applyAlignment="1" applyProtection="1">
      <alignment horizontal="center" vertical="center" wrapText="1"/>
      <protection locked="0"/>
    </xf>
    <xf numFmtId="0" fontId="9" fillId="0" borderId="1" xfId="5" applyFont="1" applyBorder="1" applyAlignment="1">
      <alignment horizontal="left"/>
    </xf>
    <xf numFmtId="20" fontId="7" fillId="0" borderId="0" xfId="1" applyNumberFormat="1" applyFont="1"/>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657226</xdr:colOff>
      <xdr:row>351</xdr:row>
      <xdr:rowOff>104775</xdr:rowOff>
    </xdr:from>
    <xdr:to>
      <xdr:col>7</xdr:col>
      <xdr:colOff>160511</xdr:colOff>
      <xdr:row>375</xdr:row>
      <xdr:rowOff>128174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57226" y="54902100"/>
          <a:ext cx="5599285" cy="4824000"/>
        </a:xfrm>
        <a:prstGeom prst="rect">
          <a:avLst/>
        </a:prstGeom>
        <a:ln>
          <a:solidFill>
            <a:schemeClr val="tx1"/>
          </a:solidFill>
        </a:ln>
      </xdr:spPr>
    </xdr:pic>
    <xdr:clientData/>
  </xdr:twoCellAnchor>
  <xdr:twoCellAnchor editAs="oneCell">
    <xdr:from>
      <xdr:col>1</xdr:col>
      <xdr:colOff>86285</xdr:colOff>
      <xdr:row>376</xdr:row>
      <xdr:rowOff>28576</xdr:rowOff>
    </xdr:from>
    <xdr:to>
      <xdr:col>7</xdr:col>
      <xdr:colOff>62752</xdr:colOff>
      <xdr:row>392</xdr:row>
      <xdr:rowOff>34638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69067" y="79629867"/>
          <a:ext cx="5026449" cy="3220315"/>
        </a:xfrm>
        <a:prstGeom prst="rect">
          <a:avLst/>
        </a:prstGeom>
        <a:ln>
          <a:solidFill>
            <a:schemeClr val="tx1"/>
          </a:solidFill>
        </a:ln>
      </xdr:spPr>
    </xdr:pic>
    <xdr:clientData/>
  </xdr:twoCellAnchor>
  <xdr:twoCellAnchor>
    <xdr:from>
      <xdr:col>1</xdr:col>
      <xdr:colOff>581024</xdr:colOff>
      <xdr:row>377</xdr:row>
      <xdr:rowOff>67796</xdr:rowOff>
    </xdr:from>
    <xdr:to>
      <xdr:col>3</xdr:col>
      <xdr:colOff>494739</xdr:colOff>
      <xdr:row>383</xdr:row>
      <xdr:rowOff>33057</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400174" y="60065771"/>
          <a:ext cx="1685365" cy="1165411"/>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505638</xdr:colOff>
      <xdr:row>379</xdr:row>
      <xdr:rowOff>65785</xdr:rowOff>
    </xdr:from>
    <xdr:to>
      <xdr:col>4</xdr:col>
      <xdr:colOff>424447</xdr:colOff>
      <xdr:row>381</xdr:row>
      <xdr:rowOff>35067</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3096438" y="60463810"/>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G Wing </a:t>
          </a:r>
        </a:p>
      </xdr:txBody>
    </xdr:sp>
    <xdr:clientData/>
  </xdr:twoCellAnchor>
  <xdr:twoCellAnchor editAs="oneCell">
    <xdr:from>
      <xdr:col>0</xdr:col>
      <xdr:colOff>542925</xdr:colOff>
      <xdr:row>414</xdr:row>
      <xdr:rowOff>27455</xdr:rowOff>
    </xdr:from>
    <xdr:to>
      <xdr:col>7</xdr:col>
      <xdr:colOff>453278</xdr:colOff>
      <xdr:row>434</xdr:row>
      <xdr:rowOff>41563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542925" y="87262600"/>
          <a:ext cx="5743117" cy="4031927"/>
        </a:xfrm>
        <a:prstGeom prst="rect">
          <a:avLst/>
        </a:prstGeom>
        <a:ln>
          <a:solidFill>
            <a:schemeClr val="tx1"/>
          </a:solidFill>
        </a:ln>
      </xdr:spPr>
    </xdr:pic>
    <xdr:clientData/>
  </xdr:twoCellAnchor>
  <xdr:twoCellAnchor editAs="oneCell">
    <xdr:from>
      <xdr:col>1</xdr:col>
      <xdr:colOff>378169</xdr:colOff>
      <xdr:row>394</xdr:row>
      <xdr:rowOff>47625</xdr:rowOff>
    </xdr:from>
    <xdr:to>
      <xdr:col>6</xdr:col>
      <xdr:colOff>618032</xdr:colOff>
      <xdr:row>412</xdr:row>
      <xdr:rowOff>47174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197319" y="63846075"/>
          <a:ext cx="4697563" cy="3600000"/>
        </a:xfrm>
        <a:prstGeom prst="rect">
          <a:avLst/>
        </a:prstGeom>
        <a:ln>
          <a:solidFill>
            <a:schemeClr val="tx1"/>
          </a:solidFill>
        </a:ln>
      </xdr:spPr>
    </xdr:pic>
    <xdr:clientData/>
  </xdr:twoCellAnchor>
  <xdr:twoCellAnchor>
    <xdr:from>
      <xdr:col>0</xdr:col>
      <xdr:colOff>816701</xdr:colOff>
      <xdr:row>423</xdr:row>
      <xdr:rowOff>134471</xdr:rowOff>
    </xdr:from>
    <xdr:to>
      <xdr:col>2</xdr:col>
      <xdr:colOff>719488</xdr:colOff>
      <xdr:row>430</xdr:row>
      <xdr:rowOff>60176</xdr:rowOff>
    </xdr:to>
    <xdr:sp macro="" textlink="">
      <xdr:nvSpPr>
        <xdr:cNvPr id="8" name="Freeform 7">
          <a:extLst>
            <a:ext uri="{FF2B5EF4-FFF2-40B4-BE49-F238E27FC236}">
              <a16:creationId xmlns:a16="http://schemas.microsoft.com/office/drawing/2014/main" id="{00000000-0008-0000-0000-000008000000}"/>
            </a:ext>
          </a:extLst>
        </xdr:cNvPr>
        <xdr:cNvSpPr/>
      </xdr:nvSpPr>
      <xdr:spPr>
        <a:xfrm>
          <a:off x="816701" y="69733646"/>
          <a:ext cx="1579187" cy="1325880"/>
        </a:xfrm>
        <a:custGeom>
          <a:avLst/>
          <a:gdLst>
            <a:gd name="connsiteX0" fmla="*/ 838743 w 1579187"/>
            <a:gd name="connsiteY0" fmla="*/ 0 h 1325880"/>
            <a:gd name="connsiteX1" fmla="*/ 838743 w 1579187"/>
            <a:gd name="connsiteY1" fmla="*/ 0 h 1325880"/>
            <a:gd name="connsiteX2" fmla="*/ 945423 w 1579187"/>
            <a:gd name="connsiteY2" fmla="*/ 53340 h 1325880"/>
            <a:gd name="connsiteX3" fmla="*/ 991143 w 1579187"/>
            <a:gd name="connsiteY3" fmla="*/ 99060 h 1325880"/>
            <a:gd name="connsiteX4" fmla="*/ 1014003 w 1579187"/>
            <a:gd name="connsiteY4" fmla="*/ 121920 h 1325880"/>
            <a:gd name="connsiteX5" fmla="*/ 1059723 w 1579187"/>
            <a:gd name="connsiteY5" fmla="*/ 152400 h 1325880"/>
            <a:gd name="connsiteX6" fmla="*/ 1082583 w 1579187"/>
            <a:gd name="connsiteY6" fmla="*/ 167640 h 1325880"/>
            <a:gd name="connsiteX7" fmla="*/ 1120683 w 1579187"/>
            <a:gd name="connsiteY7" fmla="*/ 205740 h 1325880"/>
            <a:gd name="connsiteX8" fmla="*/ 1158783 w 1579187"/>
            <a:gd name="connsiteY8" fmla="*/ 236220 h 1325880"/>
            <a:gd name="connsiteX9" fmla="*/ 1196883 w 1579187"/>
            <a:gd name="connsiteY9" fmla="*/ 281940 h 1325880"/>
            <a:gd name="connsiteX10" fmla="*/ 1265463 w 1579187"/>
            <a:gd name="connsiteY10" fmla="*/ 342900 h 1325880"/>
            <a:gd name="connsiteX11" fmla="*/ 1318803 w 1579187"/>
            <a:gd name="connsiteY11" fmla="*/ 411480 h 1325880"/>
            <a:gd name="connsiteX12" fmla="*/ 1356903 w 1579187"/>
            <a:gd name="connsiteY12" fmla="*/ 480060 h 1325880"/>
            <a:gd name="connsiteX13" fmla="*/ 1372143 w 1579187"/>
            <a:gd name="connsiteY13" fmla="*/ 502920 h 1325880"/>
            <a:gd name="connsiteX14" fmla="*/ 1379763 w 1579187"/>
            <a:gd name="connsiteY14" fmla="*/ 525780 h 1325880"/>
            <a:gd name="connsiteX15" fmla="*/ 1402623 w 1579187"/>
            <a:gd name="connsiteY15" fmla="*/ 541020 h 1325880"/>
            <a:gd name="connsiteX16" fmla="*/ 1448343 w 1579187"/>
            <a:gd name="connsiteY16" fmla="*/ 609600 h 1325880"/>
            <a:gd name="connsiteX17" fmla="*/ 1463583 w 1579187"/>
            <a:gd name="connsiteY17" fmla="*/ 632460 h 1325880"/>
            <a:gd name="connsiteX18" fmla="*/ 1486443 w 1579187"/>
            <a:gd name="connsiteY18" fmla="*/ 655320 h 1325880"/>
            <a:gd name="connsiteX19" fmla="*/ 1532163 w 1579187"/>
            <a:gd name="connsiteY19" fmla="*/ 723900 h 1325880"/>
            <a:gd name="connsiteX20" fmla="*/ 1547403 w 1579187"/>
            <a:gd name="connsiteY20" fmla="*/ 746760 h 1325880"/>
            <a:gd name="connsiteX21" fmla="*/ 1570263 w 1579187"/>
            <a:gd name="connsiteY21" fmla="*/ 762000 h 1325880"/>
            <a:gd name="connsiteX22" fmla="*/ 1577883 w 1579187"/>
            <a:gd name="connsiteY22" fmla="*/ 784860 h 1325880"/>
            <a:gd name="connsiteX23" fmla="*/ 1547403 w 1579187"/>
            <a:gd name="connsiteY23" fmla="*/ 792480 h 1325880"/>
            <a:gd name="connsiteX24" fmla="*/ 1471203 w 1579187"/>
            <a:gd name="connsiteY24" fmla="*/ 800100 h 1325880"/>
            <a:gd name="connsiteX25" fmla="*/ 1379763 w 1579187"/>
            <a:gd name="connsiteY25" fmla="*/ 815340 h 1325880"/>
            <a:gd name="connsiteX26" fmla="*/ 1250223 w 1579187"/>
            <a:gd name="connsiteY26" fmla="*/ 830580 h 1325880"/>
            <a:gd name="connsiteX27" fmla="*/ 1196883 w 1579187"/>
            <a:gd name="connsiteY27" fmla="*/ 845820 h 1325880"/>
            <a:gd name="connsiteX28" fmla="*/ 1166403 w 1579187"/>
            <a:gd name="connsiteY28" fmla="*/ 853440 h 1325880"/>
            <a:gd name="connsiteX29" fmla="*/ 1143543 w 1579187"/>
            <a:gd name="connsiteY29" fmla="*/ 861060 h 1325880"/>
            <a:gd name="connsiteX30" fmla="*/ 1067343 w 1579187"/>
            <a:gd name="connsiteY30" fmla="*/ 883920 h 1325880"/>
            <a:gd name="connsiteX31" fmla="*/ 1021623 w 1579187"/>
            <a:gd name="connsiteY31" fmla="*/ 906780 h 1325880"/>
            <a:gd name="connsiteX32" fmla="*/ 998763 w 1579187"/>
            <a:gd name="connsiteY32" fmla="*/ 922020 h 1325880"/>
            <a:gd name="connsiteX33" fmla="*/ 937803 w 1579187"/>
            <a:gd name="connsiteY33" fmla="*/ 937260 h 1325880"/>
            <a:gd name="connsiteX34" fmla="*/ 914943 w 1579187"/>
            <a:gd name="connsiteY34" fmla="*/ 952500 h 1325880"/>
            <a:gd name="connsiteX35" fmla="*/ 861603 w 1579187"/>
            <a:gd name="connsiteY35" fmla="*/ 967740 h 1325880"/>
            <a:gd name="connsiteX36" fmla="*/ 777783 w 1579187"/>
            <a:gd name="connsiteY36" fmla="*/ 1005840 h 1325880"/>
            <a:gd name="connsiteX37" fmla="*/ 747303 w 1579187"/>
            <a:gd name="connsiteY37" fmla="*/ 1021080 h 1325880"/>
            <a:gd name="connsiteX38" fmla="*/ 716823 w 1579187"/>
            <a:gd name="connsiteY38" fmla="*/ 1028700 h 1325880"/>
            <a:gd name="connsiteX39" fmla="*/ 671103 w 1579187"/>
            <a:gd name="connsiteY39" fmla="*/ 1043940 h 1325880"/>
            <a:gd name="connsiteX40" fmla="*/ 648243 w 1579187"/>
            <a:gd name="connsiteY40" fmla="*/ 1051560 h 1325880"/>
            <a:gd name="connsiteX41" fmla="*/ 602523 w 1579187"/>
            <a:gd name="connsiteY41" fmla="*/ 1082040 h 1325880"/>
            <a:gd name="connsiteX42" fmla="*/ 556803 w 1579187"/>
            <a:gd name="connsiteY42" fmla="*/ 1097280 h 1325880"/>
            <a:gd name="connsiteX43" fmla="*/ 533943 w 1579187"/>
            <a:gd name="connsiteY43" fmla="*/ 1104900 h 1325880"/>
            <a:gd name="connsiteX44" fmla="*/ 480603 w 1579187"/>
            <a:gd name="connsiteY44" fmla="*/ 1135380 h 1325880"/>
            <a:gd name="connsiteX45" fmla="*/ 450123 w 1579187"/>
            <a:gd name="connsiteY45" fmla="*/ 1143000 h 1325880"/>
            <a:gd name="connsiteX46" fmla="*/ 419643 w 1579187"/>
            <a:gd name="connsiteY46" fmla="*/ 1158240 h 1325880"/>
            <a:gd name="connsiteX47" fmla="*/ 373923 w 1579187"/>
            <a:gd name="connsiteY47" fmla="*/ 1173480 h 1325880"/>
            <a:gd name="connsiteX48" fmla="*/ 305343 w 1579187"/>
            <a:gd name="connsiteY48" fmla="*/ 1219200 h 1325880"/>
            <a:gd name="connsiteX49" fmla="*/ 282483 w 1579187"/>
            <a:gd name="connsiteY49" fmla="*/ 1234440 h 1325880"/>
            <a:gd name="connsiteX50" fmla="*/ 236763 w 1579187"/>
            <a:gd name="connsiteY50" fmla="*/ 1272540 h 1325880"/>
            <a:gd name="connsiteX51" fmla="*/ 213903 w 1579187"/>
            <a:gd name="connsiteY51" fmla="*/ 1280160 h 1325880"/>
            <a:gd name="connsiteX52" fmla="*/ 168183 w 1579187"/>
            <a:gd name="connsiteY52" fmla="*/ 1310640 h 1325880"/>
            <a:gd name="connsiteX53" fmla="*/ 145323 w 1579187"/>
            <a:gd name="connsiteY53" fmla="*/ 1325880 h 1325880"/>
            <a:gd name="connsiteX54" fmla="*/ 122463 w 1579187"/>
            <a:gd name="connsiteY54" fmla="*/ 1310640 h 1325880"/>
            <a:gd name="connsiteX55" fmla="*/ 114843 w 1579187"/>
            <a:gd name="connsiteY55" fmla="*/ 1287780 h 1325880"/>
            <a:gd name="connsiteX56" fmla="*/ 76743 w 1579187"/>
            <a:gd name="connsiteY56" fmla="*/ 1242060 h 1325880"/>
            <a:gd name="connsiteX57" fmla="*/ 69123 w 1579187"/>
            <a:gd name="connsiteY57" fmla="*/ 1219200 h 1325880"/>
            <a:gd name="connsiteX58" fmla="*/ 15783 w 1579187"/>
            <a:gd name="connsiteY58" fmla="*/ 1150620 h 1325880"/>
            <a:gd name="connsiteX59" fmla="*/ 31023 w 1579187"/>
            <a:gd name="connsiteY59" fmla="*/ 1074420 h 1325880"/>
            <a:gd name="connsiteX60" fmla="*/ 46263 w 1579187"/>
            <a:gd name="connsiteY60" fmla="*/ 1051560 h 1325880"/>
            <a:gd name="connsiteX61" fmla="*/ 91983 w 1579187"/>
            <a:gd name="connsiteY61" fmla="*/ 1021080 h 1325880"/>
            <a:gd name="connsiteX62" fmla="*/ 130083 w 1579187"/>
            <a:gd name="connsiteY62" fmla="*/ 990600 h 1325880"/>
            <a:gd name="connsiteX63" fmla="*/ 175803 w 1579187"/>
            <a:gd name="connsiteY63" fmla="*/ 944880 h 1325880"/>
            <a:gd name="connsiteX64" fmla="*/ 198663 w 1579187"/>
            <a:gd name="connsiteY64" fmla="*/ 922020 h 1325880"/>
            <a:gd name="connsiteX65" fmla="*/ 229143 w 1579187"/>
            <a:gd name="connsiteY65" fmla="*/ 868680 h 1325880"/>
            <a:gd name="connsiteX66" fmla="*/ 236763 w 1579187"/>
            <a:gd name="connsiteY66" fmla="*/ 845820 h 1325880"/>
            <a:gd name="connsiteX67" fmla="*/ 252003 w 1579187"/>
            <a:gd name="connsiteY67" fmla="*/ 822960 h 1325880"/>
            <a:gd name="connsiteX68" fmla="*/ 259623 w 1579187"/>
            <a:gd name="connsiteY68" fmla="*/ 800100 h 1325880"/>
            <a:gd name="connsiteX69" fmla="*/ 274863 w 1579187"/>
            <a:gd name="connsiteY69" fmla="*/ 777240 h 1325880"/>
            <a:gd name="connsiteX70" fmla="*/ 290103 w 1579187"/>
            <a:gd name="connsiteY70" fmla="*/ 746760 h 1325880"/>
            <a:gd name="connsiteX71" fmla="*/ 305343 w 1579187"/>
            <a:gd name="connsiteY71" fmla="*/ 723900 h 1325880"/>
            <a:gd name="connsiteX72" fmla="*/ 328203 w 1579187"/>
            <a:gd name="connsiteY72" fmla="*/ 685800 h 1325880"/>
            <a:gd name="connsiteX73" fmla="*/ 351063 w 1579187"/>
            <a:gd name="connsiteY73" fmla="*/ 662940 h 1325880"/>
            <a:gd name="connsiteX74" fmla="*/ 366303 w 1579187"/>
            <a:gd name="connsiteY74" fmla="*/ 640080 h 1325880"/>
            <a:gd name="connsiteX75" fmla="*/ 389163 w 1579187"/>
            <a:gd name="connsiteY75" fmla="*/ 617220 h 1325880"/>
            <a:gd name="connsiteX76" fmla="*/ 404403 w 1579187"/>
            <a:gd name="connsiteY76" fmla="*/ 594360 h 1325880"/>
            <a:gd name="connsiteX77" fmla="*/ 427263 w 1579187"/>
            <a:gd name="connsiteY77" fmla="*/ 571500 h 1325880"/>
            <a:gd name="connsiteX78" fmla="*/ 457743 w 1579187"/>
            <a:gd name="connsiteY78" fmla="*/ 518160 h 1325880"/>
            <a:gd name="connsiteX79" fmla="*/ 488223 w 1579187"/>
            <a:gd name="connsiteY79" fmla="*/ 472440 h 1325880"/>
            <a:gd name="connsiteX80" fmla="*/ 511083 w 1579187"/>
            <a:gd name="connsiteY80" fmla="*/ 426720 h 1325880"/>
            <a:gd name="connsiteX81" fmla="*/ 533943 w 1579187"/>
            <a:gd name="connsiteY81" fmla="*/ 373380 h 1325880"/>
            <a:gd name="connsiteX82" fmla="*/ 541563 w 1579187"/>
            <a:gd name="connsiteY82" fmla="*/ 350520 h 1325880"/>
            <a:gd name="connsiteX83" fmla="*/ 556803 w 1579187"/>
            <a:gd name="connsiteY83" fmla="*/ 327660 h 1325880"/>
            <a:gd name="connsiteX84" fmla="*/ 564423 w 1579187"/>
            <a:gd name="connsiteY84" fmla="*/ 304800 h 1325880"/>
            <a:gd name="connsiteX85" fmla="*/ 587283 w 1579187"/>
            <a:gd name="connsiteY85" fmla="*/ 281940 h 1325880"/>
            <a:gd name="connsiteX86" fmla="*/ 617763 w 1579187"/>
            <a:gd name="connsiteY86" fmla="*/ 236220 h 1325880"/>
            <a:gd name="connsiteX87" fmla="*/ 663483 w 1579187"/>
            <a:gd name="connsiteY87" fmla="*/ 198120 h 1325880"/>
            <a:gd name="connsiteX88" fmla="*/ 709203 w 1579187"/>
            <a:gd name="connsiteY88" fmla="*/ 167640 h 1325880"/>
            <a:gd name="connsiteX89" fmla="*/ 739683 w 1579187"/>
            <a:gd name="connsiteY89" fmla="*/ 121920 h 1325880"/>
            <a:gd name="connsiteX90" fmla="*/ 754923 w 1579187"/>
            <a:gd name="connsiteY90" fmla="*/ 99060 h 1325880"/>
            <a:gd name="connsiteX91" fmla="*/ 800643 w 1579187"/>
            <a:gd name="connsiteY91" fmla="*/ 76200 h 1325880"/>
            <a:gd name="connsiteX92" fmla="*/ 831123 w 1579187"/>
            <a:gd name="connsiteY92" fmla="*/ 30480 h 1325880"/>
            <a:gd name="connsiteX93" fmla="*/ 838743 w 1579187"/>
            <a:gd name="connsiteY93" fmla="*/ 0 h 1325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Lst>
          <a:rect l="l" t="t" r="r" b="b"/>
          <a:pathLst>
            <a:path w="1579187" h="1325880">
              <a:moveTo>
                <a:pt x="838743" y="0"/>
              </a:moveTo>
              <a:lnTo>
                <a:pt x="838743" y="0"/>
              </a:lnTo>
              <a:cubicBezTo>
                <a:pt x="864286" y="9579"/>
                <a:pt x="926013" y="27459"/>
                <a:pt x="945423" y="53340"/>
              </a:cubicBezTo>
              <a:cubicBezTo>
                <a:pt x="989230" y="111749"/>
                <a:pt x="946574" y="61919"/>
                <a:pt x="991143" y="99060"/>
              </a:cubicBezTo>
              <a:cubicBezTo>
                <a:pt x="999422" y="105959"/>
                <a:pt x="1005497" y="115304"/>
                <a:pt x="1014003" y="121920"/>
              </a:cubicBezTo>
              <a:cubicBezTo>
                <a:pt x="1028461" y="133165"/>
                <a:pt x="1044483" y="142240"/>
                <a:pt x="1059723" y="152400"/>
              </a:cubicBezTo>
              <a:lnTo>
                <a:pt x="1082583" y="167640"/>
              </a:lnTo>
              <a:cubicBezTo>
                <a:pt x="1123223" y="228600"/>
                <a:pt x="1069883" y="154940"/>
                <a:pt x="1120683" y="205740"/>
              </a:cubicBezTo>
              <a:cubicBezTo>
                <a:pt x="1155150" y="240207"/>
                <a:pt x="1114279" y="221385"/>
                <a:pt x="1158783" y="236220"/>
              </a:cubicBezTo>
              <a:cubicBezTo>
                <a:pt x="1173768" y="258697"/>
                <a:pt x="1174881" y="263605"/>
                <a:pt x="1196883" y="281940"/>
              </a:cubicBezTo>
              <a:cubicBezTo>
                <a:pt x="1231240" y="310571"/>
                <a:pt x="1228414" y="287326"/>
                <a:pt x="1265463" y="342900"/>
              </a:cubicBezTo>
              <a:cubicBezTo>
                <a:pt x="1301921" y="397586"/>
                <a:pt x="1282991" y="375668"/>
                <a:pt x="1318803" y="411480"/>
              </a:cubicBezTo>
              <a:cubicBezTo>
                <a:pt x="1332215" y="451716"/>
                <a:pt x="1321968" y="427657"/>
                <a:pt x="1356903" y="480060"/>
              </a:cubicBezTo>
              <a:cubicBezTo>
                <a:pt x="1361983" y="487680"/>
                <a:pt x="1369247" y="494232"/>
                <a:pt x="1372143" y="502920"/>
              </a:cubicBezTo>
              <a:cubicBezTo>
                <a:pt x="1374683" y="510540"/>
                <a:pt x="1374745" y="519508"/>
                <a:pt x="1379763" y="525780"/>
              </a:cubicBezTo>
              <a:cubicBezTo>
                <a:pt x="1385484" y="532931"/>
                <a:pt x="1395003" y="535940"/>
                <a:pt x="1402623" y="541020"/>
              </a:cubicBezTo>
              <a:lnTo>
                <a:pt x="1448343" y="609600"/>
              </a:lnTo>
              <a:cubicBezTo>
                <a:pt x="1453423" y="617220"/>
                <a:pt x="1457107" y="625984"/>
                <a:pt x="1463583" y="632460"/>
              </a:cubicBezTo>
              <a:cubicBezTo>
                <a:pt x="1471203" y="640080"/>
                <a:pt x="1479827" y="646814"/>
                <a:pt x="1486443" y="655320"/>
              </a:cubicBezTo>
              <a:lnTo>
                <a:pt x="1532163" y="723900"/>
              </a:lnTo>
              <a:cubicBezTo>
                <a:pt x="1537243" y="731520"/>
                <a:pt x="1539783" y="741680"/>
                <a:pt x="1547403" y="746760"/>
              </a:cubicBezTo>
              <a:lnTo>
                <a:pt x="1570263" y="762000"/>
              </a:lnTo>
              <a:cubicBezTo>
                <a:pt x="1572803" y="769620"/>
                <a:pt x="1582702" y="778434"/>
                <a:pt x="1577883" y="784860"/>
              </a:cubicBezTo>
              <a:cubicBezTo>
                <a:pt x="1571599" y="793238"/>
                <a:pt x="1557770" y="790999"/>
                <a:pt x="1547403" y="792480"/>
              </a:cubicBezTo>
              <a:cubicBezTo>
                <a:pt x="1522133" y="796090"/>
                <a:pt x="1496555" y="797117"/>
                <a:pt x="1471203" y="800100"/>
              </a:cubicBezTo>
              <a:cubicBezTo>
                <a:pt x="1386532" y="810061"/>
                <a:pt x="1448822" y="803830"/>
                <a:pt x="1379763" y="815340"/>
              </a:cubicBezTo>
              <a:cubicBezTo>
                <a:pt x="1329228" y="823763"/>
                <a:pt x="1304392" y="825163"/>
                <a:pt x="1250223" y="830580"/>
              </a:cubicBezTo>
              <a:lnTo>
                <a:pt x="1196883" y="845820"/>
              </a:lnTo>
              <a:cubicBezTo>
                <a:pt x="1186779" y="848576"/>
                <a:pt x="1176473" y="850563"/>
                <a:pt x="1166403" y="853440"/>
              </a:cubicBezTo>
              <a:cubicBezTo>
                <a:pt x="1158680" y="855647"/>
                <a:pt x="1151266" y="858853"/>
                <a:pt x="1143543" y="861060"/>
              </a:cubicBezTo>
              <a:cubicBezTo>
                <a:pt x="1124907" y="866385"/>
                <a:pt x="1080924" y="874866"/>
                <a:pt x="1067343" y="883920"/>
              </a:cubicBezTo>
              <a:cubicBezTo>
                <a:pt x="1001829" y="927596"/>
                <a:pt x="1084719" y="875232"/>
                <a:pt x="1021623" y="906780"/>
              </a:cubicBezTo>
              <a:cubicBezTo>
                <a:pt x="1013432" y="910876"/>
                <a:pt x="1006954" y="917924"/>
                <a:pt x="998763" y="922020"/>
              </a:cubicBezTo>
              <a:cubicBezTo>
                <a:pt x="983142" y="929830"/>
                <a:pt x="952294" y="934362"/>
                <a:pt x="937803" y="937260"/>
              </a:cubicBezTo>
              <a:cubicBezTo>
                <a:pt x="930183" y="942340"/>
                <a:pt x="923134" y="948404"/>
                <a:pt x="914943" y="952500"/>
              </a:cubicBezTo>
              <a:cubicBezTo>
                <a:pt x="904011" y="957966"/>
                <a:pt x="871369" y="965299"/>
                <a:pt x="861603" y="967740"/>
              </a:cubicBezTo>
              <a:cubicBezTo>
                <a:pt x="805107" y="1005404"/>
                <a:pt x="833844" y="994628"/>
                <a:pt x="777783" y="1005840"/>
              </a:cubicBezTo>
              <a:cubicBezTo>
                <a:pt x="767623" y="1010920"/>
                <a:pt x="757939" y="1017092"/>
                <a:pt x="747303" y="1021080"/>
              </a:cubicBezTo>
              <a:cubicBezTo>
                <a:pt x="737497" y="1024757"/>
                <a:pt x="726854" y="1025691"/>
                <a:pt x="716823" y="1028700"/>
              </a:cubicBezTo>
              <a:cubicBezTo>
                <a:pt x="701436" y="1033316"/>
                <a:pt x="686343" y="1038860"/>
                <a:pt x="671103" y="1043940"/>
              </a:cubicBezTo>
              <a:cubicBezTo>
                <a:pt x="663483" y="1046480"/>
                <a:pt x="654926" y="1047105"/>
                <a:pt x="648243" y="1051560"/>
              </a:cubicBezTo>
              <a:cubicBezTo>
                <a:pt x="633003" y="1061720"/>
                <a:pt x="619899" y="1076248"/>
                <a:pt x="602523" y="1082040"/>
              </a:cubicBezTo>
              <a:lnTo>
                <a:pt x="556803" y="1097280"/>
              </a:lnTo>
              <a:cubicBezTo>
                <a:pt x="549183" y="1099820"/>
                <a:pt x="540626" y="1100445"/>
                <a:pt x="533943" y="1104900"/>
              </a:cubicBezTo>
              <a:cubicBezTo>
                <a:pt x="514993" y="1117533"/>
                <a:pt x="502701" y="1127093"/>
                <a:pt x="480603" y="1135380"/>
              </a:cubicBezTo>
              <a:cubicBezTo>
                <a:pt x="470797" y="1139057"/>
                <a:pt x="459929" y="1139323"/>
                <a:pt x="450123" y="1143000"/>
              </a:cubicBezTo>
              <a:cubicBezTo>
                <a:pt x="439487" y="1146988"/>
                <a:pt x="430190" y="1154021"/>
                <a:pt x="419643" y="1158240"/>
              </a:cubicBezTo>
              <a:cubicBezTo>
                <a:pt x="404728" y="1164206"/>
                <a:pt x="387289" y="1164569"/>
                <a:pt x="373923" y="1173480"/>
              </a:cubicBezTo>
              <a:lnTo>
                <a:pt x="305343" y="1219200"/>
              </a:lnTo>
              <a:cubicBezTo>
                <a:pt x="297723" y="1224280"/>
                <a:pt x="288959" y="1227964"/>
                <a:pt x="282483" y="1234440"/>
              </a:cubicBezTo>
              <a:cubicBezTo>
                <a:pt x="265631" y="1251292"/>
                <a:pt x="257981" y="1261931"/>
                <a:pt x="236763" y="1272540"/>
              </a:cubicBezTo>
              <a:cubicBezTo>
                <a:pt x="229579" y="1276132"/>
                <a:pt x="220924" y="1276259"/>
                <a:pt x="213903" y="1280160"/>
              </a:cubicBezTo>
              <a:cubicBezTo>
                <a:pt x="197892" y="1289055"/>
                <a:pt x="183423" y="1300480"/>
                <a:pt x="168183" y="1310640"/>
              </a:cubicBezTo>
              <a:lnTo>
                <a:pt x="145323" y="1325880"/>
              </a:lnTo>
              <a:cubicBezTo>
                <a:pt x="137703" y="1320800"/>
                <a:pt x="128184" y="1317791"/>
                <a:pt x="122463" y="1310640"/>
              </a:cubicBezTo>
              <a:cubicBezTo>
                <a:pt x="117445" y="1304368"/>
                <a:pt x="118435" y="1294964"/>
                <a:pt x="114843" y="1287780"/>
              </a:cubicBezTo>
              <a:cubicBezTo>
                <a:pt x="104234" y="1266562"/>
                <a:pt x="93595" y="1258912"/>
                <a:pt x="76743" y="1242060"/>
              </a:cubicBezTo>
              <a:cubicBezTo>
                <a:pt x="74203" y="1234440"/>
                <a:pt x="73024" y="1226221"/>
                <a:pt x="69123" y="1219200"/>
              </a:cubicBezTo>
              <a:cubicBezTo>
                <a:pt x="46337" y="1178185"/>
                <a:pt x="43551" y="1178388"/>
                <a:pt x="15783" y="1150620"/>
              </a:cubicBezTo>
              <a:cubicBezTo>
                <a:pt x="-5872" y="1085656"/>
                <a:pt x="-9143" y="1121280"/>
                <a:pt x="31023" y="1074420"/>
              </a:cubicBezTo>
              <a:cubicBezTo>
                <a:pt x="36983" y="1067467"/>
                <a:pt x="39371" y="1057591"/>
                <a:pt x="46263" y="1051560"/>
              </a:cubicBezTo>
              <a:cubicBezTo>
                <a:pt x="60047" y="1039499"/>
                <a:pt x="91983" y="1021080"/>
                <a:pt x="91983" y="1021080"/>
              </a:cubicBezTo>
              <a:cubicBezTo>
                <a:pt x="133814" y="958333"/>
                <a:pt x="79121" y="1030237"/>
                <a:pt x="130083" y="990600"/>
              </a:cubicBezTo>
              <a:cubicBezTo>
                <a:pt x="147096" y="977368"/>
                <a:pt x="160563" y="960120"/>
                <a:pt x="175803" y="944880"/>
              </a:cubicBezTo>
              <a:lnTo>
                <a:pt x="198663" y="922020"/>
              </a:lnTo>
              <a:cubicBezTo>
                <a:pt x="214779" y="857555"/>
                <a:pt x="192825" y="923158"/>
                <a:pt x="229143" y="868680"/>
              </a:cubicBezTo>
              <a:cubicBezTo>
                <a:pt x="233598" y="861997"/>
                <a:pt x="233171" y="853004"/>
                <a:pt x="236763" y="845820"/>
              </a:cubicBezTo>
              <a:cubicBezTo>
                <a:pt x="240859" y="837629"/>
                <a:pt x="247907" y="831151"/>
                <a:pt x="252003" y="822960"/>
              </a:cubicBezTo>
              <a:cubicBezTo>
                <a:pt x="255595" y="815776"/>
                <a:pt x="256031" y="807284"/>
                <a:pt x="259623" y="800100"/>
              </a:cubicBezTo>
              <a:cubicBezTo>
                <a:pt x="263719" y="791909"/>
                <a:pt x="270319" y="785191"/>
                <a:pt x="274863" y="777240"/>
              </a:cubicBezTo>
              <a:cubicBezTo>
                <a:pt x="280499" y="767377"/>
                <a:pt x="284467" y="756623"/>
                <a:pt x="290103" y="746760"/>
              </a:cubicBezTo>
              <a:cubicBezTo>
                <a:pt x="294647" y="738809"/>
                <a:pt x="300489" y="731666"/>
                <a:pt x="305343" y="723900"/>
              </a:cubicBezTo>
              <a:cubicBezTo>
                <a:pt x="313193" y="711341"/>
                <a:pt x="319317" y="697648"/>
                <a:pt x="328203" y="685800"/>
              </a:cubicBezTo>
              <a:cubicBezTo>
                <a:pt x="334669" y="677179"/>
                <a:pt x="344164" y="671219"/>
                <a:pt x="351063" y="662940"/>
              </a:cubicBezTo>
              <a:cubicBezTo>
                <a:pt x="356926" y="655905"/>
                <a:pt x="360440" y="647115"/>
                <a:pt x="366303" y="640080"/>
              </a:cubicBezTo>
              <a:cubicBezTo>
                <a:pt x="373202" y="631801"/>
                <a:pt x="382264" y="625499"/>
                <a:pt x="389163" y="617220"/>
              </a:cubicBezTo>
              <a:cubicBezTo>
                <a:pt x="395026" y="610185"/>
                <a:pt x="398540" y="601395"/>
                <a:pt x="404403" y="594360"/>
              </a:cubicBezTo>
              <a:cubicBezTo>
                <a:pt x="411302" y="586081"/>
                <a:pt x="420364" y="579779"/>
                <a:pt x="427263" y="571500"/>
              </a:cubicBezTo>
              <a:cubicBezTo>
                <a:pt x="446091" y="548906"/>
                <a:pt x="441772" y="544778"/>
                <a:pt x="457743" y="518160"/>
              </a:cubicBezTo>
              <a:cubicBezTo>
                <a:pt x="467167" y="502454"/>
                <a:pt x="482431" y="489816"/>
                <a:pt x="488223" y="472440"/>
              </a:cubicBezTo>
              <a:cubicBezTo>
                <a:pt x="498739" y="440892"/>
                <a:pt x="491388" y="456263"/>
                <a:pt x="511083" y="426720"/>
              </a:cubicBezTo>
              <a:cubicBezTo>
                <a:pt x="526942" y="363285"/>
                <a:pt x="507631" y="426003"/>
                <a:pt x="533943" y="373380"/>
              </a:cubicBezTo>
              <a:cubicBezTo>
                <a:pt x="537535" y="366196"/>
                <a:pt x="537971" y="357704"/>
                <a:pt x="541563" y="350520"/>
              </a:cubicBezTo>
              <a:cubicBezTo>
                <a:pt x="545659" y="342329"/>
                <a:pt x="552707" y="335851"/>
                <a:pt x="556803" y="327660"/>
              </a:cubicBezTo>
              <a:cubicBezTo>
                <a:pt x="560395" y="320476"/>
                <a:pt x="559968" y="311483"/>
                <a:pt x="564423" y="304800"/>
              </a:cubicBezTo>
              <a:cubicBezTo>
                <a:pt x="570401" y="295834"/>
                <a:pt x="580667" y="290446"/>
                <a:pt x="587283" y="281940"/>
              </a:cubicBezTo>
              <a:cubicBezTo>
                <a:pt x="598528" y="267482"/>
                <a:pt x="602523" y="246380"/>
                <a:pt x="617763" y="236220"/>
              </a:cubicBezTo>
              <a:cubicBezTo>
                <a:pt x="699451" y="181762"/>
                <a:pt x="575476" y="266570"/>
                <a:pt x="663483" y="198120"/>
              </a:cubicBezTo>
              <a:cubicBezTo>
                <a:pt x="677941" y="186875"/>
                <a:pt x="709203" y="167640"/>
                <a:pt x="709203" y="167640"/>
              </a:cubicBezTo>
              <a:lnTo>
                <a:pt x="739683" y="121920"/>
              </a:lnTo>
              <a:cubicBezTo>
                <a:pt x="744763" y="114300"/>
                <a:pt x="746235" y="101956"/>
                <a:pt x="754923" y="99060"/>
              </a:cubicBezTo>
              <a:cubicBezTo>
                <a:pt x="786471" y="88544"/>
                <a:pt x="771100" y="95895"/>
                <a:pt x="800643" y="76200"/>
              </a:cubicBezTo>
              <a:cubicBezTo>
                <a:pt x="818761" y="21845"/>
                <a:pt x="793070" y="87559"/>
                <a:pt x="831123" y="30480"/>
              </a:cubicBezTo>
              <a:cubicBezTo>
                <a:pt x="835578" y="23797"/>
                <a:pt x="837473" y="5080"/>
                <a:pt x="838743" y="0"/>
              </a:cubicBezTo>
              <a:close/>
            </a:path>
          </a:pathLst>
        </a:cu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265899</xdr:colOff>
      <xdr:row>385</xdr:row>
      <xdr:rowOff>145598</xdr:rowOff>
    </xdr:from>
    <xdr:to>
      <xdr:col>6</xdr:col>
      <xdr:colOff>261257</xdr:colOff>
      <xdr:row>391</xdr:row>
      <xdr:rowOff>110858</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3858185" y="83081134"/>
          <a:ext cx="1682643" cy="1189903"/>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4</xdr:col>
      <xdr:colOff>701328</xdr:colOff>
      <xdr:row>383</xdr:row>
      <xdr:rowOff>104530</xdr:rowOff>
    </xdr:from>
    <xdr:to>
      <xdr:col>6</xdr:col>
      <xdr:colOff>2340</xdr:colOff>
      <xdr:row>385</xdr:row>
      <xdr:rowOff>187462</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stretch>
          <a:fillRect/>
        </a:stretch>
      </xdr:blipFill>
      <xdr:spPr>
        <a:xfrm>
          <a:off x="4144183" y="81112057"/>
          <a:ext cx="903361" cy="484714"/>
        </a:xfrm>
        <a:prstGeom prst="rect">
          <a:avLst/>
        </a:prstGeom>
      </xdr:spPr>
    </xdr:pic>
    <xdr:clientData/>
  </xdr:twoCellAnchor>
  <xdr:twoCellAnchor>
    <xdr:from>
      <xdr:col>10</xdr:col>
      <xdr:colOff>250581</xdr:colOff>
      <xdr:row>312</xdr:row>
      <xdr:rowOff>15143</xdr:rowOff>
    </xdr:from>
    <xdr:to>
      <xdr:col>12</xdr:col>
      <xdr:colOff>607647</xdr:colOff>
      <xdr:row>317</xdr:row>
      <xdr:rowOff>21494</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8962781" y="68912643"/>
          <a:ext cx="1830266" cy="984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FFFF00"/>
              </a:solidFill>
            </a:rPr>
            <a:t>G Wing</a:t>
          </a:r>
        </a:p>
      </xdr:txBody>
    </xdr:sp>
    <xdr:clientData/>
  </xdr:twoCellAnchor>
  <xdr:twoCellAnchor>
    <xdr:from>
      <xdr:col>10</xdr:col>
      <xdr:colOff>189035</xdr:colOff>
      <xdr:row>313</xdr:row>
      <xdr:rowOff>103067</xdr:rowOff>
    </xdr:from>
    <xdr:to>
      <xdr:col>10</xdr:col>
      <xdr:colOff>548054</xdr:colOff>
      <xdr:row>315</xdr:row>
      <xdr:rowOff>148250</xdr:rowOff>
    </xdr:to>
    <xdr:cxnSp macro="">
      <xdr:nvCxnSpPr>
        <xdr:cNvPr id="22" name="Straight Arrow Connector 21">
          <a:extLst>
            <a:ext uri="{FF2B5EF4-FFF2-40B4-BE49-F238E27FC236}">
              <a16:creationId xmlns:a16="http://schemas.microsoft.com/office/drawing/2014/main" id="{00000000-0008-0000-0000-000016000000}"/>
            </a:ext>
          </a:extLst>
        </xdr:cNvPr>
        <xdr:cNvCxnSpPr/>
      </xdr:nvCxnSpPr>
      <xdr:spPr>
        <a:xfrm flipH="1">
          <a:off x="8901235" y="69197417"/>
          <a:ext cx="359019" cy="432533"/>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309</xdr:row>
      <xdr:rowOff>0</xdr:rowOff>
    </xdr:from>
    <xdr:to>
      <xdr:col>12</xdr:col>
      <xdr:colOff>357066</xdr:colOff>
      <xdr:row>314</xdr:row>
      <xdr:rowOff>6350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712200" y="68306950"/>
          <a:ext cx="1830266" cy="984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FFFF00"/>
              </a:solidFill>
            </a:rPr>
            <a:t>H Wing</a:t>
          </a:r>
        </a:p>
      </xdr:txBody>
    </xdr:sp>
    <xdr:clientData/>
  </xdr:twoCellAnchor>
  <xdr:twoCellAnchor>
    <xdr:from>
      <xdr:col>10</xdr:col>
      <xdr:colOff>55685</xdr:colOff>
      <xdr:row>310</xdr:row>
      <xdr:rowOff>147028</xdr:rowOff>
    </xdr:from>
    <xdr:to>
      <xdr:col>10</xdr:col>
      <xdr:colOff>306265</xdr:colOff>
      <xdr:row>313</xdr:row>
      <xdr:rowOff>147760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flipH="1">
          <a:off x="8767885" y="68650828"/>
          <a:ext cx="250580" cy="591282"/>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463550</xdr:colOff>
      <xdr:row>320</xdr:row>
      <xdr:rowOff>3175</xdr:rowOff>
    </xdr:from>
    <xdr:ext cx="960840"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007350" y="71078725"/>
          <a:ext cx="960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Ground Floor</a:t>
          </a:r>
        </a:p>
      </xdr:txBody>
    </xdr:sp>
    <xdr:clientData/>
  </xdr:oneCellAnchor>
  <xdr:oneCellAnchor>
    <xdr:from>
      <xdr:col>13</xdr:col>
      <xdr:colOff>126202</xdr:colOff>
      <xdr:row>320</xdr:row>
      <xdr:rowOff>120650</xdr:rowOff>
    </xdr:from>
    <xdr:ext cx="960840"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rot="21128332">
          <a:off x="10632277" y="71196200"/>
          <a:ext cx="960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cap="none" spc="0">
              <a:ln w="0"/>
              <a:solidFill>
                <a:srgbClr val="FFFF00"/>
              </a:solidFill>
              <a:effectLst>
                <a:outerShdw blurRad="38100" dist="25400" dir="5400000" algn="ctr" rotWithShape="0">
                  <a:srgbClr val="6E747A">
                    <a:alpha val="43000"/>
                  </a:srgbClr>
                </a:outerShdw>
              </a:effectLst>
            </a:rPr>
            <a:t>Ground Floor</a:t>
          </a:r>
        </a:p>
      </xdr:txBody>
    </xdr:sp>
    <xdr:clientData/>
  </xdr:oneCellAnchor>
  <xdr:twoCellAnchor editAs="oneCell">
    <xdr:from>
      <xdr:col>13</xdr:col>
      <xdr:colOff>100635</xdr:colOff>
      <xdr:row>339</xdr:row>
      <xdr:rowOff>174929</xdr:rowOff>
    </xdr:from>
    <xdr:to>
      <xdr:col>15</xdr:col>
      <xdr:colOff>113596</xdr:colOff>
      <xdr:row>349</xdr:row>
      <xdr:rowOff>183211</xdr:rowOff>
    </xdr:to>
    <xdr:pic>
      <xdr:nvPicPr>
        <xdr:cNvPr id="25" name="Picture 24" descr="https://vsjcllp.vsjadon.com/upload/insp-219587-1525.jpg">
          <a:extLst>
            <a:ext uri="{FF2B5EF4-FFF2-40B4-BE49-F238E27FC236}">
              <a16:creationId xmlns:a16="http://schemas.microsoft.com/office/drawing/2014/main" id="{00000000-0008-0000-0000-00001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bwMode="auto">
        <a:xfrm>
          <a:off x="10898175" y="74607089"/>
          <a:ext cx="1552201" cy="19894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111400</xdr:colOff>
      <xdr:row>309</xdr:row>
      <xdr:rowOff>95830</xdr:rowOff>
    </xdr:from>
    <xdr:to>
      <xdr:col>16</xdr:col>
      <xdr:colOff>557916</xdr:colOff>
      <xdr:row>327</xdr:row>
      <xdr:rowOff>92103</xdr:rowOff>
    </xdr:to>
    <xdr:pic>
      <xdr:nvPicPr>
        <xdr:cNvPr id="27" name="Picture 26" descr="https://vsjcllp.vsjadon.com/upload/insp-219587-843.jpg">
          <a:extLst>
            <a:ext uri="{FF2B5EF4-FFF2-40B4-BE49-F238E27FC236}">
              <a16:creationId xmlns:a16="http://schemas.microsoft.com/office/drawing/2014/main" id="{00000000-0008-0000-0000-00001B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bwMode="auto">
        <a:xfrm>
          <a:off x="10908940" y="68592010"/>
          <a:ext cx="2785856" cy="35548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483290</xdr:colOff>
      <xdr:row>327</xdr:row>
      <xdr:rowOff>159191</xdr:rowOff>
    </xdr:from>
    <xdr:to>
      <xdr:col>13</xdr:col>
      <xdr:colOff>17939</xdr:colOff>
      <xdr:row>339</xdr:row>
      <xdr:rowOff>91127</xdr:rowOff>
    </xdr:to>
    <xdr:pic>
      <xdr:nvPicPr>
        <xdr:cNvPr id="29" name="Picture 28" descr="https://vsjcllp.vsjadon.com/upload/insp-219587-849.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9017690" y="72213911"/>
          <a:ext cx="1797789" cy="23093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318466</xdr:colOff>
      <xdr:row>309</xdr:row>
      <xdr:rowOff>97071</xdr:rowOff>
    </xdr:from>
    <xdr:to>
      <xdr:col>13</xdr:col>
      <xdr:colOff>35881</xdr:colOff>
      <xdr:row>327</xdr:row>
      <xdr:rowOff>94576</xdr:rowOff>
    </xdr:to>
    <xdr:pic>
      <xdr:nvPicPr>
        <xdr:cNvPr id="35" name="Picture 34" descr="https://vsjcllp.vsjadon.com/upload/insp-219587-851.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8068006" y="68593251"/>
          <a:ext cx="2765415" cy="3556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102704</xdr:colOff>
      <xdr:row>327</xdr:row>
      <xdr:rowOff>159192</xdr:rowOff>
    </xdr:from>
    <xdr:to>
      <xdr:col>15</xdr:col>
      <xdr:colOff>382656</xdr:colOff>
      <xdr:row>339</xdr:row>
      <xdr:rowOff>91128</xdr:rowOff>
    </xdr:to>
    <xdr:pic>
      <xdr:nvPicPr>
        <xdr:cNvPr id="36" name="Picture 35" descr="https://vsjcllp.vsjadon.com/upload/insp-219587-880.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0900244" y="72213912"/>
          <a:ext cx="1819192" cy="23093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31142</xdr:colOff>
      <xdr:row>339</xdr:row>
      <xdr:rowOff>174928</xdr:rowOff>
    </xdr:from>
    <xdr:to>
      <xdr:col>13</xdr:col>
      <xdr:colOff>24437</xdr:colOff>
      <xdr:row>349</xdr:row>
      <xdr:rowOff>181035</xdr:rowOff>
    </xdr:to>
    <xdr:pic>
      <xdr:nvPicPr>
        <xdr:cNvPr id="37" name="Picture 36" descr="https://vsjcllp.vsjadon.com/upload/insp-219587-931.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9289442" y="74607088"/>
          <a:ext cx="1532535" cy="19873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114300</xdr:colOff>
      <xdr:row>322</xdr:row>
      <xdr:rowOff>62300</xdr:rowOff>
    </xdr:from>
    <xdr:to>
      <xdr:col>13</xdr:col>
      <xdr:colOff>274215</xdr:colOff>
      <xdr:row>336</xdr:row>
      <xdr:rowOff>189449</xdr:rowOff>
    </xdr:to>
    <xdr:pic>
      <xdr:nvPicPr>
        <xdr:cNvPr id="11" name="Picture 10">
          <a:extLst>
            <a:ext uri="{FF2B5EF4-FFF2-40B4-BE49-F238E27FC236}">
              <a16:creationId xmlns:a16="http://schemas.microsoft.com/office/drawing/2014/main" id="{CAA9FCB8-9ED3-DE94-2B37-7ADD67CF0DE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8409709" y="74426573"/>
          <a:ext cx="2376642" cy="303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406390</xdr:colOff>
      <xdr:row>305</xdr:row>
      <xdr:rowOff>177165</xdr:rowOff>
    </xdr:from>
    <xdr:to>
      <xdr:col>16</xdr:col>
      <xdr:colOff>514350</xdr:colOff>
      <xdr:row>321</xdr:row>
      <xdr:rowOff>113813</xdr:rowOff>
    </xdr:to>
    <xdr:pic>
      <xdr:nvPicPr>
        <xdr:cNvPr id="12" name="Picture 11">
          <a:extLst>
            <a:ext uri="{FF2B5EF4-FFF2-40B4-BE49-F238E27FC236}">
              <a16:creationId xmlns:a16="http://schemas.microsoft.com/office/drawing/2014/main" id="{EC093570-4595-EF22-4BB4-820EFBE7951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0918526" y="71233665"/>
          <a:ext cx="2376642" cy="303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114300</xdr:colOff>
      <xdr:row>305</xdr:row>
      <xdr:rowOff>177165</xdr:rowOff>
    </xdr:from>
    <xdr:to>
      <xdr:col>13</xdr:col>
      <xdr:colOff>274215</xdr:colOff>
      <xdr:row>321</xdr:row>
      <xdr:rowOff>113813</xdr:rowOff>
    </xdr:to>
    <xdr:pic>
      <xdr:nvPicPr>
        <xdr:cNvPr id="14" name="Picture 13">
          <a:extLst>
            <a:ext uri="{FF2B5EF4-FFF2-40B4-BE49-F238E27FC236}">
              <a16:creationId xmlns:a16="http://schemas.microsoft.com/office/drawing/2014/main" id="{40D6C3A7-AD8A-F54C-60F9-8DCDB427B92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8409709" y="71233665"/>
          <a:ext cx="2376642" cy="303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406390</xdr:colOff>
      <xdr:row>322</xdr:row>
      <xdr:rowOff>62300</xdr:rowOff>
    </xdr:from>
    <xdr:to>
      <xdr:col>16</xdr:col>
      <xdr:colOff>514350</xdr:colOff>
      <xdr:row>336</xdr:row>
      <xdr:rowOff>189449</xdr:rowOff>
    </xdr:to>
    <xdr:pic>
      <xdr:nvPicPr>
        <xdr:cNvPr id="15" name="Picture 14">
          <a:extLst>
            <a:ext uri="{FF2B5EF4-FFF2-40B4-BE49-F238E27FC236}">
              <a16:creationId xmlns:a16="http://schemas.microsoft.com/office/drawing/2014/main" id="{083BF3D2-D847-5E17-C43F-ECBC93B6C14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0918526" y="74426573"/>
          <a:ext cx="2376642" cy="3036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509463</xdr:colOff>
      <xdr:row>337</xdr:row>
      <xdr:rowOff>137937</xdr:rowOff>
    </xdr:from>
    <xdr:to>
      <xdr:col>13</xdr:col>
      <xdr:colOff>274215</xdr:colOff>
      <xdr:row>345</xdr:row>
      <xdr:rowOff>106680</xdr:rowOff>
    </xdr:to>
    <xdr:pic>
      <xdr:nvPicPr>
        <xdr:cNvPr id="16" name="Picture 15">
          <a:extLst>
            <a:ext uri="{FF2B5EF4-FFF2-40B4-BE49-F238E27FC236}">
              <a16:creationId xmlns:a16="http://schemas.microsoft.com/office/drawing/2014/main" id="{3C677C89-6522-3931-CC83-B8FF7D8F218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9514918" y="77619482"/>
          <a:ext cx="1271433" cy="16312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67236</xdr:colOff>
      <xdr:row>311</xdr:row>
      <xdr:rowOff>0</xdr:rowOff>
    </xdr:from>
    <xdr:to>
      <xdr:col>7</xdr:col>
      <xdr:colOff>627531</xdr:colOff>
      <xdr:row>339</xdr:row>
      <xdr:rowOff>56029</xdr:rowOff>
    </xdr:to>
    <xdr:grpSp>
      <xdr:nvGrpSpPr>
        <xdr:cNvPr id="30" name="Group 29">
          <a:extLst>
            <a:ext uri="{FF2B5EF4-FFF2-40B4-BE49-F238E27FC236}">
              <a16:creationId xmlns:a16="http://schemas.microsoft.com/office/drawing/2014/main" id="{F7C81C38-87B7-4358-B352-05B8D3D2669A}"/>
            </a:ext>
          </a:extLst>
        </xdr:cNvPr>
        <xdr:cNvGrpSpPr/>
      </xdr:nvGrpSpPr>
      <xdr:grpSpPr>
        <a:xfrm>
          <a:off x="67236" y="70395353"/>
          <a:ext cx="6241677" cy="5692588"/>
          <a:chOff x="5294" y="381000"/>
          <a:chExt cx="6507046" cy="5783386"/>
        </a:xfrm>
      </xdr:grpSpPr>
      <xdr:grpSp>
        <xdr:nvGrpSpPr>
          <xdr:cNvPr id="31" name="Group 30">
            <a:extLst>
              <a:ext uri="{FF2B5EF4-FFF2-40B4-BE49-F238E27FC236}">
                <a16:creationId xmlns:a16="http://schemas.microsoft.com/office/drawing/2014/main" id="{6C0647F6-7792-4673-B587-3434275910E1}"/>
              </a:ext>
            </a:extLst>
          </xdr:cNvPr>
          <xdr:cNvGrpSpPr/>
        </xdr:nvGrpSpPr>
        <xdr:grpSpPr>
          <a:xfrm>
            <a:off x="79431" y="381000"/>
            <a:ext cx="6432909" cy="5783386"/>
            <a:chOff x="79431" y="381000"/>
            <a:chExt cx="6432909" cy="5783386"/>
          </a:xfrm>
        </xdr:grpSpPr>
        <xdr:pic>
          <xdr:nvPicPr>
            <xdr:cNvPr id="39" name="Picture 38">
              <a:extLst>
                <a:ext uri="{FF2B5EF4-FFF2-40B4-BE49-F238E27FC236}">
                  <a16:creationId xmlns:a16="http://schemas.microsoft.com/office/drawing/2014/main" id="{DB84FF61-A891-401F-A371-D9D8E57A172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323330" y="381000"/>
              <a:ext cx="2700000" cy="3600000"/>
            </a:xfrm>
            <a:prstGeom prst="rect">
              <a:avLst/>
            </a:prstGeom>
            <a:ln>
              <a:solidFill>
                <a:schemeClr val="tx1"/>
              </a:solidFill>
            </a:ln>
          </xdr:spPr>
        </xdr:pic>
        <xdr:pic>
          <xdr:nvPicPr>
            <xdr:cNvPr id="40" name="Picture 39">
              <a:extLst>
                <a:ext uri="{FF2B5EF4-FFF2-40B4-BE49-F238E27FC236}">
                  <a16:creationId xmlns:a16="http://schemas.microsoft.com/office/drawing/2014/main" id="{B2FF4233-1DC6-4571-95BB-9A5D2FAC6F6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57965" y="381000"/>
              <a:ext cx="2700000" cy="3600000"/>
            </a:xfrm>
            <a:prstGeom prst="rect">
              <a:avLst/>
            </a:prstGeom>
            <a:ln>
              <a:solidFill>
                <a:schemeClr val="tx1"/>
              </a:solidFill>
            </a:ln>
          </xdr:spPr>
        </xdr:pic>
        <xdr:pic>
          <xdr:nvPicPr>
            <xdr:cNvPr id="41" name="Picture 40">
              <a:extLst>
                <a:ext uri="{FF2B5EF4-FFF2-40B4-BE49-F238E27FC236}">
                  <a16:creationId xmlns:a16="http://schemas.microsoft.com/office/drawing/2014/main" id="{E9426A5E-F27C-456E-BF21-55FEF8AAB4A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311647" y="4173002"/>
              <a:ext cx="1489141" cy="1980000"/>
            </a:xfrm>
            <a:prstGeom prst="rect">
              <a:avLst/>
            </a:prstGeom>
            <a:ln>
              <a:solidFill>
                <a:schemeClr val="tx1"/>
              </a:solidFill>
            </a:ln>
          </xdr:spPr>
        </xdr:pic>
        <xdr:pic>
          <xdr:nvPicPr>
            <xdr:cNvPr id="42" name="Picture 41">
              <a:extLst>
                <a:ext uri="{FF2B5EF4-FFF2-40B4-BE49-F238E27FC236}">
                  <a16:creationId xmlns:a16="http://schemas.microsoft.com/office/drawing/2014/main" id="{EF14C749-32A0-44A4-899A-E12034806EF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79431" y="4184386"/>
              <a:ext cx="1485000" cy="1980000"/>
            </a:xfrm>
            <a:prstGeom prst="rect">
              <a:avLst/>
            </a:prstGeom>
            <a:ln>
              <a:solidFill>
                <a:schemeClr val="tx1"/>
              </a:solidFill>
            </a:ln>
          </xdr:spPr>
        </xdr:pic>
        <xdr:pic>
          <xdr:nvPicPr>
            <xdr:cNvPr id="43" name="Picture 42">
              <a:extLst>
                <a:ext uri="{FF2B5EF4-FFF2-40B4-BE49-F238E27FC236}">
                  <a16:creationId xmlns:a16="http://schemas.microsoft.com/office/drawing/2014/main" id="{445C1AD7-6AA5-4EC9-8112-670B61BAD74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681787" y="4173001"/>
              <a:ext cx="1489143" cy="1980000"/>
            </a:xfrm>
            <a:prstGeom prst="rect">
              <a:avLst/>
            </a:prstGeom>
            <a:ln>
              <a:solidFill>
                <a:schemeClr val="tx1"/>
              </a:solidFill>
            </a:ln>
          </xdr:spPr>
        </xdr:pic>
        <xdr:sp macro="" textlink="">
          <xdr:nvSpPr>
            <xdr:cNvPr id="44" name="TextBox 83">
              <a:extLst>
                <a:ext uri="{FF2B5EF4-FFF2-40B4-BE49-F238E27FC236}">
                  <a16:creationId xmlns:a16="http://schemas.microsoft.com/office/drawing/2014/main" id="{F571979D-F46B-419F-A2FD-95CEE31CD316}"/>
                </a:ext>
              </a:extLst>
            </xdr:cNvPr>
            <xdr:cNvSpPr txBox="1"/>
          </xdr:nvSpPr>
          <xdr:spPr>
            <a:xfrm>
              <a:off x="3276600" y="381000"/>
              <a:ext cx="910959" cy="38010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H</a:t>
              </a:r>
              <a:endParaRPr lang="en-IN" b="1"/>
            </a:p>
          </xdr:txBody>
        </xdr:sp>
        <xdr:sp macro="" textlink="">
          <xdr:nvSpPr>
            <xdr:cNvPr id="45" name="TextBox 84">
              <a:extLst>
                <a:ext uri="{FF2B5EF4-FFF2-40B4-BE49-F238E27FC236}">
                  <a16:creationId xmlns:a16="http://schemas.microsoft.com/office/drawing/2014/main" id="{406CA53F-B0C7-41BF-963F-4AC3550230C9}"/>
                </a:ext>
              </a:extLst>
            </xdr:cNvPr>
            <xdr:cNvSpPr txBox="1"/>
          </xdr:nvSpPr>
          <xdr:spPr>
            <a:xfrm>
              <a:off x="4806723" y="1358153"/>
              <a:ext cx="994994" cy="38010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G</a:t>
              </a:r>
              <a:endParaRPr lang="en-IN" b="1"/>
            </a:p>
          </xdr:txBody>
        </xdr:sp>
        <xdr:pic>
          <xdr:nvPicPr>
            <xdr:cNvPr id="46" name="Picture 45">
              <a:extLst>
                <a:ext uri="{FF2B5EF4-FFF2-40B4-BE49-F238E27FC236}">
                  <a16:creationId xmlns:a16="http://schemas.microsoft.com/office/drawing/2014/main" id="{947B5BE4-691E-4AFB-AF22-F83C1D6AED8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918141" y="4173001"/>
              <a:ext cx="1594199" cy="1980000"/>
            </a:xfrm>
            <a:prstGeom prst="rect">
              <a:avLst/>
            </a:prstGeom>
            <a:ln>
              <a:solidFill>
                <a:schemeClr val="tx1"/>
              </a:solidFill>
            </a:ln>
          </xdr:spPr>
        </xdr:pic>
      </xdr:grpSp>
      <xdr:sp macro="" textlink="">
        <xdr:nvSpPr>
          <xdr:cNvPr id="32" name="TextBox 89">
            <a:extLst>
              <a:ext uri="{FF2B5EF4-FFF2-40B4-BE49-F238E27FC236}">
                <a16:creationId xmlns:a16="http://schemas.microsoft.com/office/drawing/2014/main" id="{0F28C013-72BC-45FB-9A32-979DA6A55357}"/>
              </a:ext>
            </a:extLst>
          </xdr:cNvPr>
          <xdr:cNvSpPr txBox="1"/>
        </xdr:nvSpPr>
        <xdr:spPr>
          <a:xfrm>
            <a:off x="1710910" y="4202668"/>
            <a:ext cx="1047702" cy="38010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G</a:t>
            </a:r>
            <a:endParaRPr lang="en-IN" b="1"/>
          </a:p>
        </xdr:txBody>
      </xdr:sp>
      <xdr:sp macro="" textlink="">
        <xdr:nvSpPr>
          <xdr:cNvPr id="33" name="TextBox 90">
            <a:extLst>
              <a:ext uri="{FF2B5EF4-FFF2-40B4-BE49-F238E27FC236}">
                <a16:creationId xmlns:a16="http://schemas.microsoft.com/office/drawing/2014/main" id="{3B112835-581F-4CC4-AAC6-035CC8324118}"/>
              </a:ext>
            </a:extLst>
          </xdr:cNvPr>
          <xdr:cNvSpPr txBox="1"/>
        </xdr:nvSpPr>
        <xdr:spPr>
          <a:xfrm>
            <a:off x="1430535" y="540385"/>
            <a:ext cx="1001831" cy="39731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H</a:t>
            </a:r>
            <a:endParaRPr lang="en-IN" b="1"/>
          </a:p>
        </xdr:txBody>
      </xdr:sp>
      <xdr:sp macro="" textlink="">
        <xdr:nvSpPr>
          <xdr:cNvPr id="38" name="TextBox 91">
            <a:extLst>
              <a:ext uri="{FF2B5EF4-FFF2-40B4-BE49-F238E27FC236}">
                <a16:creationId xmlns:a16="http://schemas.microsoft.com/office/drawing/2014/main" id="{C99A0F48-54A0-401E-9490-0163259F3F71}"/>
              </a:ext>
            </a:extLst>
          </xdr:cNvPr>
          <xdr:cNvSpPr txBox="1"/>
        </xdr:nvSpPr>
        <xdr:spPr>
          <a:xfrm>
            <a:off x="5294" y="4138847"/>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H</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15</xdr:col>
      <xdr:colOff>101974</xdr:colOff>
      <xdr:row>52</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AXcUhFMF36xZW1M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94"/>
  <sheetViews>
    <sheetView tabSelected="1" view="pageBreakPreview" zoomScale="85" zoomScaleNormal="100" zoomScaleSheetLayoutView="85" zoomScalePageLayoutView="70" workbookViewId="0">
      <selection activeCell="N12" sqref="N12"/>
    </sheetView>
  </sheetViews>
  <sheetFormatPr defaultColWidth="9.140625" defaultRowHeight="15.75" x14ac:dyDescent="0.25"/>
  <cols>
    <col min="1" max="1" width="11.42578125" style="40" customWidth="1"/>
    <col min="2" max="2" width="12" style="40" customWidth="1"/>
    <col min="3" max="3" width="12.7109375" style="40" customWidth="1"/>
    <col min="4" max="4" width="14.140625" style="40" customWidth="1"/>
    <col min="5" max="6" width="11.7109375" style="40" customWidth="1"/>
    <col min="7" max="7" width="11.42578125" style="40" customWidth="1"/>
    <col min="8" max="8" width="10.570312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14" ht="46.5" customHeight="1" x14ac:dyDescent="0.25">
      <c r="A1" s="119" t="s">
        <v>228</v>
      </c>
      <c r="B1" s="119"/>
      <c r="C1" s="119"/>
      <c r="D1" s="119"/>
      <c r="E1" s="119"/>
      <c r="F1" s="119"/>
      <c r="G1" s="119"/>
      <c r="H1" s="119"/>
    </row>
    <row r="2" spans="1:14" ht="16.5" customHeight="1" x14ac:dyDescent="0.25">
      <c r="A2" s="120" t="s">
        <v>0</v>
      </c>
      <c r="B2" s="120"/>
      <c r="C2" s="120"/>
      <c r="D2" s="120"/>
      <c r="E2" s="120"/>
      <c r="F2" s="120"/>
      <c r="G2" s="120"/>
      <c r="H2" s="120"/>
    </row>
    <row r="3" spans="1:14" x14ac:dyDescent="0.25">
      <c r="A3" s="106" t="s">
        <v>1</v>
      </c>
      <c r="B3" s="106"/>
      <c r="C3" s="106"/>
      <c r="D3" s="106"/>
      <c r="E3" s="106" t="str">
        <f ca="1">TEXT(TODAY(),"DD/MM/YYYY")</f>
        <v>12/09/2025</v>
      </c>
      <c r="F3" s="106"/>
      <c r="G3" s="106"/>
      <c r="H3" s="106"/>
    </row>
    <row r="4" spans="1:14" ht="15" customHeight="1" x14ac:dyDescent="0.25">
      <c r="A4" s="106" t="s">
        <v>2</v>
      </c>
      <c r="B4" s="106"/>
      <c r="C4" s="106"/>
      <c r="D4" s="106"/>
      <c r="E4" s="106" t="s">
        <v>166</v>
      </c>
      <c r="F4" s="106"/>
      <c r="G4" s="106"/>
      <c r="H4" s="106"/>
    </row>
    <row r="5" spans="1:14" x14ac:dyDescent="0.25">
      <c r="A5" s="106" t="s">
        <v>3</v>
      </c>
      <c r="B5" s="106"/>
      <c r="C5" s="106"/>
      <c r="D5" s="106"/>
      <c r="E5" s="122">
        <v>45911</v>
      </c>
      <c r="F5" s="106"/>
      <c r="G5" s="106"/>
      <c r="H5" s="106"/>
    </row>
    <row r="6" spans="1:14" ht="16.5" customHeight="1" x14ac:dyDescent="0.25">
      <c r="A6" s="106" t="s">
        <v>4</v>
      </c>
      <c r="B6" s="106"/>
      <c r="C6" s="106"/>
      <c r="D6" s="106"/>
      <c r="E6" s="106" t="s">
        <v>170</v>
      </c>
      <c r="F6" s="106"/>
      <c r="G6" s="106"/>
      <c r="H6" s="106"/>
    </row>
    <row r="7" spans="1:14" ht="15" customHeight="1" x14ac:dyDescent="0.25">
      <c r="A7" s="106" t="s">
        <v>5</v>
      </c>
      <c r="B7" s="106"/>
      <c r="C7" s="106"/>
      <c r="D7" s="106"/>
      <c r="E7" s="106" t="str">
        <f>E6</f>
        <v>Evie Real Estate Pvt. Ltd</v>
      </c>
      <c r="F7" s="106"/>
      <c r="G7" s="106"/>
      <c r="H7" s="106"/>
    </row>
    <row r="8" spans="1:14" x14ac:dyDescent="0.25">
      <c r="A8" s="106" t="s">
        <v>6</v>
      </c>
      <c r="B8" s="106"/>
      <c r="C8" s="106"/>
      <c r="D8" s="106"/>
      <c r="E8" s="121" t="s">
        <v>227</v>
      </c>
      <c r="F8" s="121"/>
      <c r="G8" s="121"/>
      <c r="H8" s="121"/>
    </row>
    <row r="9" spans="1:14" x14ac:dyDescent="0.25">
      <c r="A9" s="106" t="s">
        <v>163</v>
      </c>
      <c r="B9" s="106"/>
      <c r="C9" s="106"/>
      <c r="D9" s="106"/>
      <c r="E9" s="106">
        <v>8879688457</v>
      </c>
      <c r="F9" s="106"/>
      <c r="G9" s="106"/>
      <c r="H9" s="106"/>
    </row>
    <row r="10" spans="1:14" ht="30.95" customHeight="1" x14ac:dyDescent="0.25">
      <c r="A10" s="106" t="s">
        <v>164</v>
      </c>
      <c r="B10" s="106"/>
      <c r="C10" s="106"/>
      <c r="D10" s="106"/>
      <c r="E10" s="108" t="s">
        <v>240</v>
      </c>
      <c r="F10" s="108"/>
      <c r="G10" s="108"/>
      <c r="H10" s="108"/>
      <c r="N10" s="222">
        <v>0.42986111111111108</v>
      </c>
    </row>
    <row r="11" spans="1:14" ht="50.25" customHeight="1" x14ac:dyDescent="0.25">
      <c r="A11" s="106" t="s">
        <v>7</v>
      </c>
      <c r="B11" s="106"/>
      <c r="C11" s="106"/>
      <c r="D11" s="106"/>
      <c r="E11" s="108" t="s">
        <v>233</v>
      </c>
      <c r="F11" s="106"/>
      <c r="G11" s="106"/>
      <c r="H11" s="106"/>
      <c r="N11" s="222">
        <v>0.78402777777777777</v>
      </c>
    </row>
    <row r="12" spans="1:14" x14ac:dyDescent="0.25">
      <c r="A12" s="78" t="s">
        <v>8</v>
      </c>
      <c r="B12" s="78"/>
      <c r="C12" s="78"/>
      <c r="D12" s="78"/>
      <c r="E12" s="108" t="s">
        <v>171</v>
      </c>
      <c r="F12" s="108"/>
      <c r="G12" s="108"/>
      <c r="H12" s="108"/>
      <c r="N12" s="222">
        <f>N11-N10</f>
        <v>0.35416666666666669</v>
      </c>
    </row>
    <row r="13" spans="1:14" ht="32.25" customHeight="1" x14ac:dyDescent="0.25">
      <c r="A13" s="78" t="s">
        <v>9</v>
      </c>
      <c r="B13" s="78"/>
      <c r="C13" s="78"/>
      <c r="D13" s="78"/>
      <c r="E13" s="108" t="s">
        <v>199</v>
      </c>
      <c r="F13" s="106"/>
      <c r="G13" s="106"/>
      <c r="H13" s="106"/>
    </row>
    <row r="14" spans="1:14" ht="69.75" customHeight="1" x14ac:dyDescent="0.25">
      <c r="A14" s="102" t="s">
        <v>10</v>
      </c>
      <c r="B14" s="102"/>
      <c r="C14" s="102" t="str">
        <f>CONCATENATE((IF(OR(E8="",E8="NA"),"",E8)),", ",(IF(OR(A15="",A15="NA"),"",A15)),".",(IF(OR(C15="",C15="NA"),"",C15)),", near ",(IF(OR(C20="",C20="NA"),"",C20)),", ",(IF(OR(C17="",C17="NA"),"",C17)),", ",(IF(OR(C16="",C16="NA"),"",C16)),", ",(IF(OR(G17="",G17="NA"),"",G17)),", ",(IF(OR(C18="",C18="NA"),"",C18)),", ",(IF(OR(C19="",C19="NA"),"",C19)),", ",(IF(OR(G18="",G18="NA"),"",G18))," - ",(IF(OR(G19="",G19="NA"),"",G19)),".")</f>
        <v>Runwal Bliss Wing G &amp; H, CTS No..676, 1004, 1005, 1005/1, 1006, 1007(pt), 1007/1 to 4, 1008, 1008/1, 1009, 1009/1 to 6, 1010, 1011, 1013, 1014, 1014/1 to 6, 1017, 1017/1 to 6, 1018, 1018/1 to 9, near Fern Arkade Earth, Kanjur Village Road, , Kanjur, Kanjurmarg East, Kurla, Mumbai - 400042.</v>
      </c>
      <c r="D14" s="102"/>
      <c r="E14" s="102"/>
      <c r="F14" s="102"/>
      <c r="G14" s="102"/>
      <c r="H14" s="102"/>
    </row>
    <row r="15" spans="1:14" ht="33" customHeight="1" x14ac:dyDescent="0.25">
      <c r="A15" s="108" t="s">
        <v>165</v>
      </c>
      <c r="B15" s="108"/>
      <c r="C15" s="108" t="s">
        <v>172</v>
      </c>
      <c r="D15" s="108"/>
      <c r="E15" s="108"/>
      <c r="F15" s="108"/>
      <c r="G15" s="108"/>
      <c r="H15" s="108"/>
    </row>
    <row r="16" spans="1:14" ht="15.75" customHeight="1" x14ac:dyDescent="0.25">
      <c r="A16" s="108" t="s">
        <v>159</v>
      </c>
      <c r="B16" s="108"/>
      <c r="C16" s="108" t="s">
        <v>29</v>
      </c>
      <c r="D16" s="108"/>
      <c r="E16" s="108"/>
      <c r="F16" s="108"/>
      <c r="G16" s="108"/>
      <c r="H16" s="108"/>
    </row>
    <row r="17" spans="1:8" ht="15.75" customHeight="1" x14ac:dyDescent="0.25">
      <c r="A17" s="102" t="s">
        <v>11</v>
      </c>
      <c r="B17" s="102"/>
      <c r="C17" s="106" t="s">
        <v>178</v>
      </c>
      <c r="D17" s="106"/>
      <c r="E17" s="102" t="s">
        <v>73</v>
      </c>
      <c r="F17" s="102"/>
      <c r="G17" s="108" t="s">
        <v>173</v>
      </c>
      <c r="H17" s="108"/>
    </row>
    <row r="18" spans="1:8" x14ac:dyDescent="0.25">
      <c r="A18" s="78" t="s">
        <v>13</v>
      </c>
      <c r="B18" s="78"/>
      <c r="C18" s="108" t="s">
        <v>176</v>
      </c>
      <c r="D18" s="108"/>
      <c r="E18" s="102" t="s">
        <v>12</v>
      </c>
      <c r="F18" s="102"/>
      <c r="G18" s="118" t="s">
        <v>167</v>
      </c>
      <c r="H18" s="118"/>
    </row>
    <row r="19" spans="1:8" x14ac:dyDescent="0.25">
      <c r="A19" s="78" t="s">
        <v>74</v>
      </c>
      <c r="B19" s="78"/>
      <c r="C19" s="108" t="s">
        <v>177</v>
      </c>
      <c r="D19" s="108"/>
      <c r="E19" s="102" t="s">
        <v>14</v>
      </c>
      <c r="F19" s="102"/>
      <c r="G19" s="108">
        <v>400042</v>
      </c>
      <c r="H19" s="108"/>
    </row>
    <row r="20" spans="1:8" ht="32.25" customHeight="1" x14ac:dyDescent="0.25">
      <c r="A20" s="78" t="s">
        <v>120</v>
      </c>
      <c r="B20" s="78"/>
      <c r="C20" s="108" t="s">
        <v>179</v>
      </c>
      <c r="D20" s="108"/>
      <c r="E20" s="102" t="s">
        <v>15</v>
      </c>
      <c r="F20" s="102"/>
      <c r="G20" s="108" t="s">
        <v>175</v>
      </c>
      <c r="H20" s="108"/>
    </row>
    <row r="21" spans="1:8" ht="15" customHeight="1" x14ac:dyDescent="0.25">
      <c r="A21" s="102" t="s">
        <v>77</v>
      </c>
      <c r="B21" s="102"/>
      <c r="C21" s="102"/>
      <c r="D21" s="102"/>
      <c r="E21" s="106" t="s">
        <v>16</v>
      </c>
      <c r="F21" s="106"/>
      <c r="G21" s="106"/>
      <c r="H21" s="106"/>
    </row>
    <row r="22" spans="1:8" ht="18.75" customHeight="1" x14ac:dyDescent="0.25">
      <c r="A22" s="102"/>
      <c r="B22" s="102"/>
      <c r="C22" s="102"/>
      <c r="D22" s="102"/>
      <c r="E22" s="106"/>
      <c r="F22" s="106"/>
      <c r="G22" s="106"/>
      <c r="H22" s="106"/>
    </row>
    <row r="23" spans="1:8" ht="15" customHeight="1" x14ac:dyDescent="0.25">
      <c r="A23" s="102" t="s">
        <v>17</v>
      </c>
      <c r="B23" s="102"/>
      <c r="C23" s="102"/>
      <c r="D23" s="102"/>
      <c r="E23" s="108" t="s">
        <v>18</v>
      </c>
      <c r="F23" s="108"/>
      <c r="G23" s="108"/>
      <c r="H23" s="108"/>
    </row>
    <row r="24" spans="1:8" ht="15" customHeight="1" x14ac:dyDescent="0.25">
      <c r="A24" s="78" t="s">
        <v>19</v>
      </c>
      <c r="B24" s="78"/>
      <c r="C24" s="78"/>
      <c r="D24" s="78"/>
      <c r="E24" s="108" t="str">
        <f>IF(AND(G18="Mumbai"),"Upper Class","Middle Class")</f>
        <v>Upper Class</v>
      </c>
      <c r="F24" s="108"/>
      <c r="G24" s="108"/>
      <c r="H24" s="108"/>
    </row>
    <row r="25" spans="1:8" x14ac:dyDescent="0.25">
      <c r="A25" s="78" t="s">
        <v>20</v>
      </c>
      <c r="B25" s="78"/>
      <c r="C25" s="78"/>
      <c r="D25" s="78"/>
      <c r="E25" s="108" t="s">
        <v>21</v>
      </c>
      <c r="F25" s="108"/>
      <c r="G25" s="108"/>
      <c r="H25" s="108"/>
    </row>
    <row r="26" spans="1:8" ht="15.75" customHeight="1" x14ac:dyDescent="0.25">
      <c r="A26" s="78" t="s">
        <v>22</v>
      </c>
      <c r="B26" s="78"/>
      <c r="C26" s="78"/>
      <c r="D26" s="78"/>
      <c r="E26" s="108" t="str">
        <f>IF(AND(G18="Mumbai"),"Developed","Developing")</f>
        <v>Developed</v>
      </c>
      <c r="F26" s="108"/>
      <c r="G26" s="108"/>
      <c r="H26" s="108"/>
    </row>
    <row r="27" spans="1:8" x14ac:dyDescent="0.25">
      <c r="A27" s="78" t="s">
        <v>23</v>
      </c>
      <c r="B27" s="78"/>
      <c r="C27" s="78"/>
      <c r="D27" s="78"/>
      <c r="E27" s="108" t="s">
        <v>24</v>
      </c>
      <c r="F27" s="108"/>
      <c r="G27" s="108"/>
      <c r="H27" s="108"/>
    </row>
    <row r="28" spans="1:8" ht="15.75" customHeight="1" x14ac:dyDescent="0.25">
      <c r="A28" s="78" t="s">
        <v>82</v>
      </c>
      <c r="B28" s="78"/>
      <c r="C28" s="78"/>
      <c r="D28" s="78"/>
      <c r="E28" s="108" t="s">
        <v>83</v>
      </c>
      <c r="F28" s="108"/>
      <c r="G28" s="108"/>
      <c r="H28" s="108"/>
    </row>
    <row r="29" spans="1:8" ht="15" customHeight="1" x14ac:dyDescent="0.25">
      <c r="A29" s="78" t="s">
        <v>32</v>
      </c>
      <c r="B29" s="78"/>
      <c r="C29" s="78"/>
      <c r="D29" s="78"/>
      <c r="E29" s="108"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 + Commercial</v>
      </c>
      <c r="F29" s="108"/>
      <c r="G29" s="108"/>
      <c r="H29" s="108"/>
    </row>
    <row r="30" spans="1:8" ht="15.75" customHeight="1" x14ac:dyDescent="0.25">
      <c r="A30" s="78" t="s">
        <v>94</v>
      </c>
      <c r="B30" s="78"/>
      <c r="C30" s="78"/>
      <c r="D30" s="78"/>
      <c r="E30" s="108" t="s">
        <v>33</v>
      </c>
      <c r="F30" s="108"/>
      <c r="G30" s="108"/>
      <c r="H30" s="108"/>
    </row>
    <row r="31" spans="1:8" s="22" customFormat="1" x14ac:dyDescent="0.25">
      <c r="A31" s="117" t="s">
        <v>95</v>
      </c>
      <c r="B31" s="117"/>
      <c r="C31" s="114" t="s">
        <v>168</v>
      </c>
      <c r="D31" s="115"/>
      <c r="E31" s="116"/>
      <c r="F31" s="114" t="s">
        <v>30</v>
      </c>
      <c r="G31" s="115"/>
      <c r="H31" s="116"/>
    </row>
    <row r="32" spans="1:8" s="22" customFormat="1" x14ac:dyDescent="0.25">
      <c r="A32" s="96" t="s">
        <v>25</v>
      </c>
      <c r="B32" s="96" t="s">
        <v>29</v>
      </c>
      <c r="C32" s="97" t="s">
        <v>181</v>
      </c>
      <c r="D32" s="98"/>
      <c r="E32" s="99"/>
      <c r="F32" s="97" t="s">
        <v>181</v>
      </c>
      <c r="G32" s="98"/>
      <c r="H32" s="99"/>
    </row>
    <row r="33" spans="1:8" x14ac:dyDescent="0.25">
      <c r="A33" s="96" t="s">
        <v>26</v>
      </c>
      <c r="B33" s="96" t="s">
        <v>29</v>
      </c>
      <c r="C33" s="97" t="s">
        <v>180</v>
      </c>
      <c r="D33" s="98"/>
      <c r="E33" s="99"/>
      <c r="F33" s="97" t="s">
        <v>181</v>
      </c>
      <c r="G33" s="98"/>
      <c r="H33" s="99"/>
    </row>
    <row r="34" spans="1:8" s="22" customFormat="1" x14ac:dyDescent="0.25">
      <c r="A34" s="96" t="s">
        <v>28</v>
      </c>
      <c r="B34" s="96" t="s">
        <v>29</v>
      </c>
      <c r="C34" s="97" t="s">
        <v>181</v>
      </c>
      <c r="D34" s="98"/>
      <c r="E34" s="99"/>
      <c r="F34" s="97" t="s">
        <v>183</v>
      </c>
      <c r="G34" s="98"/>
      <c r="H34" s="99"/>
    </row>
    <row r="35" spans="1:8" x14ac:dyDescent="0.25">
      <c r="A35" s="96" t="s">
        <v>27</v>
      </c>
      <c r="B35" s="96" t="s">
        <v>29</v>
      </c>
      <c r="C35" s="97" t="s">
        <v>182</v>
      </c>
      <c r="D35" s="98"/>
      <c r="E35" s="99"/>
      <c r="F35" s="97" t="s">
        <v>179</v>
      </c>
      <c r="G35" s="98"/>
      <c r="H35" s="99"/>
    </row>
    <row r="36" spans="1:8" x14ac:dyDescent="0.25">
      <c r="A36" s="78" t="s">
        <v>31</v>
      </c>
      <c r="B36" s="78"/>
      <c r="C36" s="78"/>
      <c r="D36" s="78"/>
      <c r="E36" s="78"/>
      <c r="F36" s="78"/>
      <c r="G36" s="78"/>
      <c r="H36" s="78"/>
    </row>
    <row r="37" spans="1:8" ht="15.75" customHeight="1" x14ac:dyDescent="0.25">
      <c r="A37" s="78" t="s">
        <v>161</v>
      </c>
      <c r="B37" s="78"/>
      <c r="C37" s="101" t="s">
        <v>229</v>
      </c>
      <c r="D37" s="101"/>
      <c r="E37" s="101"/>
      <c r="F37" s="101"/>
      <c r="G37" s="101"/>
      <c r="H37" s="101"/>
    </row>
    <row r="38" spans="1:8" x14ac:dyDescent="0.25">
      <c r="A38" s="78" t="s">
        <v>158</v>
      </c>
      <c r="B38" s="78"/>
      <c r="C38" s="107" t="s">
        <v>174</v>
      </c>
      <c r="D38" s="108"/>
      <c r="E38" s="108"/>
      <c r="F38" s="108"/>
      <c r="G38" s="108"/>
      <c r="H38" s="108"/>
    </row>
    <row r="39" spans="1:8" x14ac:dyDescent="0.25">
      <c r="A39" s="101" t="s">
        <v>34</v>
      </c>
      <c r="B39" s="101"/>
      <c r="C39" s="101"/>
      <c r="D39" s="101"/>
      <c r="E39" s="101"/>
      <c r="F39" s="101"/>
      <c r="G39" s="101"/>
      <c r="H39" s="101"/>
    </row>
    <row r="40" spans="1:8" x14ac:dyDescent="0.25">
      <c r="A40" s="78" t="s">
        <v>35</v>
      </c>
      <c r="B40" s="78"/>
      <c r="C40" s="78"/>
      <c r="D40" s="78"/>
      <c r="E40" s="100">
        <v>29648.26</v>
      </c>
      <c r="F40" s="100"/>
      <c r="G40" s="100"/>
      <c r="H40" s="100"/>
    </row>
    <row r="41" spans="1:8" x14ac:dyDescent="0.25">
      <c r="A41" s="78" t="s">
        <v>36</v>
      </c>
      <c r="B41" s="78"/>
      <c r="C41" s="78"/>
      <c r="D41" s="78"/>
      <c r="E41" s="104">
        <v>1</v>
      </c>
      <c r="F41" s="104"/>
      <c r="G41" s="104"/>
      <c r="H41" s="104"/>
    </row>
    <row r="42" spans="1:8" x14ac:dyDescent="0.25">
      <c r="A42" s="78" t="s">
        <v>37</v>
      </c>
      <c r="B42" s="78"/>
      <c r="C42" s="78"/>
      <c r="D42" s="78"/>
      <c r="E42" s="104">
        <f>E44/E40-E41</f>
        <v>4.5741928868675599</v>
      </c>
      <c r="F42" s="104"/>
      <c r="G42" s="104"/>
      <c r="H42" s="104"/>
    </row>
    <row r="43" spans="1:8" x14ac:dyDescent="0.25">
      <c r="A43" s="78" t="s">
        <v>38</v>
      </c>
      <c r="B43" s="78"/>
      <c r="C43" s="78"/>
      <c r="D43" s="78"/>
      <c r="E43" s="104">
        <f>E41+E42</f>
        <v>5.5741928868675599</v>
      </c>
      <c r="F43" s="104"/>
      <c r="G43" s="104"/>
      <c r="H43" s="104"/>
    </row>
    <row r="44" spans="1:8" x14ac:dyDescent="0.25">
      <c r="A44" s="78" t="s">
        <v>93</v>
      </c>
      <c r="B44" s="78"/>
      <c r="C44" s="78"/>
      <c r="D44" s="78"/>
      <c r="E44" s="105">
        <v>165265.12</v>
      </c>
      <c r="F44" s="105"/>
      <c r="G44" s="105"/>
      <c r="H44" s="105"/>
    </row>
    <row r="45" spans="1:8" x14ac:dyDescent="0.25">
      <c r="A45" s="106" t="s">
        <v>39</v>
      </c>
      <c r="B45" s="106"/>
      <c r="C45" s="106"/>
      <c r="D45" s="106"/>
      <c r="E45" s="106" t="s">
        <v>200</v>
      </c>
      <c r="F45" s="106"/>
      <c r="G45" s="106"/>
      <c r="H45" s="106"/>
    </row>
    <row r="46" spans="1:8" x14ac:dyDescent="0.25">
      <c r="A46" s="101" t="s">
        <v>40</v>
      </c>
      <c r="B46" s="101"/>
      <c r="C46" s="101"/>
      <c r="D46" s="101"/>
      <c r="E46" s="101"/>
      <c r="F46" s="101"/>
      <c r="G46" s="101"/>
      <c r="H46" s="101"/>
    </row>
    <row r="47" spans="1:8" ht="33.75" customHeight="1" x14ac:dyDescent="0.25">
      <c r="A47" s="109" t="s">
        <v>149</v>
      </c>
      <c r="B47" s="110"/>
      <c r="C47" s="111" t="s">
        <v>184</v>
      </c>
      <c r="D47" s="112"/>
      <c r="E47" s="112"/>
      <c r="F47" s="112"/>
      <c r="G47" s="112"/>
      <c r="H47" s="113"/>
    </row>
    <row r="48" spans="1:8" ht="30.75" customHeight="1" x14ac:dyDescent="0.25">
      <c r="A48" s="109" t="s">
        <v>41</v>
      </c>
      <c r="B48" s="110"/>
      <c r="C48" s="109" t="s">
        <v>222</v>
      </c>
      <c r="D48" s="174"/>
      <c r="E48" s="110"/>
      <c r="F48" s="18" t="s">
        <v>42</v>
      </c>
      <c r="G48" s="128">
        <v>45135</v>
      </c>
      <c r="H48" s="110"/>
    </row>
    <row r="49" spans="1:14" ht="30.75" customHeight="1" x14ac:dyDescent="0.25">
      <c r="A49" s="109" t="s">
        <v>43</v>
      </c>
      <c r="B49" s="110"/>
      <c r="C49" s="109" t="str">
        <f>C48</f>
        <v>P-8324/2021/(1004  And Other)/S Ward/KANJUR-E/337/4/Amend</v>
      </c>
      <c r="D49" s="174"/>
      <c r="E49" s="110"/>
      <c r="F49" s="18" t="s">
        <v>42</v>
      </c>
      <c r="G49" s="128">
        <f>G48</f>
        <v>45135</v>
      </c>
      <c r="H49" s="129"/>
    </row>
    <row r="50" spans="1:14" s="23" customFormat="1" ht="30.75" customHeight="1" x14ac:dyDescent="0.25">
      <c r="A50" s="130" t="s">
        <v>153</v>
      </c>
      <c r="B50" s="131"/>
      <c r="C50" s="109" t="s">
        <v>232</v>
      </c>
      <c r="D50" s="174"/>
      <c r="E50" s="110"/>
      <c r="F50" s="18" t="s">
        <v>42</v>
      </c>
      <c r="G50" s="128">
        <v>45405</v>
      </c>
      <c r="H50" s="110"/>
    </row>
    <row r="51" spans="1:14" s="23" customFormat="1" ht="237.6" customHeight="1" x14ac:dyDescent="0.25">
      <c r="A51" s="132"/>
      <c r="B51" s="133"/>
      <c r="C51" s="109" t="s">
        <v>231</v>
      </c>
      <c r="D51" s="174"/>
      <c r="E51" s="110"/>
      <c r="F51" s="18" t="s">
        <v>119</v>
      </c>
      <c r="G51" s="128">
        <v>45768</v>
      </c>
      <c r="H51" s="110"/>
    </row>
    <row r="52" spans="1:14" x14ac:dyDescent="0.25">
      <c r="A52" s="211" t="s">
        <v>44</v>
      </c>
      <c r="B52" s="212"/>
      <c r="C52" s="211" t="s">
        <v>101</v>
      </c>
      <c r="D52" s="213"/>
      <c r="E52" s="212"/>
      <c r="F52" s="46" t="s">
        <v>42</v>
      </c>
      <c r="G52" s="215" t="s">
        <v>29</v>
      </c>
      <c r="H52" s="216"/>
    </row>
    <row r="53" spans="1:14" x14ac:dyDescent="0.25">
      <c r="A53" s="214" t="s">
        <v>46</v>
      </c>
      <c r="B53" s="214"/>
      <c r="C53" s="214"/>
      <c r="D53" s="214"/>
      <c r="E53" s="214"/>
      <c r="F53" s="214"/>
      <c r="G53" s="214"/>
      <c r="H53" s="214"/>
    </row>
    <row r="54" spans="1:14" x14ac:dyDescent="0.25">
      <c r="A54" s="102" t="s">
        <v>92</v>
      </c>
      <c r="B54" s="102"/>
      <c r="C54" s="102"/>
      <c r="D54" s="78">
        <v>12668.71</v>
      </c>
      <c r="E54" s="78"/>
      <c r="F54" s="78"/>
      <c r="G54" s="78"/>
      <c r="H54" s="78"/>
    </row>
    <row r="55" spans="1:14" x14ac:dyDescent="0.25">
      <c r="A55" s="108" t="s">
        <v>47</v>
      </c>
      <c r="B55" s="106"/>
      <c r="C55" s="106"/>
      <c r="D55" s="106" t="s">
        <v>226</v>
      </c>
      <c r="E55" s="106"/>
      <c r="F55" s="106"/>
      <c r="G55" s="106"/>
      <c r="H55" s="106"/>
      <c r="I55" s="24"/>
    </row>
    <row r="56" spans="1:14" ht="30.75" customHeight="1" x14ac:dyDescent="0.25">
      <c r="A56" s="125" t="s">
        <v>48</v>
      </c>
      <c r="B56" s="126"/>
      <c r="C56" s="127"/>
      <c r="D56" s="123" t="s">
        <v>211</v>
      </c>
      <c r="E56" s="124"/>
      <c r="F56" s="124"/>
      <c r="G56" s="124"/>
      <c r="H56" s="124"/>
    </row>
    <row r="57" spans="1:14" x14ac:dyDescent="0.25">
      <c r="A57" s="125" t="s">
        <v>90</v>
      </c>
      <c r="B57" s="126"/>
      <c r="C57" s="126"/>
      <c r="D57" s="125" t="s">
        <v>223</v>
      </c>
      <c r="E57" s="126"/>
      <c r="F57" s="126"/>
      <c r="G57" s="126"/>
      <c r="H57" s="127"/>
    </row>
    <row r="58" spans="1:14" ht="15.75" customHeight="1" x14ac:dyDescent="0.25">
      <c r="A58" s="78" t="s">
        <v>45</v>
      </c>
      <c r="B58" s="78"/>
      <c r="C58" s="78"/>
      <c r="D58" s="102" t="s">
        <v>185</v>
      </c>
      <c r="E58" s="102"/>
      <c r="F58" s="102"/>
      <c r="G58" s="102"/>
      <c r="H58" s="102"/>
      <c r="J58" s="25"/>
      <c r="K58" s="24"/>
      <c r="N58" s="24"/>
    </row>
    <row r="59" spans="1:14" ht="15.75" customHeight="1" x14ac:dyDescent="0.25">
      <c r="A59" s="78" t="s">
        <v>88</v>
      </c>
      <c r="B59" s="78"/>
      <c r="C59" s="78"/>
      <c r="D59" s="103" t="str">
        <f>(IF(G52="NA","60 Years After Completion",IF(G52&lt;&gt;"NA",""&amp;60-ROUNDDOWN((E3-G52)/360,0)&amp;" Years"," ")))</f>
        <v>60 Years After Completion</v>
      </c>
      <c r="E59" s="103"/>
      <c r="F59" s="103"/>
      <c r="G59" s="103"/>
      <c r="H59" s="103"/>
      <c r="N59" s="24"/>
    </row>
    <row r="60" spans="1:14" ht="15.75" customHeight="1" x14ac:dyDescent="0.25">
      <c r="A60" s="78" t="s">
        <v>89</v>
      </c>
      <c r="B60" s="78"/>
      <c r="C60" s="78"/>
      <c r="D60" s="102" t="s">
        <v>24</v>
      </c>
      <c r="E60" s="102"/>
      <c r="F60" s="102"/>
      <c r="G60" s="102"/>
      <c r="H60" s="102"/>
      <c r="J60" s="26"/>
      <c r="K60" s="26"/>
    </row>
    <row r="61" spans="1:14" ht="18" customHeight="1" x14ac:dyDescent="0.25">
      <c r="A61" s="78" t="s">
        <v>75</v>
      </c>
      <c r="B61" s="78"/>
      <c r="C61" s="78"/>
      <c r="D61" s="108" t="s">
        <v>192</v>
      </c>
      <c r="E61" s="102"/>
      <c r="F61" s="102"/>
      <c r="G61" s="102"/>
      <c r="H61" s="102"/>
    </row>
    <row r="62" spans="1:14" x14ac:dyDescent="0.25">
      <c r="A62" s="102" t="s">
        <v>146</v>
      </c>
      <c r="B62" s="102"/>
      <c r="C62" s="102"/>
      <c r="D62" s="102" t="s">
        <v>29</v>
      </c>
      <c r="E62" s="102"/>
      <c r="F62" s="102"/>
      <c r="G62" s="102"/>
      <c r="H62" s="102"/>
      <c r="I62" s="27"/>
      <c r="J62" s="27"/>
      <c r="K62" s="27"/>
      <c r="L62" s="27"/>
      <c r="M62" s="27"/>
      <c r="N62" s="27"/>
    </row>
    <row r="63" spans="1:14" ht="15.75" customHeight="1" x14ac:dyDescent="0.25">
      <c r="A63" s="178" t="s">
        <v>87</v>
      </c>
      <c r="B63" s="178"/>
      <c r="C63" s="178"/>
      <c r="D63" s="123" t="str">
        <f ca="1">(IF(G69&gt;95%,"Nothing",IF(G69&gt;0%,"Cement, Aggregate, Steel, etc",IF(G69=0%,"Work not yet Started"))))</f>
        <v>Cement, Aggregate, Steel, etc</v>
      </c>
      <c r="E63" s="123"/>
      <c r="F63" s="123"/>
      <c r="G63" s="123"/>
      <c r="H63" s="123"/>
      <c r="J63" s="26"/>
    </row>
    <row r="64" spans="1:14" ht="33.75" customHeight="1" thickBot="1" x14ac:dyDescent="0.3">
      <c r="A64" s="144" t="s">
        <v>114</v>
      </c>
      <c r="B64" s="144"/>
      <c r="C64" s="144"/>
      <c r="D64" s="123" t="str">
        <f ca="1">(IF(D63="Nothing","Yes",IF(D63="Cement, Aggregate, Steel, etc","Under Construction",IF(D63="Work not yet Started","Work not yet Started"))))</f>
        <v>Under Construction</v>
      </c>
      <c r="E64" s="123"/>
      <c r="F64" s="123" t="str">
        <f ca="1">(IF(D63="Nothing","Yes",IF(D63="Cement, Aggregate, Steel, etc","Under Construction",IF(D63="Work not yet Started","Work not yet Started"))))</f>
        <v>Under Construction</v>
      </c>
      <c r="G64" s="123"/>
      <c r="H64" s="123"/>
    </row>
    <row r="65" spans="1:10" ht="15.75" customHeight="1" x14ac:dyDescent="0.25">
      <c r="A65" s="137" t="s">
        <v>138</v>
      </c>
      <c r="B65" s="138"/>
      <c r="C65" s="139" t="s">
        <v>224</v>
      </c>
      <c r="D65" s="140"/>
      <c r="E65" s="140"/>
      <c r="F65" s="140"/>
      <c r="G65" s="140"/>
      <c r="H65" s="141"/>
      <c r="I65" s="50" t="str">
        <f ca="1">IF(D78=100%,"All work Completed. Possession granted to the Building.",IF(D77=100%,"All work Completed, Waiting for OC",I66&amp;""&amp;I67&amp;""&amp;J66&amp;""&amp;J65&amp;" "&amp;J67))</f>
        <v>Excavation, Plinth Completed, RCC upto 11 Slab, Brickwork upto 10 Floor, Internal Plaster upto 7.5 Floor, External Plaster upto 6.5 Floor Completed</v>
      </c>
      <c r="J65" s="51" t="str">
        <f ca="1">(IF(C71=(D66+F66+H66),"",IF(C71&gt;0,", RCC upto "&amp;C71&amp;" Slab","")))&amp;(IF(C72=H66,"",IF(C72&gt;0,", Brickwork upto "&amp;C72&amp;" Floor","")))&amp;(IF(C73=H66,"",IF(C73&gt;0,", Internal Plaster upto "&amp;C73&amp;" Floor","")))&amp;(IF(C74=H66,"",IF(C74&gt;0,", External Plaster upto "&amp;C74&amp;" Floor","")))&amp;(IF(C75=H66,"",IF(C75&gt;0,", Flooring upto "&amp;C75&amp;" Floor","")))&amp;(IF(C76=H66,"",IF(C76&gt;0,", Painting upto "&amp;C76&amp;" Floor","")))&amp;(IF(C77=H66,"",IF(C77&gt;0,", Finishing upto "&amp;C77&amp;" Floor","")))&amp;(IF(C78=H66,"",IF(C78&gt;0,", Possession upto "&amp;C78&amp;" Floor","")))</f>
        <v>, RCC upto 11 Slab, Brickwork upto 10 Floor, Internal Plaster upto 7.5 Floor, External Plaster upto 6.5 Floor</v>
      </c>
    </row>
    <row r="66" spans="1:10" x14ac:dyDescent="0.25">
      <c r="A66" s="16" t="s">
        <v>140</v>
      </c>
      <c r="B66" s="48">
        <f>IF(AND(ISNUMBER(SEARCH("1B",C65))),1,IF(AND(ISNUMBER(SEARCH("2B",C65))),2,IF(AND(ISNUMBER(SEARCH("3B",C65))),3,IF(AND(ISNUMBER(SEARCH("4B",C65))),4,IF(ISNUMBER(SEARCH("5B",C65)),5,0)))))</f>
        <v>2</v>
      </c>
      <c r="C66" s="48" t="s">
        <v>72</v>
      </c>
      <c r="D66" s="48">
        <v>1</v>
      </c>
      <c r="E66" s="48" t="s">
        <v>71</v>
      </c>
      <c r="F66" s="48">
        <v>0</v>
      </c>
      <c r="G66" s="49" t="s">
        <v>81</v>
      </c>
      <c r="H66" s="17">
        <f ca="1">--TRIM(RIGHT(SUBSTITUTE(LEFT(C65,_xlfn.AGGREGATE(16,6,FIND({0,1,2,3,4,5,6,7,8,9},C65,ROW(INDIRECT("1:"&amp;LEN(C65)))),1))," ",REPT(" ",LEN(C65))),LEN(C65)))</f>
        <v>50</v>
      </c>
      <c r="I66" s="52" t="str">
        <f ca="1">IF(D69=100%,"Excavation","")&amp;IF(D70=100%,", Plinth","")&amp;IF(D71=100%,", RCC Slab","")&amp;IF(D72=100%,", Brickwork","")&amp;IF(D73=100%,", Internal Plaster","")&amp;IF(D74=100%,", External Plaster","")&amp;IF(D75=100%,", Flooring","")&amp;IF(D76=100%,", Painting","")&amp;IF(D77=100%,", Building common Amenities","")</f>
        <v>Excavation, Plinth</v>
      </c>
      <c r="J66" s="53" t="str">
        <f ca="1">(IF(C69=0,"Work not yet Started.",IF(D69=25%,"Piling work in process",IF(D69=50%,"Excavation work in process",IF(D69=100%,"","0")))))&amp;(IF(C70=0%,"",IF(C70=J71,", Footing work is process",IF(C70=J72,", Footing work Completed",IF(C70=J73,", 1st Basement Completed",IF(C70=J74,", 1st &amp; 2nd Basement Completed",IF(C70=J75,", 1st to 3rd Basement Completed",IF(C70=J76,", 1st to 4th Basement Completed",IF(C70=J77,", Plinth work is process",IF(C70=J78,"","0"))))))))))</f>
        <v/>
      </c>
    </row>
    <row r="67" spans="1:10" ht="32.25" customHeight="1" x14ac:dyDescent="0.25">
      <c r="A67" s="136" t="s">
        <v>91</v>
      </c>
      <c r="B67" s="121"/>
      <c r="C67" s="142" t="str">
        <f ca="1">I65</f>
        <v>Excavation, Plinth Completed, RCC upto 11 Slab, Brickwork upto 10 Floor, Internal Plaster upto 7.5 Floor, External Plaster upto 6.5 Floor Completed</v>
      </c>
      <c r="D67" s="142"/>
      <c r="E67" s="142"/>
      <c r="F67" s="142"/>
      <c r="G67" s="142"/>
      <c r="H67" s="143"/>
      <c r="I67" s="52" t="str">
        <f ca="1">IF(I66&lt;&gt;""," Completed","")</f>
        <v xml:space="preserve"> Completed</v>
      </c>
      <c r="J67" s="53" t="str">
        <f ca="1">IF(J65&lt;&gt;"","Completed","")</f>
        <v>Completed</v>
      </c>
    </row>
    <row r="68" spans="1:10" ht="15.75" customHeight="1" x14ac:dyDescent="0.25">
      <c r="A68" s="134" t="s">
        <v>49</v>
      </c>
      <c r="B68" s="135"/>
      <c r="C68" s="44" t="s">
        <v>137</v>
      </c>
      <c r="D68" s="44" t="s">
        <v>84</v>
      </c>
      <c r="E68" s="135" t="s">
        <v>86</v>
      </c>
      <c r="F68" s="135"/>
      <c r="G68" s="135" t="s">
        <v>85</v>
      </c>
      <c r="H68" s="179"/>
      <c r="I68" s="14" t="s">
        <v>139</v>
      </c>
      <c r="J68" s="28">
        <f ca="1">H66*25%</f>
        <v>12.5</v>
      </c>
    </row>
    <row r="69" spans="1:10" x14ac:dyDescent="0.25">
      <c r="A69" s="134" t="s">
        <v>126</v>
      </c>
      <c r="B69" s="135"/>
      <c r="C69" s="44">
        <f ca="1">J70</f>
        <v>50</v>
      </c>
      <c r="D69" s="19">
        <f ca="1">((100/H66)*C69)/100</f>
        <v>1</v>
      </c>
      <c r="E69" s="180">
        <f ca="1">(((C70/H66*10)+(40/(D66+F66+H66)*C71)+(7.5/(H66)*C72)+(7.5/(H66)*C73)+(10/H66*C74)+(10/H66*C75)+(5/H66*C76)+(5/H66*C77)+(5/H66*C78))/100)</f>
        <v>0.22552450980392155</v>
      </c>
      <c r="F69" s="181"/>
      <c r="G69" s="180">
        <f ca="1">((((C69/H66)*20)+((C70/H66)*25)+(30/(H66+F66+D66)*C71)+(5/H66*C72)+(5/H66*C73)+(5/H66*C74)+(5/H66*C75)+(0/H66*C76)+(0/H66*C77)+(5/H66*C78))/100)</f>
        <v>0.53870588235294115</v>
      </c>
      <c r="H69" s="186"/>
      <c r="I69" s="14" t="s">
        <v>96</v>
      </c>
      <c r="J69" s="29">
        <f ca="1">H66*50%</f>
        <v>25</v>
      </c>
    </row>
    <row r="70" spans="1:10" x14ac:dyDescent="0.25">
      <c r="A70" s="134" t="s">
        <v>50</v>
      </c>
      <c r="B70" s="135"/>
      <c r="C70" s="54">
        <f ca="1">J78</f>
        <v>50</v>
      </c>
      <c r="D70" s="19">
        <f ca="1">((100/H66)*C70)/100</f>
        <v>1</v>
      </c>
      <c r="E70" s="182"/>
      <c r="F70" s="183"/>
      <c r="G70" s="182"/>
      <c r="H70" s="187"/>
      <c r="I70" s="14" t="s">
        <v>97</v>
      </c>
      <c r="J70" s="29">
        <f ca="1">H66</f>
        <v>50</v>
      </c>
    </row>
    <row r="71" spans="1:10" ht="15.75" customHeight="1" x14ac:dyDescent="0.25">
      <c r="A71" s="134" t="s">
        <v>127</v>
      </c>
      <c r="B71" s="135"/>
      <c r="C71" s="54">
        <v>11</v>
      </c>
      <c r="D71" s="19">
        <f ca="1">((100/(D66+F66+H66))*C71)/100</f>
        <v>0.2156862745098039</v>
      </c>
      <c r="E71" s="182"/>
      <c r="F71" s="183"/>
      <c r="G71" s="182"/>
      <c r="H71" s="187"/>
      <c r="I71" s="14" t="s">
        <v>98</v>
      </c>
      <c r="J71" s="30">
        <f ca="1">(IF(B66&gt;1,(H66/(B66+2)),H66/4))</f>
        <v>12.5</v>
      </c>
    </row>
    <row r="72" spans="1:10" ht="15.75" customHeight="1" x14ac:dyDescent="0.25">
      <c r="A72" s="134" t="s">
        <v>134</v>
      </c>
      <c r="B72" s="135" t="s">
        <v>128</v>
      </c>
      <c r="C72" s="54">
        <f>C71-D66</f>
        <v>10</v>
      </c>
      <c r="D72" s="19">
        <f ca="1">((100/H66)*C72)/100</f>
        <v>0.2</v>
      </c>
      <c r="E72" s="182"/>
      <c r="F72" s="183"/>
      <c r="G72" s="182"/>
      <c r="H72" s="187"/>
      <c r="I72" s="14" t="s">
        <v>99</v>
      </c>
      <c r="J72" s="30">
        <f ca="1">(IF(B66&gt;1,(H66/(B66+2)+J71),H66/4+J71))</f>
        <v>25</v>
      </c>
    </row>
    <row r="73" spans="1:10" ht="15.75" customHeight="1" x14ac:dyDescent="0.25">
      <c r="A73" s="134" t="s">
        <v>135</v>
      </c>
      <c r="B73" s="135" t="s">
        <v>128</v>
      </c>
      <c r="C73" s="54">
        <f>C72*0.75</f>
        <v>7.5</v>
      </c>
      <c r="D73" s="19">
        <f ca="1">((100/H66)*C73)/100</f>
        <v>0.15</v>
      </c>
      <c r="E73" s="182"/>
      <c r="F73" s="183"/>
      <c r="G73" s="182"/>
      <c r="H73" s="187"/>
      <c r="I73" s="14" t="s">
        <v>144</v>
      </c>
      <c r="J73" s="30">
        <f ca="1">(IF(B66&gt;1,(H66/(B66+2)+J72),0))</f>
        <v>37.5</v>
      </c>
    </row>
    <row r="74" spans="1:10" ht="15" customHeight="1" x14ac:dyDescent="0.25">
      <c r="A74" s="134" t="s">
        <v>133</v>
      </c>
      <c r="B74" s="135" t="s">
        <v>130</v>
      </c>
      <c r="C74" s="54">
        <f>C72*0.65</f>
        <v>6.5</v>
      </c>
      <c r="D74" s="19">
        <f ca="1">((100/(H66))*C74)/100</f>
        <v>0.13</v>
      </c>
      <c r="E74" s="182"/>
      <c r="F74" s="183"/>
      <c r="G74" s="182"/>
      <c r="H74" s="187"/>
      <c r="I74" s="14" t="s">
        <v>141</v>
      </c>
      <c r="J74" s="30">
        <f>(IF(B66&gt;2,(H66/(B66+2)+J73),0))</f>
        <v>0</v>
      </c>
    </row>
    <row r="75" spans="1:10" ht="15.75" customHeight="1" x14ac:dyDescent="0.25">
      <c r="A75" s="134" t="s">
        <v>129</v>
      </c>
      <c r="B75" s="135" t="s">
        <v>129</v>
      </c>
      <c r="C75" s="44">
        <v>0</v>
      </c>
      <c r="D75" s="19">
        <f ca="1">((100/H66)*C75)/100</f>
        <v>0</v>
      </c>
      <c r="E75" s="182"/>
      <c r="F75" s="183"/>
      <c r="G75" s="182"/>
      <c r="H75" s="187"/>
      <c r="I75" s="14" t="s">
        <v>142</v>
      </c>
      <c r="J75" s="31">
        <f>(IF(B66&gt;3,(H66/(B66+2)+J74),0))</f>
        <v>0</v>
      </c>
    </row>
    <row r="76" spans="1:10" ht="15.75" customHeight="1" x14ac:dyDescent="0.25">
      <c r="A76" s="134" t="s">
        <v>136</v>
      </c>
      <c r="B76" s="135"/>
      <c r="C76" s="44">
        <v>0</v>
      </c>
      <c r="D76" s="19">
        <f ca="1">((100/H66)*C76)/100</f>
        <v>0</v>
      </c>
      <c r="E76" s="182"/>
      <c r="F76" s="183"/>
      <c r="G76" s="182"/>
      <c r="H76" s="187"/>
      <c r="I76" s="14" t="s">
        <v>143</v>
      </c>
      <c r="J76" s="30">
        <f>(IF(B66&gt;4,(H66/(B66+2)+J75),0))</f>
        <v>0</v>
      </c>
    </row>
    <row r="77" spans="1:10" ht="15.75" customHeight="1" x14ac:dyDescent="0.25">
      <c r="A77" s="134" t="s">
        <v>131</v>
      </c>
      <c r="B77" s="135" t="s">
        <v>131</v>
      </c>
      <c r="C77" s="44">
        <v>0</v>
      </c>
      <c r="D77" s="19">
        <f ca="1">((100/(H66))*C77)/100</f>
        <v>0</v>
      </c>
      <c r="E77" s="182"/>
      <c r="F77" s="183"/>
      <c r="G77" s="182"/>
      <c r="H77" s="187"/>
      <c r="I77" s="14" t="s">
        <v>145</v>
      </c>
      <c r="J77" s="30">
        <f>(IF(B66=1,(H66/(B66+3)+J72),IF(B66=0,(H66/4+J72),IF(B66&gt;1,0))))</f>
        <v>0</v>
      </c>
    </row>
    <row r="78" spans="1:10" ht="16.5" thickBot="1" x14ac:dyDescent="0.3">
      <c r="A78" s="189" t="s">
        <v>132</v>
      </c>
      <c r="B78" s="190"/>
      <c r="C78" s="45">
        <v>0</v>
      </c>
      <c r="D78" s="20">
        <f ca="1">((100/(H66))*C78)/100</f>
        <v>0</v>
      </c>
      <c r="E78" s="184"/>
      <c r="F78" s="185"/>
      <c r="G78" s="184"/>
      <c r="H78" s="188"/>
      <c r="I78" s="15" t="s">
        <v>100</v>
      </c>
      <c r="J78" s="32">
        <f ca="1">(IF(B66&gt;1.5,(H66/(B66+2)+J72+MAX(0,J73-J72)+MAX(0,J74-J73)+MAX(0,J75-J74)+MAX(0,J76-J75)+MAX(0,J77-J76)),IF(B66=1,(H66/(B66+3)+J77),IF(B66=0,H66/4+J77))))</f>
        <v>50</v>
      </c>
    </row>
    <row r="79" spans="1:10" ht="15.75" customHeight="1" x14ac:dyDescent="0.25">
      <c r="A79" s="137" t="s">
        <v>138</v>
      </c>
      <c r="B79" s="138"/>
      <c r="C79" s="139" t="s">
        <v>225</v>
      </c>
      <c r="D79" s="140"/>
      <c r="E79" s="140"/>
      <c r="F79" s="140"/>
      <c r="G79" s="140"/>
      <c r="H79" s="141"/>
      <c r="I79" s="50" t="str">
        <f ca="1">IF(D92=100%,"All work Completed. Possession granted to the Building.",IF(D91=100%,"All work Completed, Waiting for OC",I80&amp;""&amp;I81&amp;""&amp;J80&amp;""&amp;J79&amp;" "&amp;J81))</f>
        <v>Excavation, Plinth Completed, RCC upto 11 Slab, Brickwork upto 10 Floor, Internal Plaster upto 7.5 Floor, External Plaster upto 6.5 Floor Completed</v>
      </c>
      <c r="J79" s="51"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RCC upto 11 Slab, Brickwork upto 10 Floor, Internal Plaster upto 7.5 Floor, External Plaster upto 6.5 Floor</v>
      </c>
    </row>
    <row r="80" spans="1:10" x14ac:dyDescent="0.25">
      <c r="A80" s="16" t="s">
        <v>140</v>
      </c>
      <c r="B80" s="48">
        <f>IF(AND(ISNUMBER(SEARCH("1B",C79))),1,IF(AND(ISNUMBER(SEARCH("2B",C79))),2,IF(AND(ISNUMBER(SEARCH("3B",C79))),3,IF(AND(ISNUMBER(SEARCH("4B",C79))),4,IF(ISNUMBER(SEARCH("5B",C79)),5,0)))))</f>
        <v>2</v>
      </c>
      <c r="C80" s="48" t="s">
        <v>72</v>
      </c>
      <c r="D80" s="48">
        <v>1</v>
      </c>
      <c r="E80" s="48" t="s">
        <v>71</v>
      </c>
      <c r="F80" s="48">
        <v>0</v>
      </c>
      <c r="G80" s="49" t="s">
        <v>81</v>
      </c>
      <c r="H80" s="17">
        <f ca="1">--TRIM(RIGHT(SUBSTITUTE(LEFT(C79,_xlfn.AGGREGATE(16,6,FIND({0,1,2,3,4,5,6,7,8,9},C79,ROW(INDIRECT("1:"&amp;LEN(C79)))),1))," ",REPT(" ",LEN(C79))),LEN(C79)))</f>
        <v>50</v>
      </c>
      <c r="I80" s="52" t="str">
        <f ca="1">IF(D83=100%,"Excavation","")&amp;IF(D84=100%,", Plinth","")&amp;IF(D85=100%,", RCC Slab","")&amp;IF(D86=100%,", Brickwork","")&amp;IF(D87=100%,", Internal Plaster","")&amp;IF(D88=100%,", External Plaster","")&amp;IF(D89=100%,", Flooring","")&amp;IF(D90=100%,", Painting","")&amp;IF(D91=100%,", Building common Amenities","")</f>
        <v>Excavation, Plinth</v>
      </c>
      <c r="J80" s="53"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c>
    </row>
    <row r="81" spans="1:10" ht="48" customHeight="1" x14ac:dyDescent="0.25">
      <c r="A81" s="136" t="s">
        <v>91</v>
      </c>
      <c r="B81" s="121"/>
      <c r="C81" s="142" t="str">
        <f ca="1">I79</f>
        <v>Excavation, Plinth Completed, RCC upto 11 Slab, Brickwork upto 10 Floor, Internal Plaster upto 7.5 Floor, External Plaster upto 6.5 Floor Completed</v>
      </c>
      <c r="D81" s="142"/>
      <c r="E81" s="142"/>
      <c r="F81" s="142"/>
      <c r="G81" s="142"/>
      <c r="H81" s="143"/>
      <c r="I81" s="52" t="str">
        <f ca="1">IF(I80&lt;&gt;""," Completed","")</f>
        <v xml:space="preserve"> Completed</v>
      </c>
      <c r="J81" s="53" t="str">
        <f ca="1">IF(J79&lt;&gt;"","Completed","")</f>
        <v>Completed</v>
      </c>
    </row>
    <row r="82" spans="1:10" ht="15.75" customHeight="1" x14ac:dyDescent="0.25">
      <c r="A82" s="134" t="s">
        <v>49</v>
      </c>
      <c r="B82" s="135"/>
      <c r="C82" s="44" t="s">
        <v>137</v>
      </c>
      <c r="D82" s="44" t="s">
        <v>84</v>
      </c>
      <c r="E82" s="135" t="s">
        <v>86</v>
      </c>
      <c r="F82" s="135"/>
      <c r="G82" s="135" t="s">
        <v>85</v>
      </c>
      <c r="H82" s="179"/>
      <c r="I82" s="14" t="s">
        <v>139</v>
      </c>
      <c r="J82" s="28">
        <f ca="1">H80*25%</f>
        <v>12.5</v>
      </c>
    </row>
    <row r="83" spans="1:10" x14ac:dyDescent="0.25">
      <c r="A83" s="134" t="s">
        <v>126</v>
      </c>
      <c r="B83" s="135"/>
      <c r="C83" s="44">
        <f ca="1">J84</f>
        <v>50</v>
      </c>
      <c r="D83" s="19">
        <f ca="1">((100/H80)*C83)/100</f>
        <v>1</v>
      </c>
      <c r="E83" s="180">
        <f ca="1">(((C84/H80*10)+(40/(D80+F80+H80)*C85)+(7.5/(H80)*C86)+(7.5/(H80)*C87)+(10/H80*C88)+(10/H80*C89)+(5/H80*C90)+(5/H80*C91)+(5/H80*C92))/100)</f>
        <v>0.22552450980392155</v>
      </c>
      <c r="F83" s="181"/>
      <c r="G83" s="180">
        <f ca="1">((((C83/H80)*20)+((C84/H80)*25)+(30/(H80+F80+D80)*C85)+(5/H80*C86)+(5/H80*C87)+(5/H80*C88)+(5/H80*C89)+(0/H80*C90)+(0/H80*C91)+(5/H80*C92))/100)</f>
        <v>0.53870588235294115</v>
      </c>
      <c r="H83" s="186"/>
      <c r="I83" s="14" t="s">
        <v>96</v>
      </c>
      <c r="J83" s="29">
        <f ca="1">H80*50%</f>
        <v>25</v>
      </c>
    </row>
    <row r="84" spans="1:10" x14ac:dyDescent="0.25">
      <c r="A84" s="134" t="s">
        <v>50</v>
      </c>
      <c r="B84" s="135"/>
      <c r="C84" s="54">
        <f ca="1">J92</f>
        <v>50</v>
      </c>
      <c r="D84" s="19">
        <f ca="1">((100/H80)*C84)/100</f>
        <v>1</v>
      </c>
      <c r="E84" s="182"/>
      <c r="F84" s="183"/>
      <c r="G84" s="182"/>
      <c r="H84" s="187"/>
      <c r="I84" s="14" t="s">
        <v>97</v>
      </c>
      <c r="J84" s="29">
        <f ca="1">H80</f>
        <v>50</v>
      </c>
    </row>
    <row r="85" spans="1:10" ht="15.75" customHeight="1" x14ac:dyDescent="0.25">
      <c r="A85" s="134" t="s">
        <v>127</v>
      </c>
      <c r="B85" s="135"/>
      <c r="C85" s="54">
        <v>11</v>
      </c>
      <c r="D85" s="19">
        <f ca="1">((100/(D80+F80+H80))*C85)/100</f>
        <v>0.2156862745098039</v>
      </c>
      <c r="E85" s="182"/>
      <c r="F85" s="183"/>
      <c r="G85" s="182"/>
      <c r="H85" s="187"/>
      <c r="I85" s="14" t="s">
        <v>98</v>
      </c>
      <c r="J85" s="30">
        <f ca="1">(IF(B80&gt;1,(H80/(B80+2)),H80/4))</f>
        <v>12.5</v>
      </c>
    </row>
    <row r="86" spans="1:10" ht="15.75" customHeight="1" x14ac:dyDescent="0.25">
      <c r="A86" s="134" t="s">
        <v>134</v>
      </c>
      <c r="B86" s="135" t="s">
        <v>128</v>
      </c>
      <c r="C86" s="54">
        <f>C85-D80</f>
        <v>10</v>
      </c>
      <c r="D86" s="19">
        <f ca="1">((100/H80)*C86)/100</f>
        <v>0.2</v>
      </c>
      <c r="E86" s="182"/>
      <c r="F86" s="183"/>
      <c r="G86" s="182"/>
      <c r="H86" s="187"/>
      <c r="I86" s="14" t="s">
        <v>99</v>
      </c>
      <c r="J86" s="30">
        <f ca="1">(IF(B80&gt;1,(H80/(B80+2)+J85),H80/4+J85))</f>
        <v>25</v>
      </c>
    </row>
    <row r="87" spans="1:10" ht="15.75" customHeight="1" x14ac:dyDescent="0.25">
      <c r="A87" s="134" t="s">
        <v>135</v>
      </c>
      <c r="B87" s="135" t="s">
        <v>128</v>
      </c>
      <c r="C87" s="54">
        <f>C86*0.75</f>
        <v>7.5</v>
      </c>
      <c r="D87" s="19">
        <f ca="1">((100/H80)*C87)/100</f>
        <v>0.15</v>
      </c>
      <c r="E87" s="182"/>
      <c r="F87" s="183"/>
      <c r="G87" s="182"/>
      <c r="H87" s="187"/>
      <c r="I87" s="14" t="s">
        <v>144</v>
      </c>
      <c r="J87" s="30">
        <f ca="1">(IF(B80&gt;1,(H80/(B80+2)+J86),0))</f>
        <v>37.5</v>
      </c>
    </row>
    <row r="88" spans="1:10" ht="15" customHeight="1" x14ac:dyDescent="0.25">
      <c r="A88" s="134" t="s">
        <v>133</v>
      </c>
      <c r="B88" s="135" t="s">
        <v>130</v>
      </c>
      <c r="C88" s="54">
        <f>C86*0.65</f>
        <v>6.5</v>
      </c>
      <c r="D88" s="19">
        <f ca="1">((100/(H80))*C88)/100</f>
        <v>0.13</v>
      </c>
      <c r="E88" s="182"/>
      <c r="F88" s="183"/>
      <c r="G88" s="182"/>
      <c r="H88" s="187"/>
      <c r="I88" s="14" t="s">
        <v>141</v>
      </c>
      <c r="J88" s="30">
        <f>(IF(B80&gt;2,(H80/(B80+2)+J87),0))</f>
        <v>0</v>
      </c>
    </row>
    <row r="89" spans="1:10" ht="15.75" customHeight="1" x14ac:dyDescent="0.25">
      <c r="A89" s="134" t="s">
        <v>129</v>
      </c>
      <c r="B89" s="135" t="s">
        <v>129</v>
      </c>
      <c r="C89" s="44">
        <v>0</v>
      </c>
      <c r="D89" s="19">
        <f ca="1">((100/H80)*C89)/100</f>
        <v>0</v>
      </c>
      <c r="E89" s="182"/>
      <c r="F89" s="183"/>
      <c r="G89" s="182"/>
      <c r="H89" s="187"/>
      <c r="I89" s="14" t="s">
        <v>142</v>
      </c>
      <c r="J89" s="31">
        <f>(IF(B80&gt;3,(H80/(B80+2)+J88),0))</f>
        <v>0</v>
      </c>
    </row>
    <row r="90" spans="1:10" ht="15.75" customHeight="1" x14ac:dyDescent="0.25">
      <c r="A90" s="134" t="s">
        <v>136</v>
      </c>
      <c r="B90" s="135"/>
      <c r="C90" s="44">
        <v>0</v>
      </c>
      <c r="D90" s="19">
        <f ca="1">((100/H80)*C90)/100</f>
        <v>0</v>
      </c>
      <c r="E90" s="182"/>
      <c r="F90" s="183"/>
      <c r="G90" s="182"/>
      <c r="H90" s="187"/>
      <c r="I90" s="14" t="s">
        <v>143</v>
      </c>
      <c r="J90" s="30">
        <f>(IF(B80&gt;4,(H80/(B80+2)+J89),0))</f>
        <v>0</v>
      </c>
    </row>
    <row r="91" spans="1:10" ht="15.75" customHeight="1" x14ac:dyDescent="0.25">
      <c r="A91" s="134" t="s">
        <v>131</v>
      </c>
      <c r="B91" s="135" t="s">
        <v>131</v>
      </c>
      <c r="C91" s="44">
        <v>0</v>
      </c>
      <c r="D91" s="19">
        <f ca="1">((100/(H80))*C91)/100</f>
        <v>0</v>
      </c>
      <c r="E91" s="182"/>
      <c r="F91" s="183"/>
      <c r="G91" s="182"/>
      <c r="H91" s="187"/>
      <c r="I91" s="14" t="s">
        <v>145</v>
      </c>
      <c r="J91" s="30">
        <f>(IF(B80=1,(H80/(B80+3)+J86),IF(B80=0,(H80/4+J86),IF(B80&gt;1,0))))</f>
        <v>0</v>
      </c>
    </row>
    <row r="92" spans="1:10" ht="16.5" thickBot="1" x14ac:dyDescent="0.3">
      <c r="A92" s="189" t="s">
        <v>132</v>
      </c>
      <c r="B92" s="190"/>
      <c r="C92" s="45">
        <v>0</v>
      </c>
      <c r="D92" s="20">
        <f ca="1">((100/(H80))*C92)/100</f>
        <v>0</v>
      </c>
      <c r="E92" s="184"/>
      <c r="F92" s="185"/>
      <c r="G92" s="184"/>
      <c r="H92" s="188"/>
      <c r="I92" s="15" t="s">
        <v>100</v>
      </c>
      <c r="J92" s="32">
        <f ca="1">(IF(B80&gt;1.5,(H80/(B80+2)+J86+MAX(0,J87-J86)+MAX(0,J88-J87)+MAX(0,J89-J88)+MAX(0,J90-J89)+MAX(0,J91-J90)),IF(B80=1,(H80/(B80+3)+J91),IF(B80=0,H80/4+J91))))</f>
        <v>50</v>
      </c>
    </row>
    <row r="93" spans="1:10" x14ac:dyDescent="0.25">
      <c r="A93" s="191" t="s">
        <v>155</v>
      </c>
      <c r="B93" s="191"/>
      <c r="C93" s="191"/>
      <c r="D93" s="191"/>
      <c r="E93" s="191"/>
      <c r="F93" s="177" t="s">
        <v>157</v>
      </c>
      <c r="G93" s="177"/>
      <c r="H93" s="177"/>
    </row>
    <row r="94" spans="1:10" x14ac:dyDescent="0.25">
      <c r="A94" s="78" t="s">
        <v>156</v>
      </c>
      <c r="B94" s="78"/>
      <c r="C94" s="78"/>
      <c r="D94" s="78"/>
      <c r="E94" s="78"/>
      <c r="F94" s="146">
        <v>15300</v>
      </c>
      <c r="G94" s="146"/>
      <c r="H94" s="146"/>
      <c r="I94" s="21">
        <f>24500/1.6</f>
        <v>15312.5</v>
      </c>
    </row>
    <row r="95" spans="1:10" x14ac:dyDescent="0.25">
      <c r="A95" s="78" t="s">
        <v>235</v>
      </c>
      <c r="B95" s="78"/>
      <c r="C95" s="78"/>
      <c r="D95" s="78"/>
      <c r="E95" s="78"/>
      <c r="F95" s="146">
        <v>37500</v>
      </c>
      <c r="G95" s="146"/>
      <c r="H95" s="146"/>
      <c r="I95" s="21">
        <f t="shared" ref="I95:I96" si="0">24500/1.6</f>
        <v>15312.5</v>
      </c>
      <c r="J95" s="21" t="s">
        <v>237</v>
      </c>
    </row>
    <row r="96" spans="1:10" x14ac:dyDescent="0.25">
      <c r="A96" s="78" t="s">
        <v>234</v>
      </c>
      <c r="B96" s="78"/>
      <c r="C96" s="78"/>
      <c r="D96" s="78"/>
      <c r="E96" s="78"/>
      <c r="F96" s="146">
        <v>31500</v>
      </c>
      <c r="G96" s="146"/>
      <c r="H96" s="146"/>
      <c r="I96" s="21">
        <f t="shared" si="0"/>
        <v>15312.5</v>
      </c>
    </row>
    <row r="97" spans="1:8" s="33" customFormat="1" x14ac:dyDescent="0.25">
      <c r="A97" s="78" t="s">
        <v>196</v>
      </c>
      <c r="B97" s="78"/>
      <c r="C97" s="78"/>
      <c r="D97" s="78"/>
      <c r="E97" s="78"/>
      <c r="F97" s="146">
        <v>100</v>
      </c>
      <c r="G97" s="146"/>
      <c r="H97" s="146"/>
    </row>
    <row r="98" spans="1:8" s="33" customFormat="1" x14ac:dyDescent="0.25">
      <c r="A98" s="78" t="s">
        <v>193</v>
      </c>
      <c r="B98" s="78"/>
      <c r="C98" s="78"/>
      <c r="D98" s="78"/>
      <c r="E98" s="78"/>
      <c r="F98" s="146">
        <v>250000</v>
      </c>
      <c r="G98" s="146"/>
      <c r="H98" s="146"/>
    </row>
    <row r="99" spans="1:8" s="33" customFormat="1" x14ac:dyDescent="0.25">
      <c r="A99" s="78" t="s">
        <v>194</v>
      </c>
      <c r="B99" s="78"/>
      <c r="C99" s="78"/>
      <c r="D99" s="78"/>
      <c r="E99" s="78"/>
      <c r="F99" s="146">
        <v>300000</v>
      </c>
      <c r="G99" s="146"/>
      <c r="H99" s="146"/>
    </row>
    <row r="100" spans="1:8" s="33" customFormat="1" x14ac:dyDescent="0.25">
      <c r="A100" s="78" t="s">
        <v>198</v>
      </c>
      <c r="B100" s="78"/>
      <c r="C100" s="78"/>
      <c r="D100" s="78"/>
      <c r="E100" s="78"/>
      <c r="F100" s="146">
        <v>60000</v>
      </c>
      <c r="G100" s="146"/>
      <c r="H100" s="146"/>
    </row>
    <row r="101" spans="1:8" s="33" customFormat="1" x14ac:dyDescent="0.25">
      <c r="A101" s="78" t="s">
        <v>197</v>
      </c>
      <c r="B101" s="78"/>
      <c r="C101" s="78"/>
      <c r="D101" s="78"/>
      <c r="E101" s="78"/>
      <c r="F101" s="146">
        <v>2500</v>
      </c>
      <c r="G101" s="146"/>
      <c r="H101" s="146"/>
    </row>
    <row r="102" spans="1:8" s="33" customFormat="1" x14ac:dyDescent="0.25">
      <c r="A102" s="78" t="s">
        <v>195</v>
      </c>
      <c r="B102" s="78"/>
      <c r="C102" s="78"/>
      <c r="D102" s="78"/>
      <c r="E102" s="78"/>
      <c r="F102" s="146">
        <v>25000</v>
      </c>
      <c r="G102" s="146"/>
      <c r="H102" s="146"/>
    </row>
    <row r="103" spans="1:8" x14ac:dyDescent="0.25">
      <c r="A103" s="78" t="s">
        <v>51</v>
      </c>
      <c r="B103" s="78"/>
      <c r="C103" s="78"/>
      <c r="D103" s="78"/>
      <c r="E103" s="78"/>
      <c r="F103" s="146">
        <v>1000000</v>
      </c>
      <c r="G103" s="146"/>
      <c r="H103" s="146"/>
    </row>
    <row r="104" spans="1:8" s="34" customFormat="1" x14ac:dyDescent="0.25">
      <c r="A104" s="101" t="s">
        <v>52</v>
      </c>
      <c r="B104" s="101"/>
      <c r="C104" s="101"/>
      <c r="D104" s="101"/>
      <c r="E104" s="101"/>
      <c r="F104" s="146">
        <f>F94*0.8</f>
        <v>12240</v>
      </c>
      <c r="G104" s="146"/>
      <c r="H104" s="146"/>
    </row>
    <row r="105" spans="1:8" s="35" customFormat="1" ht="15.75" customHeight="1" x14ac:dyDescent="0.25">
      <c r="A105" s="145" t="s">
        <v>76</v>
      </c>
      <c r="B105" s="145"/>
      <c r="C105" s="145"/>
      <c r="D105" s="145"/>
      <c r="E105" s="145"/>
      <c r="F105" s="145"/>
      <c r="G105" s="145"/>
      <c r="H105" s="145"/>
    </row>
    <row r="106" spans="1:8" s="35" customFormat="1" ht="15.75" customHeight="1" x14ac:dyDescent="0.25">
      <c r="A106" s="154" t="s">
        <v>53</v>
      </c>
      <c r="B106" s="154"/>
      <c r="C106" s="163" t="s">
        <v>79</v>
      </c>
      <c r="D106" s="163"/>
      <c r="E106" s="79" t="s">
        <v>54</v>
      </c>
      <c r="F106" s="79"/>
      <c r="G106" s="154" t="s">
        <v>55</v>
      </c>
      <c r="H106" s="154"/>
    </row>
    <row r="107" spans="1:8" s="35" customFormat="1" x14ac:dyDescent="0.25">
      <c r="A107" s="161" t="s">
        <v>201</v>
      </c>
      <c r="B107" s="162"/>
      <c r="C107" s="82">
        <f>COUNT(D122:D144)+COUNT(D146:D179)+COUNT(D181:D203)</f>
        <v>80</v>
      </c>
      <c r="D107" s="83"/>
      <c r="E107" s="80">
        <f t="shared" ref="E107" si="1">SUM(D122:D144)+SUM(D146:D179)+SUM(D181:D203)</f>
        <v>42383.316326422493</v>
      </c>
      <c r="F107" s="84"/>
      <c r="G107" s="80">
        <f>SUM(F122:F144)+SUM(F146:F179)+SUM(F181:F203)</f>
        <v>67813.306122276001</v>
      </c>
      <c r="H107" s="84"/>
    </row>
    <row r="108" spans="1:8" s="35" customFormat="1" x14ac:dyDescent="0.25">
      <c r="A108" s="85" t="s">
        <v>148</v>
      </c>
      <c r="B108" s="86"/>
      <c r="C108" s="87">
        <f>SUM(C107)</f>
        <v>80</v>
      </c>
      <c r="D108" s="88"/>
      <c r="E108" s="89">
        <f>SUM(E107)</f>
        <v>42383.316326422493</v>
      </c>
      <c r="F108" s="90"/>
      <c r="G108" s="91">
        <f>SUM(G107)</f>
        <v>67813.306122276001</v>
      </c>
      <c r="H108" s="92"/>
    </row>
    <row r="109" spans="1:8" s="35" customFormat="1" ht="15.75" customHeight="1" x14ac:dyDescent="0.25">
      <c r="A109" s="85" t="s">
        <v>70</v>
      </c>
      <c r="B109" s="150"/>
      <c r="C109" s="150"/>
      <c r="D109" s="150"/>
      <c r="E109" s="150"/>
      <c r="F109" s="150"/>
      <c r="G109" s="150"/>
      <c r="H109" s="86"/>
    </row>
    <row r="110" spans="1:8" s="35" customFormat="1" ht="15.75" customHeight="1" x14ac:dyDescent="0.25">
      <c r="A110" s="154" t="s">
        <v>53</v>
      </c>
      <c r="B110" s="154"/>
      <c r="C110" s="163" t="s">
        <v>79</v>
      </c>
      <c r="D110" s="163"/>
      <c r="E110" s="79" t="s">
        <v>54</v>
      </c>
      <c r="F110" s="79"/>
      <c r="G110" s="154" t="s">
        <v>55</v>
      </c>
      <c r="H110" s="154"/>
    </row>
    <row r="111" spans="1:8" s="35" customFormat="1" x14ac:dyDescent="0.25">
      <c r="A111" s="93" t="s">
        <v>219</v>
      </c>
      <c r="B111" s="93"/>
      <c r="C111" s="83">
        <f>COUNT(D211:D216)*3+COUNT(D218:D227)*19+COUNT(D229:D232,D235:D238)*3</f>
        <v>232</v>
      </c>
      <c r="D111" s="83"/>
      <c r="E111" s="80">
        <f>SUM(D211:D216)*3+SUM(D218:D227)*19+SUM(D229:D232,D235:D238)*3</f>
        <v>121155.48076319996</v>
      </c>
      <c r="F111" s="80"/>
      <c r="G111" s="80">
        <f>SUM(F211:F216)*3+SUM(F218:F227)*19+SUM(F229:F232,F235:F238)*3</f>
        <v>193848.76922111996</v>
      </c>
      <c r="H111" s="80"/>
    </row>
    <row r="112" spans="1:8" s="35" customFormat="1" x14ac:dyDescent="0.25">
      <c r="A112" s="93" t="s">
        <v>215</v>
      </c>
      <c r="B112" s="93"/>
      <c r="C112" s="83">
        <f>COUNT(D245:D248)*3+COUNT(D250:D259)*13+COUNT(D261:D264,D267:D270)*2+COUNT(D272:D274,D279:D281)</f>
        <v>164</v>
      </c>
      <c r="D112" s="83"/>
      <c r="E112" s="80">
        <f>SUM(D245:D248)*3+SUM(D250:D259)*13+SUM(D261:D264,D267:D270)*2+SUM(D272:D274,D279:D281)</f>
        <v>85893.403073399968</v>
      </c>
      <c r="F112" s="80"/>
      <c r="G112" s="80">
        <f>SUM(F245:F248)*3+SUM(F250:F259)*13+SUM(F261:F264,F267:F270)*2+SUM(F272:F274,F279:F281)</f>
        <v>137429.44491743998</v>
      </c>
      <c r="H112" s="80"/>
    </row>
    <row r="113" spans="1:14" s="35" customFormat="1" ht="16.5" thickBot="1" x14ac:dyDescent="0.3">
      <c r="A113" s="217" t="s">
        <v>148</v>
      </c>
      <c r="B113" s="217"/>
      <c r="C113" s="202">
        <f>SUM(C111:D112)</f>
        <v>396</v>
      </c>
      <c r="D113" s="202"/>
      <c r="E113" s="218">
        <f>SUM(E111:F112)</f>
        <v>207048.88383659994</v>
      </c>
      <c r="F113" s="219"/>
      <c r="G113" s="81">
        <f>SUM(G111:H112)</f>
        <v>331278.21413855994</v>
      </c>
      <c r="H113" s="81"/>
    </row>
    <row r="114" spans="1:14" s="35" customFormat="1" ht="16.5" thickBot="1" x14ac:dyDescent="0.3">
      <c r="A114" s="203" t="s">
        <v>162</v>
      </c>
      <c r="B114" s="204"/>
      <c r="C114" s="205">
        <f>C108+C113</f>
        <v>476</v>
      </c>
      <c r="D114" s="206"/>
      <c r="E114" s="207">
        <f>E108+E113</f>
        <v>249432.20016302244</v>
      </c>
      <c r="F114" s="208"/>
      <c r="G114" s="209">
        <f>G108+G113</f>
        <v>399091.52026083594</v>
      </c>
      <c r="H114" s="210"/>
    </row>
    <row r="115" spans="1:14" s="34" customFormat="1" x14ac:dyDescent="0.25">
      <c r="A115" s="158" t="s">
        <v>56</v>
      </c>
      <c r="B115" s="159"/>
      <c r="C115" s="159"/>
      <c r="D115" s="159"/>
      <c r="E115" s="159"/>
      <c r="F115" s="159"/>
      <c r="G115" s="159"/>
      <c r="H115" s="160"/>
    </row>
    <row r="116" spans="1:14" x14ac:dyDescent="0.25">
      <c r="A116" s="199" t="s">
        <v>169</v>
      </c>
      <c r="B116" s="200"/>
      <c r="C116" s="200"/>
      <c r="D116" s="200"/>
      <c r="E116" s="200"/>
      <c r="F116" s="200"/>
      <c r="G116" s="200"/>
      <c r="H116" s="201"/>
    </row>
    <row r="117" spans="1:14" ht="47.25" customHeight="1" x14ac:dyDescent="0.25">
      <c r="A117" s="94" t="s">
        <v>116</v>
      </c>
      <c r="B117" s="94" t="s">
        <v>115</v>
      </c>
      <c r="C117" s="94" t="s">
        <v>57</v>
      </c>
      <c r="D117" s="94" t="s">
        <v>58</v>
      </c>
      <c r="E117" s="195" t="s">
        <v>154</v>
      </c>
      <c r="F117" s="43" t="s">
        <v>147</v>
      </c>
      <c r="G117" s="76" t="s">
        <v>60</v>
      </c>
      <c r="H117" s="197"/>
    </row>
    <row r="118" spans="1:14" s="37" customFormat="1" x14ac:dyDescent="0.25">
      <c r="A118" s="95"/>
      <c r="B118" s="95"/>
      <c r="C118" s="95"/>
      <c r="D118" s="95"/>
      <c r="E118" s="196"/>
      <c r="F118" s="13">
        <v>0.6</v>
      </c>
      <c r="G118" s="77"/>
      <c r="H118" s="198"/>
    </row>
    <row r="119" spans="1:14" s="37" customFormat="1" ht="15.75" customHeight="1" x14ac:dyDescent="0.25">
      <c r="A119" s="66" t="s">
        <v>201</v>
      </c>
      <c r="B119" s="67"/>
      <c r="C119" s="67"/>
      <c r="D119" s="67"/>
      <c r="E119" s="67"/>
      <c r="F119" s="67"/>
      <c r="G119" s="67"/>
      <c r="H119" s="68"/>
      <c r="J119" s="36"/>
    </row>
    <row r="120" spans="1:14" s="37" customFormat="1" ht="15.75" customHeight="1" x14ac:dyDescent="0.25">
      <c r="A120" s="66" t="s">
        <v>202</v>
      </c>
      <c r="B120" s="67"/>
      <c r="C120" s="67"/>
      <c r="D120" s="67"/>
      <c r="E120" s="67"/>
      <c r="F120" s="67"/>
      <c r="G120" s="67"/>
      <c r="H120" s="68"/>
      <c r="J120" s="36"/>
    </row>
    <row r="121" spans="1:14" s="37" customFormat="1" ht="15.75" customHeight="1" x14ac:dyDescent="0.25">
      <c r="A121" s="66" t="s">
        <v>203</v>
      </c>
      <c r="B121" s="67"/>
      <c r="C121" s="67"/>
      <c r="D121" s="67"/>
      <c r="E121" s="67"/>
      <c r="F121" s="67"/>
      <c r="G121" s="67"/>
      <c r="H121" s="68"/>
      <c r="J121" s="36"/>
    </row>
    <row r="122" spans="1:14" s="37" customFormat="1" ht="15.75" customHeight="1" x14ac:dyDescent="0.25">
      <c r="A122" s="59">
        <v>1</v>
      </c>
      <c r="B122" s="60"/>
      <c r="C122" s="42" t="s">
        <v>204</v>
      </c>
      <c r="D122" s="42">
        <f>(7.915*4.375+9.22*3.6+4.94*5.55)*10.764</f>
        <v>1025.1324134999998</v>
      </c>
      <c r="E122" s="42">
        <v>0</v>
      </c>
      <c r="F122" s="42">
        <f>(D122+E122)*(($F$118)+1)</f>
        <v>1640.2118615999998</v>
      </c>
      <c r="G122" s="69" t="str">
        <f>A121</f>
        <v>Ground Floor For parking &amp; Commercial</v>
      </c>
      <c r="H122" s="70"/>
      <c r="J122" s="36"/>
    </row>
    <row r="123" spans="1:14" s="37" customFormat="1" ht="15.75" customHeight="1" x14ac:dyDescent="0.25">
      <c r="A123" s="59">
        <f t="shared" ref="A123:A144" si="2">A122+1</f>
        <v>2</v>
      </c>
      <c r="B123" s="60"/>
      <c r="C123" s="42" t="s">
        <v>204</v>
      </c>
      <c r="D123" s="42">
        <f>(13.8*5.2)*10.764</f>
        <v>772.42463999999995</v>
      </c>
      <c r="E123" s="42">
        <v>0</v>
      </c>
      <c r="F123" s="42">
        <f t="shared" ref="F123:F126" si="3">(D123+E123)*(($F$118)+1)</f>
        <v>1235.879424</v>
      </c>
      <c r="G123" s="71"/>
      <c r="H123" s="72"/>
      <c r="I123" s="36"/>
      <c r="L123" s="64"/>
      <c r="M123" s="64"/>
      <c r="N123" s="36"/>
    </row>
    <row r="124" spans="1:14" s="37" customFormat="1" ht="15.75" customHeight="1" x14ac:dyDescent="0.25">
      <c r="A124" s="59" t="s">
        <v>205</v>
      </c>
      <c r="B124" s="60"/>
      <c r="C124" s="42" t="s">
        <v>204</v>
      </c>
      <c r="D124" s="42">
        <f>(3.715*7.2)*10.764</f>
        <v>287.91547200000002</v>
      </c>
      <c r="E124" s="42">
        <v>0</v>
      </c>
      <c r="F124" s="42">
        <f t="shared" ref="F124" si="4">(D124+E124)*(($F$118)+1)</f>
        <v>460.66475520000006</v>
      </c>
      <c r="G124" s="71"/>
      <c r="H124" s="72"/>
      <c r="I124" s="36"/>
      <c r="L124" s="64"/>
      <c r="M124" s="64"/>
      <c r="N124" s="36"/>
    </row>
    <row r="125" spans="1:14" s="37" customFormat="1" ht="15.75" customHeight="1" x14ac:dyDescent="0.25">
      <c r="A125" s="59">
        <f>A123+1</f>
        <v>3</v>
      </c>
      <c r="B125" s="60"/>
      <c r="C125" s="42" t="s">
        <v>204</v>
      </c>
      <c r="D125" s="42">
        <f>(9.75*3.435)*10.764</f>
        <v>360.49981500000001</v>
      </c>
      <c r="E125" s="42">
        <v>0</v>
      </c>
      <c r="F125" s="42">
        <f t="shared" si="3"/>
        <v>576.79970400000002</v>
      </c>
      <c r="G125" s="71"/>
      <c r="H125" s="72"/>
      <c r="I125" s="36"/>
      <c r="L125" s="64"/>
      <c r="M125" s="64"/>
      <c r="N125" s="36"/>
    </row>
    <row r="126" spans="1:14" s="37" customFormat="1" ht="15.75" customHeight="1" x14ac:dyDescent="0.25">
      <c r="A126" s="59">
        <f t="shared" si="2"/>
        <v>4</v>
      </c>
      <c r="B126" s="60"/>
      <c r="C126" s="42" t="s">
        <v>204</v>
      </c>
      <c r="D126" s="42">
        <f>(5.24*5.875+13.565*6.175)*10.764</f>
        <v>1233.0040904999998</v>
      </c>
      <c r="E126" s="42">
        <v>0</v>
      </c>
      <c r="F126" s="42">
        <f t="shared" si="3"/>
        <v>1972.8065447999998</v>
      </c>
      <c r="G126" s="71"/>
      <c r="H126" s="72"/>
      <c r="I126" s="36"/>
      <c r="L126" s="64"/>
      <c r="M126" s="64"/>
      <c r="N126" s="36"/>
    </row>
    <row r="127" spans="1:14" s="37" customFormat="1" ht="15.75" customHeight="1" x14ac:dyDescent="0.25">
      <c r="A127" s="59">
        <f t="shared" si="2"/>
        <v>5</v>
      </c>
      <c r="B127" s="60"/>
      <c r="C127" s="42" t="s">
        <v>204</v>
      </c>
      <c r="D127" s="42">
        <f>(8.175*5.725)*10.764</f>
        <v>503.77538249999998</v>
      </c>
      <c r="E127" s="42">
        <v>0</v>
      </c>
      <c r="F127" s="42">
        <f t="shared" ref="F127:F130" si="5">(D127+E127)*(($F$118)+1)</f>
        <v>806.04061200000001</v>
      </c>
      <c r="G127" s="71"/>
      <c r="H127" s="72"/>
      <c r="I127" s="36"/>
      <c r="L127" s="64"/>
      <c r="M127" s="64"/>
      <c r="N127" s="36"/>
    </row>
    <row r="128" spans="1:14" s="37" customFormat="1" ht="15.75" customHeight="1" x14ac:dyDescent="0.25">
      <c r="A128" s="59">
        <f t="shared" si="2"/>
        <v>6</v>
      </c>
      <c r="B128" s="60"/>
      <c r="C128" s="42" t="s">
        <v>204</v>
      </c>
      <c r="D128" s="42">
        <f>(3.9*12.05)*10.764</f>
        <v>505.85418000000004</v>
      </c>
      <c r="E128" s="42">
        <v>0</v>
      </c>
      <c r="F128" s="42">
        <f t="shared" si="5"/>
        <v>809.36668800000007</v>
      </c>
      <c r="G128" s="71"/>
      <c r="H128" s="72"/>
      <c r="I128" s="36"/>
      <c r="L128" s="64"/>
      <c r="M128" s="64"/>
      <c r="N128" s="36"/>
    </row>
    <row r="129" spans="1:14" s="37" customFormat="1" ht="15.75" customHeight="1" x14ac:dyDescent="0.25">
      <c r="A129" s="59">
        <f t="shared" si="2"/>
        <v>7</v>
      </c>
      <c r="B129" s="60"/>
      <c r="C129" s="42" t="s">
        <v>204</v>
      </c>
      <c r="D129" s="42">
        <f>(4.7*12.05)*10.764</f>
        <v>609.61914000000002</v>
      </c>
      <c r="E129" s="42">
        <v>0</v>
      </c>
      <c r="F129" s="42">
        <f t="shared" si="5"/>
        <v>975.39062400000012</v>
      </c>
      <c r="G129" s="71"/>
      <c r="H129" s="72"/>
      <c r="I129" s="36"/>
      <c r="L129" s="64"/>
      <c r="M129" s="64"/>
      <c r="N129" s="36"/>
    </row>
    <row r="130" spans="1:14" s="37" customFormat="1" ht="15.75" customHeight="1" x14ac:dyDescent="0.25">
      <c r="A130" s="59">
        <f t="shared" si="2"/>
        <v>8</v>
      </c>
      <c r="B130" s="60"/>
      <c r="C130" s="42" t="s">
        <v>204</v>
      </c>
      <c r="D130" s="42">
        <f>(5.7*13.425)*10.764</f>
        <v>823.68819000000008</v>
      </c>
      <c r="E130" s="42">
        <v>0</v>
      </c>
      <c r="F130" s="42">
        <f t="shared" si="5"/>
        <v>1317.9011040000003</v>
      </c>
      <c r="G130" s="71"/>
      <c r="H130" s="72"/>
      <c r="I130" s="36"/>
      <c r="L130" s="64"/>
      <c r="M130" s="64"/>
      <c r="N130" s="36"/>
    </row>
    <row r="131" spans="1:14" s="37" customFormat="1" ht="15.75" customHeight="1" x14ac:dyDescent="0.25">
      <c r="A131" s="59">
        <f t="shared" si="2"/>
        <v>9</v>
      </c>
      <c r="B131" s="60"/>
      <c r="C131" s="42" t="s">
        <v>204</v>
      </c>
      <c r="D131" s="42">
        <f>(11.15*4.91)*10.764</f>
        <v>589.29132600000003</v>
      </c>
      <c r="E131" s="42">
        <v>0</v>
      </c>
      <c r="F131" s="42">
        <f t="shared" ref="F131:F134" si="6">(D131+E131)*(($F$118)+1)</f>
        <v>942.86612160000004</v>
      </c>
      <c r="G131" s="71"/>
      <c r="H131" s="72"/>
      <c r="I131" s="36"/>
      <c r="L131" s="64"/>
      <c r="M131" s="64"/>
      <c r="N131" s="36"/>
    </row>
    <row r="132" spans="1:14" s="37" customFormat="1" ht="15.75" customHeight="1" x14ac:dyDescent="0.25">
      <c r="A132" s="59">
        <f t="shared" si="2"/>
        <v>10</v>
      </c>
      <c r="B132" s="60"/>
      <c r="C132" s="42" t="s">
        <v>204</v>
      </c>
      <c r="D132" s="42">
        <f>(5.3*12.625)*10.764</f>
        <v>720.24614999999994</v>
      </c>
      <c r="E132" s="42">
        <v>0</v>
      </c>
      <c r="F132" s="42">
        <f t="shared" si="6"/>
        <v>1152.39384</v>
      </c>
      <c r="G132" s="71"/>
      <c r="H132" s="72"/>
      <c r="I132" s="36"/>
      <c r="L132" s="64"/>
      <c r="M132" s="64"/>
      <c r="N132" s="36"/>
    </row>
    <row r="133" spans="1:14" s="37" customFormat="1" ht="15.75" customHeight="1" x14ac:dyDescent="0.25">
      <c r="A133" s="59">
        <f t="shared" si="2"/>
        <v>11</v>
      </c>
      <c r="B133" s="60"/>
      <c r="C133" s="42" t="s">
        <v>204</v>
      </c>
      <c r="D133" s="42">
        <f>(4.98*3.575)*10.764</f>
        <v>191.63687400000003</v>
      </c>
      <c r="E133" s="42">
        <v>0</v>
      </c>
      <c r="F133" s="42">
        <f t="shared" si="6"/>
        <v>306.61899840000007</v>
      </c>
      <c r="G133" s="71"/>
      <c r="H133" s="72"/>
      <c r="I133" s="36"/>
      <c r="L133" s="64"/>
      <c r="M133" s="64"/>
      <c r="N133" s="36"/>
    </row>
    <row r="134" spans="1:14" s="37" customFormat="1" ht="15.75" customHeight="1" x14ac:dyDescent="0.25">
      <c r="A134" s="59">
        <f t="shared" si="2"/>
        <v>12</v>
      </c>
      <c r="B134" s="60"/>
      <c r="C134" s="42" t="s">
        <v>204</v>
      </c>
      <c r="D134" s="42">
        <f>(7.65*2.86)*10.764</f>
        <v>235.50555600000001</v>
      </c>
      <c r="E134" s="42">
        <v>0</v>
      </c>
      <c r="F134" s="42">
        <f t="shared" si="6"/>
        <v>376.80888960000004</v>
      </c>
      <c r="G134" s="71"/>
      <c r="H134" s="72"/>
      <c r="I134" s="36"/>
      <c r="L134" s="64"/>
      <c r="M134" s="64"/>
      <c r="N134" s="36"/>
    </row>
    <row r="135" spans="1:14" s="37" customFormat="1" ht="15.75" customHeight="1" x14ac:dyDescent="0.25">
      <c r="A135" s="59">
        <f t="shared" si="2"/>
        <v>13</v>
      </c>
      <c r="B135" s="60"/>
      <c r="C135" s="42" t="s">
        <v>204</v>
      </c>
      <c r="D135" s="42">
        <f>(7.65*3.19)*10.764</f>
        <v>262.67927400000002</v>
      </c>
      <c r="E135" s="42">
        <v>0</v>
      </c>
      <c r="F135" s="42">
        <f t="shared" ref="F135:F141" si="7">(D135+E135)*(($F$118)+1)</f>
        <v>420.28683840000008</v>
      </c>
      <c r="G135" s="71"/>
      <c r="H135" s="72"/>
      <c r="I135" s="36"/>
      <c r="L135" s="64"/>
      <c r="M135" s="64"/>
      <c r="N135" s="36"/>
    </row>
    <row r="136" spans="1:14" s="37" customFormat="1" ht="15.75" customHeight="1" x14ac:dyDescent="0.25">
      <c r="A136" s="59">
        <f t="shared" si="2"/>
        <v>14</v>
      </c>
      <c r="B136" s="60"/>
      <c r="C136" s="42" t="s">
        <v>204</v>
      </c>
      <c r="D136" s="42">
        <f>(4.935*3.6+7.165*4.8)*10.764</f>
        <v>561.4287119999999</v>
      </c>
      <c r="E136" s="42">
        <v>0</v>
      </c>
      <c r="F136" s="42">
        <f t="shared" si="7"/>
        <v>898.28593919999992</v>
      </c>
      <c r="G136" s="71"/>
      <c r="H136" s="72"/>
      <c r="I136" s="36"/>
      <c r="L136" s="64"/>
      <c r="M136" s="64"/>
      <c r="N136" s="36"/>
    </row>
    <row r="137" spans="1:14" s="37" customFormat="1" ht="15.75" customHeight="1" x14ac:dyDescent="0.25">
      <c r="A137" s="59">
        <f t="shared" si="2"/>
        <v>15</v>
      </c>
      <c r="B137" s="60"/>
      <c r="C137" s="42" t="s">
        <v>204</v>
      </c>
      <c r="D137" s="42">
        <f>(6.805*4.425)*10.764</f>
        <v>324.12691349999994</v>
      </c>
      <c r="E137" s="42">
        <v>0</v>
      </c>
      <c r="F137" s="42">
        <f t="shared" si="7"/>
        <v>518.60306159999993</v>
      </c>
      <c r="G137" s="71"/>
      <c r="H137" s="72"/>
      <c r="I137" s="36"/>
      <c r="L137" s="64"/>
      <c r="M137" s="64"/>
      <c r="N137" s="36"/>
    </row>
    <row r="138" spans="1:14" s="37" customFormat="1" ht="15.75" customHeight="1" x14ac:dyDescent="0.25">
      <c r="A138" s="59" t="s">
        <v>206</v>
      </c>
      <c r="B138" s="60"/>
      <c r="C138" s="42" t="s">
        <v>204</v>
      </c>
      <c r="D138" s="42">
        <f>(4.69*4.275)*10.764</f>
        <v>215.81550900000002</v>
      </c>
      <c r="E138" s="42">
        <v>0</v>
      </c>
      <c r="F138" s="42">
        <f t="shared" si="7"/>
        <v>345.30481440000005</v>
      </c>
      <c r="G138" s="71"/>
      <c r="H138" s="72"/>
      <c r="I138" s="36"/>
      <c r="L138" s="64"/>
      <c r="M138" s="64"/>
      <c r="N138" s="36"/>
    </row>
    <row r="139" spans="1:14" s="37" customFormat="1" ht="15.75" customHeight="1" x14ac:dyDescent="0.25">
      <c r="A139" s="59" t="s">
        <v>207</v>
      </c>
      <c r="B139" s="60"/>
      <c r="C139" s="42" t="s">
        <v>204</v>
      </c>
      <c r="D139" s="42">
        <f>(4.69*4.4)*10.764</f>
        <v>222.12590400000002</v>
      </c>
      <c r="E139" s="42">
        <v>0</v>
      </c>
      <c r="F139" s="42">
        <f t="shared" ref="F139" si="8">(D139+E139)*(($F$118)+1)</f>
        <v>355.40144640000005</v>
      </c>
      <c r="G139" s="71"/>
      <c r="H139" s="72"/>
      <c r="I139" s="36"/>
      <c r="L139" s="64"/>
      <c r="M139" s="64"/>
      <c r="N139" s="36"/>
    </row>
    <row r="140" spans="1:14" s="37" customFormat="1" ht="15.75" customHeight="1" x14ac:dyDescent="0.25">
      <c r="A140" s="59">
        <v>17</v>
      </c>
      <c r="B140" s="60"/>
      <c r="C140" s="42" t="s">
        <v>204</v>
      </c>
      <c r="D140" s="42">
        <f>(5.1*8.825+2.835*3.675)*10.764</f>
        <v>596.60680949999983</v>
      </c>
      <c r="E140" s="42">
        <v>0</v>
      </c>
      <c r="F140" s="42">
        <f t="shared" si="7"/>
        <v>954.57089519999977</v>
      </c>
      <c r="G140" s="71"/>
      <c r="H140" s="72"/>
      <c r="I140" s="36"/>
      <c r="L140" s="64"/>
      <c r="M140" s="64"/>
      <c r="N140" s="36"/>
    </row>
    <row r="141" spans="1:14" s="37" customFormat="1" ht="15.75" customHeight="1" x14ac:dyDescent="0.25">
      <c r="A141" s="59">
        <v>18</v>
      </c>
      <c r="B141" s="60"/>
      <c r="C141" s="42" t="s">
        <v>204</v>
      </c>
      <c r="D141" s="42">
        <f>(5.1*12.5+4.9*2.525)*10.764</f>
        <v>819.38258999999982</v>
      </c>
      <c r="E141" s="42">
        <v>0</v>
      </c>
      <c r="F141" s="42">
        <f t="shared" si="7"/>
        <v>1311.0121439999998</v>
      </c>
      <c r="G141" s="71"/>
      <c r="H141" s="72"/>
      <c r="I141" s="36"/>
      <c r="L141" s="64"/>
      <c r="M141" s="64"/>
      <c r="N141" s="36"/>
    </row>
    <row r="142" spans="1:14" s="37" customFormat="1" ht="15.75" customHeight="1" x14ac:dyDescent="0.25">
      <c r="A142" s="59">
        <f t="shared" si="2"/>
        <v>19</v>
      </c>
      <c r="B142" s="60"/>
      <c r="C142" s="42" t="s">
        <v>204</v>
      </c>
      <c r="D142" s="42">
        <f>(4.875*9.99)*10.764</f>
        <v>524.22025499999995</v>
      </c>
      <c r="E142" s="42">
        <v>0</v>
      </c>
      <c r="F142" s="42">
        <f t="shared" ref="F142:F143" si="9">(D142+E142)*(($F$118)+1)</f>
        <v>838.75240799999995</v>
      </c>
      <c r="G142" s="71"/>
      <c r="H142" s="72"/>
      <c r="I142" s="36"/>
      <c r="L142" s="64"/>
      <c r="M142" s="64"/>
      <c r="N142" s="36"/>
    </row>
    <row r="143" spans="1:14" s="37" customFormat="1" ht="15.75" customHeight="1" x14ac:dyDescent="0.25">
      <c r="A143" s="59">
        <f t="shared" si="2"/>
        <v>20</v>
      </c>
      <c r="B143" s="60"/>
      <c r="C143" s="42" t="s">
        <v>204</v>
      </c>
      <c r="D143" s="42">
        <f>(5.3*12.5+4.9*2.525)*10.764</f>
        <v>846.29259000000002</v>
      </c>
      <c r="E143" s="42">
        <v>0</v>
      </c>
      <c r="F143" s="42">
        <f t="shared" si="9"/>
        <v>1354.0681440000001</v>
      </c>
      <c r="G143" s="71"/>
      <c r="H143" s="72"/>
      <c r="I143" s="36"/>
      <c r="L143" s="64"/>
      <c r="M143" s="64"/>
      <c r="N143" s="36"/>
    </row>
    <row r="144" spans="1:14" s="37" customFormat="1" ht="15.75" customHeight="1" x14ac:dyDescent="0.25">
      <c r="A144" s="59">
        <f t="shared" si="2"/>
        <v>21</v>
      </c>
      <c r="B144" s="60"/>
      <c r="C144" s="42" t="s">
        <v>204</v>
      </c>
      <c r="D144" s="42">
        <f>(4.96*10.65+3.9+1.85+3.75*1.2+4.3*1.3)*10.764</f>
        <v>739.09929599999998</v>
      </c>
      <c r="E144" s="42">
        <v>0</v>
      </c>
      <c r="F144" s="42">
        <f t="shared" ref="F144" si="10">(D144+E144)*(($F$118)+1)</f>
        <v>1182.5588736</v>
      </c>
      <c r="G144" s="73"/>
      <c r="H144" s="74"/>
      <c r="I144" s="36"/>
      <c r="L144" s="64"/>
      <c r="M144" s="64"/>
      <c r="N144" s="36"/>
    </row>
    <row r="145" spans="1:14" s="37" customFormat="1" ht="15.75" customHeight="1" x14ac:dyDescent="0.25">
      <c r="A145" s="66" t="s">
        <v>208</v>
      </c>
      <c r="B145" s="67"/>
      <c r="C145" s="67"/>
      <c r="D145" s="67"/>
      <c r="E145" s="67"/>
      <c r="F145" s="67"/>
      <c r="G145" s="67"/>
      <c r="H145" s="68"/>
      <c r="J145" s="36"/>
    </row>
    <row r="146" spans="1:14" s="37" customFormat="1" ht="15.75" customHeight="1" x14ac:dyDescent="0.25">
      <c r="A146" s="59">
        <v>1</v>
      </c>
      <c r="B146" s="60"/>
      <c r="C146" s="42" t="s">
        <v>204</v>
      </c>
      <c r="D146" s="42">
        <f>(5.35*5.05+3.15*4.25+6.73*7.725)*10.764</f>
        <v>994.53170699999998</v>
      </c>
      <c r="E146" s="42">
        <v>0</v>
      </c>
      <c r="F146" s="42">
        <f>(D146+E146)*(($F$118)+1)</f>
        <v>1591.2507312</v>
      </c>
      <c r="G146" s="69" t="str">
        <f>A145</f>
        <v>1st retail Floor For parking &amp; Commercial</v>
      </c>
      <c r="H146" s="70"/>
      <c r="J146" s="36"/>
    </row>
    <row r="147" spans="1:14" s="37" customFormat="1" ht="15.75" customHeight="1" x14ac:dyDescent="0.25">
      <c r="A147" s="59">
        <f t="shared" ref="A147" si="11">A146+1</f>
        <v>2</v>
      </c>
      <c r="B147" s="60"/>
      <c r="C147" s="42" t="s">
        <v>204</v>
      </c>
      <c r="D147" s="42">
        <f>(2.05*3.435*4.75*2.635+6.08*3.435+7.53*7.225)*10.764</f>
        <v>1759.1105044012497</v>
      </c>
      <c r="E147" s="42">
        <v>0</v>
      </c>
      <c r="F147" s="42">
        <f t="shared" ref="F147:F168" si="12">(D147+E147)*(($F$118)+1)</f>
        <v>2814.5768070419999</v>
      </c>
      <c r="G147" s="71"/>
      <c r="H147" s="72"/>
      <c r="I147" s="36"/>
      <c r="L147" s="64"/>
      <c r="M147" s="64"/>
      <c r="N147" s="36"/>
    </row>
    <row r="148" spans="1:14" s="37" customFormat="1" ht="15.75" customHeight="1" x14ac:dyDescent="0.25">
      <c r="A148" s="59">
        <v>3</v>
      </c>
      <c r="B148" s="60"/>
      <c r="C148" s="42" t="s">
        <v>204</v>
      </c>
      <c r="D148" s="42">
        <f>(4.4*2.235+3.15*1.085+3.67*9.7+7.55*7.55*0.5)*10.764</f>
        <v>832.61692800000003</v>
      </c>
      <c r="E148" s="42">
        <v>0</v>
      </c>
      <c r="F148" s="42">
        <f t="shared" si="12"/>
        <v>1332.1870848000001</v>
      </c>
      <c r="G148" s="71"/>
      <c r="H148" s="72"/>
      <c r="I148" s="36"/>
      <c r="L148" s="64"/>
      <c r="M148" s="64"/>
      <c r="N148" s="36"/>
    </row>
    <row r="149" spans="1:14" s="37" customFormat="1" ht="15.75" customHeight="1" x14ac:dyDescent="0.25">
      <c r="A149" s="59">
        <v>4</v>
      </c>
      <c r="B149" s="60"/>
      <c r="C149" s="42" t="s">
        <v>204</v>
      </c>
      <c r="D149" s="42">
        <f>(5.76*6.2)*10.764</f>
        <v>384.40396799999996</v>
      </c>
      <c r="E149" s="42">
        <v>0</v>
      </c>
      <c r="F149" s="42">
        <f t="shared" si="12"/>
        <v>615.04634880000003</v>
      </c>
      <c r="G149" s="71"/>
      <c r="H149" s="72"/>
      <c r="I149" s="36"/>
      <c r="L149" s="64"/>
      <c r="M149" s="64"/>
      <c r="N149" s="36"/>
    </row>
    <row r="150" spans="1:14" s="37" customFormat="1" ht="15.75" customHeight="1" x14ac:dyDescent="0.25">
      <c r="A150" s="59">
        <v>5</v>
      </c>
      <c r="B150" s="60"/>
      <c r="C150" s="42" t="s">
        <v>204</v>
      </c>
      <c r="D150" s="42">
        <f>(4.69*13.425)*10.764</f>
        <v>677.73642300000006</v>
      </c>
      <c r="E150" s="42">
        <v>0</v>
      </c>
      <c r="F150" s="42">
        <f t="shared" si="12"/>
        <v>1084.3782768000001</v>
      </c>
      <c r="G150" s="71"/>
      <c r="H150" s="72"/>
      <c r="I150" s="36"/>
      <c r="L150" s="64"/>
      <c r="M150" s="64"/>
      <c r="N150" s="36"/>
    </row>
    <row r="151" spans="1:14" s="37" customFormat="1" ht="15.75" customHeight="1" x14ac:dyDescent="0.25">
      <c r="A151" s="59">
        <v>6</v>
      </c>
      <c r="B151" s="60"/>
      <c r="C151" s="42" t="s">
        <v>204</v>
      </c>
      <c r="D151" s="42">
        <f>(5.75*13.425)*10.764</f>
        <v>830.91352500000005</v>
      </c>
      <c r="E151" s="42">
        <v>0</v>
      </c>
      <c r="F151" s="42">
        <f t="shared" si="12"/>
        <v>1329.4616400000002</v>
      </c>
      <c r="G151" s="71"/>
      <c r="H151" s="72"/>
      <c r="I151" s="36"/>
      <c r="L151" s="64"/>
      <c r="M151" s="64"/>
      <c r="N151" s="36"/>
    </row>
    <row r="152" spans="1:14" s="37" customFormat="1" ht="15.75" customHeight="1" x14ac:dyDescent="0.25">
      <c r="A152" s="59">
        <v>7</v>
      </c>
      <c r="B152" s="60"/>
      <c r="C152" s="42" t="s">
        <v>204</v>
      </c>
      <c r="D152" s="42">
        <f>(5.25*12.625)*10.764</f>
        <v>713.45137499999998</v>
      </c>
      <c r="E152" s="42">
        <v>0</v>
      </c>
      <c r="F152" s="42">
        <f t="shared" si="12"/>
        <v>1141.5222000000001</v>
      </c>
      <c r="G152" s="71"/>
      <c r="H152" s="72"/>
      <c r="I152" s="36"/>
      <c r="L152" s="64"/>
      <c r="M152" s="64"/>
      <c r="N152" s="36"/>
    </row>
    <row r="153" spans="1:14" s="37" customFormat="1" ht="15.75" customHeight="1" x14ac:dyDescent="0.25">
      <c r="A153" s="59">
        <v>8</v>
      </c>
      <c r="B153" s="60"/>
      <c r="C153" s="42" t="s">
        <v>204</v>
      </c>
      <c r="D153" s="42">
        <f>(15.998*4.91)*10.764</f>
        <v>845.51413751999996</v>
      </c>
      <c r="E153" s="42">
        <v>0</v>
      </c>
      <c r="F153" s="42">
        <f t="shared" si="12"/>
        <v>1352.822620032</v>
      </c>
      <c r="G153" s="71"/>
      <c r="H153" s="72"/>
      <c r="I153" s="36"/>
      <c r="L153" s="64"/>
      <c r="M153" s="64"/>
      <c r="N153" s="36"/>
    </row>
    <row r="154" spans="1:14" s="37" customFormat="1" ht="15.75" customHeight="1" x14ac:dyDescent="0.25">
      <c r="A154" s="59">
        <v>9</v>
      </c>
      <c r="B154" s="60"/>
      <c r="C154" s="42" t="s">
        <v>204</v>
      </c>
      <c r="D154" s="42">
        <f>(5.205*4.425)*10.764</f>
        <v>247.91779349999999</v>
      </c>
      <c r="E154" s="42">
        <v>0</v>
      </c>
      <c r="F154" s="42">
        <f t="shared" si="12"/>
        <v>396.66846959999998</v>
      </c>
      <c r="G154" s="71"/>
      <c r="H154" s="72"/>
      <c r="I154" s="36"/>
      <c r="L154" s="64"/>
      <c r="M154" s="64"/>
      <c r="N154" s="36"/>
    </row>
    <row r="155" spans="1:14" s="37" customFormat="1" ht="15.75" customHeight="1" x14ac:dyDescent="0.25">
      <c r="A155" s="59">
        <v>10</v>
      </c>
      <c r="B155" s="60"/>
      <c r="C155" s="42" t="s">
        <v>204</v>
      </c>
      <c r="D155" s="42">
        <f>(4.69*5.725)*10.764</f>
        <v>289.01609099999996</v>
      </c>
      <c r="E155" s="42">
        <v>0</v>
      </c>
      <c r="F155" s="42">
        <f t="shared" si="12"/>
        <v>462.42574559999997</v>
      </c>
      <c r="G155" s="71"/>
      <c r="H155" s="72"/>
      <c r="I155" s="36"/>
      <c r="L155" s="64"/>
      <c r="M155" s="64"/>
      <c r="N155" s="36"/>
    </row>
    <row r="156" spans="1:14" s="37" customFormat="1" ht="15.75" customHeight="1" x14ac:dyDescent="0.25">
      <c r="A156" s="59">
        <v>11</v>
      </c>
      <c r="B156" s="60"/>
      <c r="C156" s="42" t="s">
        <v>204</v>
      </c>
      <c r="D156" s="42">
        <f>(5.1*5.725)*10.764</f>
        <v>314.28188999999992</v>
      </c>
      <c r="E156" s="42">
        <v>0</v>
      </c>
      <c r="F156" s="42">
        <f t="shared" si="12"/>
        <v>502.85102399999988</v>
      </c>
      <c r="G156" s="71"/>
      <c r="H156" s="72"/>
      <c r="I156" s="36"/>
      <c r="L156" s="64"/>
      <c r="M156" s="64"/>
      <c r="N156" s="36"/>
    </row>
    <row r="157" spans="1:14" s="37" customFormat="1" ht="15.75" customHeight="1" x14ac:dyDescent="0.25">
      <c r="A157" s="59">
        <v>12</v>
      </c>
      <c r="B157" s="60"/>
      <c r="C157" s="42" t="s">
        <v>204</v>
      </c>
      <c r="D157" s="42">
        <f>(5.1*10.15+4.9*2.525)*10.764</f>
        <v>690.37604999999996</v>
      </c>
      <c r="E157" s="42">
        <v>0</v>
      </c>
      <c r="F157" s="42">
        <f t="shared" si="12"/>
        <v>1104.60168</v>
      </c>
      <c r="G157" s="71"/>
      <c r="H157" s="72"/>
      <c r="I157" s="36"/>
      <c r="L157" s="64"/>
      <c r="M157" s="64"/>
      <c r="N157" s="36"/>
    </row>
    <row r="158" spans="1:14" s="37" customFormat="1" ht="15.75" customHeight="1" x14ac:dyDescent="0.25">
      <c r="A158" s="59">
        <v>13</v>
      </c>
      <c r="B158" s="60"/>
      <c r="C158" s="42" t="s">
        <v>204</v>
      </c>
      <c r="D158" s="42">
        <f>(4.875*7.64)*10.764</f>
        <v>400.90517999999997</v>
      </c>
      <c r="E158" s="42">
        <v>0</v>
      </c>
      <c r="F158" s="42">
        <f t="shared" si="12"/>
        <v>641.44828800000005</v>
      </c>
      <c r="G158" s="71"/>
      <c r="H158" s="72"/>
      <c r="I158" s="36"/>
      <c r="L158" s="64"/>
      <c r="M158" s="64"/>
      <c r="N158" s="36"/>
    </row>
    <row r="159" spans="1:14" s="37" customFormat="1" ht="15.75" customHeight="1" x14ac:dyDescent="0.25">
      <c r="A159" s="59">
        <v>14</v>
      </c>
      <c r="B159" s="60"/>
      <c r="C159" s="42" t="s">
        <v>204</v>
      </c>
      <c r="D159" s="42">
        <f>(5.3*10.15+4.9*2.525+2.725*2.275)*10.764</f>
        <v>778.95704250000006</v>
      </c>
      <c r="E159" s="42">
        <v>0</v>
      </c>
      <c r="F159" s="42">
        <f t="shared" si="12"/>
        <v>1246.3312680000001</v>
      </c>
      <c r="G159" s="71"/>
      <c r="H159" s="72"/>
      <c r="I159" s="36"/>
      <c r="L159" s="64"/>
      <c r="M159" s="64"/>
      <c r="N159" s="36"/>
    </row>
    <row r="160" spans="1:14" s="37" customFormat="1" ht="15.75" customHeight="1" x14ac:dyDescent="0.25">
      <c r="A160" s="59">
        <v>15</v>
      </c>
      <c r="B160" s="60"/>
      <c r="C160" s="42" t="s">
        <v>204</v>
      </c>
      <c r="D160" s="42">
        <f>(4.81*1.675+3.9*1.85+3.75*1.2+4.45*3.75)*10.764</f>
        <v>392.44736699999993</v>
      </c>
      <c r="E160" s="42">
        <v>0</v>
      </c>
      <c r="F160" s="42">
        <f t="shared" si="12"/>
        <v>627.91578719999995</v>
      </c>
      <c r="G160" s="71"/>
      <c r="H160" s="72"/>
      <c r="I160" s="36"/>
      <c r="L160" s="64"/>
      <c r="M160" s="64"/>
      <c r="N160" s="36"/>
    </row>
    <row r="161" spans="1:14" s="37" customFormat="1" ht="15.75" customHeight="1" x14ac:dyDescent="0.25">
      <c r="A161" s="59">
        <v>16</v>
      </c>
      <c r="B161" s="60"/>
      <c r="C161" s="42" t="s">
        <v>204</v>
      </c>
      <c r="D161" s="42">
        <f>(6.655*4.675+3.6*3.75)*10.764</f>
        <v>480.20491349999998</v>
      </c>
      <c r="E161" s="42">
        <v>0</v>
      </c>
      <c r="F161" s="42">
        <f t="shared" si="12"/>
        <v>768.32786160000001</v>
      </c>
      <c r="G161" s="71"/>
      <c r="H161" s="72"/>
      <c r="I161" s="36"/>
      <c r="L161" s="64"/>
      <c r="M161" s="64"/>
      <c r="N161" s="36"/>
    </row>
    <row r="162" spans="1:14" s="37" customFormat="1" ht="15.75" customHeight="1" x14ac:dyDescent="0.25">
      <c r="A162" s="59">
        <v>17</v>
      </c>
      <c r="B162" s="60"/>
      <c r="C162" s="42" t="s">
        <v>204</v>
      </c>
      <c r="D162" s="42">
        <f>(4.665*3.675+5.065*4.65)*10.764</f>
        <v>438.0530895</v>
      </c>
      <c r="E162" s="42">
        <v>0</v>
      </c>
      <c r="F162" s="42">
        <f t="shared" si="12"/>
        <v>700.88494320000007</v>
      </c>
      <c r="G162" s="71"/>
      <c r="H162" s="72"/>
      <c r="I162" s="36"/>
      <c r="L162" s="64"/>
      <c r="M162" s="64"/>
      <c r="N162" s="36"/>
    </row>
    <row r="163" spans="1:14" s="37" customFormat="1" ht="15.75" customHeight="1" x14ac:dyDescent="0.25">
      <c r="A163" s="59">
        <v>18</v>
      </c>
      <c r="B163" s="60"/>
      <c r="C163" s="42" t="s">
        <v>204</v>
      </c>
      <c r="D163" s="42">
        <f>(5.3*3.525+4.9*2.525+2.025*2.275)*10.764</f>
        <v>383.86442249999999</v>
      </c>
      <c r="E163" s="42">
        <v>0</v>
      </c>
      <c r="F163" s="42">
        <f t="shared" si="12"/>
        <v>614.18307600000003</v>
      </c>
      <c r="G163" s="71"/>
      <c r="H163" s="72"/>
      <c r="I163" s="36"/>
      <c r="L163" s="64"/>
      <c r="M163" s="64"/>
      <c r="N163" s="36"/>
    </row>
    <row r="164" spans="1:14" s="37" customFormat="1" ht="15.75" customHeight="1" x14ac:dyDescent="0.25">
      <c r="A164" s="59">
        <v>19</v>
      </c>
      <c r="B164" s="60"/>
      <c r="C164" s="42" t="s">
        <v>204</v>
      </c>
      <c r="D164" s="42">
        <f>(5.3*3.525+4.9*2.525+2.025*2.275)*10.764</f>
        <v>383.86442249999999</v>
      </c>
      <c r="E164" s="42">
        <v>0</v>
      </c>
      <c r="F164" s="42">
        <f t="shared" si="12"/>
        <v>614.18307600000003</v>
      </c>
      <c r="G164" s="71"/>
      <c r="H164" s="72"/>
      <c r="I164" s="36"/>
      <c r="L164" s="64"/>
      <c r="M164" s="64"/>
      <c r="N164" s="36"/>
    </row>
    <row r="165" spans="1:14" s="37" customFormat="1" ht="15.75" customHeight="1" x14ac:dyDescent="0.25">
      <c r="A165" s="59">
        <v>20</v>
      </c>
      <c r="B165" s="60"/>
      <c r="C165" s="42" t="s">
        <v>204</v>
      </c>
      <c r="D165" s="42">
        <f>(4.66*3.675+5.06*4.65)*10.764</f>
        <v>437.60503799999998</v>
      </c>
      <c r="E165" s="42">
        <v>0</v>
      </c>
      <c r="F165" s="42">
        <f t="shared" si="12"/>
        <v>700.16806080000003</v>
      </c>
      <c r="G165" s="71"/>
      <c r="H165" s="72"/>
      <c r="I165" s="36"/>
      <c r="L165" s="64"/>
      <c r="M165" s="64"/>
      <c r="N165" s="36"/>
    </row>
    <row r="166" spans="1:14" s="37" customFormat="1" ht="15.75" customHeight="1" x14ac:dyDescent="0.25">
      <c r="A166" s="59">
        <v>21</v>
      </c>
      <c r="B166" s="60"/>
      <c r="C166" s="42" t="s">
        <v>204</v>
      </c>
      <c r="D166" s="42">
        <f>(6.655*4.675+3.6*3.75)*10.764</f>
        <v>480.20491349999998</v>
      </c>
      <c r="E166" s="42">
        <v>0</v>
      </c>
      <c r="F166" s="42">
        <f t="shared" si="12"/>
        <v>768.32786160000001</v>
      </c>
      <c r="G166" s="71"/>
      <c r="H166" s="72"/>
      <c r="I166" s="36"/>
      <c r="L166" s="64"/>
      <c r="M166" s="64"/>
      <c r="N166" s="36"/>
    </row>
    <row r="167" spans="1:14" s="37" customFormat="1" ht="15.75" customHeight="1" x14ac:dyDescent="0.25">
      <c r="A167" s="59">
        <v>22</v>
      </c>
      <c r="B167" s="60"/>
      <c r="C167" s="42" t="s">
        <v>204</v>
      </c>
      <c r="D167" s="42">
        <f>(4.277*4.725)*10.764</f>
        <v>217.52779229999996</v>
      </c>
      <c r="E167" s="42">
        <v>0</v>
      </c>
      <c r="F167" s="42">
        <f t="shared" si="12"/>
        <v>348.04446767999997</v>
      </c>
      <c r="G167" s="71"/>
      <c r="H167" s="72"/>
      <c r="I167" s="36"/>
      <c r="L167" s="64"/>
      <c r="M167" s="64"/>
      <c r="N167" s="36"/>
    </row>
    <row r="168" spans="1:14" s="37" customFormat="1" ht="15.75" customHeight="1" x14ac:dyDescent="0.25">
      <c r="A168" s="59">
        <v>23</v>
      </c>
      <c r="B168" s="60"/>
      <c r="C168" s="42" t="s">
        <v>204</v>
      </c>
      <c r="D168" s="42">
        <f>(9.375*4.725)*10.764</f>
        <v>476.81156249999998</v>
      </c>
      <c r="E168" s="42">
        <v>0</v>
      </c>
      <c r="F168" s="42">
        <f t="shared" si="12"/>
        <v>762.89850000000001</v>
      </c>
      <c r="G168" s="71"/>
      <c r="H168" s="72"/>
      <c r="I168" s="36"/>
      <c r="L168" s="64"/>
      <c r="M168" s="64"/>
      <c r="N168" s="36"/>
    </row>
    <row r="169" spans="1:14" s="37" customFormat="1" ht="15.75" customHeight="1" x14ac:dyDescent="0.25">
      <c r="A169" s="59">
        <v>24</v>
      </c>
      <c r="B169" s="60"/>
      <c r="C169" s="42" t="s">
        <v>204</v>
      </c>
      <c r="D169" s="42">
        <f>(4.9*5.4)*10.764</f>
        <v>284.81544000000002</v>
      </c>
      <c r="E169" s="42">
        <v>0</v>
      </c>
      <c r="F169" s="42">
        <f t="shared" ref="F169:F174" si="13">(D169+E169)*(($F$118)+1)</f>
        <v>455.70470400000005</v>
      </c>
      <c r="G169" s="71"/>
      <c r="H169" s="72"/>
      <c r="I169" s="36"/>
      <c r="L169" s="64"/>
      <c r="M169" s="64"/>
      <c r="N169" s="36"/>
    </row>
    <row r="170" spans="1:14" s="37" customFormat="1" ht="15.75" customHeight="1" x14ac:dyDescent="0.25">
      <c r="A170" s="59">
        <v>25</v>
      </c>
      <c r="B170" s="60"/>
      <c r="C170" s="42" t="s">
        <v>204</v>
      </c>
      <c r="D170" s="42">
        <f>(3.7*9.4)*10.764</f>
        <v>374.37191999999999</v>
      </c>
      <c r="E170" s="42">
        <v>0</v>
      </c>
      <c r="F170" s="42">
        <f t="shared" si="13"/>
        <v>598.99507200000005</v>
      </c>
      <c r="G170" s="71"/>
      <c r="H170" s="72"/>
      <c r="I170" s="36"/>
      <c r="L170" s="64"/>
      <c r="M170" s="64"/>
      <c r="N170" s="36"/>
    </row>
    <row r="171" spans="1:14" s="37" customFormat="1" ht="15.75" customHeight="1" x14ac:dyDescent="0.25">
      <c r="A171" s="59">
        <v>26</v>
      </c>
      <c r="B171" s="60"/>
      <c r="C171" s="42" t="s">
        <v>204</v>
      </c>
      <c r="D171" s="42">
        <f>(4.51*9.4)*10.764</f>
        <v>456.32901599999997</v>
      </c>
      <c r="E171" s="42">
        <v>0</v>
      </c>
      <c r="F171" s="42">
        <f t="shared" si="13"/>
        <v>730.12642559999995</v>
      </c>
      <c r="G171" s="71"/>
      <c r="H171" s="72"/>
      <c r="I171" s="36"/>
      <c r="L171" s="64"/>
      <c r="M171" s="64"/>
      <c r="N171" s="36"/>
    </row>
    <row r="172" spans="1:14" s="37" customFormat="1" ht="15.75" customHeight="1" x14ac:dyDescent="0.25">
      <c r="A172" s="59">
        <v>27</v>
      </c>
      <c r="B172" s="60"/>
      <c r="C172" s="42" t="s">
        <v>204</v>
      </c>
      <c r="D172" s="42">
        <f>(5.94*9.4)*10.764</f>
        <v>601.01870400000007</v>
      </c>
      <c r="E172" s="42">
        <v>0</v>
      </c>
      <c r="F172" s="42">
        <f t="shared" si="13"/>
        <v>961.62992640000016</v>
      </c>
      <c r="G172" s="71"/>
      <c r="H172" s="72"/>
      <c r="I172" s="36"/>
      <c r="L172" s="64"/>
      <c r="M172" s="64"/>
      <c r="N172" s="36"/>
    </row>
    <row r="173" spans="1:14" s="37" customFormat="1" ht="15.75" customHeight="1" x14ac:dyDescent="0.25">
      <c r="A173" s="59">
        <v>28</v>
      </c>
      <c r="B173" s="60"/>
      <c r="C173" s="42" t="s">
        <v>204</v>
      </c>
      <c r="D173" s="42">
        <f>(5.89*4.655+5.24*4.745)*10.764</f>
        <v>562.76075700000001</v>
      </c>
      <c r="E173" s="42">
        <v>0</v>
      </c>
      <c r="F173" s="42">
        <f t="shared" si="13"/>
        <v>900.41721120000011</v>
      </c>
      <c r="G173" s="71"/>
      <c r="H173" s="72"/>
      <c r="I173" s="36"/>
      <c r="L173" s="64"/>
      <c r="M173" s="64"/>
      <c r="N173" s="36"/>
    </row>
    <row r="174" spans="1:14" s="37" customFormat="1" ht="15.75" customHeight="1" x14ac:dyDescent="0.25">
      <c r="A174" s="59">
        <v>29</v>
      </c>
      <c r="B174" s="60"/>
      <c r="C174" s="42" t="s">
        <v>204</v>
      </c>
      <c r="D174" s="42">
        <f>(3.757*4.655+4.407*3.695)*10.764</f>
        <v>363.52934279999999</v>
      </c>
      <c r="E174" s="42">
        <v>0</v>
      </c>
      <c r="F174" s="42">
        <f t="shared" si="13"/>
        <v>581.64694847999999</v>
      </c>
      <c r="G174" s="71"/>
      <c r="H174" s="72"/>
      <c r="I174" s="36"/>
      <c r="L174" s="64"/>
      <c r="M174" s="64"/>
      <c r="N174" s="36"/>
    </row>
    <row r="175" spans="1:14" s="37" customFormat="1" ht="15.75" customHeight="1" x14ac:dyDescent="0.25">
      <c r="A175" s="59">
        <v>30</v>
      </c>
      <c r="B175" s="60"/>
      <c r="C175" s="42" t="s">
        <v>204</v>
      </c>
      <c r="D175" s="42">
        <f>(6.1*7.86)*10.764</f>
        <v>516.09074399999997</v>
      </c>
      <c r="E175" s="42">
        <v>0</v>
      </c>
      <c r="F175" s="42">
        <f t="shared" ref="F175:F179" si="14">(D175+E175)*(($F$118)+1)</f>
        <v>825.74519039999996</v>
      </c>
      <c r="G175" s="71"/>
      <c r="H175" s="72"/>
      <c r="I175" s="36"/>
      <c r="L175" s="64"/>
      <c r="M175" s="64"/>
      <c r="N175" s="36"/>
    </row>
    <row r="176" spans="1:14" s="37" customFormat="1" ht="15.75" customHeight="1" x14ac:dyDescent="0.25">
      <c r="A176" s="59">
        <v>31</v>
      </c>
      <c r="B176" s="60"/>
      <c r="C176" s="42" t="s">
        <v>204</v>
      </c>
      <c r="D176" s="42">
        <f>(4.98*3.575)*10.764</f>
        <v>191.63687400000003</v>
      </c>
      <c r="E176" s="42">
        <v>0</v>
      </c>
      <c r="F176" s="42">
        <f t="shared" si="14"/>
        <v>306.61899840000007</v>
      </c>
      <c r="G176" s="71"/>
      <c r="H176" s="72"/>
      <c r="I176" s="36"/>
      <c r="L176" s="64"/>
      <c r="M176" s="64"/>
      <c r="N176" s="36"/>
    </row>
    <row r="177" spans="1:14" s="37" customFormat="1" ht="15.75" customHeight="1" x14ac:dyDescent="0.25">
      <c r="A177" s="59">
        <v>32</v>
      </c>
      <c r="B177" s="60"/>
      <c r="C177" s="42" t="s">
        <v>204</v>
      </c>
      <c r="D177" s="42">
        <f>(7.65*2.86)*10.764</f>
        <v>235.50555600000001</v>
      </c>
      <c r="E177" s="42">
        <v>0</v>
      </c>
      <c r="F177" s="42">
        <f t="shared" si="14"/>
        <v>376.80888960000004</v>
      </c>
      <c r="G177" s="71"/>
      <c r="H177" s="72"/>
      <c r="I177" s="36"/>
      <c r="L177" s="64"/>
      <c r="M177" s="64"/>
      <c r="N177" s="36"/>
    </row>
    <row r="178" spans="1:14" s="37" customFormat="1" ht="15.75" customHeight="1" x14ac:dyDescent="0.25">
      <c r="A178" s="59">
        <v>33</v>
      </c>
      <c r="B178" s="60"/>
      <c r="C178" s="42" t="s">
        <v>204</v>
      </c>
      <c r="D178" s="42">
        <f>(7.65*3.19)*10.764</f>
        <v>262.67927400000002</v>
      </c>
      <c r="E178" s="42">
        <v>0</v>
      </c>
      <c r="F178" s="42">
        <f t="shared" si="14"/>
        <v>420.28683840000008</v>
      </c>
      <c r="G178" s="71"/>
      <c r="H178" s="72"/>
      <c r="I178" s="36"/>
      <c r="L178" s="64"/>
      <c r="M178" s="64"/>
      <c r="N178" s="36"/>
    </row>
    <row r="179" spans="1:14" s="37" customFormat="1" ht="15.75" customHeight="1" x14ac:dyDescent="0.25">
      <c r="A179" s="59">
        <v>34</v>
      </c>
      <c r="B179" s="60"/>
      <c r="C179" s="42" t="s">
        <v>204</v>
      </c>
      <c r="D179" s="42">
        <f>(4.935*3.6+7.165*4.7)*10.764</f>
        <v>553.71630599999992</v>
      </c>
      <c r="E179" s="42">
        <v>0</v>
      </c>
      <c r="F179" s="42">
        <f t="shared" si="14"/>
        <v>885.94608959999994</v>
      </c>
      <c r="G179" s="73"/>
      <c r="H179" s="74"/>
      <c r="I179" s="36"/>
      <c r="L179" s="64"/>
      <c r="M179" s="64"/>
      <c r="N179" s="36"/>
    </row>
    <row r="180" spans="1:14" s="37" customFormat="1" ht="15.75" customHeight="1" x14ac:dyDescent="0.25">
      <c r="A180" s="66" t="s">
        <v>209</v>
      </c>
      <c r="B180" s="67"/>
      <c r="C180" s="67"/>
      <c r="D180" s="67"/>
      <c r="E180" s="67"/>
      <c r="F180" s="67"/>
      <c r="G180" s="67"/>
      <c r="H180" s="68"/>
      <c r="J180" s="36"/>
    </row>
    <row r="181" spans="1:14" s="37" customFormat="1" ht="15.75" customHeight="1" x14ac:dyDescent="0.25">
      <c r="A181" s="59">
        <v>1</v>
      </c>
      <c r="B181" s="60"/>
      <c r="C181" s="42" t="s">
        <v>204</v>
      </c>
      <c r="D181" s="42">
        <f>(3*5.05+3.15*4.25+6.73*7.725)*10.764</f>
        <v>866.7899369999999</v>
      </c>
      <c r="E181" s="42">
        <v>0</v>
      </c>
      <c r="F181" s="42">
        <f>(D181+E181)*(($F$118)+1)</f>
        <v>1386.8638991999999</v>
      </c>
      <c r="G181" s="69" t="str">
        <f>A180</f>
        <v>2nd retail/1st residential Floor For parking &amp; Commercial &amp; Diagnostic</v>
      </c>
      <c r="H181" s="70"/>
      <c r="J181" s="36"/>
    </row>
    <row r="182" spans="1:14" s="37" customFormat="1" ht="15.75" customHeight="1" x14ac:dyDescent="0.25">
      <c r="A182" s="59">
        <f t="shared" ref="A182" si="15">A181+1</f>
        <v>2</v>
      </c>
      <c r="B182" s="60"/>
      <c r="C182" s="42" t="s">
        <v>204</v>
      </c>
      <c r="D182" s="42">
        <f>(2.05*3.435*4.75*2.635+6.08*3.435+7.53*7.225)*10.764</f>
        <v>1759.1105044012497</v>
      </c>
      <c r="E182" s="42">
        <v>0</v>
      </c>
      <c r="F182" s="42">
        <f t="shared" ref="F182:F203" si="16">(D182+E182)*(($F$118)+1)</f>
        <v>2814.5768070419999</v>
      </c>
      <c r="G182" s="71"/>
      <c r="H182" s="72"/>
      <c r="I182" s="36"/>
      <c r="L182" s="64"/>
      <c r="M182" s="64"/>
      <c r="N182" s="36"/>
    </row>
    <row r="183" spans="1:14" s="37" customFormat="1" ht="15.75" customHeight="1" x14ac:dyDescent="0.25">
      <c r="A183" s="59">
        <v>3</v>
      </c>
      <c r="B183" s="60"/>
      <c r="C183" s="42" t="s">
        <v>204</v>
      </c>
      <c r="D183" s="42">
        <f>(6.08*1.15+5.76*6.2+6.2*5.76*0.5)*10.764</f>
        <v>651.86783999999989</v>
      </c>
      <c r="E183" s="42">
        <v>0</v>
      </c>
      <c r="F183" s="42">
        <f t="shared" si="16"/>
        <v>1042.9885439999998</v>
      </c>
      <c r="G183" s="71"/>
      <c r="H183" s="72"/>
      <c r="I183" s="36"/>
      <c r="L183" s="64"/>
      <c r="M183" s="64"/>
      <c r="N183" s="36"/>
    </row>
    <row r="184" spans="1:14" s="37" customFormat="1" ht="15.75" customHeight="1" x14ac:dyDescent="0.25">
      <c r="A184" s="59">
        <v>4</v>
      </c>
      <c r="B184" s="60"/>
      <c r="C184" s="42" t="s">
        <v>204</v>
      </c>
      <c r="D184" s="42">
        <f>(4.69*11.075)*10.764</f>
        <v>559.10099700000001</v>
      </c>
      <c r="E184" s="42">
        <v>0</v>
      </c>
      <c r="F184" s="42">
        <f t="shared" si="16"/>
        <v>894.56159520000006</v>
      </c>
      <c r="G184" s="71"/>
      <c r="H184" s="72"/>
      <c r="I184" s="36"/>
      <c r="L184" s="64"/>
      <c r="M184" s="64"/>
      <c r="N184" s="36"/>
    </row>
    <row r="185" spans="1:14" s="37" customFormat="1" ht="15.75" customHeight="1" x14ac:dyDescent="0.25">
      <c r="A185" s="59">
        <v>5</v>
      </c>
      <c r="B185" s="60"/>
      <c r="C185" s="42" t="s">
        <v>204</v>
      </c>
      <c r="D185" s="42">
        <f>(5.75*11.075)*10.764</f>
        <v>685.46497499999998</v>
      </c>
      <c r="E185" s="42">
        <v>0</v>
      </c>
      <c r="F185" s="42">
        <f t="shared" si="16"/>
        <v>1096.74396</v>
      </c>
      <c r="G185" s="71"/>
      <c r="H185" s="72"/>
      <c r="I185" s="36"/>
      <c r="L185" s="64"/>
      <c r="M185" s="64"/>
      <c r="N185" s="36"/>
    </row>
    <row r="186" spans="1:14" s="37" customFormat="1" ht="15.75" customHeight="1" x14ac:dyDescent="0.25">
      <c r="A186" s="59">
        <v>6</v>
      </c>
      <c r="B186" s="60"/>
      <c r="C186" s="42" t="s">
        <v>204</v>
      </c>
      <c r="D186" s="42">
        <f>(5.2*10.275)*10.764</f>
        <v>575.12052000000006</v>
      </c>
      <c r="E186" s="42">
        <v>0</v>
      </c>
      <c r="F186" s="42">
        <f t="shared" si="16"/>
        <v>920.19283200000018</v>
      </c>
      <c r="G186" s="71"/>
      <c r="H186" s="72"/>
      <c r="I186" s="36"/>
      <c r="L186" s="64"/>
      <c r="M186" s="64"/>
      <c r="N186" s="36"/>
    </row>
    <row r="187" spans="1:14" s="37" customFormat="1" ht="15.75" customHeight="1" x14ac:dyDescent="0.25">
      <c r="A187" s="59">
        <v>7</v>
      </c>
      <c r="B187" s="60"/>
      <c r="C187" s="42" t="s">
        <v>204</v>
      </c>
      <c r="D187" s="42">
        <f>(16*4.91)*10.764</f>
        <v>845.61983999999995</v>
      </c>
      <c r="E187" s="42">
        <v>0</v>
      </c>
      <c r="F187" s="42">
        <f t="shared" si="16"/>
        <v>1352.9917439999999</v>
      </c>
      <c r="G187" s="71"/>
      <c r="H187" s="72"/>
      <c r="I187" s="36"/>
      <c r="L187" s="64"/>
      <c r="M187" s="64"/>
      <c r="N187" s="36"/>
    </row>
    <row r="188" spans="1:14" s="37" customFormat="1" ht="15.75" customHeight="1" x14ac:dyDescent="0.25">
      <c r="A188" s="59">
        <v>8</v>
      </c>
      <c r="B188" s="60"/>
      <c r="C188" s="42" t="s">
        <v>204</v>
      </c>
      <c r="D188" s="42">
        <f>(3.605*4.425+3.2*2.575)*10.764</f>
        <v>260.40403349999997</v>
      </c>
      <c r="E188" s="42">
        <v>0</v>
      </c>
      <c r="F188" s="42">
        <f t="shared" si="16"/>
        <v>416.64645359999997</v>
      </c>
      <c r="G188" s="71"/>
      <c r="H188" s="72"/>
      <c r="I188" s="36"/>
      <c r="L188" s="64"/>
      <c r="M188" s="64"/>
      <c r="N188" s="36"/>
    </row>
    <row r="189" spans="1:14" s="37" customFormat="1" ht="15.75" customHeight="1" x14ac:dyDescent="0.25">
      <c r="A189" s="59">
        <v>9</v>
      </c>
      <c r="B189" s="60"/>
      <c r="C189" s="42" t="s">
        <v>204</v>
      </c>
      <c r="D189" s="42">
        <f>(4.69*3.375)*10.764</f>
        <v>170.38066499999999</v>
      </c>
      <c r="E189" s="42">
        <v>0</v>
      </c>
      <c r="F189" s="42">
        <f t="shared" si="16"/>
        <v>272.60906399999999</v>
      </c>
      <c r="G189" s="71"/>
      <c r="H189" s="72"/>
      <c r="I189" s="36"/>
      <c r="L189" s="64"/>
      <c r="M189" s="64"/>
      <c r="N189" s="36"/>
    </row>
    <row r="190" spans="1:14" s="37" customFormat="1" ht="15.75" customHeight="1" x14ac:dyDescent="0.25">
      <c r="A190" s="59">
        <v>10</v>
      </c>
      <c r="B190" s="60"/>
      <c r="C190" s="42" t="s">
        <v>204</v>
      </c>
      <c r="D190" s="42">
        <f>(5.1*3.375+2.835*4.425)*10.764</f>
        <v>320.30838449999993</v>
      </c>
      <c r="E190" s="42">
        <v>0</v>
      </c>
      <c r="F190" s="42">
        <f t="shared" si="16"/>
        <v>512.49341519999996</v>
      </c>
      <c r="G190" s="71"/>
      <c r="H190" s="72"/>
      <c r="I190" s="36"/>
      <c r="L190" s="64"/>
      <c r="M190" s="64"/>
      <c r="N190" s="36"/>
    </row>
    <row r="191" spans="1:14" s="37" customFormat="1" ht="15.75" customHeight="1" x14ac:dyDescent="0.25">
      <c r="A191" s="59">
        <v>11</v>
      </c>
      <c r="B191" s="60"/>
      <c r="C191" s="42" t="s">
        <v>204</v>
      </c>
      <c r="D191" s="42">
        <f>(5.1*7.8+4.9*2.525+2.125*2)*10.764</f>
        <v>607.11650999999995</v>
      </c>
      <c r="E191" s="42">
        <v>0</v>
      </c>
      <c r="F191" s="42">
        <f t="shared" si="16"/>
        <v>971.38641599999994</v>
      </c>
      <c r="G191" s="71"/>
      <c r="H191" s="72"/>
      <c r="I191" s="36"/>
      <c r="L191" s="64"/>
      <c r="M191" s="64"/>
      <c r="N191" s="36"/>
    </row>
    <row r="192" spans="1:14" s="37" customFormat="1" ht="15.75" customHeight="1" x14ac:dyDescent="0.25">
      <c r="A192" s="59">
        <v>12</v>
      </c>
      <c r="B192" s="60"/>
      <c r="C192" s="42" t="s">
        <v>204</v>
      </c>
      <c r="D192" s="42">
        <f>(4.875*5.29)*10.764</f>
        <v>277.59010499999999</v>
      </c>
      <c r="E192" s="42">
        <v>0</v>
      </c>
      <c r="F192" s="42">
        <f t="shared" si="16"/>
        <v>444.14416800000004</v>
      </c>
      <c r="G192" s="71"/>
      <c r="H192" s="72"/>
      <c r="I192" s="36"/>
      <c r="L192" s="64"/>
      <c r="M192" s="64"/>
      <c r="N192" s="36"/>
    </row>
    <row r="193" spans="1:14" s="37" customFormat="1" ht="15.75" customHeight="1" x14ac:dyDescent="0.25">
      <c r="A193" s="59">
        <v>13</v>
      </c>
      <c r="B193" s="60"/>
      <c r="C193" s="42" t="s">
        <v>204</v>
      </c>
      <c r="D193" s="42">
        <f>(5.3*7.8+4.9*2.525+2.125*1.525)*10.764</f>
        <v>613.04343749999998</v>
      </c>
      <c r="E193" s="42">
        <v>0</v>
      </c>
      <c r="F193" s="42">
        <f t="shared" si="16"/>
        <v>980.86950000000002</v>
      </c>
      <c r="G193" s="71"/>
      <c r="H193" s="72"/>
      <c r="I193" s="36"/>
      <c r="L193" s="64"/>
      <c r="M193" s="64"/>
      <c r="N193" s="36"/>
    </row>
    <row r="194" spans="1:14" s="37" customFormat="1" ht="15.75" customHeight="1" x14ac:dyDescent="0.25">
      <c r="A194" s="59">
        <v>14</v>
      </c>
      <c r="B194" s="60"/>
      <c r="C194" s="42" t="s">
        <v>204</v>
      </c>
      <c r="D194" s="42">
        <f>(4.81*1.675+3.9*1.85+3.75*1.2+4.45*2.85)*10.764</f>
        <v>349.33754699999997</v>
      </c>
      <c r="E194" s="42">
        <v>0</v>
      </c>
      <c r="F194" s="42">
        <f t="shared" si="16"/>
        <v>558.94007520000002</v>
      </c>
      <c r="G194" s="71"/>
      <c r="H194" s="72"/>
      <c r="I194" s="36"/>
      <c r="L194" s="64"/>
      <c r="M194" s="64"/>
      <c r="N194" s="36"/>
    </row>
    <row r="195" spans="1:14" s="37" customFormat="1" ht="15.75" customHeight="1" x14ac:dyDescent="0.25">
      <c r="A195" s="59">
        <v>15</v>
      </c>
      <c r="B195" s="60"/>
      <c r="C195" s="42" t="s">
        <v>204</v>
      </c>
      <c r="D195" s="42">
        <f>(4.277*4.7)*10.764</f>
        <v>216.37685159999998</v>
      </c>
      <c r="E195" s="42">
        <v>0</v>
      </c>
      <c r="F195" s="42">
        <f t="shared" si="16"/>
        <v>346.20296256</v>
      </c>
      <c r="G195" s="71"/>
      <c r="H195" s="72"/>
      <c r="I195" s="36"/>
      <c r="L195" s="64"/>
      <c r="M195" s="64"/>
      <c r="N195" s="36"/>
    </row>
    <row r="196" spans="1:14" s="37" customFormat="1" ht="15.75" customHeight="1" x14ac:dyDescent="0.25">
      <c r="A196" s="59">
        <v>16</v>
      </c>
      <c r="B196" s="60"/>
      <c r="C196" s="42" t="s">
        <v>204</v>
      </c>
      <c r="D196" s="42">
        <f>(9.375*4.7)*10.764</f>
        <v>474.28874999999999</v>
      </c>
      <c r="E196" s="42">
        <v>0</v>
      </c>
      <c r="F196" s="42">
        <f t="shared" si="16"/>
        <v>758.86200000000008</v>
      </c>
      <c r="G196" s="71"/>
      <c r="H196" s="72"/>
      <c r="I196" s="36"/>
      <c r="L196" s="64"/>
      <c r="M196" s="64"/>
      <c r="N196" s="36"/>
    </row>
    <row r="197" spans="1:14" s="37" customFormat="1" ht="15.75" customHeight="1" x14ac:dyDescent="0.25">
      <c r="A197" s="59">
        <v>17</v>
      </c>
      <c r="B197" s="60"/>
      <c r="C197" s="42" t="s">
        <v>204</v>
      </c>
      <c r="D197" s="42">
        <f>(3.757*4.655)*10.764</f>
        <v>188.24981994000001</v>
      </c>
      <c r="E197" s="42">
        <v>0</v>
      </c>
      <c r="F197" s="42">
        <f t="shared" si="16"/>
        <v>301.19971190400003</v>
      </c>
      <c r="G197" s="71"/>
      <c r="H197" s="72"/>
      <c r="I197" s="36"/>
      <c r="L197" s="64"/>
      <c r="M197" s="64"/>
      <c r="N197" s="36"/>
    </row>
    <row r="198" spans="1:14" s="37" customFormat="1" ht="15.75" customHeight="1" x14ac:dyDescent="0.25">
      <c r="A198" s="59">
        <v>18</v>
      </c>
      <c r="B198" s="60"/>
      <c r="C198" s="42" t="s">
        <v>204</v>
      </c>
      <c r="D198" s="42">
        <f>(4.407*4.595)*10.764</f>
        <v>217.97277605999997</v>
      </c>
      <c r="E198" s="42">
        <v>0</v>
      </c>
      <c r="F198" s="42">
        <f t="shared" si="16"/>
        <v>348.75644169599997</v>
      </c>
      <c r="G198" s="71"/>
      <c r="H198" s="72"/>
      <c r="I198" s="36"/>
      <c r="L198" s="64"/>
      <c r="M198" s="64"/>
      <c r="N198" s="36"/>
    </row>
    <row r="199" spans="1:14" s="37" customFormat="1" ht="15.75" customHeight="1" x14ac:dyDescent="0.25">
      <c r="A199" s="59">
        <v>19</v>
      </c>
      <c r="B199" s="60"/>
      <c r="C199" s="42" t="s">
        <v>204</v>
      </c>
      <c r="D199" s="42">
        <f>(6.1*7.86+2.95*4.88)*10.764</f>
        <v>671.04928799999993</v>
      </c>
      <c r="E199" s="42">
        <v>0</v>
      </c>
      <c r="F199" s="42">
        <f t="shared" si="16"/>
        <v>1073.6788607999999</v>
      </c>
      <c r="G199" s="71"/>
      <c r="H199" s="72"/>
      <c r="I199" s="36"/>
      <c r="L199" s="64"/>
      <c r="M199" s="64"/>
      <c r="N199" s="36"/>
    </row>
    <row r="200" spans="1:14" s="37" customFormat="1" ht="15.75" customHeight="1" x14ac:dyDescent="0.25">
      <c r="A200" s="59">
        <v>20</v>
      </c>
      <c r="B200" s="60"/>
      <c r="C200" s="42" t="s">
        <v>204</v>
      </c>
      <c r="D200" s="42">
        <f>(4.98*3.57)*10.764</f>
        <v>191.36885039999999</v>
      </c>
      <c r="E200" s="42">
        <v>0</v>
      </c>
      <c r="F200" s="42">
        <f t="shared" si="16"/>
        <v>306.19016063999999</v>
      </c>
      <c r="G200" s="71"/>
      <c r="H200" s="72"/>
      <c r="I200" s="36"/>
      <c r="L200" s="64"/>
      <c r="M200" s="64"/>
      <c r="N200" s="36"/>
    </row>
    <row r="201" spans="1:14" s="37" customFormat="1" ht="15.75" customHeight="1" x14ac:dyDescent="0.25">
      <c r="A201" s="59">
        <v>21</v>
      </c>
      <c r="B201" s="60"/>
      <c r="C201" s="42" t="s">
        <v>204</v>
      </c>
      <c r="D201" s="42">
        <f>(7.65*2.86)*10.764</f>
        <v>235.50555600000001</v>
      </c>
      <c r="E201" s="42">
        <v>0</v>
      </c>
      <c r="F201" s="42">
        <f t="shared" si="16"/>
        <v>376.80888960000004</v>
      </c>
      <c r="G201" s="71"/>
      <c r="H201" s="72"/>
      <c r="I201" s="36"/>
      <c r="L201" s="64"/>
      <c r="M201" s="64"/>
      <c r="N201" s="36"/>
    </row>
    <row r="202" spans="1:14" s="37" customFormat="1" ht="15.75" customHeight="1" x14ac:dyDescent="0.25">
      <c r="A202" s="59">
        <v>22</v>
      </c>
      <c r="B202" s="60"/>
      <c r="C202" s="42" t="s">
        <v>204</v>
      </c>
      <c r="D202" s="42">
        <f>(7.65*3.19)*10.764</f>
        <v>262.67927400000002</v>
      </c>
      <c r="E202" s="42">
        <v>0</v>
      </c>
      <c r="F202" s="42">
        <f t="shared" si="16"/>
        <v>420.28683840000008</v>
      </c>
      <c r="G202" s="71"/>
      <c r="H202" s="72"/>
      <c r="I202" s="36"/>
      <c r="L202" s="64"/>
      <c r="M202" s="64"/>
      <c r="N202" s="36"/>
    </row>
    <row r="203" spans="1:14" s="37" customFormat="1" ht="15.75" customHeight="1" x14ac:dyDescent="0.25">
      <c r="A203" s="59">
        <v>23</v>
      </c>
      <c r="B203" s="60"/>
      <c r="C203" s="42" t="s">
        <v>204</v>
      </c>
      <c r="D203" s="42">
        <f>(4.935*3.6+7.165*4.8)*10.764</f>
        <v>561.4287119999999</v>
      </c>
      <c r="E203" s="42">
        <v>0</v>
      </c>
      <c r="F203" s="42">
        <f t="shared" si="16"/>
        <v>898.28593919999992</v>
      </c>
      <c r="G203" s="73"/>
      <c r="H203" s="74"/>
      <c r="I203" s="36"/>
      <c r="L203" s="64"/>
      <c r="M203" s="64"/>
      <c r="N203" s="36"/>
    </row>
    <row r="204" spans="1:14" s="37" customFormat="1" x14ac:dyDescent="0.25">
      <c r="A204" s="59"/>
      <c r="B204" s="75"/>
      <c r="C204" s="75"/>
      <c r="D204" s="75"/>
      <c r="E204" s="75"/>
      <c r="F204" s="75"/>
      <c r="G204" s="75"/>
      <c r="H204" s="60"/>
      <c r="I204" s="36"/>
      <c r="L204" s="64"/>
      <c r="M204" s="64"/>
      <c r="N204" s="36"/>
    </row>
    <row r="205" spans="1:14" s="37" customFormat="1" ht="47.25" x14ac:dyDescent="0.25">
      <c r="A205" s="76" t="s">
        <v>117</v>
      </c>
      <c r="B205" s="76" t="s">
        <v>118</v>
      </c>
      <c r="C205" s="94" t="s">
        <v>57</v>
      </c>
      <c r="D205" s="94" t="s">
        <v>58</v>
      </c>
      <c r="E205" s="195" t="s">
        <v>59</v>
      </c>
      <c r="F205" s="43" t="s">
        <v>147</v>
      </c>
      <c r="G205" s="76" t="s">
        <v>60</v>
      </c>
      <c r="H205" s="197"/>
      <c r="I205" s="36"/>
      <c r="N205" s="36"/>
    </row>
    <row r="206" spans="1:14" x14ac:dyDescent="0.25">
      <c r="A206" s="77"/>
      <c r="B206" s="77"/>
      <c r="C206" s="95"/>
      <c r="D206" s="95"/>
      <c r="E206" s="196"/>
      <c r="F206" s="13">
        <v>0.6</v>
      </c>
      <c r="G206" s="77"/>
      <c r="H206" s="198"/>
      <c r="I206" s="36"/>
    </row>
    <row r="207" spans="1:14" s="37" customFormat="1" x14ac:dyDescent="0.25">
      <c r="A207" s="66" t="s">
        <v>214</v>
      </c>
      <c r="B207" s="67"/>
      <c r="C207" s="67"/>
      <c r="D207" s="67"/>
      <c r="E207" s="67"/>
      <c r="F207" s="67"/>
      <c r="G207" s="67"/>
      <c r="H207" s="68"/>
      <c r="J207" s="36"/>
    </row>
    <row r="208" spans="1:14" s="37" customFormat="1" ht="15.75" customHeight="1" x14ac:dyDescent="0.25">
      <c r="A208" s="66" t="s">
        <v>210</v>
      </c>
      <c r="B208" s="67"/>
      <c r="C208" s="67"/>
      <c r="D208" s="67"/>
      <c r="E208" s="67"/>
      <c r="F208" s="67"/>
      <c r="G208" s="67"/>
      <c r="H208" s="68"/>
      <c r="J208" s="36"/>
    </row>
    <row r="209" spans="1:14" s="37" customFormat="1" x14ac:dyDescent="0.25">
      <c r="A209" s="65">
        <v>1</v>
      </c>
      <c r="B209" s="65"/>
      <c r="C209" s="69" t="s">
        <v>188</v>
      </c>
      <c r="D209" s="175"/>
      <c r="E209" s="175"/>
      <c r="F209" s="70"/>
      <c r="G209" s="69" t="str">
        <f>A208</f>
        <v>1st to 3rd Floor For Parking &amp; Residential</v>
      </c>
      <c r="H209" s="70"/>
      <c r="I209" s="36"/>
      <c r="L209" s="64"/>
      <c r="M209" s="64"/>
    </row>
    <row r="210" spans="1:14" s="37" customFormat="1" ht="15.75" customHeight="1" x14ac:dyDescent="0.25">
      <c r="A210" s="65">
        <f t="shared" ref="A210:A216" si="17">A209+1</f>
        <v>2</v>
      </c>
      <c r="B210" s="65"/>
      <c r="C210" s="73"/>
      <c r="D210" s="176"/>
      <c r="E210" s="176"/>
      <c r="F210" s="74"/>
      <c r="G210" s="71"/>
      <c r="H210" s="72"/>
      <c r="I210" s="36"/>
      <c r="N210" s="36"/>
    </row>
    <row r="211" spans="1:14" s="37" customFormat="1" ht="15.75" customHeight="1" x14ac:dyDescent="0.25">
      <c r="A211" s="65">
        <f t="shared" si="17"/>
        <v>3</v>
      </c>
      <c r="B211" s="65"/>
      <c r="C211" s="42" t="s">
        <v>186</v>
      </c>
      <c r="D211" s="42">
        <f>(4.575*2.86+2.445*1.915+3.05*2.9+1.975*1.325+1.21*1.915)*10.764</f>
        <v>339.55791479999993</v>
      </c>
      <c r="E211" s="42">
        <v>0</v>
      </c>
      <c r="F211" s="42">
        <f t="shared" ref="F211:F216" si="18">D211*(($F$206)+1)+(IF(E211&lt;101,E211,IF(E211&lt;201,E211/2,IF(E211&lt;=301,E211/3,E211/4))))</f>
        <v>543.29266367999992</v>
      </c>
      <c r="G211" s="71"/>
      <c r="H211" s="72"/>
      <c r="I211" s="36"/>
      <c r="N211" s="36"/>
    </row>
    <row r="212" spans="1:14" s="37" customFormat="1" ht="15.75" customHeight="1" x14ac:dyDescent="0.25">
      <c r="A212" s="65">
        <f t="shared" si="17"/>
        <v>4</v>
      </c>
      <c r="B212" s="65"/>
      <c r="C212" s="42" t="s">
        <v>187</v>
      </c>
      <c r="D212" s="42">
        <f>(1.25*0.7+2.9*4.65+0.05*2.125+2.55*0.23+2.85*2.125+1.21*1.915+2.9*0.9+3.05*3.11+3.05*4.11+0.9*0.2+2.275*1.375+2.275*1.375+2.55*1.275)*10.764</f>
        <v>621.56341259999977</v>
      </c>
      <c r="E212" s="42">
        <v>0</v>
      </c>
      <c r="F212" s="42">
        <f t="shared" si="18"/>
        <v>994.50146015999962</v>
      </c>
      <c r="G212" s="71"/>
      <c r="H212" s="72"/>
      <c r="I212" s="36"/>
      <c r="J212" s="37">
        <f>9000000/F211</f>
        <v>16565.657152515891</v>
      </c>
      <c r="N212" s="36"/>
    </row>
    <row r="213" spans="1:14" s="37" customFormat="1" ht="15.75" customHeight="1" x14ac:dyDescent="0.25">
      <c r="A213" s="65">
        <f t="shared" si="17"/>
        <v>5</v>
      </c>
      <c r="B213" s="65"/>
      <c r="C213" s="42" t="s">
        <v>190</v>
      </c>
      <c r="D213" s="42">
        <f>(1.325*0.7+2.9*4.65+2.075*2.125+2.5*0.23+2.5*1.275+2.45*2.41+1.95*0.9+2.625*1.375+2.125*1.375+2.75*3.41)*10.764</f>
        <v>496.7868555</v>
      </c>
      <c r="E213" s="42">
        <v>0</v>
      </c>
      <c r="F213" s="42">
        <f t="shared" si="18"/>
        <v>794.85896880000007</v>
      </c>
      <c r="G213" s="71"/>
      <c r="H213" s="72"/>
      <c r="I213" s="36"/>
      <c r="L213" s="37">
        <f>3*6+3*8+19*10</f>
        <v>232</v>
      </c>
      <c r="N213" s="36"/>
    </row>
    <row r="214" spans="1:14" s="37" customFormat="1" ht="15.75" customHeight="1" x14ac:dyDescent="0.25">
      <c r="A214" s="65">
        <f t="shared" si="17"/>
        <v>6</v>
      </c>
      <c r="B214" s="65"/>
      <c r="C214" s="42" t="s">
        <v>190</v>
      </c>
      <c r="D214" s="42">
        <f>(1.325*0.7+2.9*4.65+2.075*2.125+2.5*0.23+2.5*1.275+2.45*2.41+1.95*0.9+2.625*1.375+2.125*1.375+2.75*3.41)*10.764</f>
        <v>496.7868555</v>
      </c>
      <c r="E214" s="42">
        <v>0</v>
      </c>
      <c r="F214" s="42">
        <f t="shared" si="18"/>
        <v>794.85896880000007</v>
      </c>
      <c r="G214" s="71"/>
      <c r="H214" s="72"/>
      <c r="I214" s="36"/>
      <c r="N214" s="36"/>
    </row>
    <row r="215" spans="1:14" s="37" customFormat="1" ht="15.75" customHeight="1" x14ac:dyDescent="0.25">
      <c r="A215" s="65">
        <f t="shared" si="17"/>
        <v>7</v>
      </c>
      <c r="B215" s="65"/>
      <c r="C215" s="42" t="s">
        <v>187</v>
      </c>
      <c r="D215" s="42">
        <f>(1.25*0.7+2.9*4.65+0.05*2.125+2.55*0.23+2.9*2.125+1.21*1.915+2.9*0.9+3.05*3.11+3.05*4.11+0.9*0.2+2.275*1.375+2.275*1.375+2.55*1.275+1.225*1.4)*10.764</f>
        <v>641.16734759999986</v>
      </c>
      <c r="E215" s="42">
        <v>0</v>
      </c>
      <c r="F215" s="42">
        <f t="shared" si="18"/>
        <v>1025.8677561599998</v>
      </c>
      <c r="G215" s="71"/>
      <c r="H215" s="72"/>
      <c r="I215" s="36"/>
      <c r="N215" s="36"/>
    </row>
    <row r="216" spans="1:14" s="37" customFormat="1" ht="15.75" customHeight="1" x14ac:dyDescent="0.25">
      <c r="A216" s="65">
        <f t="shared" si="17"/>
        <v>8</v>
      </c>
      <c r="B216" s="65"/>
      <c r="C216" s="42" t="s">
        <v>186</v>
      </c>
      <c r="D216" s="42">
        <f>(1.075*1.6+4.575*2.86+2.445*1.915+3.05*2.9+1.975*1.325+1.21*1.915)*10.764</f>
        <v>358.07199480000003</v>
      </c>
      <c r="E216" s="42">
        <v>0</v>
      </c>
      <c r="F216" s="42">
        <f t="shared" si="18"/>
        <v>572.91519168000002</v>
      </c>
      <c r="G216" s="73"/>
      <c r="H216" s="74"/>
      <c r="I216" s="36"/>
      <c r="N216" s="36"/>
    </row>
    <row r="217" spans="1:14" s="37" customFormat="1" ht="15.75" customHeight="1" x14ac:dyDescent="0.25">
      <c r="A217" s="66" t="s">
        <v>212</v>
      </c>
      <c r="B217" s="67"/>
      <c r="C217" s="67"/>
      <c r="D217" s="67"/>
      <c r="E217" s="67"/>
      <c r="F217" s="67"/>
      <c r="G217" s="67"/>
      <c r="H217" s="68"/>
      <c r="I217" s="36"/>
      <c r="N217" s="36"/>
    </row>
    <row r="218" spans="1:14" s="37" customFormat="1" ht="15.75" customHeight="1" x14ac:dyDescent="0.25">
      <c r="A218" s="59">
        <v>1</v>
      </c>
      <c r="B218" s="60"/>
      <c r="C218" s="42" t="s">
        <v>190</v>
      </c>
      <c r="D218" s="42">
        <f>(1.325*0.7+2.9*4.65+2.075*2.125+2.5*0.23+2.5*1.275+2.45*2.41+1.95*0.9+2.625*1.375+2.125*1.375+2.75*3.41)*10.764</f>
        <v>496.7868555</v>
      </c>
      <c r="E218" s="42">
        <v>0</v>
      </c>
      <c r="F218" s="42">
        <f t="shared" ref="F218:F227" si="19">D218*(($F$206)+1)+(IF(E218&lt;101,E218,IF(E218&lt;201,E218/2,IF(E218&lt;=301,E218/3,E218/4))))</f>
        <v>794.85896880000007</v>
      </c>
      <c r="G218" s="69" t="str">
        <f>A217</f>
        <v>4th, 5th, 7th to 12th, 14th to 19th &amp; 21st to 25th Floor</v>
      </c>
      <c r="H218" s="70"/>
      <c r="I218" s="36"/>
    </row>
    <row r="219" spans="1:14" s="37" customFormat="1" ht="15.75" customHeight="1" x14ac:dyDescent="0.25">
      <c r="A219" s="59">
        <v>2</v>
      </c>
      <c r="B219" s="60"/>
      <c r="C219" s="42" t="s">
        <v>187</v>
      </c>
      <c r="D219" s="42">
        <f>(1.25*0.7+2.9*4.65+0.05*2.125+2.55*0.23+2.85*2.125+1.21*1.915+2.9*0.9+3.05*3.11+3.05*4.11+0.9*0.2+2.275*1.375+2.275*1.375+2.55*1.275)*10.764</f>
        <v>621.56341259999977</v>
      </c>
      <c r="E219" s="42">
        <v>0</v>
      </c>
      <c r="F219" s="42">
        <f t="shared" si="19"/>
        <v>994.50146015999962</v>
      </c>
      <c r="G219" s="71"/>
      <c r="H219" s="72"/>
      <c r="I219" s="36"/>
    </row>
    <row r="220" spans="1:14" s="37" customFormat="1" ht="15.75" customHeight="1" x14ac:dyDescent="0.25">
      <c r="A220" s="59">
        <v>3</v>
      </c>
      <c r="B220" s="60"/>
      <c r="C220" s="42" t="s">
        <v>186</v>
      </c>
      <c r="D220" s="42">
        <f>(4.575*2.86+2.445*1.915+3.05*2.9+1.975*1.325+1.21*1.915)*10.764</f>
        <v>339.55791479999993</v>
      </c>
      <c r="E220" s="42">
        <v>0</v>
      </c>
      <c r="F220" s="42">
        <f t="shared" si="19"/>
        <v>543.29266367999992</v>
      </c>
      <c r="G220" s="71"/>
      <c r="H220" s="72"/>
      <c r="I220" s="36"/>
    </row>
    <row r="221" spans="1:14" s="37" customFormat="1" ht="15.75" customHeight="1" x14ac:dyDescent="0.25">
      <c r="A221" s="59">
        <v>4</v>
      </c>
      <c r="B221" s="60"/>
      <c r="C221" s="42" t="s">
        <v>187</v>
      </c>
      <c r="D221" s="42">
        <f>(1.25*0.7+2.9*4.65+0.05*2.125+2.55*0.23+2.85*2.125+1.21*1.915+2.9*0.9+3.05*3.11+3.05*4.11+0.9*0.2+2.275*1.375+2.275*1.375+2.55*1.275)*10.764</f>
        <v>621.56341259999977</v>
      </c>
      <c r="E221" s="42">
        <v>0</v>
      </c>
      <c r="F221" s="42">
        <f t="shared" si="19"/>
        <v>994.50146015999962</v>
      </c>
      <c r="G221" s="71"/>
      <c r="H221" s="72"/>
      <c r="I221" s="36"/>
      <c r="J221" s="37">
        <f>8340000/F220</f>
        <v>15350.842294664724</v>
      </c>
    </row>
    <row r="222" spans="1:14" s="37" customFormat="1" ht="15.75" customHeight="1" x14ac:dyDescent="0.25">
      <c r="A222" s="59">
        <v>5</v>
      </c>
      <c r="B222" s="60"/>
      <c r="C222" s="42" t="s">
        <v>190</v>
      </c>
      <c r="D222" s="42">
        <f>(1.325*0.7+2.9*4.65+2.075*2.125+2.5*0.23+2.5*1.275+2.45*2.41+1.95*0.9+2.625*1.375+2.125*1.375+2.75*3.41)*10.764</f>
        <v>496.7868555</v>
      </c>
      <c r="E222" s="42">
        <v>0</v>
      </c>
      <c r="F222" s="42">
        <f t="shared" si="19"/>
        <v>794.85896880000007</v>
      </c>
      <c r="G222" s="71"/>
      <c r="H222" s="72"/>
      <c r="I222" s="36"/>
    </row>
    <row r="223" spans="1:14" s="37" customFormat="1" ht="15.75" customHeight="1" x14ac:dyDescent="0.25">
      <c r="A223" s="59">
        <v>6</v>
      </c>
      <c r="B223" s="60"/>
      <c r="C223" s="42" t="s">
        <v>190</v>
      </c>
      <c r="D223" s="42">
        <f>(1.325*0.7+2.9*4.65+2.075*2.125+2.5*0.23+2.5*1.275+2.45*2.41+1.95*0.9+2.625*1.375+2.125*1.375+2.75*3.41)*10.764</f>
        <v>496.7868555</v>
      </c>
      <c r="E223" s="42">
        <v>0</v>
      </c>
      <c r="F223" s="42">
        <f t="shared" si="19"/>
        <v>794.85896880000007</v>
      </c>
      <c r="G223" s="71"/>
      <c r="H223" s="72"/>
      <c r="I223" s="36"/>
    </row>
    <row r="224" spans="1:14" s="37" customFormat="1" ht="15.75" customHeight="1" x14ac:dyDescent="0.25">
      <c r="A224" s="59">
        <v>7</v>
      </c>
      <c r="B224" s="60"/>
      <c r="C224" s="42" t="s">
        <v>187</v>
      </c>
      <c r="D224" s="42">
        <f>(1.25*0.7+2.9*4.65+0.05*2.125+2.55*0.23+2.9*2.125+1.21*1.915+2.9*0.9+3.05*3.11+3.05*4.11+0.9*0.2+2.275*1.375+2.275*1.375+2.55*1.275+1.225*1.4)*10.764</f>
        <v>641.16734759999986</v>
      </c>
      <c r="E224" s="42">
        <v>0</v>
      </c>
      <c r="F224" s="42">
        <f t="shared" si="19"/>
        <v>1025.8677561599998</v>
      </c>
      <c r="G224" s="71"/>
      <c r="H224" s="72"/>
      <c r="I224" s="36"/>
    </row>
    <row r="225" spans="1:14" s="37" customFormat="1" ht="15.75" customHeight="1" x14ac:dyDescent="0.25">
      <c r="A225" s="59">
        <v>8</v>
      </c>
      <c r="B225" s="60"/>
      <c r="C225" s="42" t="s">
        <v>186</v>
      </c>
      <c r="D225" s="42">
        <f>(1.075*1.6+4.575*2.86+2.445*1.915+3.05*2.9+1.975*1.325+1.21*1.915)*10.764</f>
        <v>358.07199480000003</v>
      </c>
      <c r="E225" s="42">
        <v>0</v>
      </c>
      <c r="F225" s="42">
        <f t="shared" si="19"/>
        <v>572.91519168000002</v>
      </c>
      <c r="G225" s="71"/>
      <c r="H225" s="72"/>
      <c r="I225" s="36"/>
    </row>
    <row r="226" spans="1:14" s="37" customFormat="1" ht="15.75" customHeight="1" x14ac:dyDescent="0.25">
      <c r="A226" s="59">
        <v>9</v>
      </c>
      <c r="B226" s="60"/>
      <c r="C226" s="42" t="s">
        <v>187</v>
      </c>
      <c r="D226" s="42">
        <f>(1.25*0.7+3.05*4.65+2.66*2.125+0.825*1.7+2.66*1.375+2.31*0.9+2.01*2.3+2.01*1.275+2.31*0.9+3.05*3.575+2.285*1.375+3.655*3.05)*10.764</f>
        <v>670.67389349999996</v>
      </c>
      <c r="E226" s="42">
        <v>0</v>
      </c>
      <c r="F226" s="42">
        <f t="shared" si="19"/>
        <v>1073.0782296</v>
      </c>
      <c r="G226" s="71"/>
      <c r="H226" s="72"/>
      <c r="I226" s="36"/>
    </row>
    <row r="227" spans="1:14" s="37" customFormat="1" ht="15.75" customHeight="1" x14ac:dyDescent="0.25">
      <c r="A227" s="59">
        <v>10</v>
      </c>
      <c r="B227" s="60"/>
      <c r="C227" s="42" t="s">
        <v>190</v>
      </c>
      <c r="D227" s="42">
        <f>(1.325*0.7+2.9*4.65+2.075*2.125+2.5*0.23+2.5*1.275+2.45*2.41+1.95*0.9+2.625*1.375+2.125*1.375+2.75*3.41)*10.764</f>
        <v>496.7868555</v>
      </c>
      <c r="E227" s="42">
        <v>0</v>
      </c>
      <c r="F227" s="42">
        <f t="shared" si="19"/>
        <v>794.85896880000007</v>
      </c>
      <c r="G227" s="73"/>
      <c r="H227" s="74"/>
      <c r="I227" s="36"/>
    </row>
    <row r="228" spans="1:14" s="37" customFormat="1" ht="15.75" customHeight="1" x14ac:dyDescent="0.25">
      <c r="A228" s="66" t="s">
        <v>213</v>
      </c>
      <c r="B228" s="67"/>
      <c r="C228" s="67"/>
      <c r="D228" s="67"/>
      <c r="E228" s="67"/>
      <c r="F228" s="67"/>
      <c r="G228" s="67"/>
      <c r="H228" s="68"/>
      <c r="I228" s="36"/>
      <c r="N228" s="36"/>
    </row>
    <row r="229" spans="1:14" s="37" customFormat="1" ht="15.75" customHeight="1" x14ac:dyDescent="0.25">
      <c r="A229" s="59">
        <v>1</v>
      </c>
      <c r="B229" s="60"/>
      <c r="C229" s="42" t="s">
        <v>190</v>
      </c>
      <c r="D229" s="42">
        <f>(1.325*0.7+2.9*4.65+2.075*2.125+2.5*0.23+2.5*1.275+2.45*2.41+1.95*0.9+2.625*1.375+2.125*1.375+2.75*3.41)*10.764</f>
        <v>496.7868555</v>
      </c>
      <c r="E229" s="42">
        <v>0</v>
      </c>
      <c r="F229" s="42">
        <f t="shared" ref="F229:F238" si="20">D229*(($F$206)+1)+(IF(E229&lt;101,E229,IF(E229&lt;201,E229/2,IF(E229&lt;=301,E229/3,E229/4))))</f>
        <v>794.85896880000007</v>
      </c>
      <c r="G229" s="69" t="str">
        <f>A228</f>
        <v>6th, 13th &amp; 20th Floor For  Residential (Part Refuge Area)</v>
      </c>
      <c r="H229" s="70"/>
      <c r="I229" s="36"/>
    </row>
    <row r="230" spans="1:14" s="37" customFormat="1" ht="15.75" customHeight="1" x14ac:dyDescent="0.25">
      <c r="A230" s="59">
        <v>2</v>
      </c>
      <c r="B230" s="60"/>
      <c r="C230" s="42" t="s">
        <v>187</v>
      </c>
      <c r="D230" s="42">
        <f>(1.25*0.7+2.9*4.65+0.05*2.125+2.55*0.23+2.85*2.125+1.21*1.915+2.9*0.9+3.05*3.11+3.05*4.11+0.9*0.2+2.275*1.375+2.275*1.375+2.55*1.275)*10.764</f>
        <v>621.56341259999977</v>
      </c>
      <c r="E230" s="42">
        <v>0</v>
      </c>
      <c r="F230" s="42">
        <f t="shared" si="20"/>
        <v>994.50146015999962</v>
      </c>
      <c r="G230" s="71"/>
      <c r="H230" s="72"/>
      <c r="I230" s="36"/>
    </row>
    <row r="231" spans="1:14" s="37" customFormat="1" ht="15.75" customHeight="1" x14ac:dyDescent="0.25">
      <c r="A231" s="59">
        <v>3</v>
      </c>
      <c r="B231" s="60"/>
      <c r="C231" s="42" t="s">
        <v>186</v>
      </c>
      <c r="D231" s="42">
        <f>(4.575*2.86+2.445*1.915+3.05*2.9+1.975*1.325+1.21*1.915)*10.764</f>
        <v>339.55791479999993</v>
      </c>
      <c r="E231" s="42">
        <v>0</v>
      </c>
      <c r="F231" s="42">
        <f t="shared" si="20"/>
        <v>543.29266367999992</v>
      </c>
      <c r="G231" s="71"/>
      <c r="H231" s="72"/>
      <c r="I231" s="36"/>
    </row>
    <row r="232" spans="1:14" s="37" customFormat="1" ht="15.75" customHeight="1" x14ac:dyDescent="0.25">
      <c r="A232" s="59">
        <v>4</v>
      </c>
      <c r="B232" s="60"/>
      <c r="C232" s="42" t="s">
        <v>187</v>
      </c>
      <c r="D232" s="42">
        <f>(1.25*0.7+2.9*4.65+0.05*2.125+2.55*0.23+2.85*2.125+1.21*1.915+2.9*0.9+3.05*3.11+3.05*4.11+0.9*0.2+2.275*1.375+2.275*1.375+2.55*1.275)*10.764</f>
        <v>621.56341259999977</v>
      </c>
      <c r="E232" s="42">
        <v>0</v>
      </c>
      <c r="F232" s="42">
        <f t="shared" si="20"/>
        <v>994.50146015999962</v>
      </c>
      <c r="G232" s="71"/>
      <c r="H232" s="72"/>
      <c r="I232" s="36"/>
      <c r="J232" s="37">
        <f>8340000/F231</f>
        <v>15350.842294664724</v>
      </c>
    </row>
    <row r="233" spans="1:14" s="37" customFormat="1" ht="15.75" customHeight="1" x14ac:dyDescent="0.25">
      <c r="A233" s="59">
        <v>5</v>
      </c>
      <c r="B233" s="60"/>
      <c r="C233" s="69" t="s">
        <v>189</v>
      </c>
      <c r="D233" s="175">
        <f>(1.325*0.7+2.9*4.65+2.075*2.125+2.5*0.23+2.5*1.275+2.45*2.41+1.95*0.9+2.625*1.375+2.125*1.375+2.75*3.41)*10.764</f>
        <v>496.7868555</v>
      </c>
      <c r="E233" s="175">
        <v>0</v>
      </c>
      <c r="F233" s="70">
        <f t="shared" si="20"/>
        <v>794.85896880000007</v>
      </c>
      <c r="G233" s="71"/>
      <c r="H233" s="72"/>
      <c r="I233" s="36"/>
    </row>
    <row r="234" spans="1:14" s="37" customFormat="1" ht="15.75" customHeight="1" x14ac:dyDescent="0.25">
      <c r="A234" s="59">
        <v>6</v>
      </c>
      <c r="B234" s="60"/>
      <c r="C234" s="73" t="s">
        <v>190</v>
      </c>
      <c r="D234" s="176">
        <f>(1.325*0.7+2.9*4.65+2.075*2.125+2.5*0.23+2.5*1.275+2.45*2.41+1.95*0.9+2.625*1.375+2.125*1.375+2.75*3.41)*10.764</f>
        <v>496.7868555</v>
      </c>
      <c r="E234" s="176">
        <v>0</v>
      </c>
      <c r="F234" s="74">
        <f t="shared" si="20"/>
        <v>794.85896880000007</v>
      </c>
      <c r="G234" s="71"/>
      <c r="H234" s="72"/>
      <c r="I234" s="36"/>
    </row>
    <row r="235" spans="1:14" s="37" customFormat="1" ht="15.75" customHeight="1" x14ac:dyDescent="0.25">
      <c r="A235" s="59">
        <v>7</v>
      </c>
      <c r="B235" s="60"/>
      <c r="C235" s="42" t="s">
        <v>187</v>
      </c>
      <c r="D235" s="42">
        <f>(1.25*0.7+2.9*4.65+0.05*2.125+2.55*0.23+2.9*2.125+1.21*1.915+2.9*0.9+3.05*3.11+3.05*4.11+0.9*0.2+2.275*1.375+2.275*1.375+2.55*1.275+1.225*1.4)*10.764</f>
        <v>641.16734759999986</v>
      </c>
      <c r="E235" s="42">
        <v>0</v>
      </c>
      <c r="F235" s="42">
        <f t="shared" si="20"/>
        <v>1025.8677561599998</v>
      </c>
      <c r="G235" s="71"/>
      <c r="H235" s="72"/>
      <c r="I235" s="36"/>
    </row>
    <row r="236" spans="1:14" s="37" customFormat="1" ht="15.75" customHeight="1" x14ac:dyDescent="0.25">
      <c r="A236" s="59">
        <v>8</v>
      </c>
      <c r="B236" s="60"/>
      <c r="C236" s="42" t="s">
        <v>186</v>
      </c>
      <c r="D236" s="42">
        <f>(1.075*1.6+4.575*2.86+2.445*1.915+3.05*2.9+1.975*1.325+1.21*1.915)*10.764</f>
        <v>358.07199480000003</v>
      </c>
      <c r="E236" s="42">
        <v>0</v>
      </c>
      <c r="F236" s="42">
        <f t="shared" si="20"/>
        <v>572.91519168000002</v>
      </c>
      <c r="G236" s="71"/>
      <c r="H236" s="72"/>
      <c r="I236" s="36"/>
    </row>
    <row r="237" spans="1:14" s="37" customFormat="1" ht="15.75" customHeight="1" x14ac:dyDescent="0.25">
      <c r="A237" s="59">
        <v>9</v>
      </c>
      <c r="B237" s="60"/>
      <c r="C237" s="42" t="s">
        <v>187</v>
      </c>
      <c r="D237" s="42">
        <f>(1.25*0.7+3.05*4.65+2.66*2.125+0.825*1.7+2.66*1.375+2.31*0.9+2.01*2.3+2.01*1.275+2.31*0.9+3.05*3.575+2.285*1.375+3.655*3.05)*10.764</f>
        <v>670.67389349999996</v>
      </c>
      <c r="E237" s="42">
        <v>0</v>
      </c>
      <c r="F237" s="42">
        <f t="shared" si="20"/>
        <v>1073.0782296</v>
      </c>
      <c r="G237" s="71"/>
      <c r="H237" s="72"/>
      <c r="I237" s="36"/>
    </row>
    <row r="238" spans="1:14" s="37" customFormat="1" ht="15.75" customHeight="1" x14ac:dyDescent="0.25">
      <c r="A238" s="59">
        <v>10</v>
      </c>
      <c r="B238" s="60"/>
      <c r="C238" s="42" t="s">
        <v>190</v>
      </c>
      <c r="D238" s="42">
        <f>(1.325*0.7+2.9*4.65+2.075*2.125+2.5*0.23+2.5*1.275+2.45*2.41+1.95*0.9+2.625*1.375+2.125*1.375+2.75*3.41)*10.764</f>
        <v>496.7868555</v>
      </c>
      <c r="E238" s="42">
        <v>0</v>
      </c>
      <c r="F238" s="42">
        <f t="shared" si="20"/>
        <v>794.85896880000007</v>
      </c>
      <c r="G238" s="73"/>
      <c r="H238" s="74"/>
      <c r="I238" s="36"/>
    </row>
    <row r="239" spans="1:14" s="37" customFormat="1" x14ac:dyDescent="0.25">
      <c r="A239" s="66" t="s">
        <v>215</v>
      </c>
      <c r="B239" s="67"/>
      <c r="C239" s="67"/>
      <c r="D239" s="67"/>
      <c r="E239" s="67"/>
      <c r="F239" s="67"/>
      <c r="G239" s="67"/>
      <c r="H239" s="68"/>
      <c r="J239" s="36"/>
    </row>
    <row r="240" spans="1:14" s="37" customFormat="1" ht="15.75" customHeight="1" x14ac:dyDescent="0.25">
      <c r="A240" s="66" t="s">
        <v>210</v>
      </c>
      <c r="B240" s="67"/>
      <c r="C240" s="67"/>
      <c r="D240" s="67"/>
      <c r="E240" s="67"/>
      <c r="F240" s="67"/>
      <c r="G240" s="67"/>
      <c r="H240" s="68"/>
      <c r="J240" s="36"/>
    </row>
    <row r="241" spans="1:14" s="37" customFormat="1" x14ac:dyDescent="0.25">
      <c r="A241" s="65">
        <v>1</v>
      </c>
      <c r="B241" s="65"/>
      <c r="C241" s="69" t="s">
        <v>188</v>
      </c>
      <c r="D241" s="175"/>
      <c r="E241" s="175"/>
      <c r="F241" s="70"/>
      <c r="G241" s="69" t="str">
        <f>A240</f>
        <v>1st to 3rd Floor For Parking &amp; Residential</v>
      </c>
      <c r="H241" s="70"/>
      <c r="I241" s="36"/>
      <c r="L241" s="64"/>
      <c r="M241" s="64"/>
    </row>
    <row r="242" spans="1:14" s="37" customFormat="1" ht="15.75" customHeight="1" x14ac:dyDescent="0.25">
      <c r="A242" s="65">
        <f t="shared" ref="A242:A248" si="21">A241+1</f>
        <v>2</v>
      </c>
      <c r="B242" s="65"/>
      <c r="C242" s="71"/>
      <c r="D242" s="220"/>
      <c r="E242" s="220"/>
      <c r="F242" s="72"/>
      <c r="G242" s="71"/>
      <c r="H242" s="72"/>
      <c r="I242" s="36"/>
      <c r="N242" s="36"/>
    </row>
    <row r="243" spans="1:14" s="37" customFormat="1" ht="15.75" customHeight="1" x14ac:dyDescent="0.25">
      <c r="A243" s="65">
        <f t="shared" si="21"/>
        <v>3</v>
      </c>
      <c r="B243" s="65"/>
      <c r="C243" s="71"/>
      <c r="D243" s="220"/>
      <c r="E243" s="220"/>
      <c r="F243" s="72"/>
      <c r="G243" s="71"/>
      <c r="H243" s="72"/>
      <c r="I243" s="36"/>
      <c r="N243" s="36"/>
    </row>
    <row r="244" spans="1:14" s="37" customFormat="1" ht="15.75" customHeight="1" x14ac:dyDescent="0.25">
      <c r="A244" s="65">
        <f t="shared" si="21"/>
        <v>4</v>
      </c>
      <c r="B244" s="65"/>
      <c r="C244" s="73"/>
      <c r="D244" s="176"/>
      <c r="E244" s="176"/>
      <c r="F244" s="74"/>
      <c r="G244" s="71"/>
      <c r="H244" s="72"/>
      <c r="I244" s="36"/>
      <c r="J244" s="37" t="e">
        <f>9000000/F243</f>
        <v>#DIV/0!</v>
      </c>
      <c r="L244" s="37">
        <f>3*4+13*10+2*8+6</f>
        <v>164</v>
      </c>
      <c r="N244" s="36"/>
    </row>
    <row r="245" spans="1:14" s="37" customFormat="1" ht="15.75" customHeight="1" x14ac:dyDescent="0.25">
      <c r="A245" s="65">
        <f t="shared" si="21"/>
        <v>5</v>
      </c>
      <c r="B245" s="65"/>
      <c r="C245" s="42" t="s">
        <v>190</v>
      </c>
      <c r="D245" s="42">
        <f>(1.325*0.7+2.9*4.65+2.075*2.125+2.5*0.23+2.5*1.275+2.45*2.41+1.95*0.9+2.625*1.375+2.125*1.375+2.75*3.41)*10.764</f>
        <v>496.7868555</v>
      </c>
      <c r="E245" s="42">
        <v>0</v>
      </c>
      <c r="F245" s="42">
        <f t="shared" ref="F245:F248" si="22">D245*(($F$206)+1)+(IF(E245&lt;101,E245,IF(E245&lt;201,E245/2,IF(E245&lt;=301,E245/3,E245/4))))</f>
        <v>794.85896880000007</v>
      </c>
      <c r="G245" s="71"/>
      <c r="H245" s="72"/>
      <c r="I245" s="36"/>
      <c r="N245" s="36"/>
    </row>
    <row r="246" spans="1:14" s="37" customFormat="1" ht="15.75" customHeight="1" x14ac:dyDescent="0.25">
      <c r="A246" s="65">
        <f t="shared" si="21"/>
        <v>6</v>
      </c>
      <c r="B246" s="65"/>
      <c r="C246" s="42" t="s">
        <v>190</v>
      </c>
      <c r="D246" s="42">
        <f>(1.325*0.7+2.9*4.65+2.075*2.125+2.5*0.23+2.5*1.275+2.45*2.41+1.95*0.9+2.625*1.375+2.125*1.375+2.75*3.41)*10.764</f>
        <v>496.7868555</v>
      </c>
      <c r="E246" s="42">
        <v>0</v>
      </c>
      <c r="F246" s="42">
        <f t="shared" si="22"/>
        <v>794.85896880000007</v>
      </c>
      <c r="G246" s="71"/>
      <c r="H246" s="72"/>
      <c r="I246" s="36"/>
      <c r="N246" s="36"/>
    </row>
    <row r="247" spans="1:14" s="37" customFormat="1" ht="15.75" customHeight="1" x14ac:dyDescent="0.25">
      <c r="A247" s="65">
        <f t="shared" si="21"/>
        <v>7</v>
      </c>
      <c r="B247" s="65"/>
      <c r="C247" s="42" t="s">
        <v>187</v>
      </c>
      <c r="D247" s="42">
        <f>(1.25*0.7+2.9*4.65+0.05*2.125+2.55*0.23+2.9*2.125+1.21*1.915+2.9*0.9+3.05*3.11+3.05*4.11+0.9*0.2+2.275*1.375+2.275*1.375+2.55*1.275+1.225*1.4)*10.764</f>
        <v>641.16734759999986</v>
      </c>
      <c r="E247" s="42">
        <v>0</v>
      </c>
      <c r="F247" s="42">
        <f t="shared" si="22"/>
        <v>1025.8677561599998</v>
      </c>
      <c r="G247" s="71"/>
      <c r="H247" s="72"/>
      <c r="I247" s="36"/>
      <c r="N247" s="36"/>
    </row>
    <row r="248" spans="1:14" s="37" customFormat="1" ht="15.75" customHeight="1" x14ac:dyDescent="0.25">
      <c r="A248" s="65">
        <f t="shared" si="21"/>
        <v>8</v>
      </c>
      <c r="B248" s="65"/>
      <c r="C248" s="42" t="s">
        <v>186</v>
      </c>
      <c r="D248" s="42">
        <f>(1.075*1.6+4.575*2.86+2.445*1.915+3.05*2.9+1.975*1.325+1.21*1.915)*10.764</f>
        <v>358.07199480000003</v>
      </c>
      <c r="E248" s="42">
        <v>0</v>
      </c>
      <c r="F248" s="42">
        <f t="shared" si="22"/>
        <v>572.91519168000002</v>
      </c>
      <c r="G248" s="73"/>
      <c r="H248" s="74"/>
      <c r="I248" s="36"/>
      <c r="N248" s="36"/>
    </row>
    <row r="249" spans="1:14" s="37" customFormat="1" ht="15.75" customHeight="1" x14ac:dyDescent="0.25">
      <c r="A249" s="66" t="s">
        <v>216</v>
      </c>
      <c r="B249" s="67"/>
      <c r="C249" s="67"/>
      <c r="D249" s="67"/>
      <c r="E249" s="67"/>
      <c r="F249" s="67"/>
      <c r="G249" s="67"/>
      <c r="H249" s="68"/>
      <c r="I249" s="36"/>
      <c r="N249" s="36"/>
    </row>
    <row r="250" spans="1:14" s="37" customFormat="1" ht="15.75" customHeight="1" x14ac:dyDescent="0.25">
      <c r="A250" s="59">
        <v>1</v>
      </c>
      <c r="B250" s="60"/>
      <c r="C250" s="42" t="s">
        <v>190</v>
      </c>
      <c r="D250" s="42">
        <f>(1.325*0.7+2.9*4.65+2.075*2.125+2.5*0.23+2.5*1.275+2.45*2.41+1.95*0.9+2.625*1.375+2.125*1.375+2.75*3.41)*10.764</f>
        <v>496.7868555</v>
      </c>
      <c r="E250" s="42">
        <v>0</v>
      </c>
      <c r="F250" s="42">
        <f t="shared" ref="F250:F259" si="23">D250*(($F$206)+1)+(IF(E250&lt;101,E250,IF(E250&lt;201,E250/2,IF(E250&lt;=301,E250/3,E250/4))))</f>
        <v>794.85896880000007</v>
      </c>
      <c r="G250" s="69" t="str">
        <f>A249</f>
        <v>4th, 5th, 7th to 12th, 14th to 18th Floor</v>
      </c>
      <c r="H250" s="70"/>
      <c r="I250" s="36"/>
    </row>
    <row r="251" spans="1:14" s="37" customFormat="1" ht="15.75" customHeight="1" x14ac:dyDescent="0.25">
      <c r="A251" s="59">
        <v>2</v>
      </c>
      <c r="B251" s="60"/>
      <c r="C251" s="42" t="s">
        <v>187</v>
      </c>
      <c r="D251" s="42">
        <f>(1.25*0.7+2.9*4.65+0.05*2.125+2.55*0.23+2.85*2.125+1.21*1.915+2.9*0.9+3.05*3.11+3.05*4.11+0.9*0.2+2.275*1.375+2.275*1.375+2.55*1.275)*10.764</f>
        <v>621.56341259999977</v>
      </c>
      <c r="E251" s="42">
        <v>0</v>
      </c>
      <c r="F251" s="42">
        <f t="shared" si="23"/>
        <v>994.50146015999962</v>
      </c>
      <c r="G251" s="71"/>
      <c r="H251" s="72"/>
      <c r="I251" s="36"/>
    </row>
    <row r="252" spans="1:14" s="37" customFormat="1" ht="15.75" customHeight="1" x14ac:dyDescent="0.25">
      <c r="A252" s="59">
        <v>3</v>
      </c>
      <c r="B252" s="60"/>
      <c r="C252" s="42" t="s">
        <v>186</v>
      </c>
      <c r="D252" s="42">
        <f>(4.575*2.86+2.445*1.915+3.05*2.9+1.975*1.325+1.21*1.915+1.07*1.75)*10.764</f>
        <v>359.71350479999995</v>
      </c>
      <c r="E252" s="42">
        <v>0</v>
      </c>
      <c r="F252" s="42">
        <f t="shared" si="23"/>
        <v>575.54160767999997</v>
      </c>
      <c r="G252" s="71"/>
      <c r="H252" s="72"/>
      <c r="I252" s="36"/>
    </row>
    <row r="253" spans="1:14" s="37" customFormat="1" ht="15.75" customHeight="1" x14ac:dyDescent="0.25">
      <c r="A253" s="59">
        <v>4</v>
      </c>
      <c r="B253" s="60"/>
      <c r="C253" s="42" t="s">
        <v>187</v>
      </c>
      <c r="D253" s="42">
        <f>(1.25*0.7+2.9*4.65+0.05*2.125+2.55*0.23+2.85*2.125+1.21*1.915+2.9*0.9+3.05*3.11+3.05*4.11+0.9*0.2+2.275*1.375+2.275*1.375+2.55*1.275)*10.764</f>
        <v>621.56341259999977</v>
      </c>
      <c r="E253" s="42">
        <v>0</v>
      </c>
      <c r="F253" s="42">
        <f t="shared" si="23"/>
        <v>994.50146015999962</v>
      </c>
      <c r="G253" s="71"/>
      <c r="H253" s="72"/>
      <c r="I253" s="36"/>
      <c r="J253" s="37">
        <f>8340000/F252</f>
        <v>14490.698654469868</v>
      </c>
    </row>
    <row r="254" spans="1:14" s="37" customFormat="1" ht="15.75" customHeight="1" x14ac:dyDescent="0.25">
      <c r="A254" s="59">
        <v>5</v>
      </c>
      <c r="B254" s="60"/>
      <c r="C254" s="42" t="s">
        <v>190</v>
      </c>
      <c r="D254" s="42">
        <f>(1.325*0.7+2.9*4.65+2.075*2.125+2.5*0.23+2.5*1.275+2.45*2.41+1.95*0.9+2.625*1.375+2.125*1.375+2.75*3.41)*10.764</f>
        <v>496.7868555</v>
      </c>
      <c r="E254" s="42">
        <v>0</v>
      </c>
      <c r="F254" s="42">
        <f t="shared" si="23"/>
        <v>794.85896880000007</v>
      </c>
      <c r="G254" s="71"/>
      <c r="H254" s="72"/>
      <c r="I254" s="36"/>
    </row>
    <row r="255" spans="1:14" s="37" customFormat="1" ht="15.75" customHeight="1" x14ac:dyDescent="0.25">
      <c r="A255" s="59">
        <v>6</v>
      </c>
      <c r="B255" s="60"/>
      <c r="C255" s="42" t="s">
        <v>190</v>
      </c>
      <c r="D255" s="42">
        <f>(1.325*0.7+2.9*4.65+2.075*2.125+2.5*0.23+2.5*1.275+2.45*2.41+1.95*0.9+2.625*1.375+2.125*1.375+2.75*3.41)*10.764</f>
        <v>496.7868555</v>
      </c>
      <c r="E255" s="42">
        <v>0</v>
      </c>
      <c r="F255" s="42">
        <f t="shared" si="23"/>
        <v>794.85896880000007</v>
      </c>
      <c r="G255" s="71"/>
      <c r="H255" s="72"/>
      <c r="I255" s="36"/>
    </row>
    <row r="256" spans="1:14" s="37" customFormat="1" ht="15.75" customHeight="1" x14ac:dyDescent="0.25">
      <c r="A256" s="59">
        <v>7</v>
      </c>
      <c r="B256" s="60"/>
      <c r="C256" s="42" t="s">
        <v>187</v>
      </c>
      <c r="D256" s="42">
        <f>(1.25*0.7+2.9*4.65+0.05*2.125+2.55*0.23+2.9*2.125+1.21*1.915+2.9*0.9+3.05*3.11+3.05*4.11+0.9*0.2+2.275*1.375+2.275*1.375+2.55*1.275+1.225*1.4)*10.764</f>
        <v>641.16734759999986</v>
      </c>
      <c r="E256" s="42">
        <v>0</v>
      </c>
      <c r="F256" s="42">
        <f t="shared" si="23"/>
        <v>1025.8677561599998</v>
      </c>
      <c r="G256" s="71"/>
      <c r="H256" s="72"/>
      <c r="I256" s="36"/>
    </row>
    <row r="257" spans="1:14" s="37" customFormat="1" ht="15.75" customHeight="1" x14ac:dyDescent="0.25">
      <c r="A257" s="59">
        <v>8</v>
      </c>
      <c r="B257" s="60"/>
      <c r="C257" s="42" t="s">
        <v>186</v>
      </c>
      <c r="D257" s="42">
        <f>(1.075*1.6+4.575*2.86+2.445*1.915+3.05*2.9+1.975*1.325+1.21*1.915)*10.764</f>
        <v>358.07199480000003</v>
      </c>
      <c r="E257" s="42">
        <v>0</v>
      </c>
      <c r="F257" s="42">
        <f t="shared" si="23"/>
        <v>572.91519168000002</v>
      </c>
      <c r="G257" s="71"/>
      <c r="H257" s="72"/>
      <c r="I257" s="36"/>
    </row>
    <row r="258" spans="1:14" s="37" customFormat="1" ht="15.75" customHeight="1" x14ac:dyDescent="0.25">
      <c r="A258" s="59">
        <v>9</v>
      </c>
      <c r="B258" s="60"/>
      <c r="C258" s="42" t="s">
        <v>187</v>
      </c>
      <c r="D258" s="42">
        <f>(1.25*0.7+3.05*4.65+2.66*2.125+0.825*1.7+2.66*1.375+2.31*0.9+2.01*2.3+2.01*1.275+2.31*0.9+3.05*3.575+2.285*1.375+3.655*3.05)*10.764</f>
        <v>670.67389349999996</v>
      </c>
      <c r="E258" s="42">
        <v>0</v>
      </c>
      <c r="F258" s="42">
        <f t="shared" si="23"/>
        <v>1073.0782296</v>
      </c>
      <c r="G258" s="71"/>
      <c r="H258" s="72"/>
      <c r="I258" s="36"/>
    </row>
    <row r="259" spans="1:14" s="37" customFormat="1" ht="15.75" customHeight="1" x14ac:dyDescent="0.25">
      <c r="A259" s="59">
        <v>10</v>
      </c>
      <c r="B259" s="60"/>
      <c r="C259" s="42" t="s">
        <v>190</v>
      </c>
      <c r="D259" s="42">
        <f>(1.325*0.7+2.9*4.65+2.075*2.125+2.5*0.23+2.5*1.275+2.45*2.41+1.95*0.9+2.625*1.375+2.125*1.375+2.75*3.41)*10.764</f>
        <v>496.7868555</v>
      </c>
      <c r="E259" s="42">
        <v>0</v>
      </c>
      <c r="F259" s="42">
        <f t="shared" si="23"/>
        <v>794.85896880000007</v>
      </c>
      <c r="G259" s="73"/>
      <c r="H259" s="74"/>
      <c r="I259" s="36"/>
    </row>
    <row r="260" spans="1:14" s="37" customFormat="1" ht="15.75" customHeight="1" x14ac:dyDescent="0.25">
      <c r="A260" s="66" t="s">
        <v>217</v>
      </c>
      <c r="B260" s="67"/>
      <c r="C260" s="67"/>
      <c r="D260" s="67"/>
      <c r="E260" s="67"/>
      <c r="F260" s="67"/>
      <c r="G260" s="67"/>
      <c r="H260" s="68"/>
      <c r="I260" s="36"/>
      <c r="N260" s="36"/>
    </row>
    <row r="261" spans="1:14" s="37" customFormat="1" ht="15.75" customHeight="1" x14ac:dyDescent="0.25">
      <c r="A261" s="59">
        <v>1</v>
      </c>
      <c r="B261" s="60"/>
      <c r="C261" s="42" t="s">
        <v>190</v>
      </c>
      <c r="D261" s="42">
        <f>(1.325*0.7+2.9*4.65+2.075*2.125+2.5*0.23+2.5*1.275+2.45*2.41+1.95*0.9+2.625*1.375+2.125*1.375+2.75*3.41)*10.764</f>
        <v>496.7868555</v>
      </c>
      <c r="E261" s="42">
        <v>0</v>
      </c>
      <c r="F261" s="42">
        <f t="shared" ref="F261:F270" si="24">D261*(($F$206)+1)+(IF(E261&lt;101,E261,IF(E261&lt;201,E261/2,IF(E261&lt;=301,E261/3,E261/4))))</f>
        <v>794.85896880000007</v>
      </c>
      <c r="G261" s="69" t="str">
        <f>A260</f>
        <v>6th &amp; 13th Floor For  Residential (Part Refuge Area)</v>
      </c>
      <c r="H261" s="70"/>
      <c r="I261" s="36"/>
    </row>
    <row r="262" spans="1:14" s="37" customFormat="1" ht="15.75" customHeight="1" x14ac:dyDescent="0.25">
      <c r="A262" s="59">
        <v>2</v>
      </c>
      <c r="B262" s="60"/>
      <c r="C262" s="42" t="s">
        <v>187</v>
      </c>
      <c r="D262" s="42">
        <f>(1.25*0.7+2.9*4.65+0.05*2.125+2.55*0.23+2.85*2.125+1.21*1.915+2.9*0.9+3.05*3.11+3.05*4.11+0.9*0.2+2.275*1.375+2.275*1.375+2.55*1.275)*10.764</f>
        <v>621.56341259999977</v>
      </c>
      <c r="E262" s="42">
        <v>0</v>
      </c>
      <c r="F262" s="42">
        <f t="shared" si="24"/>
        <v>994.50146015999962</v>
      </c>
      <c r="G262" s="71"/>
      <c r="H262" s="72"/>
      <c r="I262" s="36"/>
    </row>
    <row r="263" spans="1:14" s="37" customFormat="1" ht="15.75" customHeight="1" x14ac:dyDescent="0.25">
      <c r="A263" s="59">
        <v>3</v>
      </c>
      <c r="B263" s="60"/>
      <c r="C263" s="42" t="s">
        <v>186</v>
      </c>
      <c r="D263" s="42">
        <f>(4.575*2.86+2.445*1.915+3.05*2.9+1.975*1.325+1.21*1.915+1.07*1.75)*10.764</f>
        <v>359.71350479999995</v>
      </c>
      <c r="E263" s="42">
        <v>0</v>
      </c>
      <c r="F263" s="42">
        <f t="shared" si="24"/>
        <v>575.54160767999997</v>
      </c>
      <c r="G263" s="71"/>
      <c r="H263" s="72"/>
      <c r="I263" s="36"/>
    </row>
    <row r="264" spans="1:14" s="37" customFormat="1" ht="15.75" customHeight="1" x14ac:dyDescent="0.25">
      <c r="A264" s="59">
        <v>4</v>
      </c>
      <c r="B264" s="60"/>
      <c r="C264" s="42" t="s">
        <v>187</v>
      </c>
      <c r="D264" s="42">
        <f>(1.25*0.7+2.9*4.65+0.05*2.125+2.55*0.23+2.85*2.125+1.21*1.915+2.9*0.9+3.05*3.11+3.05*4.11+0.9*0.2+2.275*1.375+2.275*1.375+2.55*1.275)*10.764</f>
        <v>621.56341259999977</v>
      </c>
      <c r="E264" s="42">
        <v>0</v>
      </c>
      <c r="F264" s="42">
        <f t="shared" si="24"/>
        <v>994.50146015999962</v>
      </c>
      <c r="G264" s="71"/>
      <c r="H264" s="72"/>
      <c r="I264" s="36"/>
      <c r="J264" s="37">
        <f>8340000/F263</f>
        <v>14490.698654469868</v>
      </c>
    </row>
    <row r="265" spans="1:14" s="37" customFormat="1" ht="15.75" customHeight="1" x14ac:dyDescent="0.25">
      <c r="A265" s="59">
        <v>5</v>
      </c>
      <c r="B265" s="60"/>
      <c r="C265" s="69" t="s">
        <v>189</v>
      </c>
      <c r="D265" s="175">
        <f>(1.325*0.7+2.9*4.65+2.075*2.125+2.5*0.23+2.5*1.275+2.45*2.41+1.95*0.9+2.625*1.375+2.125*1.375+2.75*3.41)*10.764</f>
        <v>496.7868555</v>
      </c>
      <c r="E265" s="175">
        <v>0</v>
      </c>
      <c r="F265" s="70">
        <f t="shared" si="24"/>
        <v>794.85896880000007</v>
      </c>
      <c r="G265" s="71"/>
      <c r="H265" s="72"/>
      <c r="I265" s="36"/>
    </row>
    <row r="266" spans="1:14" s="37" customFormat="1" ht="15.75" customHeight="1" x14ac:dyDescent="0.25">
      <c r="A266" s="59">
        <v>6</v>
      </c>
      <c r="B266" s="60"/>
      <c r="C266" s="73" t="s">
        <v>190</v>
      </c>
      <c r="D266" s="176">
        <f>(1.325*0.7+2.9*4.65+2.075*2.125+2.5*0.23+2.5*1.275+2.45*2.41+1.95*0.9+2.625*1.375+2.125*1.375+2.75*3.41)*10.764</f>
        <v>496.7868555</v>
      </c>
      <c r="E266" s="176">
        <v>0</v>
      </c>
      <c r="F266" s="74">
        <f t="shared" si="24"/>
        <v>794.85896880000007</v>
      </c>
      <c r="G266" s="71"/>
      <c r="H266" s="72"/>
      <c r="I266" s="36"/>
    </row>
    <row r="267" spans="1:14" s="37" customFormat="1" ht="15.75" customHeight="1" x14ac:dyDescent="0.25">
      <c r="A267" s="59">
        <v>7</v>
      </c>
      <c r="B267" s="60"/>
      <c r="C267" s="42" t="s">
        <v>187</v>
      </c>
      <c r="D267" s="42">
        <f>(1.25*0.7+2.9*4.65+0.05*2.125+2.55*0.23+2.9*2.125+1.21*1.915+2.9*0.9+3.05*3.11+3.05*4.11+0.9*0.2+2.275*1.375+2.275*1.375+2.55*1.275+1.225*1.4)*10.764</f>
        <v>641.16734759999986</v>
      </c>
      <c r="E267" s="42">
        <v>0</v>
      </c>
      <c r="F267" s="42">
        <f t="shared" si="24"/>
        <v>1025.8677561599998</v>
      </c>
      <c r="G267" s="71"/>
      <c r="H267" s="72"/>
      <c r="I267" s="36"/>
    </row>
    <row r="268" spans="1:14" s="37" customFormat="1" ht="15.75" customHeight="1" x14ac:dyDescent="0.25">
      <c r="A268" s="59">
        <v>8</v>
      </c>
      <c r="B268" s="60"/>
      <c r="C268" s="42" t="s">
        <v>186</v>
      </c>
      <c r="D268" s="42">
        <f>(1.075*1.6+4.575*2.86+2.445*1.915+3.05*2.9+1.975*1.325+1.21*1.915)*10.764</f>
        <v>358.07199480000003</v>
      </c>
      <c r="E268" s="42">
        <v>0</v>
      </c>
      <c r="F268" s="42">
        <f t="shared" si="24"/>
        <v>572.91519168000002</v>
      </c>
      <c r="G268" s="71"/>
      <c r="H268" s="72"/>
      <c r="I268" s="36"/>
    </row>
    <row r="269" spans="1:14" s="37" customFormat="1" ht="15.75" customHeight="1" x14ac:dyDescent="0.25">
      <c r="A269" s="59">
        <v>9</v>
      </c>
      <c r="B269" s="60"/>
      <c r="C269" s="42" t="s">
        <v>187</v>
      </c>
      <c r="D269" s="42">
        <f>(1.25*0.7+3.05*4.65+2.66*2.125+0.825*1.7+2.66*1.375+2.31*0.9+2.01*2.3+2.01*1.275+2.31*0.9+3.05*3.575+2.285*1.375+3.655*3.05)*10.764</f>
        <v>670.67389349999996</v>
      </c>
      <c r="E269" s="42">
        <v>0</v>
      </c>
      <c r="F269" s="42">
        <f t="shared" si="24"/>
        <v>1073.0782296</v>
      </c>
      <c r="G269" s="71"/>
      <c r="H269" s="72"/>
      <c r="I269" s="36"/>
    </row>
    <row r="270" spans="1:14" s="37" customFormat="1" ht="15.75" customHeight="1" x14ac:dyDescent="0.25">
      <c r="A270" s="59">
        <v>10</v>
      </c>
      <c r="B270" s="60"/>
      <c r="C270" s="42" t="s">
        <v>190</v>
      </c>
      <c r="D270" s="42">
        <f>(1.325*0.7+2.9*4.65+2.075*2.125+2.5*0.23+2.5*1.275+2.45*2.41+1.95*0.9+2.625*1.375+2.125*1.375+2.75*3.41)*10.764</f>
        <v>496.7868555</v>
      </c>
      <c r="E270" s="42">
        <v>0</v>
      </c>
      <c r="F270" s="42">
        <f t="shared" si="24"/>
        <v>794.85896880000007</v>
      </c>
      <c r="G270" s="73"/>
      <c r="H270" s="74"/>
      <c r="I270" s="36"/>
    </row>
    <row r="271" spans="1:14" s="37" customFormat="1" ht="15.75" customHeight="1" x14ac:dyDescent="0.25">
      <c r="A271" s="66" t="s">
        <v>221</v>
      </c>
      <c r="B271" s="67"/>
      <c r="C271" s="67"/>
      <c r="D271" s="67"/>
      <c r="E271" s="67"/>
      <c r="F271" s="67"/>
      <c r="G271" s="67"/>
      <c r="H271" s="68"/>
      <c r="I271" s="36"/>
      <c r="N271" s="36"/>
    </row>
    <row r="272" spans="1:14" s="37" customFormat="1" ht="15.75" customHeight="1" x14ac:dyDescent="0.25">
      <c r="A272" s="59">
        <v>1</v>
      </c>
      <c r="B272" s="60"/>
      <c r="C272" s="42" t="s">
        <v>190</v>
      </c>
      <c r="D272" s="42">
        <f>(1.325*0.7+2.9*4.65+2.075*2.125+2.5*0.23+2.5*1.275+2.45*2.41+1.95*0.9+2.625*1.375+2.125*1.375+2.75*3.41)*10.764</f>
        <v>496.7868555</v>
      </c>
      <c r="E272" s="42">
        <v>0</v>
      </c>
      <c r="F272" s="42">
        <f>D272*(($F$206)+1)+(IF(E272&lt;101,E272,IF(E272&lt;201,E272/2,IF(E272&lt;=301,E272/3,E272/4))))</f>
        <v>794.85896880000007</v>
      </c>
      <c r="G272" s="69" t="str">
        <f>A271</f>
        <v>19th Floor For  Residential (Part Terrace Area)</v>
      </c>
      <c r="H272" s="70"/>
      <c r="I272" s="36"/>
    </row>
    <row r="273" spans="1:10" s="37" customFormat="1" ht="15.75" customHeight="1" x14ac:dyDescent="0.25">
      <c r="A273" s="59">
        <v>2</v>
      </c>
      <c r="B273" s="60"/>
      <c r="C273" s="42" t="s">
        <v>187</v>
      </c>
      <c r="D273" s="42">
        <f>(1.25*0.7+2.9*4.65+0.05*2.125+2.55*0.23+2.85*2.125+1.21*1.915+2.9*0.9+3.05*3.11+3.05*4.11+0.9*0.2+2.275*1.375+2.275*1.375+2.55*1.275)*10.764</f>
        <v>621.56341259999977</v>
      </c>
      <c r="E273" s="42">
        <v>0</v>
      </c>
      <c r="F273" s="42">
        <f>D273*(($F$206)+1)+(IF(E273&lt;101,E273,IF(E273&lt;201,E273/2,IF(E273&lt;=301,E273/3,E273/4))))</f>
        <v>994.50146015999962</v>
      </c>
      <c r="G273" s="71"/>
      <c r="H273" s="72"/>
      <c r="I273" s="36"/>
    </row>
    <row r="274" spans="1:10" s="37" customFormat="1" ht="15.75" customHeight="1" x14ac:dyDescent="0.25">
      <c r="A274" s="59">
        <v>3</v>
      </c>
      <c r="B274" s="60"/>
      <c r="C274" s="42" t="s">
        <v>186</v>
      </c>
      <c r="D274" s="42">
        <f>(4.575*2.86+2.445*1.915+3.05*2.9+1.975*1.325+1.21*1.915+1.07*1.75)*10.764</f>
        <v>359.71350479999995</v>
      </c>
      <c r="E274" s="42">
        <v>0</v>
      </c>
      <c r="F274" s="42">
        <f>D274*(($F$206)+1)+(IF(E274&lt;101,E274,IF(E274&lt;201,E274/2,IF(E274&lt;=301,E274/3,E274/4))))</f>
        <v>575.54160767999997</v>
      </c>
      <c r="G274" s="71"/>
      <c r="H274" s="72"/>
      <c r="I274" s="36"/>
    </row>
    <row r="275" spans="1:10" s="37" customFormat="1" ht="15.75" customHeight="1" x14ac:dyDescent="0.25">
      <c r="A275" s="59">
        <v>4</v>
      </c>
      <c r="B275" s="60"/>
      <c r="C275" s="69" t="s">
        <v>220</v>
      </c>
      <c r="D275" s="175"/>
      <c r="E275" s="175"/>
      <c r="F275" s="70"/>
      <c r="G275" s="71"/>
      <c r="H275" s="72"/>
      <c r="I275" s="36"/>
      <c r="J275" s="37">
        <f>8340000/F274</f>
        <v>14490.698654469868</v>
      </c>
    </row>
    <row r="276" spans="1:10" s="37" customFormat="1" ht="15.75" customHeight="1" x14ac:dyDescent="0.25">
      <c r="A276" s="59">
        <v>5</v>
      </c>
      <c r="B276" s="60"/>
      <c r="C276" s="71"/>
      <c r="D276" s="220"/>
      <c r="E276" s="220"/>
      <c r="F276" s="72"/>
      <c r="G276" s="71"/>
      <c r="H276" s="72"/>
      <c r="I276" s="36"/>
    </row>
    <row r="277" spans="1:10" s="37" customFormat="1" ht="15.75" customHeight="1" x14ac:dyDescent="0.25">
      <c r="A277" s="59">
        <v>6</v>
      </c>
      <c r="B277" s="60"/>
      <c r="C277" s="71"/>
      <c r="D277" s="220"/>
      <c r="E277" s="220"/>
      <c r="F277" s="72"/>
      <c r="G277" s="71"/>
      <c r="H277" s="72"/>
      <c r="I277" s="36"/>
    </row>
    <row r="278" spans="1:10" s="37" customFormat="1" ht="15.75" customHeight="1" x14ac:dyDescent="0.25">
      <c r="A278" s="59">
        <v>7</v>
      </c>
      <c r="B278" s="60"/>
      <c r="C278" s="73"/>
      <c r="D278" s="176"/>
      <c r="E278" s="176"/>
      <c r="F278" s="74"/>
      <c r="G278" s="71"/>
      <c r="H278" s="72"/>
      <c r="I278" s="36"/>
    </row>
    <row r="279" spans="1:10" s="37" customFormat="1" ht="15.75" customHeight="1" x14ac:dyDescent="0.25">
      <c r="A279" s="59">
        <v>8</v>
      </c>
      <c r="B279" s="60"/>
      <c r="C279" s="42" t="s">
        <v>186</v>
      </c>
      <c r="D279" s="42">
        <f>(1.075*1.6+4.575*2.86+2.445*1.915+3.05*2.9+1.975*1.325+1.21*1.915)*10.764</f>
        <v>358.07199480000003</v>
      </c>
      <c r="E279" s="42">
        <v>0</v>
      </c>
      <c r="F279" s="42">
        <f>D279*(($F$206)+1)+(IF(E279&lt;101,E279,IF(E279&lt;201,E279/2,IF(E279&lt;=301,E279/3,E279/4))))</f>
        <v>572.91519168000002</v>
      </c>
      <c r="G279" s="71"/>
      <c r="H279" s="72"/>
      <c r="I279" s="36"/>
    </row>
    <row r="280" spans="1:10" s="37" customFormat="1" ht="15.75" customHeight="1" x14ac:dyDescent="0.25">
      <c r="A280" s="59">
        <v>9</v>
      </c>
      <c r="B280" s="60"/>
      <c r="C280" s="42" t="s">
        <v>187</v>
      </c>
      <c r="D280" s="42">
        <f>(1.25*0.7+3.05*4.65+2.66*2.125+0.825*1.7+2.66*1.375+2.31*0.9+2.01*2.3+2.01*1.275+2.31*0.9+3.05*3.575+2.285*1.375+3.655*3.05)*10.764</f>
        <v>670.67389349999996</v>
      </c>
      <c r="E280" s="42">
        <v>0</v>
      </c>
      <c r="F280" s="42">
        <f>D280*(($F$206)+1)+(IF(E280&lt;101,E280,IF(E280&lt;201,E280/2,IF(E280&lt;=301,E280/3,E280/4))))</f>
        <v>1073.0782296</v>
      </c>
      <c r="G280" s="71"/>
      <c r="H280" s="72"/>
      <c r="I280" s="36"/>
    </row>
    <row r="281" spans="1:10" s="37" customFormat="1" ht="15.75" customHeight="1" x14ac:dyDescent="0.25">
      <c r="A281" s="59">
        <v>10</v>
      </c>
      <c r="B281" s="60"/>
      <c r="C281" s="42" t="s">
        <v>190</v>
      </c>
      <c r="D281" s="42">
        <f>(1.325*0.7+2.9*4.65+2.075*2.125+2.5*0.23+2.5*1.275+2.45*2.41+1.95*0.9+2.625*1.375+2.125*1.375+2.75*3.41)*10.764</f>
        <v>496.7868555</v>
      </c>
      <c r="E281" s="42">
        <v>0</v>
      </c>
      <c r="F281" s="42">
        <f>D281*(($F$206)+1)+(IF(E281&lt;101,E281,IF(E281&lt;201,E281/2,IF(E281&lt;=301,E281/3,E281/4))))</f>
        <v>794.85896880000007</v>
      </c>
      <c r="G281" s="73"/>
      <c r="H281" s="74"/>
      <c r="I281" s="36"/>
    </row>
    <row r="282" spans="1:10" s="37" customFormat="1" ht="15.75" customHeight="1" x14ac:dyDescent="0.25">
      <c r="A282" s="155" t="s">
        <v>68</v>
      </c>
      <c r="B282" s="156"/>
      <c r="C282" s="156"/>
      <c r="D282" s="156"/>
      <c r="E282" s="156"/>
      <c r="F282" s="156"/>
      <c r="G282" s="156"/>
      <c r="H282" s="157"/>
      <c r="I282" s="36"/>
    </row>
    <row r="283" spans="1:10" s="35" customFormat="1" x14ac:dyDescent="0.25">
      <c r="A283" s="47" t="s">
        <v>151</v>
      </c>
      <c r="B283" s="61" t="s">
        <v>245</v>
      </c>
      <c r="C283" s="62"/>
      <c r="D283" s="62"/>
      <c r="E283" s="62"/>
      <c r="F283" s="62"/>
      <c r="G283" s="62"/>
      <c r="H283" s="63"/>
      <c r="I283" s="55" t="s">
        <v>241</v>
      </c>
    </row>
    <row r="284" spans="1:10" s="35" customFormat="1" ht="15.75" customHeight="1" x14ac:dyDescent="0.25">
      <c r="A284" s="47" t="s">
        <v>151</v>
      </c>
      <c r="B284" s="61" t="str">
        <f>(IF(F205="Saleable area Loading :","We have considered Saleable area of Flats as per our Calculation.","We considered Saleable area of Flat as per Builder area Sheet."))</f>
        <v>We have considered Saleable area of Flats as per our Calculation.</v>
      </c>
      <c r="C284" s="62"/>
      <c r="D284" s="62"/>
      <c r="E284" s="62"/>
      <c r="F284" s="62"/>
      <c r="G284" s="62"/>
      <c r="H284" s="63"/>
    </row>
    <row r="285" spans="1:10" s="35" customFormat="1" ht="15.75" customHeight="1" x14ac:dyDescent="0.25">
      <c r="A285" s="47" t="s">
        <v>151</v>
      </c>
      <c r="B285" s="61" t="str">
        <f>(IF(F117="Saleable area Loading :","We have considered Saleable area of Commercial as per our Calculation.","We considered Saleable area of Commercial as per Builder area Sheet."))</f>
        <v>We have considered Saleable area of Commercial as per our Calculation.</v>
      </c>
      <c r="C285" s="62"/>
      <c r="D285" s="62"/>
      <c r="E285" s="62"/>
      <c r="F285" s="62"/>
      <c r="G285" s="62"/>
      <c r="H285" s="63"/>
    </row>
    <row r="286" spans="1:10" s="35" customFormat="1" ht="15.75" customHeight="1" x14ac:dyDescent="0.25">
      <c r="A286" s="47" t="s">
        <v>151</v>
      </c>
      <c r="B286" s="56" t="s">
        <v>121</v>
      </c>
      <c r="C286" s="57"/>
      <c r="D286" s="57"/>
      <c r="E286" s="57"/>
      <c r="F286" s="57"/>
      <c r="G286" s="57"/>
      <c r="H286" s="58"/>
    </row>
    <row r="287" spans="1:10" s="35" customFormat="1" ht="15.75" customHeight="1" x14ac:dyDescent="0.25">
      <c r="A287" s="47" t="s">
        <v>151</v>
      </c>
      <c r="B287" s="56" t="s">
        <v>191</v>
      </c>
      <c r="C287" s="57"/>
      <c r="D287" s="57"/>
      <c r="E287" s="57"/>
      <c r="F287" s="57"/>
      <c r="G287" s="57"/>
      <c r="H287" s="58"/>
      <c r="J287" s="55"/>
    </row>
    <row r="288" spans="1:10" s="35" customFormat="1" ht="15.75" customHeight="1" x14ac:dyDescent="0.25">
      <c r="A288" s="47" t="s">
        <v>151</v>
      </c>
      <c r="B288" s="56" t="s">
        <v>150</v>
      </c>
      <c r="C288" s="57"/>
      <c r="D288" s="57"/>
      <c r="E288" s="57"/>
      <c r="F288" s="57"/>
      <c r="G288" s="57"/>
      <c r="H288" s="58"/>
    </row>
    <row r="289" spans="1:8" s="35" customFormat="1" ht="15.75" customHeight="1" x14ac:dyDescent="0.25">
      <c r="A289" s="47" t="s">
        <v>151</v>
      </c>
      <c r="B289" s="56" t="s">
        <v>122</v>
      </c>
      <c r="C289" s="57"/>
      <c r="D289" s="57"/>
      <c r="E289" s="57"/>
      <c r="F289" s="57"/>
      <c r="G289" s="57"/>
      <c r="H289" s="58"/>
    </row>
    <row r="290" spans="1:8" s="35" customFormat="1" ht="37.5" hidden="1" customHeight="1" x14ac:dyDescent="0.25">
      <c r="A290" s="47" t="s">
        <v>151</v>
      </c>
      <c r="B290" s="56" t="s">
        <v>152</v>
      </c>
      <c r="C290" s="57"/>
      <c r="D290" s="57"/>
      <c r="E290" s="57"/>
      <c r="F290" s="57"/>
      <c r="G290" s="57"/>
      <c r="H290" s="58"/>
    </row>
    <row r="291" spans="1:8" s="35" customFormat="1" ht="15.75" customHeight="1" x14ac:dyDescent="0.25">
      <c r="A291" s="47" t="s">
        <v>151</v>
      </c>
      <c r="B291" s="56" t="s">
        <v>123</v>
      </c>
      <c r="C291" s="57"/>
      <c r="D291" s="57"/>
      <c r="E291" s="57"/>
      <c r="F291" s="57"/>
      <c r="G291" s="57"/>
      <c r="H291" s="58"/>
    </row>
    <row r="292" spans="1:8" s="35" customFormat="1" ht="15.75" customHeight="1" x14ac:dyDescent="0.25">
      <c r="A292" s="47" t="s">
        <v>151</v>
      </c>
      <c r="B292" s="56" t="s">
        <v>218</v>
      </c>
      <c r="C292" s="57"/>
      <c r="D292" s="57"/>
      <c r="E292" s="57"/>
      <c r="F292" s="57"/>
      <c r="G292" s="57"/>
      <c r="H292" s="58"/>
    </row>
    <row r="293" spans="1:8" s="35" customFormat="1" ht="15.75" customHeight="1" x14ac:dyDescent="0.25">
      <c r="A293" s="47" t="s">
        <v>151</v>
      </c>
      <c r="B293" s="56" t="s">
        <v>236</v>
      </c>
      <c r="C293" s="57"/>
      <c r="D293" s="57"/>
      <c r="E293" s="57"/>
      <c r="F293" s="57"/>
      <c r="G293" s="57"/>
      <c r="H293" s="58"/>
    </row>
    <row r="294" spans="1:8" s="35" customFormat="1" ht="33.75" customHeight="1" x14ac:dyDescent="0.25">
      <c r="A294" s="47" t="s">
        <v>151</v>
      </c>
      <c r="B294" s="56" t="s">
        <v>239</v>
      </c>
      <c r="C294" s="57"/>
      <c r="D294" s="57"/>
      <c r="E294" s="57"/>
      <c r="F294" s="57"/>
      <c r="G294" s="57"/>
      <c r="H294" s="58"/>
    </row>
    <row r="295" spans="1:8" s="35" customFormat="1" ht="33.75" customHeight="1" x14ac:dyDescent="0.25">
      <c r="A295" s="47" t="s">
        <v>151</v>
      </c>
      <c r="B295" s="56" t="s">
        <v>238</v>
      </c>
      <c r="C295" s="57"/>
      <c r="D295" s="57"/>
      <c r="E295" s="57"/>
      <c r="F295" s="57"/>
      <c r="G295" s="57"/>
      <c r="H295" s="58"/>
    </row>
    <row r="296" spans="1:8" s="35" customFormat="1" ht="15.75" hidden="1" customHeight="1" x14ac:dyDescent="0.25">
      <c r="A296" s="47" t="s">
        <v>151</v>
      </c>
      <c r="B296" s="56" t="s">
        <v>230</v>
      </c>
      <c r="C296" s="57"/>
      <c r="D296" s="57"/>
      <c r="E296" s="57"/>
      <c r="F296" s="57"/>
      <c r="G296" s="57"/>
      <c r="H296" s="58"/>
    </row>
    <row r="297" spans="1:8" s="35" customFormat="1" x14ac:dyDescent="0.25">
      <c r="A297" s="47" t="s">
        <v>151</v>
      </c>
      <c r="B297" s="56" t="s">
        <v>243</v>
      </c>
      <c r="C297" s="57"/>
      <c r="D297" s="57"/>
      <c r="E297" s="57"/>
      <c r="F297" s="57"/>
      <c r="G297" s="57"/>
      <c r="H297" s="58"/>
    </row>
    <row r="298" spans="1:8" s="35" customFormat="1" ht="15.75" customHeight="1" x14ac:dyDescent="0.25">
      <c r="A298" s="151" t="s">
        <v>61</v>
      </c>
      <c r="B298" s="152"/>
      <c r="C298" s="152"/>
      <c r="D298" s="152"/>
      <c r="E298" s="152"/>
      <c r="F298" s="152"/>
      <c r="G298" s="152"/>
      <c r="H298" s="153"/>
    </row>
    <row r="299" spans="1:8" x14ac:dyDescent="0.25">
      <c r="A299" s="147" t="s">
        <v>62</v>
      </c>
      <c r="B299" s="148"/>
      <c r="C299" s="148"/>
      <c r="D299" s="148"/>
      <c r="E299" s="148"/>
      <c r="F299" s="148"/>
      <c r="G299" s="148"/>
      <c r="H299" s="149"/>
    </row>
    <row r="300" spans="1:8" x14ac:dyDescent="0.25">
      <c r="A300" s="192" t="s">
        <v>63</v>
      </c>
      <c r="B300" s="193"/>
      <c r="C300" s="193"/>
      <c r="D300" s="193"/>
      <c r="E300" s="193"/>
      <c r="F300" s="193"/>
      <c r="G300" s="193"/>
      <c r="H300" s="194"/>
    </row>
    <row r="301" spans="1:8" ht="15.75" customHeight="1" x14ac:dyDescent="0.25">
      <c r="A301" s="147" t="s">
        <v>64</v>
      </c>
      <c r="B301" s="148"/>
      <c r="C301" s="148"/>
      <c r="D301" s="148"/>
      <c r="E301" s="148"/>
      <c r="F301" s="148"/>
      <c r="G301" s="148"/>
      <c r="H301" s="149"/>
    </row>
    <row r="302" spans="1:8" x14ac:dyDescent="0.25">
      <c r="A302" s="147" t="s">
        <v>65</v>
      </c>
      <c r="B302" s="148"/>
      <c r="C302" s="148"/>
      <c r="D302" s="148"/>
      <c r="E302" s="148"/>
      <c r="F302" s="148"/>
      <c r="G302" s="148"/>
      <c r="H302" s="149"/>
    </row>
    <row r="303" spans="1:8" x14ac:dyDescent="0.25">
      <c r="A303" s="147" t="s">
        <v>124</v>
      </c>
      <c r="B303" s="148"/>
      <c r="C303" s="148"/>
      <c r="D303" s="148"/>
      <c r="E303" s="148"/>
      <c r="F303" s="148"/>
      <c r="G303" s="148"/>
      <c r="H303" s="149"/>
    </row>
    <row r="304" spans="1:8" ht="15.75" customHeight="1" x14ac:dyDescent="0.25">
      <c r="A304" s="109" t="s">
        <v>125</v>
      </c>
      <c r="B304" s="174"/>
      <c r="C304" s="174"/>
      <c r="D304" s="174"/>
      <c r="E304" s="174"/>
      <c r="F304" s="174"/>
      <c r="G304" s="174"/>
      <c r="H304" s="110"/>
    </row>
    <row r="305" spans="1:8" x14ac:dyDescent="0.25">
      <c r="A305" s="173" t="s">
        <v>78</v>
      </c>
      <c r="B305" s="173"/>
      <c r="C305" s="173" t="s">
        <v>242</v>
      </c>
      <c r="D305" s="173"/>
      <c r="E305" s="173" t="s">
        <v>102</v>
      </c>
      <c r="F305" s="173"/>
      <c r="G305" s="173" t="s">
        <v>244</v>
      </c>
      <c r="H305" s="173"/>
    </row>
    <row r="306" spans="1:8" ht="15.75" customHeight="1" x14ac:dyDescent="0.25">
      <c r="A306" s="164" t="s">
        <v>80</v>
      </c>
      <c r="B306" s="165"/>
      <c r="C306" s="165"/>
      <c r="D306" s="165"/>
      <c r="E306" s="165"/>
      <c r="F306" s="165"/>
      <c r="G306" s="165"/>
      <c r="H306" s="166"/>
    </row>
    <row r="307" spans="1:8" x14ac:dyDescent="0.25">
      <c r="A307" s="167"/>
      <c r="B307" s="168"/>
      <c r="C307" s="168"/>
      <c r="D307" s="168"/>
      <c r="E307" s="168"/>
      <c r="F307" s="168"/>
      <c r="G307" s="168"/>
      <c r="H307" s="169"/>
    </row>
    <row r="308" spans="1:8" x14ac:dyDescent="0.25">
      <c r="A308" s="167"/>
      <c r="B308" s="168"/>
      <c r="C308" s="168"/>
      <c r="D308" s="168"/>
      <c r="E308" s="168"/>
      <c r="F308" s="168"/>
      <c r="G308" s="168"/>
      <c r="H308" s="169"/>
    </row>
    <row r="309" spans="1:8" hidden="1" x14ac:dyDescent="0.25">
      <c r="A309" s="170"/>
      <c r="B309" s="171"/>
      <c r="C309" s="171"/>
      <c r="D309" s="171"/>
      <c r="E309" s="171"/>
      <c r="F309" s="171"/>
      <c r="G309" s="171"/>
      <c r="H309" s="172"/>
    </row>
    <row r="310" spans="1:8" x14ac:dyDescent="0.25">
      <c r="A310" s="38" t="s">
        <v>66</v>
      </c>
      <c r="B310" s="39"/>
      <c r="C310" s="39"/>
      <c r="D310" s="38" t="str">
        <f>E8</f>
        <v>Runwal Bliss Wing G &amp; H</v>
      </c>
      <c r="F310" s="39"/>
      <c r="G310" s="39"/>
      <c r="H310" s="39"/>
    </row>
    <row r="311" spans="1:8" x14ac:dyDescent="0.25">
      <c r="A311" s="39"/>
      <c r="B311" s="39"/>
      <c r="C311" s="39"/>
      <c r="D311" s="39"/>
      <c r="E311" s="39"/>
      <c r="F311" s="39"/>
      <c r="G311" s="39"/>
      <c r="H311" s="39"/>
    </row>
    <row r="312" spans="1:8" x14ac:dyDescent="0.25">
      <c r="A312" s="39"/>
      <c r="B312" s="39"/>
      <c r="C312" s="39"/>
      <c r="D312" s="39"/>
      <c r="E312" s="39"/>
      <c r="F312" s="39"/>
      <c r="G312" s="39"/>
      <c r="H312" s="39"/>
    </row>
    <row r="313" spans="1:8" x14ac:dyDescent="0.25">
      <c r="E313"/>
    </row>
    <row r="314" spans="1:8" ht="15" customHeight="1" x14ac:dyDescent="0.25"/>
    <row r="352" spans="1:1" x14ac:dyDescent="0.25">
      <c r="A352" s="41" t="s">
        <v>160</v>
      </c>
    </row>
    <row r="394" spans="1:1" x14ac:dyDescent="0.25">
      <c r="A394" s="41" t="s">
        <v>67</v>
      </c>
    </row>
  </sheetData>
  <mergeCells count="531">
    <mergeCell ref="C81:H81"/>
    <mergeCell ref="A82:B82"/>
    <mergeCell ref="E82:F82"/>
    <mergeCell ref="G82:H82"/>
    <mergeCell ref="A83:B83"/>
    <mergeCell ref="E83:F92"/>
    <mergeCell ref="G83:H92"/>
    <mergeCell ref="A84:B84"/>
    <mergeCell ref="A85:B85"/>
    <mergeCell ref="A86:B86"/>
    <mergeCell ref="A87:B87"/>
    <mergeCell ref="A88:B88"/>
    <mergeCell ref="A89:B89"/>
    <mergeCell ref="A90:B90"/>
    <mergeCell ref="A91:B91"/>
    <mergeCell ref="A92:B92"/>
    <mergeCell ref="A157:B157"/>
    <mergeCell ref="A163:B163"/>
    <mergeCell ref="A276:B276"/>
    <mergeCell ref="A277:B277"/>
    <mergeCell ref="C275:F278"/>
    <mergeCell ref="A236:B236"/>
    <mergeCell ref="A237:B237"/>
    <mergeCell ref="A238:B238"/>
    <mergeCell ref="C233:F234"/>
    <mergeCell ref="A258:B258"/>
    <mergeCell ref="A259:B259"/>
    <mergeCell ref="A239:H239"/>
    <mergeCell ref="A240:H240"/>
    <mergeCell ref="A241:B241"/>
    <mergeCell ref="G241:H248"/>
    <mergeCell ref="A250:B250"/>
    <mergeCell ref="G250:H259"/>
    <mergeCell ref="A251:B251"/>
    <mergeCell ref="A252:B252"/>
    <mergeCell ref="A253:B253"/>
    <mergeCell ref="A254:B254"/>
    <mergeCell ref="A255:B255"/>
    <mergeCell ref="A256:B256"/>
    <mergeCell ref="A257:B257"/>
    <mergeCell ref="A57:C57"/>
    <mergeCell ref="D57:H57"/>
    <mergeCell ref="C49:E49"/>
    <mergeCell ref="A52:B52"/>
    <mergeCell ref="C52:E52"/>
    <mergeCell ref="A49:B49"/>
    <mergeCell ref="A53:H53"/>
    <mergeCell ref="A55:C55"/>
    <mergeCell ref="D55:H55"/>
    <mergeCell ref="G52:H52"/>
    <mergeCell ref="E41:H41"/>
    <mergeCell ref="A41:D41"/>
    <mergeCell ref="A48:B48"/>
    <mergeCell ref="C48:E48"/>
    <mergeCell ref="C51:E51"/>
    <mergeCell ref="G51:H51"/>
    <mergeCell ref="G48:H48"/>
    <mergeCell ref="G50:H50"/>
    <mergeCell ref="D54:H54"/>
    <mergeCell ref="C50:E50"/>
    <mergeCell ref="A221:B221"/>
    <mergeCell ref="A218:B218"/>
    <mergeCell ref="E106:F106"/>
    <mergeCell ref="A227:B227"/>
    <mergeCell ref="F102:H102"/>
    <mergeCell ref="G218:H227"/>
    <mergeCell ref="G209:H216"/>
    <mergeCell ref="A114:B114"/>
    <mergeCell ref="C114:D114"/>
    <mergeCell ref="E114:F114"/>
    <mergeCell ref="G114:H114"/>
    <mergeCell ref="A223:B223"/>
    <mergeCell ref="A224:B224"/>
    <mergeCell ref="A225:B225"/>
    <mergeCell ref="A226:B226"/>
    <mergeCell ref="C111:D111"/>
    <mergeCell ref="E111:F111"/>
    <mergeCell ref="A121:H121"/>
    <mergeCell ref="E117:E118"/>
    <mergeCell ref="G117:H118"/>
    <mergeCell ref="A113:B113"/>
    <mergeCell ref="E113:F113"/>
    <mergeCell ref="A212:B212"/>
    <mergeCell ref="A125:B125"/>
    <mergeCell ref="A209:B209"/>
    <mergeCell ref="A110:B110"/>
    <mergeCell ref="D205:D206"/>
    <mergeCell ref="E205:E206"/>
    <mergeCell ref="G205:H206"/>
    <mergeCell ref="A74:B74"/>
    <mergeCell ref="F94:H94"/>
    <mergeCell ref="C106:D106"/>
    <mergeCell ref="A219:B219"/>
    <mergeCell ref="A116:H116"/>
    <mergeCell ref="G106:H106"/>
    <mergeCell ref="B117:B118"/>
    <mergeCell ref="A117:A118"/>
    <mergeCell ref="C205:C206"/>
    <mergeCell ref="C113:D113"/>
    <mergeCell ref="A207:H207"/>
    <mergeCell ref="A119:H119"/>
    <mergeCell ref="A120:H120"/>
    <mergeCell ref="A127:B127"/>
    <mergeCell ref="A124:B124"/>
    <mergeCell ref="A155:B155"/>
    <mergeCell ref="A161:B161"/>
    <mergeCell ref="A151:B151"/>
    <mergeCell ref="A136:B136"/>
    <mergeCell ref="F101:H101"/>
    <mergeCell ref="D62:H62"/>
    <mergeCell ref="A63:C63"/>
    <mergeCell ref="D63:H63"/>
    <mergeCell ref="A69:B69"/>
    <mergeCell ref="G68:H68"/>
    <mergeCell ref="E69:F78"/>
    <mergeCell ref="G69:H78"/>
    <mergeCell ref="A77:B77"/>
    <mergeCell ref="A78:B78"/>
    <mergeCell ref="A97:E97"/>
    <mergeCell ref="A76:B76"/>
    <mergeCell ref="F100:H100"/>
    <mergeCell ref="A94:E94"/>
    <mergeCell ref="A93:E93"/>
    <mergeCell ref="F97:H97"/>
    <mergeCell ref="A98:E98"/>
    <mergeCell ref="A95:E95"/>
    <mergeCell ref="F95:H95"/>
    <mergeCell ref="A96:E96"/>
    <mergeCell ref="F96:H96"/>
    <mergeCell ref="A79:B79"/>
    <mergeCell ref="C79:H79"/>
    <mergeCell ref="A81:B81"/>
    <mergeCell ref="A54:C54"/>
    <mergeCell ref="F93:H93"/>
    <mergeCell ref="F98:H98"/>
    <mergeCell ref="A99:E99"/>
    <mergeCell ref="F99:H99"/>
    <mergeCell ref="A100:E100"/>
    <mergeCell ref="A101:E101"/>
    <mergeCell ref="B283:H283"/>
    <mergeCell ref="B284:H284"/>
    <mergeCell ref="A217:H217"/>
    <mergeCell ref="D117:D118"/>
    <mergeCell ref="A122:B122"/>
    <mergeCell ref="A123:B123"/>
    <mergeCell ref="A214:B214"/>
    <mergeCell ref="A215:B215"/>
    <mergeCell ref="A216:B216"/>
    <mergeCell ref="C209:F210"/>
    <mergeCell ref="A229:B229"/>
    <mergeCell ref="G229:H238"/>
    <mergeCell ref="A230:B230"/>
    <mergeCell ref="A231:B231"/>
    <mergeCell ref="A232:B232"/>
    <mergeCell ref="A233:B233"/>
    <mergeCell ref="A234:B234"/>
    <mergeCell ref="A228:H228"/>
    <mergeCell ref="A306:H309"/>
    <mergeCell ref="A305:B305"/>
    <mergeCell ref="E305:F305"/>
    <mergeCell ref="C305:D305"/>
    <mergeCell ref="G305:H305"/>
    <mergeCell ref="A304:H304"/>
    <mergeCell ref="A302:H302"/>
    <mergeCell ref="A260:H260"/>
    <mergeCell ref="A261:B261"/>
    <mergeCell ref="G261:H270"/>
    <mergeCell ref="A262:B262"/>
    <mergeCell ref="A263:B263"/>
    <mergeCell ref="A264:B264"/>
    <mergeCell ref="A265:B265"/>
    <mergeCell ref="C265:F266"/>
    <mergeCell ref="A266:B266"/>
    <mergeCell ref="A267:B267"/>
    <mergeCell ref="A268:B268"/>
    <mergeCell ref="A269:B269"/>
    <mergeCell ref="A303:H303"/>
    <mergeCell ref="A300:H300"/>
    <mergeCell ref="A235:B235"/>
    <mergeCell ref="C241:F244"/>
    <mergeCell ref="A105:H105"/>
    <mergeCell ref="A103:E103"/>
    <mergeCell ref="F103:H103"/>
    <mergeCell ref="A104:E104"/>
    <mergeCell ref="F104:H104"/>
    <mergeCell ref="A208:H208"/>
    <mergeCell ref="A111:B111"/>
    <mergeCell ref="A220:B220"/>
    <mergeCell ref="A301:H301"/>
    <mergeCell ref="A109:H109"/>
    <mergeCell ref="A298:H298"/>
    <mergeCell ref="G110:H110"/>
    <mergeCell ref="A222:B222"/>
    <mergeCell ref="B286:H286"/>
    <mergeCell ref="B287:H287"/>
    <mergeCell ref="A282:H282"/>
    <mergeCell ref="A299:H299"/>
    <mergeCell ref="A115:H115"/>
    <mergeCell ref="A156:B156"/>
    <mergeCell ref="A106:B106"/>
    <mergeCell ref="A107:B107"/>
    <mergeCell ref="C110:D110"/>
    <mergeCell ref="A203:B203"/>
    <mergeCell ref="B295:H295"/>
    <mergeCell ref="A45:D45"/>
    <mergeCell ref="A46:H46"/>
    <mergeCell ref="D56:H56"/>
    <mergeCell ref="A56:C56"/>
    <mergeCell ref="G49:H49"/>
    <mergeCell ref="A50:B51"/>
    <mergeCell ref="A75:B75"/>
    <mergeCell ref="A68:B68"/>
    <mergeCell ref="A71:B71"/>
    <mergeCell ref="A67:B67"/>
    <mergeCell ref="A65:B65"/>
    <mergeCell ref="C65:H65"/>
    <mergeCell ref="A73:B73"/>
    <mergeCell ref="A60:C60"/>
    <mergeCell ref="D60:H60"/>
    <mergeCell ref="C67:H67"/>
    <mergeCell ref="A70:B70"/>
    <mergeCell ref="A72:B72"/>
    <mergeCell ref="E68:F68"/>
    <mergeCell ref="A61:C61"/>
    <mergeCell ref="D61:H61"/>
    <mergeCell ref="A64:C64"/>
    <mergeCell ref="D64:H64"/>
    <mergeCell ref="A62:C62"/>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F33:H33"/>
    <mergeCell ref="F32:H32"/>
    <mergeCell ref="E12:H12"/>
    <mergeCell ref="A13:D13"/>
    <mergeCell ref="A10:D10"/>
    <mergeCell ref="E10:H10"/>
    <mergeCell ref="A21:D22"/>
    <mergeCell ref="E21:H22"/>
    <mergeCell ref="E13:H13"/>
    <mergeCell ref="A14:B14"/>
    <mergeCell ref="C14:H14"/>
    <mergeCell ref="C15:H15"/>
    <mergeCell ref="A16:B16"/>
    <mergeCell ref="C16:H16"/>
    <mergeCell ref="A11:D11"/>
    <mergeCell ref="E11:H11"/>
    <mergeCell ref="A15:B15"/>
    <mergeCell ref="A12:D12"/>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36:H36"/>
    <mergeCell ref="A35:B35"/>
    <mergeCell ref="C35:E35"/>
    <mergeCell ref="A40:D40"/>
    <mergeCell ref="E40:H40"/>
    <mergeCell ref="A39:H39"/>
    <mergeCell ref="A58:C58"/>
    <mergeCell ref="A59:C59"/>
    <mergeCell ref="D58:H58"/>
    <mergeCell ref="D59:H59"/>
    <mergeCell ref="A42:D42"/>
    <mergeCell ref="E42:H42"/>
    <mergeCell ref="E43:H43"/>
    <mergeCell ref="E44:H44"/>
    <mergeCell ref="E45:H45"/>
    <mergeCell ref="A43:D43"/>
    <mergeCell ref="F35:H35"/>
    <mergeCell ref="A37:B37"/>
    <mergeCell ref="C37:H37"/>
    <mergeCell ref="A44:D44"/>
    <mergeCell ref="A38:B38"/>
    <mergeCell ref="C38:H38"/>
    <mergeCell ref="A47:B47"/>
    <mergeCell ref="C47:H47"/>
    <mergeCell ref="A102:E102"/>
    <mergeCell ref="E110:F110"/>
    <mergeCell ref="G111:H111"/>
    <mergeCell ref="A213:B213"/>
    <mergeCell ref="A210:B210"/>
    <mergeCell ref="A211:B211"/>
    <mergeCell ref="G113:H113"/>
    <mergeCell ref="C107:D107"/>
    <mergeCell ref="E107:F107"/>
    <mergeCell ref="G107:H107"/>
    <mergeCell ref="A108:B108"/>
    <mergeCell ref="C108:D108"/>
    <mergeCell ref="E108:F108"/>
    <mergeCell ref="G108:H108"/>
    <mergeCell ref="A112:B112"/>
    <mergeCell ref="C112:D112"/>
    <mergeCell ref="E112:F112"/>
    <mergeCell ref="G112:H112"/>
    <mergeCell ref="C117:C118"/>
    <mergeCell ref="B205:B206"/>
    <mergeCell ref="A126:B126"/>
    <mergeCell ref="A145:H145"/>
    <mergeCell ref="A179:B179"/>
    <mergeCell ref="A185:B185"/>
    <mergeCell ref="L209:M209"/>
    <mergeCell ref="A204:H204"/>
    <mergeCell ref="A205:A206"/>
    <mergeCell ref="L204:M204"/>
    <mergeCell ref="L126:M126"/>
    <mergeCell ref="L125:M125"/>
    <mergeCell ref="A142:B142"/>
    <mergeCell ref="L142:M142"/>
    <mergeCell ref="A143:B143"/>
    <mergeCell ref="L143:M143"/>
    <mergeCell ref="A144:B144"/>
    <mergeCell ref="L144:M144"/>
    <mergeCell ref="L137:M137"/>
    <mergeCell ref="A132:B132"/>
    <mergeCell ref="L132:M132"/>
    <mergeCell ref="A133:B133"/>
    <mergeCell ref="A149:B149"/>
    <mergeCell ref="L149:M149"/>
    <mergeCell ref="A150:B150"/>
    <mergeCell ref="L141:M141"/>
    <mergeCell ref="A139:B139"/>
    <mergeCell ref="L139:M139"/>
    <mergeCell ref="A135:B135"/>
    <mergeCell ref="L150:M150"/>
    <mergeCell ref="L123:M123"/>
    <mergeCell ref="L133:M133"/>
    <mergeCell ref="A134:B134"/>
    <mergeCell ref="L134:M134"/>
    <mergeCell ref="A129:B129"/>
    <mergeCell ref="L129:M129"/>
    <mergeCell ref="A130:B130"/>
    <mergeCell ref="L130:M130"/>
    <mergeCell ref="A131:B131"/>
    <mergeCell ref="L131:M131"/>
    <mergeCell ref="G122:H144"/>
    <mergeCell ref="A138:B138"/>
    <mergeCell ref="L138:M138"/>
    <mergeCell ref="A140:B140"/>
    <mergeCell ref="L140:M140"/>
    <mergeCell ref="A141:B141"/>
    <mergeCell ref="L135:M135"/>
    <mergeCell ref="L136:M136"/>
    <mergeCell ref="A137:B137"/>
    <mergeCell ref="L127:M127"/>
    <mergeCell ref="A128:B128"/>
    <mergeCell ref="L128:M128"/>
    <mergeCell ref="L124:M124"/>
    <mergeCell ref="L151:M151"/>
    <mergeCell ref="A146:B146"/>
    <mergeCell ref="A147:B147"/>
    <mergeCell ref="L147:M147"/>
    <mergeCell ref="A148:B148"/>
    <mergeCell ref="L148:M148"/>
    <mergeCell ref="A162:B162"/>
    <mergeCell ref="L162:M162"/>
    <mergeCell ref="A158:B158"/>
    <mergeCell ref="L158:M158"/>
    <mergeCell ref="A159:B159"/>
    <mergeCell ref="L159:M159"/>
    <mergeCell ref="A160:B160"/>
    <mergeCell ref="L160:M160"/>
    <mergeCell ref="L157:M157"/>
    <mergeCell ref="A152:B152"/>
    <mergeCell ref="L152:M152"/>
    <mergeCell ref="A153:B153"/>
    <mergeCell ref="L153:M153"/>
    <mergeCell ref="A154:B154"/>
    <mergeCell ref="L154:M154"/>
    <mergeCell ref="L161:M161"/>
    <mergeCell ref="L155:M155"/>
    <mergeCell ref="L156:M156"/>
    <mergeCell ref="L163:M163"/>
    <mergeCell ref="A168:B168"/>
    <mergeCell ref="L168:M168"/>
    <mergeCell ref="A164:B164"/>
    <mergeCell ref="L164:M164"/>
    <mergeCell ref="A165:B165"/>
    <mergeCell ref="L165:M165"/>
    <mergeCell ref="A166:B166"/>
    <mergeCell ref="L166:M166"/>
    <mergeCell ref="A186:B186"/>
    <mergeCell ref="L186:M186"/>
    <mergeCell ref="A187:B187"/>
    <mergeCell ref="L187:M187"/>
    <mergeCell ref="A182:B182"/>
    <mergeCell ref="L182:M182"/>
    <mergeCell ref="A183:B183"/>
    <mergeCell ref="L183:M183"/>
    <mergeCell ref="A184:B184"/>
    <mergeCell ref="L184:M184"/>
    <mergeCell ref="A170:B170"/>
    <mergeCell ref="L170:M170"/>
    <mergeCell ref="A171:B171"/>
    <mergeCell ref="L171:M171"/>
    <mergeCell ref="A172:B172"/>
    <mergeCell ref="L172:M172"/>
    <mergeCell ref="A167:B167"/>
    <mergeCell ref="A169:B169"/>
    <mergeCell ref="L185:M185"/>
    <mergeCell ref="L167:M167"/>
    <mergeCell ref="L169:M169"/>
    <mergeCell ref="A193:B193"/>
    <mergeCell ref="L193:M193"/>
    <mergeCell ref="A188:B188"/>
    <mergeCell ref="L188:M188"/>
    <mergeCell ref="A189:B189"/>
    <mergeCell ref="L189:M189"/>
    <mergeCell ref="A190:B190"/>
    <mergeCell ref="L190:M190"/>
    <mergeCell ref="L179:M179"/>
    <mergeCell ref="A180:H180"/>
    <mergeCell ref="A181:B181"/>
    <mergeCell ref="G146:H179"/>
    <mergeCell ref="A176:B176"/>
    <mergeCell ref="L176:M176"/>
    <mergeCell ref="A177:B177"/>
    <mergeCell ref="L177:M177"/>
    <mergeCell ref="A178:B178"/>
    <mergeCell ref="L178:M178"/>
    <mergeCell ref="A173:B173"/>
    <mergeCell ref="L173:M173"/>
    <mergeCell ref="A174:B174"/>
    <mergeCell ref="L174:M174"/>
    <mergeCell ref="A175:B175"/>
    <mergeCell ref="L175:M175"/>
    <mergeCell ref="L203:M203"/>
    <mergeCell ref="G181:H203"/>
    <mergeCell ref="A200:B200"/>
    <mergeCell ref="L200:M200"/>
    <mergeCell ref="A201:B201"/>
    <mergeCell ref="L201:M201"/>
    <mergeCell ref="A202:B202"/>
    <mergeCell ref="L202:M202"/>
    <mergeCell ref="A197:B197"/>
    <mergeCell ref="L197:M197"/>
    <mergeCell ref="A198:B198"/>
    <mergeCell ref="L198:M198"/>
    <mergeCell ref="A199:B199"/>
    <mergeCell ref="L199:M199"/>
    <mergeCell ref="A194:B194"/>
    <mergeCell ref="L194:M194"/>
    <mergeCell ref="A195:B195"/>
    <mergeCell ref="L195:M195"/>
    <mergeCell ref="A196:B196"/>
    <mergeCell ref="L196:M196"/>
    <mergeCell ref="A191:B191"/>
    <mergeCell ref="L191:M191"/>
    <mergeCell ref="A192:B192"/>
    <mergeCell ref="L192:M192"/>
    <mergeCell ref="L241:M241"/>
    <mergeCell ref="A242:B242"/>
    <mergeCell ref="A243:B243"/>
    <mergeCell ref="A244:B244"/>
    <mergeCell ref="A245:B245"/>
    <mergeCell ref="A246:B246"/>
    <mergeCell ref="A247:B247"/>
    <mergeCell ref="A248:B248"/>
    <mergeCell ref="A249:H249"/>
    <mergeCell ref="B297:H297"/>
    <mergeCell ref="A270:B270"/>
    <mergeCell ref="B291:H291"/>
    <mergeCell ref="B289:H289"/>
    <mergeCell ref="B285:H285"/>
    <mergeCell ref="B290:H290"/>
    <mergeCell ref="B288:H288"/>
    <mergeCell ref="B292:H292"/>
    <mergeCell ref="A278:B278"/>
    <mergeCell ref="A279:B279"/>
    <mergeCell ref="A280:B280"/>
    <mergeCell ref="A281:B281"/>
    <mergeCell ref="A271:H271"/>
    <mergeCell ref="A272:B272"/>
    <mergeCell ref="G272:H281"/>
    <mergeCell ref="A273:B273"/>
    <mergeCell ref="B293:H293"/>
    <mergeCell ref="B294:H294"/>
    <mergeCell ref="B296:H296"/>
    <mergeCell ref="A274:B274"/>
    <mergeCell ref="A275:B275"/>
  </mergeCells>
  <dataValidations count="8">
    <dataValidation type="list" allowBlank="1" showInputMessage="1" showErrorMessage="1" sqref="E4:H4" xr:uid="{00000000-0002-0000-0000-000000000000}">
      <formula1>"Axis Goregaon,Axis Thane,Axis Badlapur,Axis Sanpada, PNB Thane"</formula1>
    </dataValidation>
    <dataValidation type="list" allowBlank="1" showInputMessage="1" showErrorMessage="1" sqref="A15:B15" xr:uid="{00000000-0002-0000-0000-000001000000}">
      <formula1>"CTS No.,Survey No.,Plot No.,Gut No.,FP No.,"</formula1>
    </dataValidation>
    <dataValidation type="list" allowBlank="1" showInputMessage="1" showErrorMessage="1" sqref="G18:H18" xr:uid="{00000000-0002-0000-0000-000002000000}">
      <formula1>"Mumbai,Thane,Palghar,Raigad,Pune"</formula1>
    </dataValidation>
    <dataValidation type="list" allowBlank="1" showInputMessage="1" showErrorMessage="1" sqref="E117:E118" xr:uid="{00000000-0002-0000-0000-000003000000}">
      <formula1>"Attached Loft area,Attached Terrace area,Attached Mezzanine area"</formula1>
    </dataValidation>
    <dataValidation type="list" allowBlank="1" showInputMessage="1" showErrorMessage="1" sqref="F118 F206" xr:uid="{00000000-0002-0000-0000-000004000000}">
      <formula1>"45%,50%,55%,60%"</formula1>
    </dataValidation>
    <dataValidation type="list" allowBlank="1" showInputMessage="1" showErrorMessage="1" sqref="G305:H305" xr:uid="{00000000-0002-0000-0000-000005000000}">
      <formula1>"Gaurav Panchal,Kunal Kadam,Shruti Tathare,Shruti Fule,Pooja Kawale,Mansee Mohite,Anjali Kamble, Hitakshi Mhatre, Sachin Sawant"</formula1>
    </dataValidation>
    <dataValidation type="list" allowBlank="1" showInputMessage="1" showErrorMessage="1" sqref="F93:H93" xr:uid="{00000000-0002-0000-0000-000006000000}">
      <formula1>"On Saleable Area,On Builtup Area,On Carpet Area,On Plot Area"</formula1>
    </dataValidation>
    <dataValidation type="list" allowBlank="1" showInputMessage="1" showErrorMessage="1" sqref="F103:H103" xr:uid="{00000000-0002-0000-0000-000007000000}">
      <formula1>"100000,150000,200000,250000,300000,350000,400000,500000,600000,700000,800000,900000,1000000,1200000,1400000,1500000"</formula1>
    </dataValidation>
  </dataValidations>
  <hyperlinks>
    <hyperlink ref="C38"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30" max="16383" man="1"/>
    <brk id="92" max="16383" man="1"/>
    <brk id="309" max="16383" man="1"/>
    <brk id="351" max="16383" man="1"/>
    <brk id="39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1" t="s">
        <v>103</v>
      </c>
      <c r="C3" s="221"/>
      <c r="D3" s="221"/>
      <c r="E3" s="221"/>
      <c r="F3" s="221"/>
      <c r="G3" s="221"/>
      <c r="H3" s="221"/>
    </row>
    <row r="4" spans="1:9" x14ac:dyDescent="0.25">
      <c r="A4" s="2"/>
      <c r="B4" s="3" t="s">
        <v>104</v>
      </c>
      <c r="C4" s="3" t="s">
        <v>105</v>
      </c>
      <c r="D4" s="3" t="s">
        <v>69</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2025-09-12T13:01:25Z</cp:lastPrinted>
  <dcterms:created xsi:type="dcterms:W3CDTF">2019-07-16T09:29:46Z</dcterms:created>
  <dcterms:modified xsi:type="dcterms:W3CDTF">2025-09-12T13:04:52Z</dcterms:modified>
</cp:coreProperties>
</file>