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3215E2B2-A997-49FE-9EAF-A583B6BA1DC8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I60" i="1"/>
  <c r="J130" i="1" l="1"/>
  <c r="K130" i="1" s="1"/>
  <c r="L130" i="1" s="1"/>
  <c r="D171" i="1"/>
  <c r="D168" i="1"/>
  <c r="D172" i="1"/>
  <c r="D170" i="1"/>
  <c r="D169" i="1"/>
  <c r="D167" i="1"/>
  <c r="B183" i="1" l="1"/>
  <c r="B182" i="1"/>
  <c r="D165" i="1" l="1"/>
  <c r="D163" i="1"/>
  <c r="D162" i="1"/>
  <c r="D161" i="1"/>
  <c r="D160" i="1"/>
  <c r="D158" i="1"/>
  <c r="D157" i="1"/>
  <c r="D156" i="1"/>
  <c r="D155" i="1"/>
  <c r="D154" i="1"/>
  <c r="D153" i="1"/>
  <c r="D151" i="1"/>
  <c r="D149" i="1"/>
  <c r="D148" i="1"/>
  <c r="D147" i="1"/>
  <c r="D146" i="1"/>
  <c r="D144" i="1"/>
  <c r="D143" i="1"/>
  <c r="D142" i="1"/>
  <c r="D141" i="1"/>
  <c r="D133" i="1"/>
  <c r="D140" i="1"/>
  <c r="D139" i="1"/>
  <c r="D132" i="1"/>
  <c r="D134" i="1"/>
  <c r="D129" i="1"/>
  <c r="D130" i="1"/>
  <c r="D123" i="1"/>
  <c r="D122" i="1"/>
  <c r="D121" i="1"/>
  <c r="D112" i="1"/>
  <c r="D111" i="1"/>
  <c r="D110" i="1"/>
  <c r="D109" i="1"/>
  <c r="D118" i="1"/>
  <c r="D117" i="1"/>
  <c r="D116" i="1"/>
  <c r="D115" i="1"/>
  <c r="D114" i="1"/>
  <c r="D113" i="1"/>
  <c r="O161" i="1"/>
  <c r="P161" i="1"/>
  <c r="P147" i="1"/>
  <c r="O147" i="1"/>
  <c r="E96" i="1" l="1"/>
  <c r="E95" i="1"/>
  <c r="E97" i="1" s="1"/>
  <c r="E40" i="1"/>
  <c r="E41" i="1" s="1"/>
  <c r="D128" i="1" l="1"/>
  <c r="C100" i="1" l="1"/>
  <c r="E100" i="1"/>
  <c r="E101" i="1" s="1"/>
  <c r="G128" i="1"/>
  <c r="A175" i="1" l="1"/>
  <c r="A176" i="1" s="1"/>
  <c r="A177" i="1" s="1"/>
  <c r="A178" i="1" s="1"/>
  <c r="A179" i="1" s="1"/>
  <c r="G174" i="1"/>
  <c r="E171" i="1"/>
  <c r="F171" i="1"/>
  <c r="E172" i="1"/>
  <c r="F172" i="1" s="1"/>
  <c r="E170" i="1"/>
  <c r="F170" i="1" s="1"/>
  <c r="E169" i="1"/>
  <c r="F169" i="1" s="1"/>
  <c r="E168" i="1"/>
  <c r="F168" i="1" s="1"/>
  <c r="E167" i="1"/>
  <c r="A168" i="1"/>
  <c r="A169" i="1" s="1"/>
  <c r="A170" i="1" s="1"/>
  <c r="A171" i="1" s="1"/>
  <c r="A172" i="1" s="1"/>
  <c r="G167" i="1"/>
  <c r="F167" i="1"/>
  <c r="E165" i="1"/>
  <c r="F165" i="1" s="1"/>
  <c r="E163" i="1"/>
  <c r="F163" i="1" s="1"/>
  <c r="E162" i="1"/>
  <c r="F162" i="1" s="1"/>
  <c r="E161" i="1"/>
  <c r="F161" i="1" s="1"/>
  <c r="G160" i="1"/>
  <c r="E160" i="1"/>
  <c r="F160" i="1" s="1"/>
  <c r="E158" i="1"/>
  <c r="F158" i="1" s="1"/>
  <c r="E157" i="1"/>
  <c r="E156" i="1"/>
  <c r="E155" i="1"/>
  <c r="E154" i="1"/>
  <c r="A154" i="1"/>
  <c r="A155" i="1" s="1"/>
  <c r="A156" i="1" s="1"/>
  <c r="A157" i="1" s="1"/>
  <c r="A158" i="1" s="1"/>
  <c r="G153" i="1"/>
  <c r="E153" i="1"/>
  <c r="E151" i="1"/>
  <c r="E149" i="1"/>
  <c r="E148" i="1"/>
  <c r="E147" i="1"/>
  <c r="E146" i="1"/>
  <c r="E144" i="1"/>
  <c r="E142" i="1"/>
  <c r="E141" i="1"/>
  <c r="E139" i="1"/>
  <c r="E143" i="1"/>
  <c r="E140" i="1"/>
  <c r="E134" i="1"/>
  <c r="E133" i="1"/>
  <c r="F133" i="1" s="1"/>
  <c r="A133" i="1"/>
  <c r="A134" i="1" s="1"/>
  <c r="E132" i="1"/>
  <c r="F132" i="1" s="1"/>
  <c r="A136" i="1"/>
  <c r="A137" i="1" s="1"/>
  <c r="G132" i="1"/>
  <c r="E130" i="1"/>
  <c r="F130" i="1" s="1"/>
  <c r="E129" i="1"/>
  <c r="F129" i="1" s="1"/>
  <c r="E128" i="1"/>
  <c r="F123" i="1"/>
  <c r="A129" i="1"/>
  <c r="A130" i="1" s="1"/>
  <c r="I55" i="1"/>
  <c r="C95" i="1" l="1"/>
  <c r="C96" i="1"/>
  <c r="P162" i="1"/>
  <c r="P163" i="1" s="1"/>
  <c r="P164" i="1" s="1"/>
  <c r="P165" i="1" s="1"/>
  <c r="O162" i="1"/>
  <c r="N161" i="1"/>
  <c r="F128" i="1"/>
  <c r="F134" i="1"/>
  <c r="F153" i="1"/>
  <c r="F154" i="1"/>
  <c r="F155" i="1"/>
  <c r="F156" i="1"/>
  <c r="F157" i="1"/>
  <c r="F151" i="1"/>
  <c r="F149" i="1"/>
  <c r="F148" i="1"/>
  <c r="F147" i="1"/>
  <c r="F146" i="1"/>
  <c r="I126" i="1"/>
  <c r="G146" i="1"/>
  <c r="G139" i="1"/>
  <c r="F122" i="1"/>
  <c r="G121" i="1"/>
  <c r="A122" i="1"/>
  <c r="A123" i="1" s="1"/>
  <c r="F121" i="1"/>
  <c r="B251" i="1"/>
  <c r="G96" i="1" l="1"/>
  <c r="C97" i="1"/>
  <c r="C101" i="1" s="1"/>
  <c r="O163" i="1"/>
  <c r="N162" i="1"/>
  <c r="F116" i="1"/>
  <c r="F118" i="1"/>
  <c r="F117" i="1"/>
  <c r="O164" i="1" l="1"/>
  <c r="N163" i="1"/>
  <c r="E3" i="1"/>
  <c r="N164" i="1" l="1"/>
  <c r="O165" i="1"/>
  <c r="N165" i="1" s="1"/>
  <c r="F144" i="1"/>
  <c r="F143" i="1"/>
  <c r="F142" i="1"/>
  <c r="F141" i="1"/>
  <c r="F140" i="1"/>
  <c r="F139" i="1"/>
  <c r="G100" i="1" s="1"/>
  <c r="F110" i="1"/>
  <c r="F111" i="1"/>
  <c r="F112" i="1"/>
  <c r="F113" i="1"/>
  <c r="F114" i="1"/>
  <c r="F115" i="1"/>
  <c r="F109" i="1"/>
  <c r="G95" i="1" l="1"/>
  <c r="G97" i="1"/>
  <c r="G101" i="1" l="1"/>
  <c r="G11" i="5"/>
  <c r="G10" i="5"/>
  <c r="F9" i="5"/>
  <c r="G9" i="5" s="1"/>
  <c r="F8" i="5"/>
  <c r="G8" i="5" s="1"/>
  <c r="F7" i="5"/>
  <c r="G7" i="5" s="1"/>
  <c r="F6" i="5"/>
  <c r="G6" i="5" s="1"/>
  <c r="F5" i="5"/>
  <c r="G5" i="5" s="1"/>
  <c r="G12" i="5" s="1"/>
  <c r="D209" i="1"/>
  <c r="A140" i="1"/>
  <c r="A141" i="1" s="1"/>
  <c r="A142" i="1" s="1"/>
  <c r="A143" i="1" s="1"/>
  <c r="A144" i="1" s="1"/>
  <c r="A110" i="1"/>
  <c r="A111" i="1" s="1"/>
  <c r="A112" i="1" s="1"/>
  <c r="A113" i="1" s="1"/>
  <c r="A117" i="1" s="1"/>
  <c r="A118" i="1" s="1"/>
  <c r="G109" i="1"/>
  <c r="F92" i="1"/>
  <c r="J77" i="1"/>
  <c r="J76" i="1"/>
  <c r="J75" i="1"/>
  <c r="C66" i="1"/>
  <c r="G46" i="1"/>
  <c r="G47" i="1" s="1"/>
  <c r="C46" i="1"/>
  <c r="E24" i="1"/>
  <c r="E22" i="1"/>
  <c r="C13" i="1"/>
  <c r="E7" i="1"/>
  <c r="H67" i="1"/>
  <c r="C72" i="1" l="1"/>
  <c r="C73" i="1" s="1"/>
  <c r="D73" i="1" s="1"/>
  <c r="J70" i="1"/>
  <c r="D79" i="1"/>
  <c r="D77" i="1"/>
  <c r="J71" i="1"/>
  <c r="C70" i="1" s="1"/>
  <c r="D70" i="1" s="1"/>
  <c r="J69" i="1"/>
  <c r="J72" i="1"/>
  <c r="J73" i="1" s="1"/>
  <c r="J78" i="1" s="1"/>
  <c r="D78" i="1"/>
  <c r="D76" i="1"/>
  <c r="N147" i="1"/>
  <c r="O148" i="1"/>
  <c r="P148" i="1"/>
  <c r="P149" i="1" s="1"/>
  <c r="P150" i="1" s="1"/>
  <c r="P151" i="1" s="1"/>
  <c r="J74" i="1" l="1"/>
  <c r="J79" i="1" s="1"/>
  <c r="C71" i="1" s="1"/>
  <c r="D72" i="1"/>
  <c r="D75" i="1"/>
  <c r="D74" i="1"/>
  <c r="N148" i="1"/>
  <c r="O149" i="1"/>
  <c r="D71" i="1" l="1"/>
  <c r="E70" i="1"/>
  <c r="I66" i="1" s="1"/>
  <c r="C68" i="1" s="1"/>
  <c r="G70" i="1"/>
  <c r="D64" i="1" s="1"/>
  <c r="F65" i="1" s="1"/>
  <c r="N149" i="1"/>
  <c r="O150" i="1"/>
  <c r="D65" i="1" l="1"/>
  <c r="N150" i="1"/>
  <c r="O151" i="1"/>
  <c r="N151" i="1" l="1"/>
</calcChain>
</file>

<file path=xl/sharedStrings.xml><?xml version="1.0" encoding="utf-8"?>
<sst xmlns="http://schemas.openxmlformats.org/spreadsheetml/2006/main" count="358" uniqueCount="256">
  <si>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</si>
  <si>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</si>
  <si>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</si>
  <si>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</si>
  <si>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</si>
  <si>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</si>
  <si>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</si>
  <si>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</si>
  <si>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</si>
  <si>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</si>
  <si>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</si>
  <si>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</si>
  <si>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</si>
  <si>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</si>
  <si>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</si>
  <si>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</si>
  <si>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</si>
  <si>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</si>
  <si>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</si>
  <si>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</si>
  <si>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</si>
  <si>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</si>
  <si>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</si>
  <si>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</si>
  <si>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</si>
  <si>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</si>
  <si>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</si>
  <si>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</si>
  <si>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</si>
  <si>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</si>
  <si>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</si>
  <si>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</si>
  <si>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</si>
  <si>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</si>
  <si>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</si>
  <si>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</si>
  <si>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</si>
  <si>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</si>
  <si>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</si>
  <si>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</si>
  <si>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</si>
  <si>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</si>
  <si>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</si>
  <si>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</si>
  <si>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</si>
  <si>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</si>
  <si>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</si>
  <si>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</si>
  <si>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</si>
  <si>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</si>
  <si>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</si>
  <si>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</si>
  <si>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</si>
  <si>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</si>
  <si>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</si>
  <si>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</si>
  <si>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</si>
  <si>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</si>
  <si>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</si>
  <si>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</si>
  <si>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</si>
  <si>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</si>
  <si>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</si>
  <si>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</si>
  <si>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</si>
  <si>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</si>
  <si>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</si>
  <si>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</si>
  <si>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</si>
  <si>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</si>
  <si>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</si>
  <si>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</si>
  <si>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</si>
  <si>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</si>
  <si>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</si>
  <si>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</si>
  <si>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</si>
  <si>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</si>
  <si>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</si>
  <si>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</si>
  <si>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</si>
  <si>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</si>
  <si>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</si>
  <si>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</si>
  <si>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</si>
  <si>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</si>
  <si>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</si>
  <si>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</si>
  <si>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</si>
  <si>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</si>
  <si>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</si>
  <si>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</si>
  <si>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</si>
  <si>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</si>
  <si>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</si>
  <si>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</si>
  <si>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</si>
  <si>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</si>
  <si>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</si>
  <si>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</si>
  <si>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</si>
  <si>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</si>
  <si>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</si>
  <si>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</si>
  <si>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</si>
  <si>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</si>
  <si>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</si>
  <si>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</si>
  <si>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</si>
  <si>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</si>
  <si>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</si>
  <si>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</si>
  <si>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</si>
  <si>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</si>
  <si>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</si>
  <si>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</si>
  <si>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</si>
  <si>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</si>
  <si>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</si>
  <si>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</si>
  <si>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</si>
  <si>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</si>
  <si>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</si>
  <si>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</si>
  <si>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</si>
  <si>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</si>
  <si>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</si>
  <si>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</si>
  <si>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</si>
  <si>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</si>
  <si>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</si>
  <si>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</si>
  <si>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</si>
  <si>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</si>
  <si>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</si>
  <si>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</si>
  <si>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</si>
  <si>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</si>
  <si>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</si>
  <si>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</si>
  <si>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</si>
  <si>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</si>
  <si>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</si>
  <si>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</si>
  <si>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</si>
  <si>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</si>
  <si>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</si>
  <si>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</si>
  <si>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</si>
  <si>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</si>
  <si>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</si>
  <si>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</si>
  <si>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</si>
  <si>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</si>
  <si>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</si>
  <si>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</si>
  <si>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</si>
  <si>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</si>
  <si>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</si>
  <si>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</si>
  <si>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>M/s.Sai Uma Construction Private Limited</t>
  </si>
  <si>
    <t>Survey No</t>
  </si>
  <si>
    <t>Kavesar</t>
  </si>
  <si>
    <t>Residential + Commercial</t>
  </si>
  <si>
    <t>Thane West</t>
  </si>
  <si>
    <t>8.9 KM from Thane Railway Station</t>
  </si>
  <si>
    <t>Thane</t>
  </si>
  <si>
    <t>Forest Avenue Road</t>
  </si>
  <si>
    <t>Flora CHS</t>
  </si>
  <si>
    <t>Open Plot</t>
  </si>
  <si>
    <t>Bhoomi Acres J Wing</t>
  </si>
  <si>
    <t>Radcliffe School Thane</t>
  </si>
  <si>
    <t xml:space="preserve">Manhattan Phase 2 - P51700013323
</t>
  </si>
  <si>
    <t xml:space="preserve">RERA Name &amp; No. </t>
  </si>
  <si>
    <t>2BHk</t>
  </si>
  <si>
    <t>3bhk</t>
  </si>
  <si>
    <t>5,00,000/-</t>
  </si>
  <si>
    <t>Other Charges</t>
  </si>
  <si>
    <t>Office</t>
  </si>
  <si>
    <t>Ajay Songare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</si>
  <si>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</si>
  <si>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Location Link</t>
  </si>
  <si>
    <t>https://goo.gl/maps/juUZ6hXGsNfQZFWr9?coh=178572&amp;entry=tt</t>
  </si>
  <si>
    <t>Vitrified tiles flooring, Kitchen Platform, Decorative Entrance, etc</t>
  </si>
  <si>
    <t>nikhil</t>
  </si>
  <si>
    <t>11200 to 12000</t>
  </si>
  <si>
    <t>60/- From 2nd Floor</t>
  </si>
  <si>
    <t>40 to 60</t>
  </si>
  <si>
    <t>6L to 7L</t>
  </si>
  <si>
    <t>7,00,000/-</t>
  </si>
  <si>
    <t>Latitude,Longitude</t>
  </si>
  <si>
    <t>19.258594,72.977459</t>
  </si>
  <si>
    <t xml:space="preserve">Layout : 
</t>
  </si>
  <si>
    <t>Building No.2 (Brooklyn)</t>
  </si>
  <si>
    <t>22A</t>
  </si>
  <si>
    <t>22B</t>
  </si>
  <si>
    <t>Shop</t>
  </si>
  <si>
    <t>3BHK</t>
  </si>
  <si>
    <t>2BHK</t>
  </si>
  <si>
    <t>4th, 8th, 13th, 18th &amp; 23rd Floor (Part Refuge Area)</t>
  </si>
  <si>
    <t>Refuge Area</t>
  </si>
  <si>
    <t>5) Gross carpet area =  Net Carpet area + Balcony area.</t>
  </si>
  <si>
    <t>As per layout</t>
  </si>
  <si>
    <t>40.0 Mtr Wide DP Road</t>
  </si>
  <si>
    <t>Fitness Center</t>
  </si>
  <si>
    <t>S. No. 132/2</t>
  </si>
  <si>
    <t>S. No. 128/1</t>
  </si>
  <si>
    <t>As per RERA - 31/12/2025</t>
  </si>
  <si>
    <t>Manhattan Phase 2</t>
  </si>
  <si>
    <t>2nd Podium Floor for Commericial &amp; Parking</t>
  </si>
  <si>
    <t>Upper Ground Floor For Entrance Lobby</t>
  </si>
  <si>
    <t>3rd Podium Floor for Duplex Residential, Society Office, Fitness Center</t>
  </si>
  <si>
    <t>1st Floor For Residential (Part Duplex Area)</t>
  </si>
  <si>
    <t>2nd to 3rd, 5th to 7th, 9th to 12th, 14th to 17th, 19th to 22nd Floor</t>
  </si>
  <si>
    <t>24th to 27th, 29th to 32nd &amp; 34th to 37th Floor</t>
  </si>
  <si>
    <t>28th, 33rd &amp; 38th Floor (Part Refuge Area)</t>
  </si>
  <si>
    <t>39th Floor</t>
  </si>
  <si>
    <t>40th Floor</t>
  </si>
  <si>
    <t>2nd &amp; 1st Basement for Parking</t>
  </si>
  <si>
    <t>4BHK Duplex with 1st Floor</t>
  </si>
  <si>
    <t>4BHK Duplex with 3rd Podium Floor</t>
  </si>
  <si>
    <t>3BHK Duplex with 40th Floor</t>
  </si>
  <si>
    <t>5BHK Duplex with 40th Floor</t>
  </si>
  <si>
    <t>3BHK Duplex with 39th Floor</t>
  </si>
  <si>
    <t>5BHK Duplex with 39th Floor</t>
  </si>
  <si>
    <t>S06/0228/15 TMC/TDD/08</t>
  </si>
  <si>
    <t>S06/0228/15 TMC/TD-DP/TPS/08</t>
  </si>
  <si>
    <t>Building No. 02 = LG + UG + 3P + 1st to 40th Floor</t>
  </si>
  <si>
    <t>Commencement Certificate No.
Valid Upto :</t>
  </si>
  <si>
    <t>Total</t>
  </si>
  <si>
    <t>Flats</t>
  </si>
  <si>
    <t>Grand Total</t>
  </si>
  <si>
    <t>Lower Ground Floor Duplex with 1st Podium Floor/Mezzanine Floor for Commercial &amp; Parking</t>
  </si>
  <si>
    <t>Building No. 02 (Brooklyn)</t>
  </si>
  <si>
    <t>We considered Gross carpet area = Net carpet + Balcony + E.P Area.</t>
  </si>
  <si>
    <t>*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</si>
  <si>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</si>
  <si>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</si>
  <si>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>Construction work is in process at the time of Visit (lnternal visit not allowed)</t>
  </si>
  <si>
    <t>The project has received first CC on 05/10/2019, But construction work is not yet completed.</t>
  </si>
  <si>
    <t>We have updated revised approved plans &amp; CC on 28/03/2025.</t>
  </si>
  <si>
    <t>Attached Deck/ Balcony area</t>
  </si>
  <si>
    <t>128/1, 128/2, 128/3, 129/1A, 129/1B, 129/2/1, 129/2/2, 129/2/3, 129/2/4, 129/2/5, 129/2/6, 129/2/7, 129/2/8, 129/2/9, 129/3, 129/4A, 130/1, 130/2, 132/1, 132/2, 131/1 &amp; 225/7</t>
  </si>
  <si>
    <t>Shop = 13, Office = 03, Flats = 226</t>
  </si>
  <si>
    <t>Approved area of building (Sq.Mt)
Building No. 02</t>
  </si>
  <si>
    <t>Fire Noc No.
Valid Upto :</t>
  </si>
  <si>
    <t>TMC/CFO/M/4134/288</t>
  </si>
  <si>
    <t>Building No. 02 = Gr/St + 3P + 1st to 23rd Floor (91.80 M Height)</t>
  </si>
  <si>
    <t>We have updated Fire Noc on 28/03/2025.</t>
  </si>
  <si>
    <t>Building No. 02(Brooklyn) = 2B + LG + UG + 3P + 1st to 40th Floor</t>
  </si>
  <si>
    <t>Environment Clearance
Certificate
Valid Upto :</t>
  </si>
  <si>
    <t>SEIAA-EC-0000000076</t>
  </si>
  <si>
    <t>Plot bearing S. No. 128, 129/1, 129/2(a), 129/3, 129/4, 130, 131/1, 132
Total BUA area (sq. m.): 92,519.59</t>
  </si>
  <si>
    <t>We have updated Environment Clearance Certificate on 28/03/2025.</t>
  </si>
  <si>
    <t>Gaurav Panchal</t>
  </si>
  <si>
    <t>Finishing work is in process at the time of Visit (lnternal visit not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</si>
</sst>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2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2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0" fontId="8" fillId="0" borderId="10" xfId="1" applyFont="1" applyBorder="1" applyProtection="1">
      <protection hidden="1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24" fillId="0" borderId="0" xfId="1" applyFont="1"/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2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5" fillId="0" borderId="12" xfId="0" applyNumberFormat="1" applyFont="1" applyBorder="1"/>
    <xf numFmtId="1" fontId="25" fillId="0" borderId="12" xfId="0" applyNumberFormat="1" applyFont="1" applyBorder="1" applyAlignment="1">
      <alignment horizontal="right"/>
    </xf>
    <xf numFmtId="0" fontId="8" fillId="0" borderId="6" xfId="1" applyFont="1" applyBorder="1" applyAlignment="1" applyProtection="1">
      <alignment horizontal="center" wrapText="1"/>
      <protection locked="0"/>
    </xf>
    <xf numFmtId="0" fontId="17" fillId="0" borderId="13" xfId="0" applyFont="1" applyBorder="1" applyProtection="1">
      <protection hidden="1"/>
    </xf>
    <xf numFmtId="1" fontId="25" fillId="0" borderId="14" xfId="0" applyNumberFormat="1" applyFont="1" applyBorder="1"/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1" fontId="16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0" xfId="1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vertical="top" wrapText="1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7" fillId="0" borderId="8" xfId="1" applyNumberFormat="1" applyFont="1" applyBorder="1" applyAlignment="1" applyProtection="1">
      <alignment horizontal="left" vertical="top" wrapText="1"/>
      <protection locked="0"/>
    </xf>
    <xf numFmtId="1" fontId="7" fillId="0" borderId="23" xfId="1" applyNumberFormat="1" applyFont="1" applyBorder="1" applyAlignment="1" applyProtection="1">
      <alignment horizontal="left" vertical="top" wrapText="1"/>
      <protection locked="0"/>
    </xf>
    <xf numFmtId="1" fontId="7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9" fillId="0" borderId="0" xfId="1" applyFont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14" fontId="13" fillId="0" borderId="2" xfId="1" applyNumberFormat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26" fillId="0" borderId="8" xfId="9" applyBorder="1" applyAlignment="1" applyProtection="1">
      <alignment horizontal="left"/>
      <protection locked="0"/>
    </xf>
    <xf numFmtId="0" fontId="8" fillId="0" borderId="23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1" fillId="0" borderId="23" xfId="1" applyFont="1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vertical="top" wrapText="1"/>
      <protection locked="0"/>
    </xf>
    <xf numFmtId="1" fontId="18" fillId="0" borderId="23" xfId="0" applyNumberFormat="1" applyFont="1" applyBorder="1" applyAlignment="1" applyProtection="1">
      <alignment vertical="top" wrapText="1"/>
      <protection locked="0"/>
    </xf>
    <xf numFmtId="1" fontId="18" fillId="0" borderId="9" xfId="0" applyNumberFormat="1" applyFont="1" applyBorder="1" applyAlignment="1" applyProtection="1">
      <alignment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632499</xdr:colOff>
      <xdr:row>305</xdr:row>
      <xdr:rowOff>181656</xdr:rowOff>
    </xdr:from>
    <xdr:to>
      <xdr:col>16</xdr:col>
      <xdr:colOff>66333</xdr:colOff>
      <xdr:row>318</xdr:row>
      <xdr:rowOff>89834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50912" y="51028591"/>
          <a:ext cx="3599986" cy="24923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637073</xdr:colOff>
      <xdr:row>293</xdr:row>
      <xdr:rowOff>12710</xdr:rowOff>
    </xdr:from>
    <xdr:to>
      <xdr:col>16</xdr:col>
      <xdr:colOff>70906</xdr:colOff>
      <xdr:row>305</xdr:row>
      <xdr:rowOff>124232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55486" y="48474253"/>
          <a:ext cx="3599985" cy="24969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396323</xdr:colOff>
      <xdr:row>249</xdr:row>
      <xdr:rowOff>184288</xdr:rowOff>
    </xdr:from>
    <xdr:to>
      <xdr:col>19</xdr:col>
      <xdr:colOff>511432</xdr:colOff>
      <xdr:row>287</xdr:row>
      <xdr:rowOff>164470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/>
      </xdr:nvGrpSpPr>
      <xdr:grpSpPr>
        <a:xfrm>
          <a:off x="6920948" y="56191288"/>
          <a:ext cx="6115859" cy="7809732"/>
          <a:chOff x="369000" y="0"/>
          <a:chExt cx="6120000" cy="7764592"/>
        </a:xfrm>
      </xdr:grpSpPr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369000" y="0"/>
            <a:ext cx="6120000" cy="5400000"/>
            <a:chOff x="0" y="2360422"/>
            <a:chExt cx="6858000" cy="4423156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0" y="2360422"/>
              <a:ext cx="6858000" cy="442315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0" name="Rectangl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>
            <a:xfrm>
              <a:off x="2857500" y="4838700"/>
              <a:ext cx="1493520" cy="57150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1" name="TextBox 25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2667000" y="5654040"/>
              <a:ext cx="1723098" cy="3064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Building No. 2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2" name="Rectangl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>
            <a:xfrm rot="5400000">
              <a:off x="1369695" y="4097655"/>
              <a:ext cx="1234440" cy="796290"/>
            </a:xfrm>
            <a:prstGeom prst="rect">
              <a:avLst/>
            </a:prstGeom>
            <a:noFill/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3" name="Rectangle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>
            <a:xfrm rot="5400000">
              <a:off x="4606290" y="4008120"/>
              <a:ext cx="1234440" cy="998220"/>
            </a:xfrm>
            <a:prstGeom prst="rect">
              <a:avLst/>
            </a:prstGeom>
            <a:noFill/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4" name="TextBox 28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827985" y="3436620"/>
              <a:ext cx="1724398" cy="3064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Building No. 3</a:t>
              </a:r>
              <a:endParaRPr lang="en-IN" b="1"/>
            </a:p>
          </xdr:txBody>
        </xdr:sp>
        <xdr:sp macro="" textlink="">
          <xdr:nvSpPr>
            <xdr:cNvPr id="55" name="TextBox 29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4462725" y="3436620"/>
              <a:ext cx="1709401" cy="3064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Building No. 1</a:t>
              </a:r>
            </a:p>
          </xdr:txBody>
        </xdr:sp>
      </xdr:grpSp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343345" y="5502324"/>
            <a:ext cx="2291198" cy="226226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219903</xdr:colOff>
      <xdr:row>293</xdr:row>
      <xdr:rowOff>19879</xdr:rowOff>
    </xdr:from>
    <xdr:to>
      <xdr:col>6</xdr:col>
      <xdr:colOff>567773</xdr:colOff>
      <xdr:row>322</xdr:row>
      <xdr:rowOff>110987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981903" y="65056579"/>
          <a:ext cx="4500770" cy="5891833"/>
          <a:chOff x="729000" y="334240"/>
          <a:chExt cx="5400000" cy="7858607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9000" y="334240"/>
            <a:ext cx="5400000" cy="409402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8" name="Group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GrpSpPr/>
        </xdr:nvGrpSpPr>
        <xdr:grpSpPr>
          <a:xfrm>
            <a:off x="729000" y="4592847"/>
            <a:ext cx="5400000" cy="3600000"/>
            <a:chOff x="-255176" y="-133350"/>
            <a:chExt cx="7470477" cy="4722603"/>
          </a:xfrm>
        </xdr:grpSpPr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-255176" y="-133350"/>
              <a:ext cx="7470477" cy="472260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0" name="Rectangle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>
            <a:xfrm rot="13274859">
              <a:off x="1196552" y="1468084"/>
              <a:ext cx="2117310" cy="1140123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0</xdr:col>
      <xdr:colOff>152400</xdr:colOff>
      <xdr:row>252</xdr:row>
      <xdr:rowOff>85725</xdr:rowOff>
    </xdr:from>
    <xdr:to>
      <xdr:col>7</xdr:col>
      <xdr:colOff>695325</xdr:colOff>
      <xdr:row>281</xdr:row>
      <xdr:rowOff>67313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52400" y="56930925"/>
          <a:ext cx="6238875" cy="5772788"/>
          <a:chOff x="71438" y="138024"/>
          <a:chExt cx="6715125" cy="6010913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71438" y="138024"/>
            <a:ext cx="6715125" cy="3324225"/>
            <a:chOff x="0" y="0"/>
            <a:chExt cx="6715125" cy="3324225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0" y="0"/>
              <a:ext cx="6715125" cy="332422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3776662" y="981075"/>
              <a:ext cx="700087" cy="828675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2238375" y="1566863"/>
              <a:ext cx="1295400" cy="357187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1" name="Freeform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 rot="2702407">
              <a:off x="1284896" y="1276323"/>
              <a:ext cx="1044033" cy="681719"/>
            </a:xfrm>
            <a:custGeom>
              <a:avLst/>
              <a:gdLst>
                <a:gd name="connsiteX0" fmla="*/ 0 w 1044033"/>
                <a:gd name="connsiteY0" fmla="*/ 313344 h 681719"/>
                <a:gd name="connsiteX1" fmla="*/ 478382 w 1044033"/>
                <a:gd name="connsiteY1" fmla="*/ 313344 h 681719"/>
                <a:gd name="connsiteX2" fmla="*/ 791287 w 1044033"/>
                <a:gd name="connsiteY2" fmla="*/ 0 h 681719"/>
                <a:gd name="connsiteX3" fmla="*/ 1044033 w 1044033"/>
                <a:gd name="connsiteY3" fmla="*/ 252393 h 681719"/>
                <a:gd name="connsiteX4" fmla="*/ 620013 w 1044033"/>
                <a:gd name="connsiteY4" fmla="*/ 677007 h 681719"/>
                <a:gd name="connsiteX5" fmla="*/ 600075 w 1044033"/>
                <a:gd name="connsiteY5" fmla="*/ 657096 h 681719"/>
                <a:gd name="connsiteX6" fmla="*/ 600075 w 1044033"/>
                <a:gd name="connsiteY6" fmla="*/ 681719 h 681719"/>
                <a:gd name="connsiteX7" fmla="*/ 0 w 1044033"/>
                <a:gd name="connsiteY7" fmla="*/ 681719 h 6817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044033" h="681719">
                  <a:moveTo>
                    <a:pt x="0" y="313344"/>
                  </a:moveTo>
                  <a:lnTo>
                    <a:pt x="478382" y="313344"/>
                  </a:lnTo>
                  <a:lnTo>
                    <a:pt x="791287" y="0"/>
                  </a:lnTo>
                  <a:lnTo>
                    <a:pt x="1044033" y="252393"/>
                  </a:lnTo>
                  <a:lnTo>
                    <a:pt x="620013" y="677007"/>
                  </a:lnTo>
                  <a:lnTo>
                    <a:pt x="600075" y="657096"/>
                  </a:lnTo>
                  <a:lnTo>
                    <a:pt x="600075" y="681719"/>
                  </a:lnTo>
                  <a:lnTo>
                    <a:pt x="0" y="681719"/>
                  </a:lnTo>
                  <a:close/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2" name="TextBox 105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/>
          </xdr:nvSpPr>
          <xdr:spPr>
            <a:xfrm>
              <a:off x="4629149" y="1352550"/>
              <a:ext cx="1272728" cy="3895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Bldg No. 1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3" name="TextBox 106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2304826" y="2009770"/>
              <a:ext cx="1272728" cy="3895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Bldg No. 2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4" name="TextBox 107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644414" y="853115"/>
              <a:ext cx="1272728" cy="3895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Bldg No. 3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19590944">
              <a:off x="2177548" y="2655396"/>
              <a:ext cx="544220" cy="544220"/>
            </a:xfrm>
            <a:prstGeom prst="rect">
              <a:avLst/>
            </a:prstGeom>
          </xdr:spPr>
        </xdr:pic>
      </xdr:grp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144020" y="3628937"/>
            <a:ext cx="252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9525</xdr:colOff>
      <xdr:row>112</xdr:row>
      <xdr:rowOff>133350</xdr:rowOff>
    </xdr:from>
    <xdr:to>
      <xdr:col>11</xdr:col>
      <xdr:colOff>295050</xdr:colOff>
      <xdr:row>121</xdr:row>
      <xdr:rowOff>133125</xdr:rowOff>
    </xdr:to>
    <xdr:pic>
      <xdr:nvPicPr>
        <xdr:cNvPr id="36" name="Picture 35" descr="https://rosamanhattan.in/public/admin/images/image1658370039.jpe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6200" y="21212175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714375</xdr:colOff>
      <xdr:row>102</xdr:row>
      <xdr:rowOff>57150</xdr:rowOff>
    </xdr:from>
    <xdr:to>
      <xdr:col>17</xdr:col>
      <xdr:colOff>28575</xdr:colOff>
      <xdr:row>123</xdr:row>
      <xdr:rowOff>63081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0" y="20974050"/>
          <a:ext cx="4095750" cy="4606506"/>
        </a:xfrm>
        <a:prstGeom prst="rect">
          <a:avLst/>
        </a:prstGeom>
      </xdr:spPr>
    </xdr:pic>
    <xdr:clientData/>
  </xdr:twoCellAnchor>
  <xdr:twoCellAnchor>
    <xdr:from>
      <xdr:col>8</xdr:col>
      <xdr:colOff>763905</xdr:colOff>
      <xdr:row>210</xdr:row>
      <xdr:rowOff>57150</xdr:rowOff>
    </xdr:from>
    <xdr:to>
      <xdr:col>19</xdr:col>
      <xdr:colOff>257172</xdr:colOff>
      <xdr:row>241</xdr:row>
      <xdr:rowOff>112511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288530" y="48272700"/>
          <a:ext cx="5494017" cy="6246611"/>
          <a:chOff x="504825" y="46796325"/>
          <a:chExt cx="5516877" cy="6246611"/>
        </a:xfrm>
      </xdr:grpSpPr>
      <xdr:pic>
        <xdr:nvPicPr>
          <xdr:cNvPr id="38" name="Picture 37" descr="insp-220904-847.jpg (959×1280)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5" y="4679632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20904-851.jpg (959×128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13981" y="5052293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20904-1525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515" y="5052293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20904-845.jpg (959×128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515" y="4679632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754380</xdr:colOff>
      <xdr:row>210</xdr:row>
      <xdr:rowOff>152400</xdr:rowOff>
    </xdr:from>
    <xdr:to>
      <xdr:col>10</xdr:col>
      <xdr:colOff>1364</xdr:colOff>
      <xdr:row>212</xdr:row>
      <xdr:rowOff>126491</xdr:rowOff>
    </xdr:to>
    <xdr:sp macro="" textlink="">
      <xdr:nvSpPr>
        <xdr:cNvPr id="43" name="TextBox 10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452360" y="47929800"/>
          <a:ext cx="1228184" cy="37033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No. 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158115</xdr:colOff>
      <xdr:row>210</xdr:row>
      <xdr:rowOff>66675</xdr:rowOff>
    </xdr:from>
    <xdr:to>
      <xdr:col>16</xdr:col>
      <xdr:colOff>569054</xdr:colOff>
      <xdr:row>212</xdr:row>
      <xdr:rowOff>40766</xdr:rowOff>
    </xdr:to>
    <xdr:sp macro="" textlink="">
      <xdr:nvSpPr>
        <xdr:cNvPr id="44" name="TextBox 10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338435" y="47844075"/>
          <a:ext cx="1226279" cy="37033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No. 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1102995</xdr:colOff>
      <xdr:row>208</xdr:row>
      <xdr:rowOff>40005</xdr:rowOff>
    </xdr:from>
    <xdr:to>
      <xdr:col>20</xdr:col>
      <xdr:colOff>320666</xdr:colOff>
      <xdr:row>241</xdr:row>
      <xdr:rowOff>89773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9190601-7852-C21B-CA01-CBAD83EF4B67}"/>
            </a:ext>
          </a:extLst>
        </xdr:cNvPr>
        <xdr:cNvGrpSpPr/>
      </xdr:nvGrpSpPr>
      <xdr:grpSpPr>
        <a:xfrm>
          <a:off x="7627620" y="47855505"/>
          <a:ext cx="5828021" cy="6641068"/>
          <a:chOff x="332389" y="224508"/>
          <a:chExt cx="5976611" cy="658010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5B172C9-8675-8B3E-39C7-7E15EA64A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7457" y="4284616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3EE0034-FFC9-6187-403F-E72743638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389" y="224508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9FBC9A9-E3FF-9C54-E020-1D258AEE32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0981" y="4284616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938ECC4-0D6A-C19F-C810-14E76A1F08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24509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" name="TextBox 11">
            <a:extLst>
              <a:ext uri="{FF2B5EF4-FFF2-40B4-BE49-F238E27FC236}">
                <a16:creationId xmlns:a16="http://schemas.microsoft.com/office/drawing/2014/main" id="{6DAF59A6-B90D-CF3F-BABB-504C601D7BA9}"/>
              </a:ext>
            </a:extLst>
          </xdr:cNvPr>
          <xdr:cNvSpPr txBox="1"/>
        </xdr:nvSpPr>
        <xdr:spPr>
          <a:xfrm>
            <a:off x="332389" y="224508"/>
            <a:ext cx="103945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Brooklyn</a:t>
            </a:r>
          </a:p>
        </xdr:txBody>
      </xdr:sp>
    </xdr:grpSp>
    <xdr:clientData/>
  </xdr:twoCellAnchor>
  <xdr:twoCellAnchor>
    <xdr:from>
      <xdr:col>0</xdr:col>
      <xdr:colOff>133350</xdr:colOff>
      <xdr:row>209</xdr:row>
      <xdr:rowOff>114300</xdr:rowOff>
    </xdr:from>
    <xdr:to>
      <xdr:col>7</xdr:col>
      <xdr:colOff>742950</xdr:colOff>
      <xdr:row>241</xdr:row>
      <xdr:rowOff>76200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4B2BC6D8-4BC3-4EE0-8DFD-8E1ECCFCC401}"/>
            </a:ext>
          </a:extLst>
        </xdr:cNvPr>
        <xdr:cNvGrpSpPr/>
      </xdr:nvGrpSpPr>
      <xdr:grpSpPr>
        <a:xfrm>
          <a:off x="133350" y="48129825"/>
          <a:ext cx="6305550" cy="6353175"/>
          <a:chOff x="562956" y="439051"/>
          <a:chExt cx="5863440" cy="5745899"/>
        </a:xfrm>
      </xdr:grpSpPr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20997D21-F812-4620-928B-D0FC9BED00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818" y="439051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F5240D4B-78F4-404A-B28D-40AAF0D284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2435" y="439051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FF3BC9E7-9EC5-4FFC-A3A4-E74F498D7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75898" y="4204950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DF0B48B6-67DE-446C-BA93-0C8697E291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2956" y="42049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20E6A57A-B081-4EAC-A055-1B7EA08040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2943" y="42049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333376</xdr:colOff>
      <xdr:row>209</xdr:row>
      <xdr:rowOff>135255</xdr:rowOff>
    </xdr:from>
    <xdr:to>
      <xdr:col>2</xdr:col>
      <xdr:colOff>678330</xdr:colOff>
      <xdr:row>211</xdr:row>
      <xdr:rowOff>107959</xdr:rowOff>
    </xdr:to>
    <xdr:sp macro="" textlink="">
      <xdr:nvSpPr>
        <xdr:cNvPr id="66" name="TextBox 11">
          <a:extLst>
            <a:ext uri="{FF2B5EF4-FFF2-40B4-BE49-F238E27FC236}">
              <a16:creationId xmlns:a16="http://schemas.microsoft.com/office/drawing/2014/main" id="{37DE969A-9796-4DF6-9A20-2C6B7F54B767}"/>
            </a:ext>
          </a:extLst>
        </xdr:cNvPr>
        <xdr:cNvSpPr txBox="1"/>
      </xdr:nvSpPr>
      <xdr:spPr>
        <a:xfrm>
          <a:off x="1095376" y="47922180"/>
          <a:ext cx="1145054" cy="37275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Brooklyn</a:t>
          </a:r>
        </a:p>
      </xdr:txBody>
    </xdr:sp>
    <xdr:clientData/>
  </xdr:twoCellAnchor>
  <xdr:twoCellAnchor>
    <xdr:from>
      <xdr:col>4</xdr:col>
      <xdr:colOff>171451</xdr:colOff>
      <xdr:row>209</xdr:row>
      <xdr:rowOff>135255</xdr:rowOff>
    </xdr:from>
    <xdr:to>
      <xdr:col>5</xdr:col>
      <xdr:colOff>535455</xdr:colOff>
      <xdr:row>211</xdr:row>
      <xdr:rowOff>107959</xdr:rowOff>
    </xdr:to>
    <xdr:sp macro="" textlink="">
      <xdr:nvSpPr>
        <xdr:cNvPr id="67" name="TextBox 11">
          <a:extLst>
            <a:ext uri="{FF2B5EF4-FFF2-40B4-BE49-F238E27FC236}">
              <a16:creationId xmlns:a16="http://schemas.microsoft.com/office/drawing/2014/main" id="{7A66B7A8-BADF-4E08-BBB8-A4286BF91818}"/>
            </a:ext>
          </a:extLst>
        </xdr:cNvPr>
        <xdr:cNvSpPr txBox="1"/>
      </xdr:nvSpPr>
      <xdr:spPr>
        <a:xfrm>
          <a:off x="3524251" y="47922180"/>
          <a:ext cx="1145054" cy="37275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Brooklyn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uUZ6hXGsNfQZFWr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2"/>
  <sheetViews>
    <sheetView tabSelected="1" view="pageBreakPreview" zoomScaleNormal="100" zoomScaleSheetLayoutView="100" zoomScalePageLayoutView="89" workbookViewId="0">
      <selection activeCell="I9" sqref="I9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1.285156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46" t="s">
        <v>180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25">
      <c r="A3" s="84" t="s">
        <v>1</v>
      </c>
      <c r="B3" s="84"/>
      <c r="C3" s="84"/>
      <c r="D3" s="84"/>
      <c r="E3" s="147" t="str">
        <f ca="1">TEXT(TODAY(),"DD/MM/YYYY")</f>
        <v>13/09/2025</v>
      </c>
      <c r="F3" s="147"/>
      <c r="G3" s="147"/>
      <c r="H3" s="147"/>
    </row>
    <row r="4" spans="1:8" ht="15" customHeight="1" x14ac:dyDescent="0.25">
      <c r="A4" s="84" t="s">
        <v>2</v>
      </c>
      <c r="B4" s="84"/>
      <c r="C4" s="84"/>
      <c r="D4" s="84"/>
      <c r="E4" s="148" t="s">
        <v>159</v>
      </c>
      <c r="F4" s="148"/>
      <c r="G4" s="148"/>
      <c r="H4" s="148"/>
    </row>
    <row r="5" spans="1:8" x14ac:dyDescent="0.25">
      <c r="A5" s="84" t="s">
        <v>3</v>
      </c>
      <c r="B5" s="84"/>
      <c r="C5" s="84"/>
      <c r="D5" s="84"/>
      <c r="E5" s="147">
        <v>45909</v>
      </c>
      <c r="F5" s="147"/>
      <c r="G5" s="147"/>
      <c r="H5" s="147"/>
    </row>
    <row r="6" spans="1:8" ht="16.5" customHeight="1" x14ac:dyDescent="0.25">
      <c r="A6" s="84" t="s">
        <v>4</v>
      </c>
      <c r="B6" s="84"/>
      <c r="C6" s="84"/>
      <c r="D6" s="84"/>
      <c r="E6" s="64" t="s">
        <v>160</v>
      </c>
      <c r="F6" s="64"/>
      <c r="G6" s="64"/>
      <c r="H6" s="64"/>
    </row>
    <row r="7" spans="1:8" ht="15" customHeight="1" x14ac:dyDescent="0.25">
      <c r="A7" s="84" t="s">
        <v>5</v>
      </c>
      <c r="B7" s="84"/>
      <c r="C7" s="84"/>
      <c r="D7" s="84"/>
      <c r="E7" s="64" t="str">
        <f>E6</f>
        <v>M/s.Sai Uma Construction Private Limited</v>
      </c>
      <c r="F7" s="64"/>
      <c r="G7" s="64"/>
      <c r="H7" s="64"/>
    </row>
    <row r="8" spans="1:8" x14ac:dyDescent="0.25">
      <c r="A8" s="84" t="s">
        <v>6</v>
      </c>
      <c r="B8" s="84"/>
      <c r="C8" s="84"/>
      <c r="D8" s="84"/>
      <c r="E8" s="109" t="s">
        <v>208</v>
      </c>
      <c r="F8" s="109"/>
      <c r="G8" s="109"/>
      <c r="H8" s="109"/>
    </row>
    <row r="9" spans="1:8" x14ac:dyDescent="0.25">
      <c r="A9" s="84" t="s">
        <v>130</v>
      </c>
      <c r="B9" s="84"/>
      <c r="C9" s="84"/>
      <c r="D9" s="84"/>
      <c r="E9" s="84" t="s">
        <v>28</v>
      </c>
      <c r="F9" s="84"/>
      <c r="G9" s="84"/>
      <c r="H9" s="84"/>
    </row>
    <row r="10" spans="1:8" x14ac:dyDescent="0.25">
      <c r="A10" s="90" t="s">
        <v>7</v>
      </c>
      <c r="B10" s="90"/>
      <c r="C10" s="90"/>
      <c r="D10" s="90"/>
      <c r="E10" s="90" t="s">
        <v>193</v>
      </c>
      <c r="F10" s="90"/>
      <c r="G10" s="90"/>
      <c r="H10" s="90"/>
    </row>
    <row r="11" spans="1:8" ht="16.5" customHeight="1" x14ac:dyDescent="0.25">
      <c r="A11" s="84" t="s">
        <v>8</v>
      </c>
      <c r="B11" s="84"/>
      <c r="C11" s="84"/>
      <c r="D11" s="84"/>
      <c r="E11" s="112" t="s">
        <v>28</v>
      </c>
      <c r="F11" s="112"/>
      <c r="G11" s="112"/>
      <c r="H11" s="112"/>
    </row>
    <row r="12" spans="1:8" x14ac:dyDescent="0.25">
      <c r="A12" s="84" t="s">
        <v>173</v>
      </c>
      <c r="B12" s="84"/>
      <c r="C12" s="84"/>
      <c r="D12" s="84"/>
      <c r="E12" s="112" t="s">
        <v>172</v>
      </c>
      <c r="F12" s="87"/>
      <c r="G12" s="87"/>
      <c r="H12" s="87"/>
    </row>
    <row r="13" spans="1:8" ht="65.25" customHeight="1" x14ac:dyDescent="0.25">
      <c r="A13" s="64" t="s">
        <v>9</v>
      </c>
      <c r="B13" s="64"/>
      <c r="C13" s="6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Manhattan Phase 2, Survey No.128/1, 128/2, 128/3, 129/1A, 129/1B, 129/2/1, 129/2/2, 129/2/3, 129/2/4, 129/2/5, 129/2/6, 129/2/7, 129/2/8, 129/2/9, 129/3, 129/4A, 130/1, 130/2, 132/1, 132/2, 131/1 &amp; 225/7, near Radcliffe School Thane, Forest Avenue Road, Kavesar, Thane West, Thane, Thane.</v>
      </c>
      <c r="D13" s="64"/>
      <c r="E13" s="64"/>
      <c r="F13" s="64"/>
      <c r="G13" s="64"/>
      <c r="H13" s="64"/>
    </row>
    <row r="14" spans="1:8" ht="48" customHeight="1" x14ac:dyDescent="0.25">
      <c r="A14" s="112" t="s">
        <v>161</v>
      </c>
      <c r="B14" s="112"/>
      <c r="C14" s="89" t="s">
        <v>242</v>
      </c>
      <c r="D14" s="89"/>
      <c r="E14" s="89"/>
      <c r="F14" s="89"/>
      <c r="G14" s="89"/>
      <c r="H14" s="89"/>
    </row>
    <row r="15" spans="1:8" ht="15.75" customHeight="1" x14ac:dyDescent="0.25">
      <c r="A15" s="64" t="s">
        <v>10</v>
      </c>
      <c r="B15" s="64"/>
      <c r="C15" s="90" t="s">
        <v>167</v>
      </c>
      <c r="D15" s="90"/>
      <c r="E15" s="64" t="s">
        <v>75</v>
      </c>
      <c r="F15" s="64"/>
      <c r="G15" s="89" t="s">
        <v>162</v>
      </c>
      <c r="H15" s="89"/>
    </row>
    <row r="16" spans="1:8" x14ac:dyDescent="0.25">
      <c r="A16" s="84" t="s">
        <v>12</v>
      </c>
      <c r="B16" s="84"/>
      <c r="C16" s="89" t="s">
        <v>164</v>
      </c>
      <c r="D16" s="89"/>
      <c r="E16" s="64" t="s">
        <v>11</v>
      </c>
      <c r="F16" s="64"/>
      <c r="G16" s="149" t="s">
        <v>166</v>
      </c>
      <c r="H16" s="149"/>
    </row>
    <row r="17" spans="1:8" x14ac:dyDescent="0.25">
      <c r="A17" s="84" t="s">
        <v>76</v>
      </c>
      <c r="B17" s="84"/>
      <c r="C17" s="89" t="s">
        <v>166</v>
      </c>
      <c r="D17" s="89"/>
      <c r="E17" s="64" t="s">
        <v>13</v>
      </c>
      <c r="F17" s="64"/>
      <c r="G17" s="89">
        <v>400615</v>
      </c>
      <c r="H17" s="89"/>
    </row>
    <row r="18" spans="1:8" ht="32.25" customHeight="1" x14ac:dyDescent="0.25">
      <c r="A18" s="84" t="s">
        <v>132</v>
      </c>
      <c r="B18" s="84"/>
      <c r="C18" s="150" t="s">
        <v>171</v>
      </c>
      <c r="D18" s="150"/>
      <c r="E18" s="64" t="s">
        <v>14</v>
      </c>
      <c r="F18" s="64"/>
      <c r="G18" s="112" t="s">
        <v>165</v>
      </c>
      <c r="H18" s="112"/>
    </row>
    <row r="19" spans="1:8" ht="15" customHeight="1" x14ac:dyDescent="0.25">
      <c r="A19" s="64" t="s">
        <v>80</v>
      </c>
      <c r="B19" s="64"/>
      <c r="C19" s="64"/>
      <c r="D19" s="64"/>
      <c r="E19" s="90" t="s">
        <v>15</v>
      </c>
      <c r="F19" s="90"/>
      <c r="G19" s="90"/>
      <c r="H19" s="90"/>
    </row>
    <row r="20" spans="1:8" ht="18.75" customHeight="1" x14ac:dyDescent="0.25">
      <c r="A20" s="64"/>
      <c r="B20" s="64"/>
      <c r="C20" s="64"/>
      <c r="D20" s="64"/>
      <c r="E20" s="90"/>
      <c r="F20" s="90"/>
      <c r="G20" s="90"/>
      <c r="H20" s="90"/>
    </row>
    <row r="21" spans="1:8" ht="15" customHeight="1" x14ac:dyDescent="0.25">
      <c r="A21" s="64" t="s">
        <v>16</v>
      </c>
      <c r="B21" s="64"/>
      <c r="C21" s="64"/>
      <c r="D21" s="64"/>
      <c r="E21" s="89" t="s">
        <v>17</v>
      </c>
      <c r="F21" s="89"/>
      <c r="G21" s="89"/>
      <c r="H21" s="89"/>
    </row>
    <row r="22" spans="1:8" ht="15" customHeight="1" x14ac:dyDescent="0.25">
      <c r="A22" s="84" t="s">
        <v>18</v>
      </c>
      <c r="B22" s="84"/>
      <c r="C22" s="84"/>
      <c r="D22" s="84"/>
      <c r="E22" s="89" t="str">
        <f>IF(AND(G16="Mumbai"),"Upper Class","Middle Class")</f>
        <v>Middle Class</v>
      </c>
      <c r="F22" s="89"/>
      <c r="G22" s="89"/>
      <c r="H22" s="89"/>
    </row>
    <row r="23" spans="1:8" x14ac:dyDescent="0.25">
      <c r="A23" s="84" t="s">
        <v>19</v>
      </c>
      <c r="B23" s="84"/>
      <c r="C23" s="84"/>
      <c r="D23" s="84"/>
      <c r="E23" s="89" t="s">
        <v>20</v>
      </c>
      <c r="F23" s="89"/>
      <c r="G23" s="89"/>
      <c r="H23" s="89"/>
    </row>
    <row r="24" spans="1:8" ht="15.75" customHeight="1" x14ac:dyDescent="0.25">
      <c r="A24" s="84" t="s">
        <v>21</v>
      </c>
      <c r="B24" s="84"/>
      <c r="C24" s="84"/>
      <c r="D24" s="84"/>
      <c r="E24" s="89" t="str">
        <f>IF(AND(G16="Mumbai"),"Developed","Developing")</f>
        <v>Developing</v>
      </c>
      <c r="F24" s="89"/>
      <c r="G24" s="89"/>
      <c r="H24" s="89"/>
    </row>
    <row r="25" spans="1:8" x14ac:dyDescent="0.25">
      <c r="A25" s="84" t="s">
        <v>22</v>
      </c>
      <c r="B25" s="84"/>
      <c r="C25" s="84"/>
      <c r="D25" s="84"/>
      <c r="E25" s="89" t="s">
        <v>23</v>
      </c>
      <c r="F25" s="89"/>
      <c r="G25" s="89"/>
      <c r="H25" s="89"/>
    </row>
    <row r="26" spans="1:8" x14ac:dyDescent="0.25">
      <c r="A26" s="84" t="s">
        <v>87</v>
      </c>
      <c r="B26" s="84"/>
      <c r="C26" s="84"/>
      <c r="D26" s="84"/>
      <c r="E26" s="89" t="s">
        <v>88</v>
      </c>
      <c r="F26" s="89"/>
      <c r="G26" s="89"/>
      <c r="H26" s="89"/>
    </row>
    <row r="27" spans="1:8" ht="15" customHeight="1" x14ac:dyDescent="0.25">
      <c r="A27" s="64" t="s">
        <v>31</v>
      </c>
      <c r="B27" s="64"/>
      <c r="C27" s="64"/>
      <c r="D27" s="64"/>
      <c r="E27" s="153" t="s">
        <v>163</v>
      </c>
      <c r="F27" s="153"/>
      <c r="G27" s="153"/>
      <c r="H27" s="153"/>
    </row>
    <row r="28" spans="1:8" x14ac:dyDescent="0.25">
      <c r="A28" s="64" t="s">
        <v>98</v>
      </c>
      <c r="B28" s="64"/>
      <c r="C28" s="64"/>
      <c r="D28" s="64"/>
      <c r="E28" s="64" t="s">
        <v>32</v>
      </c>
      <c r="F28" s="64"/>
      <c r="G28" s="64"/>
      <c r="H28" s="64"/>
    </row>
    <row r="29" spans="1:8" s="6" customFormat="1" x14ac:dyDescent="0.25">
      <c r="A29" s="156" t="s">
        <v>99</v>
      </c>
      <c r="B29" s="156"/>
      <c r="C29" s="155" t="s">
        <v>202</v>
      </c>
      <c r="D29" s="155"/>
      <c r="E29" s="155"/>
      <c r="F29" s="155" t="s">
        <v>29</v>
      </c>
      <c r="G29" s="155"/>
      <c r="H29" s="155"/>
    </row>
    <row r="30" spans="1:8" s="6" customFormat="1" x14ac:dyDescent="0.25">
      <c r="A30" s="151" t="s">
        <v>24</v>
      </c>
      <c r="B30" s="151" t="s">
        <v>28</v>
      </c>
      <c r="C30" s="152" t="s">
        <v>206</v>
      </c>
      <c r="D30" s="152"/>
      <c r="E30" s="152"/>
      <c r="F30" s="152" t="s">
        <v>168</v>
      </c>
      <c r="G30" s="152"/>
      <c r="H30" s="152"/>
    </row>
    <row r="31" spans="1:8" x14ac:dyDescent="0.25">
      <c r="A31" s="151" t="s">
        <v>25</v>
      </c>
      <c r="B31" s="151" t="s">
        <v>28</v>
      </c>
      <c r="C31" s="152" t="s">
        <v>205</v>
      </c>
      <c r="D31" s="152"/>
      <c r="E31" s="152"/>
      <c r="F31" s="152" t="s">
        <v>169</v>
      </c>
      <c r="G31" s="152"/>
      <c r="H31" s="152"/>
    </row>
    <row r="32" spans="1:8" s="6" customFormat="1" x14ac:dyDescent="0.25">
      <c r="A32" s="151" t="s">
        <v>27</v>
      </c>
      <c r="B32" s="151" t="s">
        <v>28</v>
      </c>
      <c r="C32" s="152" t="s">
        <v>204</v>
      </c>
      <c r="D32" s="152"/>
      <c r="E32" s="152"/>
      <c r="F32" s="152" t="s">
        <v>170</v>
      </c>
      <c r="G32" s="152"/>
      <c r="H32" s="152"/>
    </row>
    <row r="33" spans="1:12" x14ac:dyDescent="0.25">
      <c r="A33" s="151" t="s">
        <v>26</v>
      </c>
      <c r="B33" s="151" t="s">
        <v>28</v>
      </c>
      <c r="C33" s="152" t="s">
        <v>203</v>
      </c>
      <c r="D33" s="152"/>
      <c r="E33" s="152"/>
      <c r="F33" s="152" t="s">
        <v>167</v>
      </c>
      <c r="G33" s="152"/>
      <c r="H33" s="152"/>
    </row>
    <row r="34" spans="1:12" x14ac:dyDescent="0.25">
      <c r="A34" s="84" t="s">
        <v>30</v>
      </c>
      <c r="B34" s="84"/>
      <c r="C34" s="84"/>
      <c r="D34" s="84"/>
      <c r="E34" s="84"/>
      <c r="F34" s="84"/>
      <c r="G34" s="84"/>
      <c r="H34" s="84"/>
    </row>
    <row r="35" spans="1:12" ht="15.75" customHeight="1" x14ac:dyDescent="0.25">
      <c r="A35" s="84" t="s">
        <v>190</v>
      </c>
      <c r="B35" s="84"/>
      <c r="C35" s="160" t="s">
        <v>191</v>
      </c>
      <c r="D35" s="161"/>
      <c r="E35" s="161"/>
      <c r="F35" s="161"/>
      <c r="G35" s="161"/>
      <c r="H35" s="162"/>
    </row>
    <row r="36" spans="1:12" ht="15.75" customHeight="1" x14ac:dyDescent="0.25">
      <c r="A36" s="84" t="s">
        <v>181</v>
      </c>
      <c r="B36" s="84"/>
      <c r="C36" s="157" t="s">
        <v>182</v>
      </c>
      <c r="D36" s="158"/>
      <c r="E36" s="158"/>
      <c r="F36" s="158"/>
      <c r="G36" s="158"/>
      <c r="H36" s="159"/>
    </row>
    <row r="37" spans="1:12" x14ac:dyDescent="0.25">
      <c r="A37" s="109" t="s">
        <v>33</v>
      </c>
      <c r="B37" s="109"/>
      <c r="C37" s="109"/>
      <c r="D37" s="109"/>
      <c r="E37" s="109"/>
      <c r="F37" s="109"/>
      <c r="G37" s="109"/>
      <c r="H37" s="109"/>
    </row>
    <row r="38" spans="1:12" x14ac:dyDescent="0.25">
      <c r="A38" s="84" t="s">
        <v>34</v>
      </c>
      <c r="B38" s="84"/>
      <c r="C38" s="84"/>
      <c r="D38" s="84"/>
      <c r="E38" s="154">
        <v>15896.53</v>
      </c>
      <c r="F38" s="154"/>
      <c r="G38" s="154"/>
      <c r="H38" s="154"/>
    </row>
    <row r="39" spans="1:12" x14ac:dyDescent="0.25">
      <c r="A39" s="84" t="s">
        <v>35</v>
      </c>
      <c r="B39" s="84"/>
      <c r="C39" s="84"/>
      <c r="D39" s="84"/>
      <c r="E39" s="96">
        <v>1.1000000000000001</v>
      </c>
      <c r="F39" s="96"/>
      <c r="G39" s="96"/>
      <c r="H39" s="96"/>
    </row>
    <row r="40" spans="1:12" x14ac:dyDescent="0.25">
      <c r="A40" s="84" t="s">
        <v>36</v>
      </c>
      <c r="B40" s="84"/>
      <c r="C40" s="84"/>
      <c r="D40" s="84"/>
      <c r="E40" s="96">
        <f>E42/E38-E39</f>
        <v>2.7971700113169353</v>
      </c>
      <c r="F40" s="96"/>
      <c r="G40" s="96"/>
      <c r="H40" s="96"/>
    </row>
    <row r="41" spans="1:12" x14ac:dyDescent="0.25">
      <c r="A41" s="84" t="s">
        <v>37</v>
      </c>
      <c r="B41" s="84"/>
      <c r="C41" s="84"/>
      <c r="D41" s="84"/>
      <c r="E41" s="96">
        <f>E39+E40</f>
        <v>3.8971700113169354</v>
      </c>
      <c r="F41" s="96"/>
      <c r="G41" s="96"/>
      <c r="H41" s="96"/>
    </row>
    <row r="42" spans="1:12" x14ac:dyDescent="0.25">
      <c r="A42" s="84" t="s">
        <v>97</v>
      </c>
      <c r="B42" s="84"/>
      <c r="C42" s="84"/>
      <c r="D42" s="84"/>
      <c r="E42" s="83">
        <v>61951.48</v>
      </c>
      <c r="F42" s="83"/>
      <c r="G42" s="83"/>
      <c r="H42" s="83"/>
      <c r="I42" s="83">
        <v>32675.37</v>
      </c>
      <c r="J42" s="83"/>
      <c r="K42" s="83"/>
      <c r="L42" s="83"/>
    </row>
    <row r="43" spans="1:12" x14ac:dyDescent="0.25">
      <c r="A43" s="90" t="s">
        <v>38</v>
      </c>
      <c r="B43" s="90"/>
      <c r="C43" s="90"/>
      <c r="D43" s="90"/>
      <c r="E43" s="87" t="s">
        <v>131</v>
      </c>
      <c r="F43" s="87"/>
      <c r="G43" s="87"/>
      <c r="H43" s="87"/>
    </row>
    <row r="44" spans="1:12" x14ac:dyDescent="0.25">
      <c r="A44" s="109" t="s">
        <v>39</v>
      </c>
      <c r="B44" s="109"/>
      <c r="C44" s="109"/>
      <c r="D44" s="109"/>
      <c r="E44" s="109"/>
      <c r="F44" s="109"/>
      <c r="G44" s="109"/>
      <c r="H44" s="109"/>
    </row>
    <row r="45" spans="1:12" x14ac:dyDescent="0.25">
      <c r="A45" s="112" t="s">
        <v>40</v>
      </c>
      <c r="B45" s="112"/>
      <c r="C45" s="91" t="s">
        <v>226</v>
      </c>
      <c r="D45" s="91"/>
      <c r="E45" s="91"/>
      <c r="F45" s="40" t="s">
        <v>41</v>
      </c>
      <c r="G45" s="113">
        <v>45418</v>
      </c>
      <c r="H45" s="113"/>
    </row>
    <row r="46" spans="1:12" x14ac:dyDescent="0.25">
      <c r="A46" s="87" t="s">
        <v>42</v>
      </c>
      <c r="B46" s="87"/>
      <c r="C46" s="91" t="str">
        <f>C45</f>
        <v>S06/0228/15 TMC/TD-DP/TPS/08</v>
      </c>
      <c r="D46" s="91"/>
      <c r="E46" s="91"/>
      <c r="F46" s="40" t="s">
        <v>41</v>
      </c>
      <c r="G46" s="113">
        <f>G45</f>
        <v>45418</v>
      </c>
      <c r="H46" s="113"/>
    </row>
    <row r="47" spans="1:12" s="5" customFormat="1" ht="32.25" customHeight="1" x14ac:dyDescent="0.25">
      <c r="A47" s="89" t="s">
        <v>228</v>
      </c>
      <c r="B47" s="89"/>
      <c r="C47" s="91" t="s">
        <v>225</v>
      </c>
      <c r="D47" s="92"/>
      <c r="E47" s="92"/>
      <c r="F47" s="8" t="s">
        <v>41</v>
      </c>
      <c r="G47" s="113">
        <f>G46</f>
        <v>45418</v>
      </c>
      <c r="H47" s="113"/>
    </row>
    <row r="48" spans="1:12" s="5" customFormat="1" x14ac:dyDescent="0.25">
      <c r="A48" s="89"/>
      <c r="B48" s="89"/>
      <c r="C48" s="120" t="s">
        <v>227</v>
      </c>
      <c r="D48" s="121"/>
      <c r="E48" s="121"/>
      <c r="F48" s="121"/>
      <c r="G48" s="121"/>
      <c r="H48" s="122"/>
    </row>
    <row r="49" spans="1:14" s="5" customFormat="1" x14ac:dyDescent="0.25">
      <c r="A49" s="89" t="s">
        <v>245</v>
      </c>
      <c r="B49" s="89"/>
      <c r="C49" s="91" t="s">
        <v>246</v>
      </c>
      <c r="D49" s="92"/>
      <c r="E49" s="92"/>
      <c r="F49" s="8" t="s">
        <v>41</v>
      </c>
      <c r="G49" s="113">
        <v>42460</v>
      </c>
      <c r="H49" s="113"/>
    </row>
    <row r="50" spans="1:14" s="5" customFormat="1" x14ac:dyDescent="0.25">
      <c r="A50" s="89"/>
      <c r="B50" s="89"/>
      <c r="C50" s="120" t="s">
        <v>247</v>
      </c>
      <c r="D50" s="121"/>
      <c r="E50" s="121"/>
      <c r="F50" s="121"/>
      <c r="G50" s="121"/>
      <c r="H50" s="122"/>
    </row>
    <row r="51" spans="1:14" s="5" customFormat="1" ht="32.25" customHeight="1" x14ac:dyDescent="0.25">
      <c r="A51" s="89" t="s">
        <v>250</v>
      </c>
      <c r="B51" s="89"/>
      <c r="C51" s="91" t="s">
        <v>251</v>
      </c>
      <c r="D51" s="92"/>
      <c r="E51" s="92"/>
      <c r="F51" s="8" t="s">
        <v>41</v>
      </c>
      <c r="G51" s="113">
        <v>42858</v>
      </c>
      <c r="H51" s="113"/>
    </row>
    <row r="52" spans="1:14" s="5" customFormat="1" ht="31.5" customHeight="1" x14ac:dyDescent="0.25">
      <c r="A52" s="89"/>
      <c r="B52" s="89"/>
      <c r="C52" s="120" t="s">
        <v>252</v>
      </c>
      <c r="D52" s="121"/>
      <c r="E52" s="121"/>
      <c r="F52" s="121"/>
      <c r="G52" s="121"/>
      <c r="H52" s="122"/>
    </row>
    <row r="53" spans="1:14" x14ac:dyDescent="0.25">
      <c r="A53" s="118" t="s">
        <v>43</v>
      </c>
      <c r="B53" s="118"/>
      <c r="C53" s="85" t="s">
        <v>112</v>
      </c>
      <c r="D53" s="86"/>
      <c r="E53" s="86" t="s">
        <v>44</v>
      </c>
      <c r="F53" s="54" t="s">
        <v>41</v>
      </c>
      <c r="G53" s="119" t="s">
        <v>28</v>
      </c>
      <c r="H53" s="119"/>
    </row>
    <row r="54" spans="1:14" x14ac:dyDescent="0.25">
      <c r="A54" s="88" t="s">
        <v>46</v>
      </c>
      <c r="B54" s="88"/>
      <c r="C54" s="88"/>
      <c r="D54" s="88"/>
      <c r="E54" s="88"/>
      <c r="F54" s="88"/>
      <c r="G54" s="88"/>
      <c r="H54" s="88"/>
    </row>
    <row r="55" spans="1:14" ht="32.25" customHeight="1" x14ac:dyDescent="0.25">
      <c r="A55" s="64" t="s">
        <v>244</v>
      </c>
      <c r="B55" s="64"/>
      <c r="C55" s="64"/>
      <c r="D55" s="84">
        <v>23754.17</v>
      </c>
      <c r="E55" s="84"/>
      <c r="F55" s="84"/>
      <c r="G55" s="84"/>
      <c r="H55" s="84"/>
      <c r="I55" s="83">
        <f>I42</f>
        <v>32675.37</v>
      </c>
      <c r="J55" s="84"/>
      <c r="K55" s="84"/>
      <c r="L55" s="84"/>
      <c r="M55" s="84"/>
    </row>
    <row r="56" spans="1:14" x14ac:dyDescent="0.25">
      <c r="A56" s="89" t="s">
        <v>47</v>
      </c>
      <c r="B56" s="90"/>
      <c r="C56" s="90"/>
      <c r="D56" s="87" t="s">
        <v>243</v>
      </c>
      <c r="E56" s="87"/>
      <c r="F56" s="87"/>
      <c r="G56" s="87"/>
      <c r="H56" s="87"/>
      <c r="I56" s="34"/>
    </row>
    <row r="57" spans="1:14" ht="15.75" customHeight="1" x14ac:dyDescent="0.25">
      <c r="A57" s="114" t="s">
        <v>48</v>
      </c>
      <c r="B57" s="115"/>
      <c r="C57" s="145"/>
      <c r="D57" s="117" t="s">
        <v>249</v>
      </c>
      <c r="E57" s="117"/>
      <c r="F57" s="117"/>
      <c r="G57" s="117"/>
      <c r="H57" s="117"/>
    </row>
    <row r="58" spans="1:14" ht="15.75" customHeight="1" x14ac:dyDescent="0.25">
      <c r="A58" s="114" t="s">
        <v>95</v>
      </c>
      <c r="B58" s="115"/>
      <c r="C58" s="115"/>
      <c r="D58" s="116" t="s">
        <v>249</v>
      </c>
      <c r="E58" s="117"/>
      <c r="F58" s="117"/>
      <c r="G58" s="117"/>
      <c r="H58" s="117"/>
    </row>
    <row r="59" spans="1:14" ht="15.75" customHeight="1" x14ac:dyDescent="0.25">
      <c r="A59" s="84" t="s">
        <v>45</v>
      </c>
      <c r="B59" s="84"/>
      <c r="C59" s="84"/>
      <c r="D59" s="64" t="s">
        <v>207</v>
      </c>
      <c r="E59" s="64"/>
      <c r="F59" s="64"/>
      <c r="G59" s="64"/>
      <c r="H59" s="64"/>
      <c r="I59" s="64" t="s">
        <v>207</v>
      </c>
      <c r="J59" s="64"/>
      <c r="K59" s="64"/>
      <c r="L59" s="64"/>
      <c r="M59" s="64"/>
      <c r="N59" s="34"/>
    </row>
    <row r="60" spans="1:14" ht="15.75" customHeight="1" x14ac:dyDescent="0.25">
      <c r="A60" s="84" t="s">
        <v>93</v>
      </c>
      <c r="B60" s="84"/>
      <c r="C60" s="84"/>
      <c r="D60" s="65" t="str">
        <f>(IF(G53="NA","60 Years After Completion",IF(G53&lt;&gt;"NA",""&amp;60-ROUNDDOWN((E3-G53)/360,0)&amp;" Years"," ")))</f>
        <v>60 Years After Completion</v>
      </c>
      <c r="E60" s="66"/>
      <c r="F60" s="66"/>
      <c r="G60" s="66"/>
      <c r="H60" s="67"/>
      <c r="I60" s="65" t="str">
        <f>(IF(L53="NA","60 Years After Completion",IF(L53&lt;&gt;"NA",""&amp;60-ROUNDDOWN((J3-L53)/360,0)&amp;" Years"," ")))</f>
        <v>60 Years</v>
      </c>
      <c r="J60" s="66"/>
      <c r="K60" s="66"/>
      <c r="L60" s="66"/>
      <c r="M60" s="67"/>
      <c r="N60" s="34"/>
    </row>
    <row r="61" spans="1:14" ht="15.75" customHeight="1" x14ac:dyDescent="0.25">
      <c r="A61" s="84" t="s">
        <v>94</v>
      </c>
      <c r="B61" s="84"/>
      <c r="C61" s="84"/>
      <c r="D61" s="64" t="s">
        <v>23</v>
      </c>
      <c r="E61" s="64"/>
      <c r="F61" s="64"/>
      <c r="G61" s="64"/>
      <c r="H61" s="64"/>
      <c r="J61" s="13"/>
      <c r="K61" s="13"/>
    </row>
    <row r="62" spans="1:14" ht="15" customHeight="1" x14ac:dyDescent="0.25">
      <c r="A62" s="84" t="s">
        <v>77</v>
      </c>
      <c r="B62" s="84"/>
      <c r="C62" s="84"/>
      <c r="D62" s="89" t="s">
        <v>183</v>
      </c>
      <c r="E62" s="64"/>
      <c r="F62" s="64"/>
      <c r="G62" s="64"/>
      <c r="H62" s="64"/>
    </row>
    <row r="63" spans="1:14" x14ac:dyDescent="0.25">
      <c r="A63" s="64" t="s">
        <v>157</v>
      </c>
      <c r="B63" s="64"/>
      <c r="C63" s="64"/>
      <c r="D63" s="64" t="s">
        <v>28</v>
      </c>
      <c r="E63" s="64"/>
      <c r="F63" s="64"/>
      <c r="G63" s="64"/>
      <c r="H63" s="64"/>
      <c r="I63" s="37"/>
      <c r="J63" s="37"/>
      <c r="K63" s="37"/>
      <c r="L63" s="37"/>
      <c r="M63" s="37"/>
      <c r="N63" s="37"/>
    </row>
    <row r="64" spans="1:14" ht="15.75" customHeight="1" x14ac:dyDescent="0.25">
      <c r="A64" s="127" t="s">
        <v>92</v>
      </c>
      <c r="B64" s="127"/>
      <c r="C64" s="127"/>
      <c r="D64" s="128" t="str">
        <f ca="1">(IF(G70&gt;95%,"Nothing",IF(G70&gt;0%,"Cement, Aggregate, Steel, etc",IF(G70=0%,"Work not yet Started"))))</f>
        <v>Cement, Aggregate, Steel, etc</v>
      </c>
      <c r="E64" s="128"/>
      <c r="F64" s="128"/>
      <c r="G64" s="128"/>
      <c r="H64" s="128"/>
      <c r="J64" s="13"/>
    </row>
    <row r="65" spans="1:10" ht="33.75" customHeight="1" thickBot="1" x14ac:dyDescent="0.3">
      <c r="A65" s="138" t="s">
        <v>125</v>
      </c>
      <c r="B65" s="138"/>
      <c r="C65" s="138"/>
      <c r="D65" s="128" t="str">
        <f ca="1">(IF(D64="Nothing","Yes",IF(D64="Cement, Aggregate, Steel, etc","Under Construction",IF(D64="Work not yet Started","Work not yet Started"))))</f>
        <v>Under Construction</v>
      </c>
      <c r="E65" s="128"/>
      <c r="F65" s="128" t="str">
        <f ca="1">(IF(D64="Nothing","Yes",IF(D64="Cement, Aggregate, Steel, etc","Under Construction",IF(D64="Work not yet Started","Work not yet Started"))))</f>
        <v>Under Construction</v>
      </c>
      <c r="G65" s="128"/>
      <c r="H65" s="128"/>
    </row>
    <row r="66" spans="1:10" ht="15.75" customHeight="1" x14ac:dyDescent="0.25">
      <c r="A66" s="132" t="s">
        <v>149</v>
      </c>
      <c r="B66" s="133"/>
      <c r="C66" s="134" t="str">
        <f>D58</f>
        <v>Building No. 02(Brooklyn) = 2B + LG + UG + 3P + 1st to 40th Floor</v>
      </c>
      <c r="D66" s="135"/>
      <c r="E66" s="135"/>
      <c r="F66" s="135"/>
      <c r="G66" s="135"/>
      <c r="H66" s="136"/>
      <c r="I66" s="35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Plinth, RCC, Brick, Plaster, Flooring, Painting work Completed. Finishing work is in process.</v>
      </c>
      <c r="J66" s="15"/>
    </row>
    <row r="67" spans="1:10" x14ac:dyDescent="0.25">
      <c r="A67" s="41" t="s">
        <v>151</v>
      </c>
      <c r="B67" s="42">
        <v>2</v>
      </c>
      <c r="C67" s="42" t="s">
        <v>74</v>
      </c>
      <c r="D67" s="42">
        <v>1</v>
      </c>
      <c r="E67" s="42" t="s">
        <v>73</v>
      </c>
      <c r="F67" s="42">
        <v>3</v>
      </c>
      <c r="G67" s="42" t="s">
        <v>86</v>
      </c>
      <c r="H67" s="43">
        <f ca="1">--TRIM(RIGHT(SUBSTITUTE(LEFT(C66,_xlfn.AGGREGATE(16,6,FIND({0,1,2,3,4,5,6,7,8,9},C66,ROW(INDIRECT("1:"&amp;LEN(C66)))),1))," ",REPT(" ",LEN(C66))),LEN(C66)))</f>
        <v>40</v>
      </c>
      <c r="I67" s="13"/>
      <c r="J67" s="16"/>
    </row>
    <row r="68" spans="1:10" ht="33.75" customHeight="1" x14ac:dyDescent="0.25">
      <c r="A68" s="130" t="s">
        <v>96</v>
      </c>
      <c r="B68" s="131"/>
      <c r="C68" s="118" t="str">
        <f ca="1">I66</f>
        <v>Plinth, RCC, Brick, Plaster, Flooring, Painting work Completed. Finishing work is in process.</v>
      </c>
      <c r="D68" s="118"/>
      <c r="E68" s="118"/>
      <c r="F68" s="118"/>
      <c r="G68" s="118"/>
      <c r="H68" s="137"/>
      <c r="I68" s="13" t="s">
        <v>111</v>
      </c>
      <c r="J68" s="16"/>
    </row>
    <row r="69" spans="1:10" ht="15.75" customHeight="1" x14ac:dyDescent="0.25">
      <c r="A69" s="107" t="s">
        <v>49</v>
      </c>
      <c r="B69" s="108"/>
      <c r="C69" s="36" t="s">
        <v>148</v>
      </c>
      <c r="D69" s="36" t="s">
        <v>89</v>
      </c>
      <c r="E69" s="108" t="s">
        <v>91</v>
      </c>
      <c r="F69" s="108"/>
      <c r="G69" s="108" t="s">
        <v>90</v>
      </c>
      <c r="H69" s="129"/>
      <c r="I69" s="44" t="s">
        <v>150</v>
      </c>
      <c r="J69" s="17">
        <f ca="1">H67*25%</f>
        <v>10</v>
      </c>
    </row>
    <row r="70" spans="1:10" x14ac:dyDescent="0.25">
      <c r="A70" s="107" t="s">
        <v>137</v>
      </c>
      <c r="B70" s="108"/>
      <c r="C70" s="45">
        <f ca="1">J71</f>
        <v>40</v>
      </c>
      <c r="D70" s="38">
        <f ca="1">((100/H67)*C70)/100</f>
        <v>1</v>
      </c>
      <c r="E70" s="139">
        <f ca="1">(((C71/H67*10)+(40/(D67+F67+H67)*C72)+(7.5/(H67)*C73)+(7.5/(H67)*C74)+(10/H67*C75)+(10/H67*C76)+(5/H67*C77)+(5/H67*C78)+(5/H67*C79))/100)</f>
        <v>0.9425</v>
      </c>
      <c r="F70" s="139"/>
      <c r="G70" s="139">
        <f ca="1">((((C70/H67)*20)+((C71/H67)*25)+(30/(H67+F67+D67)*C72)+(5/H67*C73)+(5/H67*C74)+(5/H67*C75)+(5/H67*C76)+(0/H67*C77)+(0/H67*C78)+(5/H67*C79))/100)</f>
        <v>0.95</v>
      </c>
      <c r="H70" s="141"/>
      <c r="I70" s="44" t="s">
        <v>106</v>
      </c>
      <c r="J70" s="46">
        <f ca="1">H67*50%</f>
        <v>20</v>
      </c>
    </row>
    <row r="71" spans="1:10" x14ac:dyDescent="0.25">
      <c r="A71" s="107" t="s">
        <v>50</v>
      </c>
      <c r="B71" s="108"/>
      <c r="C71" s="47">
        <f ca="1">J79</f>
        <v>40</v>
      </c>
      <c r="D71" s="38">
        <f ca="1">((100/H67)*C71)/100</f>
        <v>1</v>
      </c>
      <c r="E71" s="139"/>
      <c r="F71" s="139"/>
      <c r="G71" s="139"/>
      <c r="H71" s="141"/>
      <c r="I71" s="44" t="s">
        <v>107</v>
      </c>
      <c r="J71" s="46">
        <f ca="1">H67</f>
        <v>40</v>
      </c>
    </row>
    <row r="72" spans="1:10" ht="15.75" customHeight="1" x14ac:dyDescent="0.25">
      <c r="A72" s="107" t="s">
        <v>138</v>
      </c>
      <c r="B72" s="108"/>
      <c r="C72" s="47">
        <f ca="1">D67+F67+H67</f>
        <v>44</v>
      </c>
      <c r="D72" s="38">
        <f ca="1">((100/(D67+F67+H67))*C72)/100</f>
        <v>1.0000000000000002</v>
      </c>
      <c r="E72" s="139"/>
      <c r="F72" s="139"/>
      <c r="G72" s="139"/>
      <c r="H72" s="141"/>
      <c r="I72" s="44" t="s">
        <v>108</v>
      </c>
      <c r="J72" s="48">
        <f ca="1">(IF(B67&gt;1,(H67/(B67+2)),H67/4))</f>
        <v>10</v>
      </c>
    </row>
    <row r="73" spans="1:10" ht="15.75" customHeight="1" x14ac:dyDescent="0.25">
      <c r="A73" s="107" t="s">
        <v>145</v>
      </c>
      <c r="B73" s="108" t="s">
        <v>139</v>
      </c>
      <c r="C73" s="47">
        <f ca="1">C72-D67-F67</f>
        <v>40</v>
      </c>
      <c r="D73" s="38">
        <f ca="1">((100/H67)*C73)/100</f>
        <v>1</v>
      </c>
      <c r="E73" s="139"/>
      <c r="F73" s="139"/>
      <c r="G73" s="139"/>
      <c r="H73" s="141"/>
      <c r="I73" s="44" t="s">
        <v>109</v>
      </c>
      <c r="J73" s="48">
        <f ca="1">(IF(B67&gt;1,(H67/(B67+2)+J72),H67/4+J72))</f>
        <v>20</v>
      </c>
    </row>
    <row r="74" spans="1:10" ht="15.75" customHeight="1" x14ac:dyDescent="0.25">
      <c r="A74" s="107" t="s">
        <v>146</v>
      </c>
      <c r="B74" s="108" t="s">
        <v>139</v>
      </c>
      <c r="C74" s="47">
        <v>40</v>
      </c>
      <c r="D74" s="38">
        <f ca="1">((100/H67)*C74)/100</f>
        <v>1</v>
      </c>
      <c r="E74" s="139"/>
      <c r="F74" s="139"/>
      <c r="G74" s="139"/>
      <c r="H74" s="141"/>
      <c r="I74" s="44" t="s">
        <v>155</v>
      </c>
      <c r="J74" s="48">
        <f ca="1">(IF(B67&gt;1,(H67/(B67+2)+J73),0))</f>
        <v>30</v>
      </c>
    </row>
    <row r="75" spans="1:10" ht="15" customHeight="1" x14ac:dyDescent="0.25">
      <c r="A75" s="107" t="s">
        <v>144</v>
      </c>
      <c r="B75" s="108" t="s">
        <v>141</v>
      </c>
      <c r="C75" s="47">
        <v>40</v>
      </c>
      <c r="D75" s="38">
        <f ca="1">((100/(H67))*C75)/100</f>
        <v>1</v>
      </c>
      <c r="E75" s="139"/>
      <c r="F75" s="139"/>
      <c r="G75" s="139"/>
      <c r="H75" s="141"/>
      <c r="I75" s="44" t="s">
        <v>152</v>
      </c>
      <c r="J75" s="48">
        <f>(IF(B67&gt;2,(H67/(B67+2)+J74),0))</f>
        <v>0</v>
      </c>
    </row>
    <row r="76" spans="1:10" ht="15.75" customHeight="1" x14ac:dyDescent="0.25">
      <c r="A76" s="107" t="s">
        <v>140</v>
      </c>
      <c r="B76" s="108" t="s">
        <v>140</v>
      </c>
      <c r="C76" s="45">
        <v>40</v>
      </c>
      <c r="D76" s="38">
        <f ca="1">((100/H67)*C76)/100</f>
        <v>1</v>
      </c>
      <c r="E76" s="139"/>
      <c r="F76" s="139"/>
      <c r="G76" s="139"/>
      <c r="H76" s="141"/>
      <c r="I76" s="44" t="s">
        <v>153</v>
      </c>
      <c r="J76" s="49">
        <f>(IF(B67&gt;3,(H67/(B67+2)+J75),0))</f>
        <v>0</v>
      </c>
    </row>
    <row r="77" spans="1:10" ht="15.75" customHeight="1" x14ac:dyDescent="0.25">
      <c r="A77" s="107" t="s">
        <v>147</v>
      </c>
      <c r="B77" s="108"/>
      <c r="C77" s="45">
        <v>40</v>
      </c>
      <c r="D77" s="38">
        <f ca="1">((100/H67)*C77)/100</f>
        <v>1</v>
      </c>
      <c r="E77" s="139"/>
      <c r="F77" s="139"/>
      <c r="G77" s="139"/>
      <c r="H77" s="141"/>
      <c r="I77" s="44" t="s">
        <v>154</v>
      </c>
      <c r="J77" s="48">
        <f>(IF(B67&gt;4,(H67/(B67+2)+J76),0))</f>
        <v>0</v>
      </c>
    </row>
    <row r="78" spans="1:10" ht="15.75" customHeight="1" x14ac:dyDescent="0.25">
      <c r="A78" s="107" t="s">
        <v>142</v>
      </c>
      <c r="B78" s="108" t="s">
        <v>142</v>
      </c>
      <c r="C78" s="45">
        <v>34</v>
      </c>
      <c r="D78" s="38">
        <f ca="1">((100/(H67))*C78)/100</f>
        <v>0.85</v>
      </c>
      <c r="E78" s="139"/>
      <c r="F78" s="139"/>
      <c r="G78" s="139"/>
      <c r="H78" s="141"/>
      <c r="I78" s="44" t="s">
        <v>156</v>
      </c>
      <c r="J78" s="48">
        <f>(IF(B67=1,(H67/(B67+3)+J73),IF(B67=0,(H67/4+J73),IF(B67&gt;1,0))))</f>
        <v>0</v>
      </c>
    </row>
    <row r="79" spans="1:10" ht="16.5" thickBot="1" x14ac:dyDescent="0.3">
      <c r="A79" s="143" t="s">
        <v>143</v>
      </c>
      <c r="B79" s="144"/>
      <c r="C79" s="50">
        <v>0</v>
      </c>
      <c r="D79" s="39">
        <f ca="1">((100/(H67))*C79)/100</f>
        <v>0</v>
      </c>
      <c r="E79" s="140"/>
      <c r="F79" s="140"/>
      <c r="G79" s="140"/>
      <c r="H79" s="142"/>
      <c r="I79" s="51" t="s">
        <v>110</v>
      </c>
      <c r="J79" s="52">
        <f ca="1">(IF(B67&gt;1.5,(H67/(B67+2)+J73+MAX(0,J74-J73)+MAX(0,J75-J74)+MAX(0,J76-J75)+MAX(0,J77-J76)+MAX(0,J78-J77)),IF(B67=1,(H67/(B67+3)+J78),IF(B67=0,H67/4+J78))))</f>
        <v>40</v>
      </c>
    </row>
    <row r="80" spans="1:10" x14ac:dyDescent="0.25">
      <c r="A80" s="109" t="s">
        <v>51</v>
      </c>
      <c r="B80" s="109"/>
      <c r="C80" s="109"/>
      <c r="D80" s="109"/>
      <c r="E80" s="109"/>
      <c r="F80" s="109"/>
      <c r="G80" s="109"/>
      <c r="H80" s="109"/>
    </row>
    <row r="81" spans="1:11" x14ac:dyDescent="0.25">
      <c r="A81" s="84" t="s">
        <v>78</v>
      </c>
      <c r="B81" s="84"/>
      <c r="C81" s="84"/>
      <c r="D81" s="84"/>
      <c r="E81" s="84"/>
      <c r="F81" s="92">
        <v>12000</v>
      </c>
      <c r="G81" s="92"/>
      <c r="H81" s="92"/>
      <c r="I81" s="3" t="s">
        <v>185</v>
      </c>
      <c r="J81" s="3" t="s">
        <v>184</v>
      </c>
      <c r="K81" s="33">
        <v>45348</v>
      </c>
    </row>
    <row r="82" spans="1:11" x14ac:dyDescent="0.25">
      <c r="A82" s="84" t="s">
        <v>84</v>
      </c>
      <c r="B82" s="84"/>
      <c r="C82" s="84"/>
      <c r="D82" s="84"/>
      <c r="E82" s="84"/>
      <c r="F82" s="92">
        <v>16000</v>
      </c>
      <c r="G82" s="92"/>
      <c r="H82" s="92"/>
    </row>
    <row r="83" spans="1:11" x14ac:dyDescent="0.25">
      <c r="A83" s="84" t="s">
        <v>85</v>
      </c>
      <c r="B83" s="84"/>
      <c r="C83" s="84"/>
      <c r="D83" s="84"/>
      <c r="E83" s="84"/>
      <c r="F83" s="92">
        <v>13000</v>
      </c>
      <c r="G83" s="92"/>
      <c r="H83" s="92"/>
    </row>
    <row r="84" spans="1:11" s="7" customFormat="1" x14ac:dyDescent="0.25">
      <c r="A84" s="84" t="s">
        <v>100</v>
      </c>
      <c r="B84" s="84"/>
      <c r="C84" s="84"/>
      <c r="D84" s="84"/>
      <c r="E84" s="84"/>
      <c r="F84" s="92" t="s">
        <v>186</v>
      </c>
      <c r="G84" s="92"/>
      <c r="H84" s="92"/>
      <c r="I84" s="7" t="s">
        <v>187</v>
      </c>
    </row>
    <row r="85" spans="1:11" s="7" customFormat="1" hidden="1" x14ac:dyDescent="0.25">
      <c r="A85" s="84" t="s">
        <v>101</v>
      </c>
      <c r="B85" s="84"/>
      <c r="C85" s="84"/>
      <c r="D85" s="84"/>
      <c r="E85" s="84"/>
      <c r="F85" s="92" t="s">
        <v>28</v>
      </c>
      <c r="G85" s="92"/>
      <c r="H85" s="92"/>
    </row>
    <row r="86" spans="1:11" s="7" customFormat="1" x14ac:dyDescent="0.25">
      <c r="A86" s="84" t="s">
        <v>177</v>
      </c>
      <c r="B86" s="84"/>
      <c r="C86" s="84"/>
      <c r="D86" s="84"/>
      <c r="E86" s="84"/>
      <c r="F86" s="92" t="s">
        <v>176</v>
      </c>
      <c r="G86" s="92"/>
      <c r="H86" s="92"/>
    </row>
    <row r="87" spans="1:11" s="7" customFormat="1" hidden="1" x14ac:dyDescent="0.25">
      <c r="A87" s="84" t="s">
        <v>102</v>
      </c>
      <c r="B87" s="84"/>
      <c r="C87" s="84"/>
      <c r="D87" s="84"/>
      <c r="E87" s="84"/>
      <c r="F87" s="92" t="s">
        <v>28</v>
      </c>
      <c r="G87" s="92"/>
      <c r="H87" s="92"/>
    </row>
    <row r="88" spans="1:11" s="7" customFormat="1" hidden="1" x14ac:dyDescent="0.25">
      <c r="A88" s="84" t="s">
        <v>103</v>
      </c>
      <c r="B88" s="84"/>
      <c r="C88" s="84"/>
      <c r="D88" s="84"/>
      <c r="E88" s="84"/>
      <c r="F88" s="92" t="s">
        <v>28</v>
      </c>
      <c r="G88" s="92"/>
      <c r="H88" s="92"/>
    </row>
    <row r="89" spans="1:11" s="7" customFormat="1" hidden="1" x14ac:dyDescent="0.25">
      <c r="A89" s="84" t="s">
        <v>104</v>
      </c>
      <c r="B89" s="84"/>
      <c r="C89" s="84"/>
      <c r="D89" s="84"/>
      <c r="E89" s="84"/>
      <c r="F89" s="92" t="s">
        <v>28</v>
      </c>
      <c r="G89" s="92"/>
      <c r="H89" s="92"/>
    </row>
    <row r="90" spans="1:11" s="7" customFormat="1" hidden="1" x14ac:dyDescent="0.25">
      <c r="A90" s="84" t="s">
        <v>105</v>
      </c>
      <c r="B90" s="84"/>
      <c r="C90" s="84"/>
      <c r="D90" s="84"/>
      <c r="E90" s="84"/>
      <c r="F90" s="92" t="s">
        <v>28</v>
      </c>
      <c r="G90" s="92"/>
      <c r="H90" s="92"/>
    </row>
    <row r="91" spans="1:11" x14ac:dyDescent="0.25">
      <c r="A91" s="84" t="s">
        <v>52</v>
      </c>
      <c r="B91" s="84"/>
      <c r="C91" s="84"/>
      <c r="D91" s="84"/>
      <c r="E91" s="84"/>
      <c r="F91" s="91" t="s">
        <v>189</v>
      </c>
      <c r="G91" s="91"/>
      <c r="H91" s="91"/>
      <c r="I91" s="3" t="s">
        <v>188</v>
      </c>
    </row>
    <row r="92" spans="1:11" s="4" customFormat="1" x14ac:dyDescent="0.25">
      <c r="A92" s="109" t="s">
        <v>53</v>
      </c>
      <c r="B92" s="109"/>
      <c r="C92" s="109"/>
      <c r="D92" s="109"/>
      <c r="E92" s="109"/>
      <c r="F92" s="92">
        <f>F81*0.8</f>
        <v>9600</v>
      </c>
      <c r="G92" s="92"/>
      <c r="H92" s="92"/>
    </row>
    <row r="93" spans="1:11" s="1" customFormat="1" ht="15.75" customHeight="1" x14ac:dyDescent="0.25">
      <c r="A93" s="165" t="s">
        <v>79</v>
      </c>
      <c r="B93" s="165"/>
      <c r="C93" s="165"/>
      <c r="D93" s="165"/>
      <c r="E93" s="165"/>
      <c r="F93" s="165"/>
      <c r="G93" s="165"/>
      <c r="H93" s="165"/>
    </row>
    <row r="94" spans="1:11" s="1" customFormat="1" ht="15.75" customHeight="1" x14ac:dyDescent="0.25">
      <c r="A94" s="98" t="s">
        <v>54</v>
      </c>
      <c r="B94" s="98"/>
      <c r="C94" s="125" t="s">
        <v>82</v>
      </c>
      <c r="D94" s="125"/>
      <c r="E94" s="123" t="s">
        <v>55</v>
      </c>
      <c r="F94" s="123"/>
      <c r="G94" s="98" t="s">
        <v>56</v>
      </c>
      <c r="H94" s="98"/>
    </row>
    <row r="95" spans="1:11" s="1" customFormat="1" x14ac:dyDescent="0.25">
      <c r="A95" s="164" t="s">
        <v>196</v>
      </c>
      <c r="B95" s="164"/>
      <c r="C95" s="126">
        <f>COUNT(D109:D118)</f>
        <v>10</v>
      </c>
      <c r="D95" s="126"/>
      <c r="E95" s="110">
        <f>SUM(D109:D118)</f>
        <v>5697.8157599999995</v>
      </c>
      <c r="F95" s="111"/>
      <c r="G95" s="110">
        <f>SUM(F109:F118)</f>
        <v>9116.5052160000014</v>
      </c>
      <c r="H95" s="111"/>
    </row>
    <row r="96" spans="1:11" s="1" customFormat="1" x14ac:dyDescent="0.25">
      <c r="A96" s="164" t="s">
        <v>178</v>
      </c>
      <c r="B96" s="164"/>
      <c r="C96" s="126">
        <f>COUNT(D121:D123)</f>
        <v>3</v>
      </c>
      <c r="D96" s="126"/>
      <c r="E96" s="110">
        <f>SUM(D121:D123)</f>
        <v>5340.9891600000001</v>
      </c>
      <c r="F96" s="111"/>
      <c r="G96" s="110">
        <f>SUM(F121:F123)</f>
        <v>8545.5826560000005</v>
      </c>
      <c r="H96" s="111"/>
    </row>
    <row r="97" spans="1:14" s="1" customFormat="1" x14ac:dyDescent="0.25">
      <c r="A97" s="165" t="s">
        <v>229</v>
      </c>
      <c r="B97" s="165"/>
      <c r="C97" s="125">
        <f>SUM(C95:C96)</f>
        <v>13</v>
      </c>
      <c r="D97" s="125"/>
      <c r="E97" s="169">
        <f>SUM(E95:E96)</f>
        <v>11038.804919999999</v>
      </c>
      <c r="F97" s="123"/>
      <c r="G97" s="169">
        <f>SUM(G95:G96)</f>
        <v>17662.087872000004</v>
      </c>
      <c r="H97" s="123"/>
    </row>
    <row r="98" spans="1:14" s="1" customFormat="1" x14ac:dyDescent="0.25">
      <c r="A98" s="165" t="s">
        <v>72</v>
      </c>
      <c r="B98" s="165"/>
      <c r="C98" s="165"/>
      <c r="D98" s="165"/>
      <c r="E98" s="165"/>
      <c r="F98" s="165"/>
      <c r="G98" s="165"/>
      <c r="H98" s="165"/>
    </row>
    <row r="99" spans="1:14" s="1" customFormat="1" ht="15.75" customHeight="1" x14ac:dyDescent="0.25">
      <c r="A99" s="98" t="s">
        <v>54</v>
      </c>
      <c r="B99" s="98"/>
      <c r="C99" s="125" t="s">
        <v>82</v>
      </c>
      <c r="D99" s="125"/>
      <c r="E99" s="123" t="s">
        <v>55</v>
      </c>
      <c r="F99" s="123"/>
      <c r="G99" s="98" t="s">
        <v>56</v>
      </c>
      <c r="H99" s="98"/>
    </row>
    <row r="100" spans="1:14" s="1" customFormat="1" ht="16.5" customHeight="1" x14ac:dyDescent="0.25">
      <c r="A100" s="164" t="s">
        <v>230</v>
      </c>
      <c r="B100" s="164"/>
      <c r="C100" s="163">
        <f>COUNT(D128:D130)+COUNT(D132:D134)+COUNT(D139:D144)*17+COUNT(D146:D149,D151)*5+COUNT(D153:D158)*12+COUNT(D160:D163,D165)*3+COUNT(D167:D172)</f>
        <v>226</v>
      </c>
      <c r="D100" s="126"/>
      <c r="E100" s="110">
        <f>SUM(D128:D130)+SUM(D132:D134)+SUM(D139:D144)*17+SUM(D146:D149,D151)*5+SUM(D153:D158)*12+SUM(D160:D163,D165)*3+SUM(D167:D172)</f>
        <v>210580.87892399999</v>
      </c>
      <c r="F100" s="111"/>
      <c r="G100" s="110">
        <f>SUM(F128:F130)+SUM(F132:F134)+SUM(F139:F144)*17+SUM(F146:F149,F151)*5+SUM(F153:F158)*12+SUM(F160:F163,F165)*3+SUM(F167:F172)</f>
        <v>340237.54227839998</v>
      </c>
      <c r="H100" s="111"/>
    </row>
    <row r="101" spans="1:14" s="1" customFormat="1" ht="16.5" customHeight="1" x14ac:dyDescent="0.25">
      <c r="A101" s="165" t="s">
        <v>231</v>
      </c>
      <c r="B101" s="165"/>
      <c r="C101" s="125">
        <f>C97+C100</f>
        <v>239</v>
      </c>
      <c r="D101" s="125"/>
      <c r="E101" s="169">
        <f>E97+E100</f>
        <v>221619.68384399998</v>
      </c>
      <c r="F101" s="123"/>
      <c r="G101" s="98">
        <f>G97+G100</f>
        <v>357899.63015039999</v>
      </c>
      <c r="H101" s="98"/>
    </row>
    <row r="102" spans="1:14" s="4" customFormat="1" x14ac:dyDescent="0.25">
      <c r="A102" s="124" t="s">
        <v>57</v>
      </c>
      <c r="B102" s="124"/>
      <c r="C102" s="124"/>
      <c r="D102" s="124"/>
      <c r="E102" s="124"/>
      <c r="F102" s="124"/>
      <c r="G102" s="124"/>
      <c r="H102" s="124"/>
    </row>
    <row r="103" spans="1:14" x14ac:dyDescent="0.25">
      <c r="A103" s="124" t="s">
        <v>58</v>
      </c>
      <c r="B103" s="124"/>
      <c r="C103" s="124"/>
      <c r="D103" s="124"/>
      <c r="E103" s="124"/>
      <c r="F103" s="124"/>
      <c r="G103" s="124"/>
      <c r="H103" s="124"/>
    </row>
    <row r="104" spans="1:14" ht="47.25" customHeight="1" x14ac:dyDescent="0.25">
      <c r="A104" s="99" t="s">
        <v>127</v>
      </c>
      <c r="B104" s="99" t="s">
        <v>126</v>
      </c>
      <c r="C104" s="99" t="s">
        <v>59</v>
      </c>
      <c r="D104" s="99" t="s">
        <v>60</v>
      </c>
      <c r="E104" s="101" t="s">
        <v>61</v>
      </c>
      <c r="F104" s="30" t="s">
        <v>158</v>
      </c>
      <c r="G104" s="103" t="s">
        <v>62</v>
      </c>
      <c r="H104" s="104"/>
    </row>
    <row r="105" spans="1:14" s="2" customFormat="1" x14ac:dyDescent="0.25">
      <c r="A105" s="100"/>
      <c r="B105" s="100"/>
      <c r="C105" s="100"/>
      <c r="D105" s="100"/>
      <c r="E105" s="102"/>
      <c r="F105" s="31">
        <v>0.6</v>
      </c>
      <c r="G105" s="105"/>
      <c r="H105" s="106"/>
    </row>
    <row r="106" spans="1:14" s="2" customFormat="1" x14ac:dyDescent="0.25">
      <c r="A106" s="80" t="s">
        <v>233</v>
      </c>
      <c r="B106" s="81"/>
      <c r="C106" s="81"/>
      <c r="D106" s="81"/>
      <c r="E106" s="81"/>
      <c r="F106" s="81"/>
      <c r="G106" s="81"/>
      <c r="H106" s="82"/>
      <c r="J106" s="32"/>
    </row>
    <row r="107" spans="1:14" s="2" customFormat="1" x14ac:dyDescent="0.25">
      <c r="A107" s="79" t="s">
        <v>218</v>
      </c>
      <c r="B107" s="79"/>
      <c r="C107" s="79"/>
      <c r="D107" s="79"/>
      <c r="E107" s="79"/>
      <c r="F107" s="79"/>
      <c r="G107" s="79"/>
      <c r="H107" s="79"/>
      <c r="I107" s="32"/>
    </row>
    <row r="108" spans="1:14" s="2" customFormat="1" x14ac:dyDescent="0.25">
      <c r="A108" s="80" t="s">
        <v>232</v>
      </c>
      <c r="B108" s="81"/>
      <c r="C108" s="81"/>
      <c r="D108" s="81"/>
      <c r="E108" s="81"/>
      <c r="F108" s="81"/>
      <c r="G108" s="81"/>
      <c r="H108" s="82"/>
      <c r="J108" s="60">
        <v>10.763999999999999</v>
      </c>
    </row>
    <row r="109" spans="1:14" s="2" customFormat="1" ht="15.75" customHeight="1" x14ac:dyDescent="0.25">
      <c r="A109" s="76">
        <v>17</v>
      </c>
      <c r="B109" s="78"/>
      <c r="C109" s="14" t="s">
        <v>196</v>
      </c>
      <c r="D109" s="60">
        <f>((44.24))*10.764</f>
        <v>476.19936000000001</v>
      </c>
      <c r="E109" s="14">
        <v>0</v>
      </c>
      <c r="F109" s="14">
        <f>D109*(($F$105)+1)+(IF(E109&lt;101,E109,IF(E109&lt;201,E109/2,IF(E109&lt;=301,E109/3,E109/4))))</f>
        <v>761.91897600000004</v>
      </c>
      <c r="G109" s="70" t="str">
        <f>A108</f>
        <v>Lower Ground Floor Duplex with 1st Podium Floor/Mezzanine Floor for Commercial &amp; Parking</v>
      </c>
      <c r="H109" s="71"/>
      <c r="I109" s="32"/>
      <c r="L109" s="68"/>
      <c r="M109" s="68"/>
      <c r="N109" s="32"/>
    </row>
    <row r="110" spans="1:14" s="2" customFormat="1" x14ac:dyDescent="0.25">
      <c r="A110" s="76">
        <f t="shared" ref="A110:A118" si="0">A109+1</f>
        <v>18</v>
      </c>
      <c r="B110" s="78"/>
      <c r="C110" s="14" t="s">
        <v>196</v>
      </c>
      <c r="D110" s="60">
        <f>((44.05))*10.764</f>
        <v>474.15419999999995</v>
      </c>
      <c r="E110" s="14">
        <v>0</v>
      </c>
      <c r="F110" s="14">
        <f t="shared" ref="F110:F115" si="1">D110*(($F$105)+1)+(IF(E110&lt;101,E110,IF(E110&lt;201,E110/2,IF(E110&lt;=301,E110/3,E110/4))))</f>
        <v>758.64671999999996</v>
      </c>
      <c r="G110" s="72"/>
      <c r="H110" s="73"/>
      <c r="I110" s="32"/>
      <c r="L110" s="68"/>
      <c r="M110" s="68"/>
      <c r="N110" s="32"/>
    </row>
    <row r="111" spans="1:14" s="2" customFormat="1" x14ac:dyDescent="0.25">
      <c r="A111" s="76">
        <f t="shared" si="0"/>
        <v>19</v>
      </c>
      <c r="B111" s="78"/>
      <c r="C111" s="14" t="s">
        <v>196</v>
      </c>
      <c r="D111" s="60">
        <f>((85.83))*10.764</f>
        <v>923.87411999999995</v>
      </c>
      <c r="E111" s="14">
        <v>0</v>
      </c>
      <c r="F111" s="14">
        <f t="shared" si="1"/>
        <v>1478.198592</v>
      </c>
      <c r="G111" s="72"/>
      <c r="H111" s="73"/>
      <c r="I111" s="32"/>
      <c r="L111" s="68"/>
      <c r="M111" s="68"/>
      <c r="N111" s="32"/>
    </row>
    <row r="112" spans="1:14" s="2" customFormat="1" x14ac:dyDescent="0.25">
      <c r="A112" s="76">
        <f t="shared" si="0"/>
        <v>20</v>
      </c>
      <c r="B112" s="78"/>
      <c r="C112" s="14" t="s">
        <v>196</v>
      </c>
      <c r="D112" s="60">
        <f>((17.07))*10.764</f>
        <v>183.74148</v>
      </c>
      <c r="E112" s="14">
        <v>0</v>
      </c>
      <c r="F112" s="14">
        <f t="shared" si="1"/>
        <v>293.98636800000003</v>
      </c>
      <c r="G112" s="72"/>
      <c r="H112" s="73"/>
      <c r="I112" s="32"/>
      <c r="L112" s="68"/>
      <c r="M112" s="68"/>
      <c r="N112" s="32"/>
    </row>
    <row r="113" spans="1:14" s="2" customFormat="1" x14ac:dyDescent="0.25">
      <c r="A113" s="76">
        <f t="shared" si="0"/>
        <v>21</v>
      </c>
      <c r="B113" s="78"/>
      <c r="C113" s="14" t="s">
        <v>196</v>
      </c>
      <c r="D113" s="57">
        <f>(67.51)*10.764</f>
        <v>726.67764</v>
      </c>
      <c r="E113" s="14">
        <v>0</v>
      </c>
      <c r="F113" s="14">
        <f t="shared" si="1"/>
        <v>1162.6842240000001</v>
      </c>
      <c r="G113" s="72"/>
      <c r="H113" s="73"/>
      <c r="I113" s="55"/>
      <c r="L113" s="68"/>
      <c r="M113" s="68"/>
      <c r="N113" s="32"/>
    </row>
    <row r="114" spans="1:14" s="2" customFormat="1" x14ac:dyDescent="0.25">
      <c r="A114" s="76" t="s">
        <v>194</v>
      </c>
      <c r="B114" s="78"/>
      <c r="C114" s="14" t="s">
        <v>196</v>
      </c>
      <c r="D114" s="57">
        <f>(42.33)*10.764</f>
        <v>455.64011999999997</v>
      </c>
      <c r="E114" s="14">
        <v>0</v>
      </c>
      <c r="F114" s="14">
        <f t="shared" si="1"/>
        <v>729.02419199999997</v>
      </c>
      <c r="G114" s="72"/>
      <c r="H114" s="73"/>
      <c r="I114" s="55"/>
      <c r="L114" s="68"/>
      <c r="M114" s="68"/>
      <c r="N114" s="32"/>
    </row>
    <row r="115" spans="1:14" s="2" customFormat="1" x14ac:dyDescent="0.25">
      <c r="A115" s="76" t="s">
        <v>195</v>
      </c>
      <c r="B115" s="78"/>
      <c r="C115" s="14" t="s">
        <v>196</v>
      </c>
      <c r="D115" s="14">
        <f>(12.72)*10.764</f>
        <v>136.91808</v>
      </c>
      <c r="E115" s="14">
        <v>0</v>
      </c>
      <c r="F115" s="14">
        <f t="shared" si="1"/>
        <v>219.06892800000003</v>
      </c>
      <c r="G115" s="72"/>
      <c r="H115" s="73"/>
      <c r="I115" s="32"/>
      <c r="L115" s="68"/>
      <c r="M115" s="68"/>
      <c r="N115" s="32"/>
    </row>
    <row r="116" spans="1:14" s="2" customFormat="1" x14ac:dyDescent="0.25">
      <c r="A116" s="76">
        <v>23</v>
      </c>
      <c r="B116" s="78"/>
      <c r="C116" s="14" t="s">
        <v>196</v>
      </c>
      <c r="D116" s="57">
        <f>(41.93)*10.764</f>
        <v>451.33452</v>
      </c>
      <c r="E116" s="14">
        <v>0</v>
      </c>
      <c r="F116" s="14">
        <f t="shared" ref="F116:F118" si="2">D116*(($F$105)+1)+(IF(E116&lt;101,E116,IF(E116&lt;201,E116/2,IF(E116&lt;=301,E116/3,E116/4))))</f>
        <v>722.13523200000009</v>
      </c>
      <c r="G116" s="72"/>
      <c r="H116" s="73"/>
      <c r="I116" s="55"/>
      <c r="L116" s="68"/>
      <c r="M116" s="68"/>
      <c r="N116" s="32"/>
    </row>
    <row r="117" spans="1:14" s="2" customFormat="1" x14ac:dyDescent="0.25">
      <c r="A117" s="76">
        <f t="shared" si="0"/>
        <v>24</v>
      </c>
      <c r="B117" s="78"/>
      <c r="C117" s="14" t="s">
        <v>196</v>
      </c>
      <c r="D117" s="14">
        <f>(83.07)*10.764</f>
        <v>894.16547999999989</v>
      </c>
      <c r="E117" s="14">
        <v>0</v>
      </c>
      <c r="F117" s="14">
        <f t="shared" si="2"/>
        <v>1430.6647679999999</v>
      </c>
      <c r="G117" s="72"/>
      <c r="H117" s="73"/>
      <c r="I117" s="32"/>
      <c r="L117" s="68"/>
      <c r="M117" s="68"/>
      <c r="N117" s="32"/>
    </row>
    <row r="118" spans="1:14" s="2" customFormat="1" x14ac:dyDescent="0.25">
      <c r="A118" s="76">
        <f t="shared" si="0"/>
        <v>25</v>
      </c>
      <c r="B118" s="78"/>
      <c r="C118" s="14" t="s">
        <v>196</v>
      </c>
      <c r="D118" s="14">
        <f>(90.59)*10.764</f>
        <v>975.11076000000003</v>
      </c>
      <c r="E118" s="14">
        <v>0</v>
      </c>
      <c r="F118" s="14">
        <f t="shared" si="2"/>
        <v>1560.177216</v>
      </c>
      <c r="G118" s="74"/>
      <c r="H118" s="75"/>
      <c r="I118" s="32"/>
      <c r="L118" s="68"/>
      <c r="M118" s="68"/>
      <c r="N118" s="32"/>
    </row>
    <row r="119" spans="1:14" s="2" customFormat="1" ht="15.75" customHeight="1" x14ac:dyDescent="0.25">
      <c r="A119" s="80" t="s">
        <v>210</v>
      </c>
      <c r="B119" s="81"/>
      <c r="C119" s="81"/>
      <c r="D119" s="81"/>
      <c r="E119" s="81"/>
      <c r="F119" s="81"/>
      <c r="G119" s="81"/>
      <c r="H119" s="82"/>
      <c r="J119" s="32"/>
    </row>
    <row r="120" spans="1:14" s="2" customFormat="1" ht="15.75" customHeight="1" x14ac:dyDescent="0.25">
      <c r="A120" s="80" t="s">
        <v>209</v>
      </c>
      <c r="B120" s="81"/>
      <c r="C120" s="81"/>
      <c r="D120" s="81"/>
      <c r="E120" s="81"/>
      <c r="F120" s="81"/>
      <c r="G120" s="81"/>
      <c r="H120" s="82"/>
      <c r="J120" s="32"/>
    </row>
    <row r="121" spans="1:14" s="2" customFormat="1" ht="15.75" customHeight="1" x14ac:dyDescent="0.25">
      <c r="A121" s="76">
        <v>16</v>
      </c>
      <c r="B121" s="78"/>
      <c r="C121" s="14" t="s">
        <v>178</v>
      </c>
      <c r="D121" s="60">
        <f>((61.39))*10.764</f>
        <v>660.80196000000001</v>
      </c>
      <c r="E121" s="14">
        <v>0</v>
      </c>
      <c r="F121" s="14">
        <f>D121*(($F$105)+1)+(IF(E121&lt;101,E121,IF(E121&lt;201,E121/2,IF(E121&lt;=301,E121/3,E121/4))))</f>
        <v>1057.283136</v>
      </c>
      <c r="G121" s="70" t="str">
        <f>A120</f>
        <v>2nd Podium Floor for Commericial &amp; Parking</v>
      </c>
      <c r="H121" s="71"/>
      <c r="J121" s="32"/>
    </row>
    <row r="122" spans="1:14" s="2" customFormat="1" ht="15.75" customHeight="1" x14ac:dyDescent="0.25">
      <c r="A122" s="76">
        <f t="shared" ref="A122:A123" si="3">A121+1</f>
        <v>17</v>
      </c>
      <c r="B122" s="78"/>
      <c r="C122" s="14" t="s">
        <v>178</v>
      </c>
      <c r="D122" s="60">
        <f>((340.2))*10.764</f>
        <v>3661.9127999999996</v>
      </c>
      <c r="E122" s="14">
        <v>0</v>
      </c>
      <c r="F122" s="14">
        <f t="shared" ref="F122" si="4">D122*(($F$105)+1)+(IF(E122&lt;101,E122,IF(E122&lt;201,E122/2,IF(E122&lt;=301,E122/3,E122/4))))</f>
        <v>5859.0604800000001</v>
      </c>
      <c r="G122" s="72"/>
      <c r="H122" s="73"/>
      <c r="I122" s="32"/>
      <c r="L122" s="68"/>
      <c r="M122" s="68"/>
      <c r="N122" s="32"/>
    </row>
    <row r="123" spans="1:14" s="2" customFormat="1" ht="15.75" customHeight="1" x14ac:dyDescent="0.25">
      <c r="A123" s="76">
        <f t="shared" si="3"/>
        <v>18</v>
      </c>
      <c r="B123" s="78"/>
      <c r="C123" s="14" t="s">
        <v>178</v>
      </c>
      <c r="D123" s="60">
        <f>((94.6))*10.764</f>
        <v>1018.2743999999999</v>
      </c>
      <c r="E123" s="14">
        <v>0</v>
      </c>
      <c r="F123" s="14">
        <f t="shared" ref="F123" si="5">D123*(($F$105)+1)+(IF(E123&lt;101,E123,IF(E123&lt;201,E123/2,IF(E123&lt;=301,E123/3,E123/4))))</f>
        <v>1629.2390399999999</v>
      </c>
      <c r="G123" s="74"/>
      <c r="H123" s="75"/>
      <c r="I123" s="32"/>
      <c r="L123" s="68"/>
      <c r="M123" s="68"/>
      <c r="N123" s="32"/>
    </row>
    <row r="124" spans="1:14" s="2" customFormat="1" x14ac:dyDescent="0.25">
      <c r="A124" s="76"/>
      <c r="B124" s="77"/>
      <c r="C124" s="77"/>
      <c r="D124" s="77"/>
      <c r="E124" s="77"/>
      <c r="F124" s="77"/>
      <c r="G124" s="77"/>
      <c r="H124" s="78"/>
      <c r="J124" s="32"/>
    </row>
    <row r="125" spans="1:14" s="2" customFormat="1" ht="47.25" x14ac:dyDescent="0.25">
      <c r="A125" s="103" t="s">
        <v>128</v>
      </c>
      <c r="B125" s="103" t="s">
        <v>129</v>
      </c>
      <c r="C125" s="99" t="s">
        <v>59</v>
      </c>
      <c r="D125" s="99" t="s">
        <v>60</v>
      </c>
      <c r="E125" s="101" t="s">
        <v>241</v>
      </c>
      <c r="F125" s="30" t="s">
        <v>158</v>
      </c>
      <c r="G125" s="103" t="s">
        <v>62</v>
      </c>
      <c r="H125" s="104"/>
      <c r="I125" s="32"/>
      <c r="K125"/>
      <c r="N125" s="32"/>
    </row>
    <row r="126" spans="1:14" ht="16.5" customHeight="1" x14ac:dyDescent="0.25">
      <c r="A126" s="105"/>
      <c r="B126" s="105"/>
      <c r="C126" s="100"/>
      <c r="D126" s="100"/>
      <c r="E126" s="102"/>
      <c r="F126" s="31">
        <v>0.5</v>
      </c>
      <c r="G126" s="105"/>
      <c r="H126" s="106"/>
      <c r="I126" s="32">
        <f>10.764</f>
        <v>10.763999999999999</v>
      </c>
    </row>
    <row r="127" spans="1:14" s="2" customFormat="1" ht="15.75" customHeight="1" x14ac:dyDescent="0.25">
      <c r="A127" s="80" t="s">
        <v>211</v>
      </c>
      <c r="B127" s="81"/>
      <c r="C127" s="81"/>
      <c r="D127" s="81"/>
      <c r="E127" s="81"/>
      <c r="F127" s="81"/>
      <c r="G127" s="81"/>
      <c r="H127" s="82"/>
      <c r="J127" s="32"/>
    </row>
    <row r="128" spans="1:14" s="2" customFormat="1" ht="47.25" x14ac:dyDescent="0.25">
      <c r="A128" s="69">
        <v>4</v>
      </c>
      <c r="B128" s="69"/>
      <c r="C128" s="14" t="s">
        <v>219</v>
      </c>
      <c r="D128" s="14">
        <f>(187.7+0.7*(3.28+3.65))*10.764</f>
        <v>2072.6189639999998</v>
      </c>
      <c r="E128" s="14">
        <f>(0)*10.764</f>
        <v>0</v>
      </c>
      <c r="F128" s="14">
        <f>D128*(($F$105)+1)+(IF(E128&lt;101,E128,IF(E128&lt;201,E128/2,IF(E128&lt;=301,E128/3,E128/4))))</f>
        <v>3316.1903423999997</v>
      </c>
      <c r="G128" s="70" t="str">
        <f>A127</f>
        <v>3rd Podium Floor for Duplex Residential, Society Office, Fitness Center</v>
      </c>
      <c r="H128" s="71"/>
      <c r="I128" s="58"/>
      <c r="L128" s="68"/>
      <c r="M128" s="68"/>
    </row>
    <row r="129" spans="1:14" s="2" customFormat="1" ht="47.25" x14ac:dyDescent="0.25">
      <c r="A129" s="69">
        <f>A128+1</f>
        <v>5</v>
      </c>
      <c r="B129" s="69"/>
      <c r="C129" s="14" t="s">
        <v>219</v>
      </c>
      <c r="D129" s="14">
        <f>(177.82+0.7*(3.43+3.05))*10.764</f>
        <v>1962.8799839999999</v>
      </c>
      <c r="E129" s="14">
        <f>(3.84)*10.764</f>
        <v>41.333759999999998</v>
      </c>
      <c r="F129" s="14">
        <f>D129*(($F$105)+1)+(IF(E129&lt;101,E129,IF(E129&lt;201,E129/2,IF(E129&lt;=301,E129/3,E129/4))))</f>
        <v>3181.9417343999999</v>
      </c>
      <c r="G129" s="72"/>
      <c r="H129" s="73"/>
      <c r="I129" s="32"/>
      <c r="K129" s="56"/>
      <c r="N129" s="32"/>
    </row>
    <row r="130" spans="1:14" s="2" customFormat="1" ht="47.25" x14ac:dyDescent="0.25">
      <c r="A130" s="69">
        <f>A129+1</f>
        <v>6</v>
      </c>
      <c r="B130" s="69"/>
      <c r="C130" s="14" t="s">
        <v>219</v>
      </c>
      <c r="D130" s="14">
        <f>(186.2+0.7*(3.28+3.65))*10.764</f>
        <v>2056.4729639999996</v>
      </c>
      <c r="E130" s="14">
        <f>(0)*10.764</f>
        <v>0</v>
      </c>
      <c r="F130" s="14">
        <f>D130*(($F$105)+1)+(IF(E130&lt;101,E130,IF(E130&lt;201,E130/2,IF(E130&lt;=301,E130/3,E130/4))))</f>
        <v>3290.3567423999993</v>
      </c>
      <c r="G130" s="74"/>
      <c r="H130" s="75"/>
      <c r="I130" s="32"/>
      <c r="J130" s="2">
        <f>40*6</f>
        <v>240</v>
      </c>
      <c r="K130" s="2">
        <f>J130-(3+5+3+6)</f>
        <v>223</v>
      </c>
      <c r="L130" s="2">
        <f>K130+3</f>
        <v>226</v>
      </c>
      <c r="N130" s="32"/>
    </row>
    <row r="131" spans="1:14" s="2" customFormat="1" ht="15.75" customHeight="1" x14ac:dyDescent="0.25">
      <c r="A131" s="80" t="s">
        <v>212</v>
      </c>
      <c r="B131" s="81"/>
      <c r="C131" s="81"/>
      <c r="D131" s="81"/>
      <c r="E131" s="81"/>
      <c r="F131" s="81"/>
      <c r="G131" s="81"/>
      <c r="H131" s="82"/>
      <c r="J131" s="32"/>
    </row>
    <row r="132" spans="1:14" s="2" customFormat="1" x14ac:dyDescent="0.25">
      <c r="A132" s="69">
        <v>1</v>
      </c>
      <c r="B132" s="69"/>
      <c r="C132" s="14" t="s">
        <v>198</v>
      </c>
      <c r="D132" s="14">
        <f>(70.05+0.7*(3.2+3.65+1.8+1.5))*10.764</f>
        <v>830.49641999999994</v>
      </c>
      <c r="E132" s="14">
        <f>(0)*10.764</f>
        <v>0</v>
      </c>
      <c r="F132" s="14">
        <f>D132*(($F$105)+1)+(IF(E132&lt;101,E132,IF(E132&lt;201,E132/2,IF(E132&lt;=301,E132/3,E132/4))))</f>
        <v>1328.7942720000001</v>
      </c>
      <c r="G132" s="70" t="str">
        <f>A131</f>
        <v>1st Floor For Residential (Part Duplex Area)</v>
      </c>
      <c r="H132" s="71"/>
      <c r="I132" s="58"/>
      <c r="L132" s="68"/>
      <c r="M132" s="68"/>
    </row>
    <row r="133" spans="1:14" s="2" customFormat="1" x14ac:dyDescent="0.25">
      <c r="A133" s="69">
        <f>A132+1</f>
        <v>2</v>
      </c>
      <c r="B133" s="69"/>
      <c r="C133" s="14" t="s">
        <v>197</v>
      </c>
      <c r="D133" s="14">
        <f>(91.19+2.37*0.7+0.6*(3.05+3.35+1.5))*10.764</f>
        <v>1050.4479959999999</v>
      </c>
      <c r="E133" s="14">
        <f>(3.84)*10.764</f>
        <v>41.333759999999998</v>
      </c>
      <c r="F133" s="14">
        <f>D133*(($F$105)+1)+(IF(E133&lt;101,E133,IF(E133&lt;201,E133/2,IF(E133&lt;=301,E133/3,E133/4))))</f>
        <v>1722.0505535999998</v>
      </c>
      <c r="G133" s="72"/>
      <c r="H133" s="73"/>
      <c r="I133" s="32"/>
      <c r="K133" s="56"/>
      <c r="N133" s="32"/>
    </row>
    <row r="134" spans="1:14" s="2" customFormat="1" x14ac:dyDescent="0.25">
      <c r="A134" s="69">
        <f>A133+1</f>
        <v>3</v>
      </c>
      <c r="B134" s="69"/>
      <c r="C134" s="14" t="s">
        <v>198</v>
      </c>
      <c r="D134" s="14">
        <f>(70.05+0.7*(3.2+3.65+1.3+1.5))*10.764</f>
        <v>826.72901999999988</v>
      </c>
      <c r="E134" s="14">
        <f>(0)*10.764</f>
        <v>0</v>
      </c>
      <c r="F134" s="14">
        <f>D134*(($F$105)+1)+(IF(E134&lt;101,E134,IF(E134&lt;201,E134/2,IF(E134&lt;=301,E134/3,E134/4))))</f>
        <v>1322.7664319999999</v>
      </c>
      <c r="G134" s="72"/>
      <c r="H134" s="73"/>
      <c r="I134" s="32"/>
      <c r="N134" s="32"/>
    </row>
    <row r="135" spans="1:14" s="2" customFormat="1" ht="15.75" customHeight="1" x14ac:dyDescent="0.25">
      <c r="A135" s="69">
        <v>4</v>
      </c>
      <c r="B135" s="69"/>
      <c r="C135" s="76" t="s">
        <v>220</v>
      </c>
      <c r="D135" s="77"/>
      <c r="E135" s="77"/>
      <c r="F135" s="78"/>
      <c r="G135" s="72"/>
      <c r="H135" s="73"/>
      <c r="I135" s="58"/>
      <c r="L135" s="68"/>
      <c r="M135" s="68"/>
    </row>
    <row r="136" spans="1:14" s="2" customFormat="1" x14ac:dyDescent="0.25">
      <c r="A136" s="69">
        <f>A135+1</f>
        <v>5</v>
      </c>
      <c r="B136" s="69"/>
      <c r="C136" s="76" t="s">
        <v>220</v>
      </c>
      <c r="D136" s="77"/>
      <c r="E136" s="77"/>
      <c r="F136" s="78"/>
      <c r="G136" s="72"/>
      <c r="H136" s="73"/>
      <c r="I136" s="32"/>
      <c r="K136" s="56"/>
      <c r="N136" s="32"/>
    </row>
    <row r="137" spans="1:14" s="2" customFormat="1" x14ac:dyDescent="0.25">
      <c r="A137" s="69">
        <f>A136+1</f>
        <v>6</v>
      </c>
      <c r="B137" s="69"/>
      <c r="C137" s="76" t="s">
        <v>220</v>
      </c>
      <c r="D137" s="77"/>
      <c r="E137" s="77"/>
      <c r="F137" s="78"/>
      <c r="G137" s="74"/>
      <c r="H137" s="75"/>
      <c r="I137" s="32"/>
      <c r="N137" s="32"/>
    </row>
    <row r="138" spans="1:14" s="2" customFormat="1" x14ac:dyDescent="0.25">
      <c r="A138" s="79" t="s">
        <v>213</v>
      </c>
      <c r="B138" s="79"/>
      <c r="C138" s="79"/>
      <c r="D138" s="79"/>
      <c r="E138" s="79"/>
      <c r="F138" s="79"/>
      <c r="G138" s="79"/>
      <c r="H138" s="79"/>
      <c r="I138" s="32"/>
      <c r="L138" s="68"/>
      <c r="M138" s="68"/>
    </row>
    <row r="139" spans="1:14" s="2" customFormat="1" x14ac:dyDescent="0.25">
      <c r="A139" s="69">
        <v>1</v>
      </c>
      <c r="B139" s="69"/>
      <c r="C139" s="14" t="s">
        <v>198</v>
      </c>
      <c r="D139" s="14">
        <f>(70.05+0.7*(3.2+3.65+1.8+1.5))*10.764</f>
        <v>830.49641999999994</v>
      </c>
      <c r="E139" s="14">
        <f>(0)*10.764</f>
        <v>0</v>
      </c>
      <c r="F139" s="14">
        <f t="shared" ref="F139:F144" si="6">D139*(($F$105)+1)+(IF(E139&lt;101,E139,IF(E139&lt;201,E139/2,IF(E139&lt;=301,E139/3,E139/4))))</f>
        <v>1328.7942720000001</v>
      </c>
      <c r="G139" s="70" t="str">
        <f>A138</f>
        <v>2nd to 3rd, 5th to 7th, 9th to 12th, 14th to 17th, 19th to 22nd Floor</v>
      </c>
      <c r="H139" s="71"/>
      <c r="I139" s="32"/>
      <c r="L139" s="68"/>
      <c r="M139" s="68"/>
    </row>
    <row r="140" spans="1:14" s="2" customFormat="1" x14ac:dyDescent="0.25">
      <c r="A140" s="69">
        <f>A139+1</f>
        <v>2</v>
      </c>
      <c r="B140" s="69"/>
      <c r="C140" s="14" t="s">
        <v>197</v>
      </c>
      <c r="D140" s="14">
        <f>(91.19+2.37*0.7+0.6*(3.05+3.35+1.5))*10.764</f>
        <v>1050.4479959999999</v>
      </c>
      <c r="E140" s="14">
        <f>(3.84)*10.764</f>
        <v>41.333759999999998</v>
      </c>
      <c r="F140" s="14">
        <f t="shared" si="6"/>
        <v>1722.0505535999998</v>
      </c>
      <c r="G140" s="72"/>
      <c r="H140" s="73"/>
      <c r="I140" s="32"/>
      <c r="K140" s="56"/>
      <c r="N140" s="32"/>
    </row>
    <row r="141" spans="1:14" s="2" customFormat="1" x14ac:dyDescent="0.25">
      <c r="A141" s="69">
        <f>A140+1</f>
        <v>3</v>
      </c>
      <c r="B141" s="69"/>
      <c r="C141" s="14" t="s">
        <v>198</v>
      </c>
      <c r="D141" s="14">
        <f t="shared" ref="D141:D142" si="7">(70.05+0.7*(3.2+3.65+1.8+1.5))*10.764</f>
        <v>830.49641999999994</v>
      </c>
      <c r="E141" s="14">
        <f t="shared" ref="E141:E142" si="8">(0)*10.764</f>
        <v>0</v>
      </c>
      <c r="F141" s="14">
        <f t="shared" si="6"/>
        <v>1328.7942720000001</v>
      </c>
      <c r="G141" s="72"/>
      <c r="H141" s="73"/>
      <c r="I141" s="32"/>
      <c r="N141" s="32"/>
    </row>
    <row r="142" spans="1:14" s="2" customFormat="1" x14ac:dyDescent="0.25">
      <c r="A142" s="69">
        <f>A141+1</f>
        <v>4</v>
      </c>
      <c r="B142" s="69"/>
      <c r="C142" s="14" t="s">
        <v>198</v>
      </c>
      <c r="D142" s="14">
        <f t="shared" si="7"/>
        <v>830.49641999999994</v>
      </c>
      <c r="E142" s="14">
        <f t="shared" si="8"/>
        <v>0</v>
      </c>
      <c r="F142" s="14">
        <f t="shared" si="6"/>
        <v>1328.7942720000001</v>
      </c>
      <c r="G142" s="72"/>
      <c r="H142" s="73"/>
      <c r="I142" s="32"/>
      <c r="N142" s="32"/>
    </row>
    <row r="143" spans="1:14" s="2" customFormat="1" x14ac:dyDescent="0.25">
      <c r="A143" s="69">
        <f>A142+1</f>
        <v>5</v>
      </c>
      <c r="B143" s="69"/>
      <c r="C143" s="14" t="s">
        <v>197</v>
      </c>
      <c r="D143" s="14">
        <f>(91.19+2.37*0.7+0.6*(3.05+3.35+1.5))*10.764</f>
        <v>1050.4479959999999</v>
      </c>
      <c r="E143" s="14">
        <f>(3.84)*10.764</f>
        <v>41.333759999999998</v>
      </c>
      <c r="F143" s="14">
        <f t="shared" si="6"/>
        <v>1722.0505535999998</v>
      </c>
      <c r="G143" s="72"/>
      <c r="H143" s="73"/>
      <c r="I143" s="32"/>
      <c r="N143" s="32"/>
    </row>
    <row r="144" spans="1:14" s="2" customFormat="1" x14ac:dyDescent="0.25">
      <c r="A144" s="69">
        <f>A143+1</f>
        <v>6</v>
      </c>
      <c r="B144" s="69"/>
      <c r="C144" s="14" t="s">
        <v>198</v>
      </c>
      <c r="D144" s="14">
        <f>(70.05+0.7*(3.2+3.65+1.8+1.5))*10.764</f>
        <v>830.49641999999994</v>
      </c>
      <c r="E144" s="14">
        <f>(0)*10.764</f>
        <v>0</v>
      </c>
      <c r="F144" s="14">
        <f t="shared" si="6"/>
        <v>1328.7942720000001</v>
      </c>
      <c r="G144" s="74"/>
      <c r="H144" s="75"/>
      <c r="I144" s="32"/>
      <c r="N144" s="32"/>
    </row>
    <row r="145" spans="1:16" s="2" customFormat="1" x14ac:dyDescent="0.25">
      <c r="A145" s="80" t="s">
        <v>199</v>
      </c>
      <c r="B145" s="81"/>
      <c r="C145" s="81"/>
      <c r="D145" s="81"/>
      <c r="E145" s="81"/>
      <c r="F145" s="81"/>
      <c r="G145" s="81"/>
      <c r="H145" s="82"/>
      <c r="I145" s="32"/>
      <c r="N145" s="32"/>
    </row>
    <row r="146" spans="1:16" s="2" customFormat="1" ht="15.75" customHeight="1" x14ac:dyDescent="0.25">
      <c r="A146" s="76">
        <v>1</v>
      </c>
      <c r="B146" s="78"/>
      <c r="C146" s="14" t="s">
        <v>198</v>
      </c>
      <c r="D146" s="14">
        <f>(70.05+0.7*(3.2+3.65+1.8+1.5))*10.764</f>
        <v>830.49641999999994</v>
      </c>
      <c r="E146" s="14">
        <f>(0)*10.764</f>
        <v>0</v>
      </c>
      <c r="F146" s="14">
        <f t="shared" ref="F146:F149" si="9">D146*(($F$105)+1)+(IF(E146&lt;101,E146,IF(E146&lt;201,E146/2,IF(E146&lt;=301,E146/3,E146/4))))</f>
        <v>1328.7942720000001</v>
      </c>
      <c r="G146" s="70" t="str">
        <f>A145</f>
        <v>4th, 8th, 13th, 18th &amp; 23rd Floor (Part Refuge Area)</v>
      </c>
      <c r="H146" s="71"/>
      <c r="I146" s="32"/>
    </row>
    <row r="147" spans="1:16" s="2" customFormat="1" x14ac:dyDescent="0.25">
      <c r="A147" s="76">
        <v>2</v>
      </c>
      <c r="B147" s="78"/>
      <c r="C147" s="14" t="s">
        <v>197</v>
      </c>
      <c r="D147" s="14">
        <f>(91.19+2.37*0.7+0.6*(3.05+3.35+1.5))*10.764</f>
        <v>1050.4479959999999</v>
      </c>
      <c r="E147" s="14">
        <f>(3.84)*10.764</f>
        <v>41.333759999999998</v>
      </c>
      <c r="F147" s="14">
        <f t="shared" si="9"/>
        <v>1722.0505535999998</v>
      </c>
      <c r="G147" s="72"/>
      <c r="H147" s="73"/>
      <c r="I147" s="32"/>
      <c r="N147" s="2" t="str">
        <f t="shared" ref="N147:N151" ca="1" si="10">O147&amp;""&amp;",..,"&amp;""&amp;P147</f>
        <v>401,..,2301</v>
      </c>
      <c r="O147" s="2">
        <f ca="1">(SUMPRODUCT(MID(0&amp;(LEFT(A145,SUM(LEN(A145)-LEN(SUBSTITUTE(A145,{0,1,2},""))))), LARGE(INDEX(ISNUMBER(--MID((LEFT(A145,SUM(LEN(A145)-LEN(SUBSTITUTE(A145,{0,1,2},""))))), ROW(INDIRECT("1:"&amp;LEN((LEFT(A145,SUM(LEN(A145)-LEN(SUBSTITUTE(A145,{0,1,2},"")))))))), 1)) * ROW(INDIRECT("1:"&amp;LEN((LEFT(A145,SUM(LEN(A145)-LEN(SUBSTITUTE(A145,{0,1,2},"")))))))), 0), ROW(INDIRECT("1:"&amp;LEN((LEFT(A145,SUM(LEN(A145)-LEN(SUBSTITUTE(A145,{0,1,2},"")))))))))+1, 1) * 10^ROW(INDIRECT("1:"&amp;LEN((LEFT(A145,SUM(LEN(A145)-LEN(SUBSTITUTE(A145,{0,1,2},""))))))))/10))*100+1</f>
        <v>401</v>
      </c>
      <c r="P147" s="2">
        <f ca="1">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",LEN(A145))),LEN(A145)))))))/10))*100+1</f>
        <v>2301</v>
      </c>
    </row>
    <row r="148" spans="1:16" s="2" customFormat="1" x14ac:dyDescent="0.25">
      <c r="A148" s="76">
        <v>3</v>
      </c>
      <c r="B148" s="78"/>
      <c r="C148" s="14" t="s">
        <v>198</v>
      </c>
      <c r="D148" s="14">
        <f t="shared" ref="D148:D149" si="11">(70.05+0.7*(3.2+3.65+1.8+1.5))*10.764</f>
        <v>830.49641999999994</v>
      </c>
      <c r="E148" s="14">
        <f t="shared" ref="E148:E149" si="12">(0)*10.764</f>
        <v>0</v>
      </c>
      <c r="F148" s="14">
        <f t="shared" si="9"/>
        <v>1328.7942720000001</v>
      </c>
      <c r="G148" s="72"/>
      <c r="H148" s="73"/>
      <c r="I148" s="32"/>
      <c r="N148" s="2" t="str">
        <f t="shared" ca="1" si="10"/>
        <v>402,..,2302</v>
      </c>
      <c r="O148" s="2">
        <f t="shared" ref="O148:P151" ca="1" si="13">O147+1</f>
        <v>402</v>
      </c>
      <c r="P148" s="2">
        <f t="shared" ca="1" si="13"/>
        <v>2302</v>
      </c>
    </row>
    <row r="149" spans="1:16" s="2" customFormat="1" x14ac:dyDescent="0.25">
      <c r="A149" s="76">
        <v>4</v>
      </c>
      <c r="B149" s="78"/>
      <c r="C149" s="14" t="s">
        <v>198</v>
      </c>
      <c r="D149" s="14">
        <f t="shared" si="11"/>
        <v>830.49641999999994</v>
      </c>
      <c r="E149" s="14">
        <f t="shared" si="12"/>
        <v>0</v>
      </c>
      <c r="F149" s="14">
        <f t="shared" si="9"/>
        <v>1328.7942720000001</v>
      </c>
      <c r="G149" s="72"/>
      <c r="H149" s="73"/>
      <c r="I149" s="32"/>
      <c r="N149" s="2" t="str">
        <f t="shared" ca="1" si="10"/>
        <v>403,..,2303</v>
      </c>
      <c r="O149" s="2">
        <f t="shared" ca="1" si="13"/>
        <v>403</v>
      </c>
      <c r="P149" s="2">
        <f t="shared" ca="1" si="13"/>
        <v>2303</v>
      </c>
    </row>
    <row r="150" spans="1:16" s="2" customFormat="1" x14ac:dyDescent="0.25">
      <c r="A150" s="76">
        <v>5</v>
      </c>
      <c r="B150" s="78"/>
      <c r="C150" s="76" t="s">
        <v>200</v>
      </c>
      <c r="D150" s="77"/>
      <c r="E150" s="77"/>
      <c r="F150" s="78"/>
      <c r="G150" s="72"/>
      <c r="H150" s="73"/>
      <c r="I150" s="32"/>
      <c r="N150" s="2" t="str">
        <f t="shared" ca="1" si="10"/>
        <v>404,..,2304</v>
      </c>
      <c r="O150" s="2">
        <f t="shared" ca="1" si="13"/>
        <v>404</v>
      </c>
      <c r="P150" s="2">
        <f t="shared" ca="1" si="13"/>
        <v>2304</v>
      </c>
    </row>
    <row r="151" spans="1:16" s="2" customFormat="1" x14ac:dyDescent="0.25">
      <c r="A151" s="76">
        <v>6</v>
      </c>
      <c r="B151" s="78"/>
      <c r="C151" s="14" t="s">
        <v>198</v>
      </c>
      <c r="D151" s="14">
        <f>(70.05+0.7*(3.2+3.65+1.8+1.5))*10.764</f>
        <v>830.49641999999994</v>
      </c>
      <c r="E151" s="14">
        <f>(0)*10.764</f>
        <v>0</v>
      </c>
      <c r="F151" s="14">
        <f t="shared" ref="F151" si="14">D151*(($F$105)+1)+(IF(E151&lt;101,E151,IF(E151&lt;201,E151/2,IF(E151&lt;=301,E151/3,E151/4))))</f>
        <v>1328.7942720000001</v>
      </c>
      <c r="G151" s="74"/>
      <c r="H151" s="75"/>
      <c r="I151" s="32"/>
      <c r="N151" s="2" t="str">
        <f t="shared" ca="1" si="10"/>
        <v>405,..,2305</v>
      </c>
      <c r="O151" s="2">
        <f t="shared" ca="1" si="13"/>
        <v>405</v>
      </c>
      <c r="P151" s="2">
        <f t="shared" ca="1" si="13"/>
        <v>2305</v>
      </c>
    </row>
    <row r="152" spans="1:16" s="2" customFormat="1" x14ac:dyDescent="0.25">
      <c r="A152" s="79" t="s">
        <v>214</v>
      </c>
      <c r="B152" s="79"/>
      <c r="C152" s="79"/>
      <c r="D152" s="79"/>
      <c r="E152" s="79"/>
      <c r="F152" s="79"/>
      <c r="G152" s="79"/>
      <c r="H152" s="79"/>
      <c r="I152" s="32"/>
      <c r="L152" s="68"/>
      <c r="M152" s="68"/>
    </row>
    <row r="153" spans="1:16" s="2" customFormat="1" x14ac:dyDescent="0.25">
      <c r="A153" s="69">
        <v>1</v>
      </c>
      <c r="B153" s="69"/>
      <c r="C153" s="14" t="s">
        <v>198</v>
      </c>
      <c r="D153" s="14">
        <f>(70.05+0.7*(3.2+3.65+2.45+1.5))*10.764</f>
        <v>835.3940399999999</v>
      </c>
      <c r="E153" s="14">
        <f>(0)*10.764</f>
        <v>0</v>
      </c>
      <c r="F153" s="14">
        <f t="shared" ref="F153:F158" si="15">D153*(($F$105)+1)+(IF(E153&lt;101,E153,IF(E153&lt;201,E153/2,IF(E153&lt;=301,E153/3,E153/4))))</f>
        <v>1336.6304639999998</v>
      </c>
      <c r="G153" s="70" t="str">
        <f>A152</f>
        <v>24th to 27th, 29th to 32nd &amp; 34th to 37th Floor</v>
      </c>
      <c r="H153" s="71"/>
      <c r="I153" s="32"/>
      <c r="L153" s="68"/>
      <c r="M153" s="68"/>
    </row>
    <row r="154" spans="1:16" s="2" customFormat="1" x14ac:dyDescent="0.25">
      <c r="A154" s="69">
        <f>A153+1</f>
        <v>2</v>
      </c>
      <c r="B154" s="69"/>
      <c r="C154" s="14" t="s">
        <v>197</v>
      </c>
      <c r="D154" s="14">
        <f>(91.19+2.37*0.7)*10.764</f>
        <v>999.42663600000003</v>
      </c>
      <c r="E154" s="14">
        <f>(3.84)*10.764</f>
        <v>41.333759999999998</v>
      </c>
      <c r="F154" s="14">
        <f t="shared" si="15"/>
        <v>1640.4163776</v>
      </c>
      <c r="G154" s="72"/>
      <c r="H154" s="73"/>
      <c r="I154" s="32"/>
      <c r="K154" s="56"/>
      <c r="N154" s="32"/>
    </row>
    <row r="155" spans="1:16" s="2" customFormat="1" x14ac:dyDescent="0.25">
      <c r="A155" s="69">
        <f>A154+1</f>
        <v>3</v>
      </c>
      <c r="B155" s="69"/>
      <c r="C155" s="14" t="s">
        <v>198</v>
      </c>
      <c r="D155" s="14">
        <f t="shared" ref="D155:D158" si="16">(70.05+0.7*(3.2+3.65+2.45+1.5))*10.764</f>
        <v>835.3940399999999</v>
      </c>
      <c r="E155" s="14">
        <f t="shared" ref="E155:E156" si="17">(0)*10.764</f>
        <v>0</v>
      </c>
      <c r="F155" s="14">
        <f t="shared" si="15"/>
        <v>1336.6304639999998</v>
      </c>
      <c r="G155" s="72"/>
      <c r="H155" s="73"/>
      <c r="I155" s="32"/>
      <c r="N155" s="32"/>
    </row>
    <row r="156" spans="1:16" s="2" customFormat="1" x14ac:dyDescent="0.25">
      <c r="A156" s="69">
        <f>A155+1</f>
        <v>4</v>
      </c>
      <c r="B156" s="69"/>
      <c r="C156" s="14" t="s">
        <v>198</v>
      </c>
      <c r="D156" s="14">
        <f t="shared" si="16"/>
        <v>835.3940399999999</v>
      </c>
      <c r="E156" s="14">
        <f t="shared" si="17"/>
        <v>0</v>
      </c>
      <c r="F156" s="14">
        <f t="shared" si="15"/>
        <v>1336.6304639999998</v>
      </c>
      <c r="G156" s="72"/>
      <c r="H156" s="73"/>
      <c r="I156" s="32"/>
      <c r="N156" s="32"/>
    </row>
    <row r="157" spans="1:16" s="2" customFormat="1" x14ac:dyDescent="0.25">
      <c r="A157" s="69">
        <f>A156+1</f>
        <v>5</v>
      </c>
      <c r="B157" s="69"/>
      <c r="C157" s="14" t="s">
        <v>197</v>
      </c>
      <c r="D157" s="14">
        <f>(91.19+2.37*0.7)*10.764</f>
        <v>999.42663600000003</v>
      </c>
      <c r="E157" s="14">
        <f>(3.84)*10.764</f>
        <v>41.333759999999998</v>
      </c>
      <c r="F157" s="14">
        <f t="shared" si="15"/>
        <v>1640.4163776</v>
      </c>
      <c r="G157" s="72"/>
      <c r="H157" s="73"/>
      <c r="I157" s="32"/>
      <c r="N157" s="32"/>
    </row>
    <row r="158" spans="1:16" s="2" customFormat="1" x14ac:dyDescent="0.25">
      <c r="A158" s="69">
        <f>A157+1</f>
        <v>6</v>
      </c>
      <c r="B158" s="69"/>
      <c r="C158" s="14" t="s">
        <v>198</v>
      </c>
      <c r="D158" s="14">
        <f t="shared" si="16"/>
        <v>835.3940399999999</v>
      </c>
      <c r="E158" s="14">
        <f>(0)*10.764</f>
        <v>0</v>
      </c>
      <c r="F158" s="14">
        <f t="shared" si="15"/>
        <v>1336.6304639999998</v>
      </c>
      <c r="G158" s="74"/>
      <c r="H158" s="75"/>
      <c r="I158" s="32"/>
      <c r="N158" s="32"/>
    </row>
    <row r="159" spans="1:16" s="2" customFormat="1" x14ac:dyDescent="0.25">
      <c r="A159" s="80" t="s">
        <v>215</v>
      </c>
      <c r="B159" s="81"/>
      <c r="C159" s="81"/>
      <c r="D159" s="81"/>
      <c r="E159" s="81"/>
      <c r="F159" s="81"/>
      <c r="G159" s="81"/>
      <c r="H159" s="82"/>
      <c r="I159" s="32"/>
      <c r="N159" s="32"/>
    </row>
    <row r="160" spans="1:16" s="2" customFormat="1" ht="15.75" customHeight="1" x14ac:dyDescent="0.25">
      <c r="A160" s="76">
        <v>1</v>
      </c>
      <c r="B160" s="78"/>
      <c r="C160" s="14" t="s">
        <v>198</v>
      </c>
      <c r="D160" s="14">
        <f>(70.05+0.7*(3.2+3.65+2.45+1.5))*10.764</f>
        <v>835.3940399999999</v>
      </c>
      <c r="E160" s="14">
        <f>(0)*10.764</f>
        <v>0</v>
      </c>
      <c r="F160" s="14">
        <f t="shared" ref="F160:F163" si="18">D160*(($F$105)+1)+(IF(E160&lt;101,E160,IF(E160&lt;201,E160/2,IF(E160&lt;=301,E160/3,E160/4))))</f>
        <v>1336.6304639999998</v>
      </c>
      <c r="G160" s="70" t="str">
        <f>A159</f>
        <v>28th, 33rd &amp; 38th Floor (Part Refuge Area)</v>
      </c>
      <c r="H160" s="71"/>
      <c r="I160" s="32"/>
    </row>
    <row r="161" spans="1:16" s="2" customFormat="1" x14ac:dyDescent="0.25">
      <c r="A161" s="76">
        <v>2</v>
      </c>
      <c r="B161" s="78"/>
      <c r="C161" s="14" t="s">
        <v>197</v>
      </c>
      <c r="D161" s="14">
        <f>(91.19+2.37*0.7)*10.764</f>
        <v>999.42663600000003</v>
      </c>
      <c r="E161" s="14">
        <f>(3.84)*10.764</f>
        <v>41.333759999999998</v>
      </c>
      <c r="F161" s="14">
        <f t="shared" si="18"/>
        <v>1640.4163776</v>
      </c>
      <c r="G161" s="72"/>
      <c r="H161" s="73"/>
      <c r="I161" s="32"/>
      <c r="N161" s="2" t="str">
        <f t="shared" ref="N161:N165" ca="1" si="19">O161&amp;""&amp;",..,"&amp;""&amp;P161</f>
        <v>201,..,3801</v>
      </c>
      <c r="O161" s="2">
        <f ca="1">(SUMPRODUCT(MID(0&amp;(LEFT(A159,SUM(LEN(A159)-LEN(SUBSTITUTE(A159,{0,1,2},""))))), LARGE(INDEX(ISNUMBER(--MID((LEFT(A159,SUM(LEN(A159)-LEN(SUBSTITUTE(A159,{0,1,2},""))))), ROW(INDIRECT("1:"&amp;LEN((LEFT(A159,SUM(LEN(A159)-LEN(SUBSTITUTE(A159,{0,1,2},"")))))))), 1)) * ROW(INDIRECT("1:"&amp;LEN((LEFT(A159,SUM(LEN(A159)-LEN(SUBSTITUTE(A159,{0,1,2},"")))))))), 0), ROW(INDIRECT("1:"&amp;LEN((LEFT(A159,SUM(LEN(A159)-LEN(SUBSTITUTE(A159,{0,1,2},"")))))))))+1, 1) * 10^ROW(INDIRECT("1:"&amp;LEN((LEFT(A159,SUM(LEN(A159)-LEN(SUBSTITUTE(A159,{0,1,2},""))))))))/10))*100+1</f>
        <v>201</v>
      </c>
      <c r="P161" s="2">
        <f ca="1">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3801</v>
      </c>
    </row>
    <row r="162" spans="1:16" s="2" customFormat="1" x14ac:dyDescent="0.25">
      <c r="A162" s="76">
        <v>3</v>
      </c>
      <c r="B162" s="78"/>
      <c r="C162" s="14" t="s">
        <v>198</v>
      </c>
      <c r="D162" s="14">
        <f t="shared" ref="D162:D163" si="20">(70.05+0.7*(3.2+3.65+2.45+1.5))*10.764</f>
        <v>835.3940399999999</v>
      </c>
      <c r="E162" s="14">
        <f t="shared" ref="E162:E163" si="21">(0)*10.764</f>
        <v>0</v>
      </c>
      <c r="F162" s="14">
        <f t="shared" si="18"/>
        <v>1336.6304639999998</v>
      </c>
      <c r="G162" s="72"/>
      <c r="H162" s="73"/>
      <c r="I162" s="32"/>
      <c r="N162" s="2" t="str">
        <f t="shared" ca="1" si="19"/>
        <v>202,..,3802</v>
      </c>
      <c r="O162" s="2">
        <f t="shared" ref="O162:P162" ca="1" si="22">O161+1</f>
        <v>202</v>
      </c>
      <c r="P162" s="2">
        <f t="shared" ca="1" si="22"/>
        <v>3802</v>
      </c>
    </row>
    <row r="163" spans="1:16" s="2" customFormat="1" x14ac:dyDescent="0.25">
      <c r="A163" s="76">
        <v>4</v>
      </c>
      <c r="B163" s="78"/>
      <c r="C163" s="14" t="s">
        <v>198</v>
      </c>
      <c r="D163" s="14">
        <f t="shared" si="20"/>
        <v>835.3940399999999</v>
      </c>
      <c r="E163" s="14">
        <f t="shared" si="21"/>
        <v>0</v>
      </c>
      <c r="F163" s="14">
        <f t="shared" si="18"/>
        <v>1336.6304639999998</v>
      </c>
      <c r="G163" s="72"/>
      <c r="H163" s="73"/>
      <c r="I163" s="32"/>
      <c r="N163" s="2" t="str">
        <f t="shared" ca="1" si="19"/>
        <v>203,..,3803</v>
      </c>
      <c r="O163" s="2">
        <f t="shared" ref="O163:P163" ca="1" si="23">O162+1</f>
        <v>203</v>
      </c>
      <c r="P163" s="2">
        <f t="shared" ca="1" si="23"/>
        <v>3803</v>
      </c>
    </row>
    <row r="164" spans="1:16" s="2" customFormat="1" x14ac:dyDescent="0.25">
      <c r="A164" s="76">
        <v>5</v>
      </c>
      <c r="B164" s="78"/>
      <c r="C164" s="76" t="s">
        <v>200</v>
      </c>
      <c r="D164" s="77"/>
      <c r="E164" s="77"/>
      <c r="F164" s="78"/>
      <c r="G164" s="72"/>
      <c r="H164" s="73"/>
      <c r="I164" s="32"/>
      <c r="N164" s="2" t="str">
        <f t="shared" ca="1" si="19"/>
        <v>204,..,3804</v>
      </c>
      <c r="O164" s="2">
        <f t="shared" ref="O164:P164" ca="1" si="24">O163+1</f>
        <v>204</v>
      </c>
      <c r="P164" s="2">
        <f t="shared" ca="1" si="24"/>
        <v>3804</v>
      </c>
    </row>
    <row r="165" spans="1:16" s="2" customFormat="1" x14ac:dyDescent="0.25">
      <c r="A165" s="76">
        <v>6</v>
      </c>
      <c r="B165" s="78"/>
      <c r="C165" s="14" t="s">
        <v>198</v>
      </c>
      <c r="D165" s="14">
        <f t="shared" ref="D165" si="25">(70.05+0.7*(3.2+3.65+2.45+1.5))*10.764</f>
        <v>835.3940399999999</v>
      </c>
      <c r="E165" s="14">
        <f>(0)*10.764</f>
        <v>0</v>
      </c>
      <c r="F165" s="14">
        <f t="shared" ref="F165" si="26">D165*(($F$105)+1)+(IF(E165&lt;101,E165,IF(E165&lt;201,E165/2,IF(E165&lt;=301,E165/3,E165/4))))</f>
        <v>1336.6304639999998</v>
      </c>
      <c r="G165" s="74"/>
      <c r="H165" s="75"/>
      <c r="I165" s="32"/>
      <c r="N165" s="2" t="str">
        <f t="shared" ca="1" si="19"/>
        <v>205,..,3805</v>
      </c>
      <c r="O165" s="2">
        <f t="shared" ref="O165:P165" ca="1" si="27">O164+1</f>
        <v>205</v>
      </c>
      <c r="P165" s="2">
        <f t="shared" ca="1" si="27"/>
        <v>3805</v>
      </c>
    </row>
    <row r="166" spans="1:16" s="2" customFormat="1" x14ac:dyDescent="0.25">
      <c r="A166" s="79" t="s">
        <v>216</v>
      </c>
      <c r="B166" s="79"/>
      <c r="C166" s="79"/>
      <c r="D166" s="79"/>
      <c r="E166" s="79"/>
      <c r="F166" s="79"/>
      <c r="G166" s="79"/>
      <c r="H166" s="79"/>
      <c r="I166" s="32"/>
      <c r="L166" s="68"/>
      <c r="M166" s="68"/>
    </row>
    <row r="167" spans="1:16" s="2" customFormat="1" ht="47.25" x14ac:dyDescent="0.25">
      <c r="A167" s="69">
        <v>1</v>
      </c>
      <c r="B167" s="69"/>
      <c r="C167" s="14" t="s">
        <v>221</v>
      </c>
      <c r="D167" s="14">
        <f>(151.88+0.6*(1.5+1.5))*10.764</f>
        <v>1654.2115200000001</v>
      </c>
      <c r="E167" s="14">
        <f>(22.36)*10.764</f>
        <v>240.68303999999998</v>
      </c>
      <c r="F167" s="14">
        <f t="shared" ref="F167:F172" si="28">D167*(($F$105)+1)+(IF(E167&lt;101,E167,IF(E167&lt;201,E167/2,IF(E167&lt;=301,E167/3,E167/4))))</f>
        <v>2726.9661120000001</v>
      </c>
      <c r="G167" s="70" t="str">
        <f>A166</f>
        <v>39th Floor</v>
      </c>
      <c r="H167" s="71"/>
      <c r="I167" s="32"/>
      <c r="L167" s="68"/>
      <c r="M167" s="68"/>
    </row>
    <row r="168" spans="1:16" s="2" customFormat="1" ht="47.25" x14ac:dyDescent="0.25">
      <c r="A168" s="69">
        <f>A167+1</f>
        <v>2</v>
      </c>
      <c r="B168" s="69"/>
      <c r="C168" s="14" t="s">
        <v>222</v>
      </c>
      <c r="D168" s="14">
        <f>(182.38+0.6*(3.05+3.05))*10.764</f>
        <v>2002.5345599999998</v>
      </c>
      <c r="E168" s="14">
        <f>(16.4)*10.764</f>
        <v>176.52959999999999</v>
      </c>
      <c r="F168" s="14">
        <f t="shared" si="28"/>
        <v>3292.3200959999999</v>
      </c>
      <c r="G168" s="72"/>
      <c r="H168" s="73"/>
      <c r="I168" s="32"/>
      <c r="K168" s="56"/>
      <c r="N168" s="32"/>
    </row>
    <row r="169" spans="1:16" s="2" customFormat="1" ht="47.25" x14ac:dyDescent="0.25">
      <c r="A169" s="69">
        <f>A168+1</f>
        <v>3</v>
      </c>
      <c r="B169" s="69"/>
      <c r="C169" s="14" t="s">
        <v>221</v>
      </c>
      <c r="D169" s="14">
        <f t="shared" ref="D169:D170" si="29">(151.88+0.6*(1.5+1.5))*10.764</f>
        <v>1654.2115200000001</v>
      </c>
      <c r="E169" s="14">
        <f t="shared" ref="E169:E170" si="30">(22.36)*10.764</f>
        <v>240.68303999999998</v>
      </c>
      <c r="F169" s="14">
        <f t="shared" si="28"/>
        <v>2726.9661120000001</v>
      </c>
      <c r="G169" s="72"/>
      <c r="H169" s="73"/>
      <c r="I169" s="32"/>
      <c r="N169" s="32"/>
    </row>
    <row r="170" spans="1:16" s="2" customFormat="1" ht="47.25" x14ac:dyDescent="0.25">
      <c r="A170" s="69">
        <f>A169+1</f>
        <v>4</v>
      </c>
      <c r="B170" s="69"/>
      <c r="C170" s="14" t="s">
        <v>221</v>
      </c>
      <c r="D170" s="14">
        <f t="shared" si="29"/>
        <v>1654.2115200000001</v>
      </c>
      <c r="E170" s="14">
        <f t="shared" si="30"/>
        <v>240.68303999999998</v>
      </c>
      <c r="F170" s="14">
        <f t="shared" si="28"/>
        <v>2726.9661120000001</v>
      </c>
      <c r="G170" s="72"/>
      <c r="H170" s="73"/>
      <c r="I170" s="32"/>
      <c r="N170" s="32"/>
    </row>
    <row r="171" spans="1:16" s="2" customFormat="1" ht="47.25" x14ac:dyDescent="0.25">
      <c r="A171" s="69">
        <f>A170+1</f>
        <v>5</v>
      </c>
      <c r="B171" s="69"/>
      <c r="C171" s="14" t="s">
        <v>222</v>
      </c>
      <c r="D171" s="14">
        <f>(182.38+0.6*(3.05+3.05))*10.764</f>
        <v>2002.5345599999998</v>
      </c>
      <c r="E171" s="14">
        <f>(16.4)*10.764</f>
        <v>176.52959999999999</v>
      </c>
      <c r="F171" s="14">
        <f t="shared" si="28"/>
        <v>3292.3200959999999</v>
      </c>
      <c r="G171" s="72"/>
      <c r="H171" s="73"/>
      <c r="I171" s="32"/>
      <c r="N171" s="32"/>
    </row>
    <row r="172" spans="1:16" s="2" customFormat="1" ht="47.25" x14ac:dyDescent="0.25">
      <c r="A172" s="69">
        <f>A171+1</f>
        <v>6</v>
      </c>
      <c r="B172" s="69"/>
      <c r="C172" s="14" t="s">
        <v>221</v>
      </c>
      <c r="D172" s="14">
        <f>(151.88+0.6*(1.5+1.5))*10.764</f>
        <v>1654.2115200000001</v>
      </c>
      <c r="E172" s="14">
        <f>(22.36)*10.764</f>
        <v>240.68303999999998</v>
      </c>
      <c r="F172" s="14">
        <f t="shared" si="28"/>
        <v>2726.9661120000001</v>
      </c>
      <c r="G172" s="74"/>
      <c r="H172" s="75"/>
      <c r="I172" s="32"/>
      <c r="N172" s="32"/>
    </row>
    <row r="173" spans="1:16" s="2" customFormat="1" x14ac:dyDescent="0.25">
      <c r="A173" s="79" t="s">
        <v>217</v>
      </c>
      <c r="B173" s="79"/>
      <c r="C173" s="79"/>
      <c r="D173" s="79"/>
      <c r="E173" s="79"/>
      <c r="F173" s="79"/>
      <c r="G173" s="79"/>
      <c r="H173" s="79"/>
      <c r="I173" s="32"/>
      <c r="L173" s="68"/>
      <c r="M173" s="68"/>
    </row>
    <row r="174" spans="1:16" s="2" customFormat="1" x14ac:dyDescent="0.25">
      <c r="A174" s="69">
        <v>1</v>
      </c>
      <c r="B174" s="69"/>
      <c r="C174" s="76" t="s">
        <v>223</v>
      </c>
      <c r="D174" s="77"/>
      <c r="E174" s="77"/>
      <c r="F174" s="78"/>
      <c r="G174" s="70" t="str">
        <f>A173</f>
        <v>40th Floor</v>
      </c>
      <c r="H174" s="71"/>
      <c r="I174" s="32"/>
      <c r="L174" s="68"/>
      <c r="M174" s="68"/>
    </row>
    <row r="175" spans="1:16" s="2" customFormat="1" x14ac:dyDescent="0.25">
      <c r="A175" s="69">
        <f>A174+1</f>
        <v>2</v>
      </c>
      <c r="B175" s="69"/>
      <c r="C175" s="76" t="s">
        <v>224</v>
      </c>
      <c r="D175" s="77"/>
      <c r="E175" s="77"/>
      <c r="F175" s="78"/>
      <c r="G175" s="72"/>
      <c r="H175" s="73"/>
      <c r="I175" s="32"/>
      <c r="K175" s="56"/>
      <c r="N175" s="32"/>
    </row>
    <row r="176" spans="1:16" s="2" customFormat="1" x14ac:dyDescent="0.25">
      <c r="A176" s="69">
        <f>A175+1</f>
        <v>3</v>
      </c>
      <c r="B176" s="69"/>
      <c r="C176" s="76" t="s">
        <v>223</v>
      </c>
      <c r="D176" s="77"/>
      <c r="E176" s="77"/>
      <c r="F176" s="78"/>
      <c r="G176" s="72"/>
      <c r="H176" s="73"/>
      <c r="I176" s="32"/>
      <c r="N176" s="32"/>
    </row>
    <row r="177" spans="1:20" s="2" customFormat="1" ht="15.75" customHeight="1" x14ac:dyDescent="0.25">
      <c r="A177" s="69">
        <f>A176+1</f>
        <v>4</v>
      </c>
      <c r="B177" s="69"/>
      <c r="C177" s="76" t="s">
        <v>223</v>
      </c>
      <c r="D177" s="77"/>
      <c r="E177" s="77"/>
      <c r="F177" s="78"/>
      <c r="G177" s="72"/>
      <c r="H177" s="73"/>
      <c r="I177" s="32"/>
      <c r="N177" s="32"/>
    </row>
    <row r="178" spans="1:20" s="2" customFormat="1" ht="15.75" customHeight="1" x14ac:dyDescent="0.25">
      <c r="A178" s="69">
        <f>A177+1</f>
        <v>5</v>
      </c>
      <c r="B178" s="69"/>
      <c r="C178" s="76" t="s">
        <v>224</v>
      </c>
      <c r="D178" s="77"/>
      <c r="E178" s="77"/>
      <c r="F178" s="78"/>
      <c r="G178" s="72"/>
      <c r="H178" s="73"/>
      <c r="I178" s="32"/>
      <c r="N178" s="32"/>
    </row>
    <row r="179" spans="1:20" s="2" customFormat="1" ht="15.75" customHeight="1" x14ac:dyDescent="0.25">
      <c r="A179" s="69">
        <f>A178+1</f>
        <v>6</v>
      </c>
      <c r="B179" s="69"/>
      <c r="C179" s="76" t="s">
        <v>223</v>
      </c>
      <c r="D179" s="77"/>
      <c r="E179" s="77"/>
      <c r="F179" s="78"/>
      <c r="G179" s="74"/>
      <c r="H179" s="75"/>
      <c r="I179" s="32"/>
      <c r="N179" s="32"/>
    </row>
    <row r="180" spans="1:20" s="1" customFormat="1" x14ac:dyDescent="0.25">
      <c r="A180" s="170" t="s">
        <v>70</v>
      </c>
      <c r="B180" s="170"/>
      <c r="C180" s="170"/>
      <c r="D180" s="170"/>
      <c r="E180" s="170"/>
      <c r="F180" s="170"/>
      <c r="G180" s="170"/>
      <c r="H180" s="170"/>
      <c r="T180" s="2"/>
    </row>
    <row r="181" spans="1:20" s="1" customFormat="1" ht="15.75" customHeight="1" x14ac:dyDescent="0.25">
      <c r="A181" s="59" t="s">
        <v>235</v>
      </c>
      <c r="B181" s="61" t="s">
        <v>255</v>
      </c>
      <c r="C181" s="62"/>
      <c r="D181" s="62"/>
      <c r="E181" s="62"/>
      <c r="F181" s="62"/>
      <c r="G181" s="62"/>
      <c r="H181" s="63"/>
      <c r="I181" s="61" t="s">
        <v>238</v>
      </c>
      <c r="J181" s="62"/>
      <c r="K181" s="62"/>
      <c r="L181" s="62"/>
      <c r="M181" s="62"/>
      <c r="N181" s="62"/>
      <c r="O181" s="63"/>
      <c r="T181" s="2"/>
    </row>
    <row r="182" spans="1:20" s="1" customFormat="1" x14ac:dyDescent="0.25">
      <c r="A182" s="59" t="s">
        <v>235</v>
      </c>
      <c r="B182" s="61" t="str">
        <f>(IF(H150="Saleable area Loading :","We have considered Saleable area of Flats as per our Calculation.","We considered Saleable area of Flat as per Builder area Sheet."))</f>
        <v>We considered Saleable area of Flat as per Builder area Sheet.</v>
      </c>
      <c r="C182" s="62"/>
      <c r="D182" s="62"/>
      <c r="E182" s="62"/>
      <c r="F182" s="62"/>
      <c r="G182" s="62"/>
      <c r="H182" s="63"/>
      <c r="T182" s="2"/>
    </row>
    <row r="183" spans="1:20" s="1" customFormat="1" x14ac:dyDescent="0.25">
      <c r="A183" s="59" t="s">
        <v>235</v>
      </c>
      <c r="B183" s="61" t="str">
        <f>(IF(H142="Saleable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3" s="62"/>
      <c r="D183" s="62"/>
      <c r="E183" s="62"/>
      <c r="F183" s="62"/>
      <c r="G183" s="62"/>
      <c r="H183" s="63"/>
      <c r="T183" s="2"/>
    </row>
    <row r="184" spans="1:20" s="1" customFormat="1" x14ac:dyDescent="0.25">
      <c r="A184" s="59" t="s">
        <v>235</v>
      </c>
      <c r="B184" s="61" t="s">
        <v>133</v>
      </c>
      <c r="C184" s="62"/>
      <c r="D184" s="62"/>
      <c r="E184" s="62"/>
      <c r="F184" s="62"/>
      <c r="G184" s="62"/>
      <c r="H184" s="63"/>
      <c r="T184" s="2"/>
    </row>
    <row r="185" spans="1:20" s="1" customFormat="1" x14ac:dyDescent="0.25">
      <c r="A185" s="59" t="s">
        <v>235</v>
      </c>
      <c r="B185" s="61" t="s">
        <v>234</v>
      </c>
      <c r="C185" s="62"/>
      <c r="D185" s="62"/>
      <c r="E185" s="62"/>
      <c r="F185" s="62"/>
      <c r="G185" s="62"/>
      <c r="H185" s="63"/>
      <c r="T185" s="2"/>
    </row>
    <row r="186" spans="1:20" s="1" customFormat="1" x14ac:dyDescent="0.25">
      <c r="A186" s="59" t="s">
        <v>235</v>
      </c>
      <c r="B186" s="61" t="s">
        <v>236</v>
      </c>
      <c r="C186" s="62"/>
      <c r="D186" s="62"/>
      <c r="E186" s="62"/>
      <c r="F186" s="62"/>
      <c r="G186" s="62"/>
      <c r="H186" s="63"/>
    </row>
    <row r="187" spans="1:20" s="1" customFormat="1" x14ac:dyDescent="0.25">
      <c r="A187" s="59" t="s">
        <v>235</v>
      </c>
      <c r="B187" s="61" t="s">
        <v>134</v>
      </c>
      <c r="C187" s="62"/>
      <c r="D187" s="62"/>
      <c r="E187" s="62"/>
      <c r="F187" s="62"/>
      <c r="G187" s="62"/>
      <c r="H187" s="63"/>
    </row>
    <row r="188" spans="1:20" s="1" customFormat="1" ht="34.5" customHeight="1" x14ac:dyDescent="0.25">
      <c r="A188" s="59" t="s">
        <v>235</v>
      </c>
      <c r="B188" s="61" t="s">
        <v>237</v>
      </c>
      <c r="C188" s="62"/>
      <c r="D188" s="62"/>
      <c r="E188" s="62"/>
      <c r="F188" s="62"/>
      <c r="G188" s="62"/>
      <c r="H188" s="63"/>
    </row>
    <row r="189" spans="1:20" s="1" customFormat="1" x14ac:dyDescent="0.25">
      <c r="A189" s="59" t="s">
        <v>235</v>
      </c>
      <c r="B189" s="61" t="s">
        <v>135</v>
      </c>
      <c r="C189" s="62"/>
      <c r="D189" s="62"/>
      <c r="E189" s="62"/>
      <c r="F189" s="62"/>
      <c r="G189" s="62"/>
      <c r="H189" s="63"/>
    </row>
    <row r="190" spans="1:20" s="1" customFormat="1" ht="32.25" customHeight="1" x14ac:dyDescent="0.25">
      <c r="A190" s="59" t="s">
        <v>235</v>
      </c>
      <c r="B190" s="61" t="s">
        <v>239</v>
      </c>
      <c r="C190" s="62"/>
      <c r="D190" s="62"/>
      <c r="E190" s="62"/>
      <c r="F190" s="62"/>
      <c r="G190" s="62"/>
      <c r="H190" s="63"/>
    </row>
    <row r="191" spans="1:20" s="1" customFormat="1" x14ac:dyDescent="0.25">
      <c r="A191" s="59" t="s">
        <v>235</v>
      </c>
      <c r="B191" s="61" t="s">
        <v>248</v>
      </c>
      <c r="C191" s="62"/>
      <c r="D191" s="62"/>
      <c r="E191" s="62"/>
      <c r="F191" s="62"/>
      <c r="G191" s="62"/>
      <c r="H191" s="63"/>
    </row>
    <row r="192" spans="1:20" s="1" customFormat="1" x14ac:dyDescent="0.25">
      <c r="A192" s="59" t="s">
        <v>235</v>
      </c>
      <c r="B192" s="61" t="s">
        <v>240</v>
      </c>
      <c r="C192" s="62"/>
      <c r="D192" s="62"/>
      <c r="E192" s="62"/>
      <c r="F192" s="62"/>
      <c r="G192" s="62"/>
      <c r="H192" s="63"/>
    </row>
    <row r="193" spans="1:8" s="1" customFormat="1" hidden="1" x14ac:dyDescent="0.25">
      <c r="A193" s="59" t="s">
        <v>235</v>
      </c>
      <c r="B193" s="166"/>
      <c r="C193" s="167"/>
      <c r="D193" s="167"/>
      <c r="E193" s="167"/>
      <c r="F193" s="167"/>
      <c r="G193" s="167"/>
      <c r="H193" s="168"/>
    </row>
    <row r="194" spans="1:8" s="1" customFormat="1" hidden="1" x14ac:dyDescent="0.25">
      <c r="A194" s="59" t="s">
        <v>235</v>
      </c>
      <c r="B194" s="166"/>
      <c r="C194" s="167"/>
      <c r="D194" s="167"/>
      <c r="E194" s="167"/>
      <c r="F194" s="167"/>
      <c r="G194" s="167"/>
      <c r="H194" s="168"/>
    </row>
    <row r="195" spans="1:8" s="1" customFormat="1" ht="81.75" hidden="1" customHeight="1" x14ac:dyDescent="0.25">
      <c r="A195" s="59" t="s">
        <v>235</v>
      </c>
      <c r="B195" s="166"/>
      <c r="C195" s="167"/>
      <c r="D195" s="167"/>
      <c r="E195" s="167"/>
      <c r="F195" s="167"/>
      <c r="G195" s="167"/>
      <c r="H195" s="168"/>
    </row>
    <row r="196" spans="1:8" s="1" customFormat="1" x14ac:dyDescent="0.25">
      <c r="A196" s="59" t="s">
        <v>235</v>
      </c>
      <c r="B196" s="61" t="s">
        <v>253</v>
      </c>
      <c r="C196" s="62"/>
      <c r="D196" s="62"/>
      <c r="E196" s="62"/>
      <c r="F196" s="62"/>
      <c r="G196" s="62"/>
      <c r="H196" s="63"/>
    </row>
    <row r="197" spans="1:8" s="1" customFormat="1" x14ac:dyDescent="0.25">
      <c r="A197" s="88" t="s">
        <v>63</v>
      </c>
      <c r="B197" s="88"/>
      <c r="C197" s="88"/>
      <c r="D197" s="88"/>
      <c r="E197" s="88"/>
      <c r="F197" s="88"/>
      <c r="G197" s="88"/>
      <c r="H197" s="88"/>
    </row>
    <row r="198" spans="1:8" x14ac:dyDescent="0.25">
      <c r="A198" s="84" t="s">
        <v>64</v>
      </c>
      <c r="B198" s="84"/>
      <c r="C198" s="84"/>
      <c r="D198" s="84"/>
      <c r="E198" s="84"/>
      <c r="F198" s="84"/>
      <c r="G198" s="84"/>
      <c r="H198" s="84"/>
    </row>
    <row r="199" spans="1:8" x14ac:dyDescent="0.25">
      <c r="A199" s="97" t="s">
        <v>65</v>
      </c>
      <c r="B199" s="97"/>
      <c r="C199" s="97"/>
      <c r="D199" s="97"/>
      <c r="E199" s="97"/>
      <c r="F199" s="97"/>
      <c r="G199" s="97"/>
      <c r="H199" s="97"/>
    </row>
    <row r="200" spans="1:8" ht="15.75" customHeight="1" x14ac:dyDescent="0.25">
      <c r="A200" s="84" t="s">
        <v>66</v>
      </c>
      <c r="B200" s="84"/>
      <c r="C200" s="84"/>
      <c r="D200" s="84"/>
      <c r="E200" s="84"/>
      <c r="F200" s="84"/>
      <c r="G200" s="84"/>
      <c r="H200" s="84"/>
    </row>
    <row r="201" spans="1:8" x14ac:dyDescent="0.25">
      <c r="A201" s="84" t="s">
        <v>67</v>
      </c>
      <c r="B201" s="84"/>
      <c r="C201" s="84"/>
      <c r="D201" s="84"/>
      <c r="E201" s="84"/>
      <c r="F201" s="84"/>
      <c r="G201" s="84"/>
      <c r="H201" s="84"/>
    </row>
    <row r="202" spans="1:8" x14ac:dyDescent="0.25">
      <c r="A202" s="84" t="s">
        <v>201</v>
      </c>
      <c r="B202" s="84"/>
      <c r="C202" s="84"/>
      <c r="D202" s="84"/>
      <c r="E202" s="84"/>
      <c r="F202" s="84"/>
      <c r="G202" s="84"/>
      <c r="H202" s="84"/>
    </row>
    <row r="203" spans="1:8" x14ac:dyDescent="0.25">
      <c r="A203" s="64" t="s">
        <v>136</v>
      </c>
      <c r="B203" s="64"/>
      <c r="C203" s="64"/>
      <c r="D203" s="64"/>
      <c r="E203" s="64"/>
      <c r="F203" s="64"/>
      <c r="G203" s="64"/>
      <c r="H203" s="64"/>
    </row>
    <row r="204" spans="1:8" ht="16.5" customHeight="1" x14ac:dyDescent="0.25">
      <c r="A204" s="95" t="s">
        <v>81</v>
      </c>
      <c r="B204" s="95"/>
      <c r="C204" s="95" t="s">
        <v>179</v>
      </c>
      <c r="D204" s="95"/>
      <c r="E204" s="95" t="s">
        <v>113</v>
      </c>
      <c r="F204" s="95"/>
      <c r="G204" s="95" t="s">
        <v>254</v>
      </c>
      <c r="H204" s="95"/>
    </row>
    <row r="205" spans="1:8" x14ac:dyDescent="0.25">
      <c r="A205" s="94" t="s">
        <v>83</v>
      </c>
      <c r="B205" s="94"/>
      <c r="C205" s="94"/>
      <c r="D205" s="94"/>
      <c r="E205" s="94"/>
      <c r="F205" s="94"/>
      <c r="G205" s="94"/>
      <c r="H205" s="94"/>
    </row>
    <row r="206" spans="1:8" x14ac:dyDescent="0.25">
      <c r="A206" s="94"/>
      <c r="B206" s="94"/>
      <c r="C206" s="94"/>
      <c r="D206" s="94"/>
      <c r="E206" s="94"/>
      <c r="F206" s="94"/>
      <c r="G206" s="94"/>
      <c r="H206" s="94"/>
    </row>
    <row r="207" spans="1:8" x14ac:dyDescent="0.25">
      <c r="A207" s="94"/>
      <c r="B207" s="94"/>
      <c r="C207" s="94"/>
      <c r="D207" s="94"/>
      <c r="E207" s="94"/>
      <c r="F207" s="94"/>
      <c r="G207" s="94"/>
      <c r="H207" s="94"/>
    </row>
    <row r="208" spans="1:8" x14ac:dyDescent="0.25">
      <c r="A208" s="94"/>
      <c r="B208" s="94"/>
      <c r="C208" s="94"/>
      <c r="D208" s="94"/>
      <c r="E208" s="94"/>
      <c r="F208" s="94"/>
      <c r="G208" s="94"/>
      <c r="H208" s="94"/>
    </row>
    <row r="209" spans="1:8" x14ac:dyDescent="0.25">
      <c r="A209" s="9" t="s">
        <v>68</v>
      </c>
      <c r="B209" s="10"/>
      <c r="C209" s="10"/>
      <c r="D209" s="9" t="str">
        <f>E8</f>
        <v>Manhattan Phase 2</v>
      </c>
      <c r="F209" s="10"/>
      <c r="G209" s="10"/>
      <c r="H209" s="10"/>
    </row>
    <row r="210" spans="1:8" x14ac:dyDescent="0.25">
      <c r="A210" s="10"/>
      <c r="B210" s="10"/>
      <c r="C210" s="10"/>
      <c r="D210" s="10"/>
      <c r="E210" s="10"/>
      <c r="F210" s="10"/>
      <c r="G210" s="10"/>
      <c r="H210" s="10"/>
    </row>
    <row r="211" spans="1:8" x14ac:dyDescent="0.25">
      <c r="A211" s="10"/>
      <c r="B211" s="10"/>
      <c r="C211" s="10"/>
      <c r="D211" s="10"/>
      <c r="E211" s="10"/>
      <c r="F211" s="10"/>
      <c r="G211" s="10"/>
      <c r="H211" s="10"/>
    </row>
    <row r="213" spans="1:8" ht="15" customHeight="1" x14ac:dyDescent="0.25"/>
    <row r="251" spans="1:8" ht="31.5" x14ac:dyDescent="0.25">
      <c r="A251" s="10" t="s">
        <v>192</v>
      </c>
      <c r="B251" s="93" t="str">
        <f>E8</f>
        <v>Manhattan Phase 2</v>
      </c>
      <c r="C251" s="93"/>
      <c r="D251" s="93"/>
      <c r="F251" s="10"/>
      <c r="G251" s="10"/>
      <c r="H251" s="10"/>
    </row>
    <row r="252" spans="1:8" ht="18.75" customHeight="1" x14ac:dyDescent="0.25">
      <c r="A252" s="10"/>
      <c r="B252" s="10"/>
      <c r="C252" s="10"/>
      <c r="D252" s="10"/>
      <c r="E252" s="10"/>
      <c r="F252" s="10"/>
      <c r="G252" s="10"/>
      <c r="H252" s="10"/>
    </row>
    <row r="253" spans="1:8" x14ac:dyDescent="0.25">
      <c r="A253" s="10"/>
      <c r="B253" s="10"/>
      <c r="C253" s="10"/>
      <c r="D253" s="10"/>
      <c r="E253" s="10"/>
      <c r="F253" s="10"/>
      <c r="G253" s="10"/>
      <c r="H253" s="10"/>
    </row>
    <row r="255" spans="1:8" ht="15" customHeight="1" x14ac:dyDescent="0.25"/>
    <row r="292" spans="1:1" x14ac:dyDescent="0.25">
      <c r="A292" s="12" t="s">
        <v>69</v>
      </c>
    </row>
  </sheetData>
  <mergeCells count="377">
    <mergeCell ref="B195:H195"/>
    <mergeCell ref="A49:B50"/>
    <mergeCell ref="C49:E49"/>
    <mergeCell ref="G49:H49"/>
    <mergeCell ref="C50:H50"/>
    <mergeCell ref="B191:H191"/>
    <mergeCell ref="B192:H192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E97:F97"/>
    <mergeCell ref="G97:H97"/>
    <mergeCell ref="A101:B101"/>
    <mergeCell ref="C101:D101"/>
    <mergeCell ref="E101:F101"/>
    <mergeCell ref="G101:H101"/>
    <mergeCell ref="A180:H180"/>
    <mergeCell ref="A114:B114"/>
    <mergeCell ref="B193:H193"/>
    <mergeCell ref="B194:H194"/>
    <mergeCell ref="F86:H86"/>
    <mergeCell ref="A87:E87"/>
    <mergeCell ref="A88:E88"/>
    <mergeCell ref="F88:H88"/>
    <mergeCell ref="A149:B149"/>
    <mergeCell ref="A146:B146"/>
    <mergeCell ref="A141:B141"/>
    <mergeCell ref="A142:B142"/>
    <mergeCell ref="A153:B153"/>
    <mergeCell ref="G153:H158"/>
    <mergeCell ref="F89:H89"/>
    <mergeCell ref="D104:D105"/>
    <mergeCell ref="A93:H93"/>
    <mergeCell ref="A91:E91"/>
    <mergeCell ref="F91:H91"/>
    <mergeCell ref="A92:E92"/>
    <mergeCell ref="F92:H92"/>
    <mergeCell ref="A100:B100"/>
    <mergeCell ref="A148:B148"/>
    <mergeCell ref="A95:B95"/>
    <mergeCell ref="A98:H98"/>
    <mergeCell ref="C104:C105"/>
    <mergeCell ref="A145:H145"/>
    <mergeCell ref="A143:B143"/>
    <mergeCell ref="A140:B140"/>
    <mergeCell ref="C135:F135"/>
    <mergeCell ref="C136:F136"/>
    <mergeCell ref="C137:F137"/>
    <mergeCell ref="A96:B96"/>
    <mergeCell ref="C96:D96"/>
    <mergeCell ref="E96:F96"/>
    <mergeCell ref="G96:H96"/>
    <mergeCell ref="A97:B97"/>
    <mergeCell ref="C97:D97"/>
    <mergeCell ref="A107:H107"/>
    <mergeCell ref="A119:H119"/>
    <mergeCell ref="A115:B115"/>
    <mergeCell ref="A109:B109"/>
    <mergeCell ref="A110:B110"/>
    <mergeCell ref="A111:B111"/>
    <mergeCell ref="A112:B112"/>
    <mergeCell ref="L115:M115"/>
    <mergeCell ref="L114:M114"/>
    <mergeCell ref="L113:M113"/>
    <mergeCell ref="L112:M112"/>
    <mergeCell ref="L111:M111"/>
    <mergeCell ref="L110:M110"/>
    <mergeCell ref="L109:M109"/>
    <mergeCell ref="L139:M139"/>
    <mergeCell ref="A124:H124"/>
    <mergeCell ref="A125:A126"/>
    <mergeCell ref="A138:H138"/>
    <mergeCell ref="B125:B126"/>
    <mergeCell ref="L116:M116"/>
    <mergeCell ref="A117:B117"/>
    <mergeCell ref="L117:M117"/>
    <mergeCell ref="A118:B118"/>
    <mergeCell ref="L118:M118"/>
    <mergeCell ref="A121:B121"/>
    <mergeCell ref="L122:M122"/>
    <mergeCell ref="A122:B122"/>
    <mergeCell ref="A137:B137"/>
    <mergeCell ref="A132:B132"/>
    <mergeCell ref="L132:M132"/>
    <mergeCell ref="G132:H137"/>
    <mergeCell ref="A77:B77"/>
    <mergeCell ref="C100:D100"/>
    <mergeCell ref="E100:F100"/>
    <mergeCell ref="G100:H100"/>
    <mergeCell ref="F87:H87"/>
    <mergeCell ref="A81:E81"/>
    <mergeCell ref="A108:H108"/>
    <mergeCell ref="E104:E105"/>
    <mergeCell ref="G104:H105"/>
    <mergeCell ref="F82:H82"/>
    <mergeCell ref="A82:E82"/>
    <mergeCell ref="A90:E90"/>
    <mergeCell ref="A83:E83"/>
    <mergeCell ref="C99:D99"/>
    <mergeCell ref="G99:H99"/>
    <mergeCell ref="A85:E85"/>
    <mergeCell ref="F85:H85"/>
    <mergeCell ref="F84:H84"/>
    <mergeCell ref="F90:H90"/>
    <mergeCell ref="A89:E89"/>
    <mergeCell ref="F83:H83"/>
    <mergeCell ref="A84:E84"/>
    <mergeCell ref="A106:H106"/>
    <mergeCell ref="A86:E86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9:C59"/>
    <mergeCell ref="A60:C60"/>
    <mergeCell ref="D59:H59"/>
    <mergeCell ref="E70:F79"/>
    <mergeCell ref="G70:H79"/>
    <mergeCell ref="A78:B78"/>
    <mergeCell ref="A79:B79"/>
    <mergeCell ref="D60:H60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7:H57"/>
    <mergeCell ref="A57:C57"/>
    <mergeCell ref="G46:H46"/>
    <mergeCell ref="A47:B48"/>
    <mergeCell ref="A76:B76"/>
    <mergeCell ref="A69:B69"/>
    <mergeCell ref="A72:B72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G53:H53"/>
    <mergeCell ref="C48:H48"/>
    <mergeCell ref="A197:H197"/>
    <mergeCell ref="E99:F99"/>
    <mergeCell ref="E94:F94"/>
    <mergeCell ref="A102:H102"/>
    <mergeCell ref="A94:B94"/>
    <mergeCell ref="C94:D94"/>
    <mergeCell ref="A147:B147"/>
    <mergeCell ref="A103:H103"/>
    <mergeCell ref="G94:H94"/>
    <mergeCell ref="C95:D95"/>
    <mergeCell ref="E95:F95"/>
    <mergeCell ref="B104:B105"/>
    <mergeCell ref="A104:A105"/>
    <mergeCell ref="C125:C126"/>
    <mergeCell ref="A64:C64"/>
    <mergeCell ref="D64:H64"/>
    <mergeCell ref="A70:B70"/>
    <mergeCell ref="G69:H69"/>
    <mergeCell ref="A68:B68"/>
    <mergeCell ref="A66:B66"/>
    <mergeCell ref="G51:H51"/>
    <mergeCell ref="C52:H52"/>
    <mergeCell ref="E39:H39"/>
    <mergeCell ref="A39:D39"/>
    <mergeCell ref="A202:H202"/>
    <mergeCell ref="A144:B144"/>
    <mergeCell ref="A199:H199"/>
    <mergeCell ref="A139:B139"/>
    <mergeCell ref="A99:B99"/>
    <mergeCell ref="D125:D126"/>
    <mergeCell ref="E125:E126"/>
    <mergeCell ref="G125:H126"/>
    <mergeCell ref="A75:B75"/>
    <mergeCell ref="F81:H81"/>
    <mergeCell ref="A80:H80"/>
    <mergeCell ref="G95:H95"/>
    <mergeCell ref="A45:B45"/>
    <mergeCell ref="C45:E45"/>
    <mergeCell ref="G45:H45"/>
    <mergeCell ref="G47:H47"/>
    <mergeCell ref="D55:H55"/>
    <mergeCell ref="C47:E47"/>
    <mergeCell ref="A58:C58"/>
    <mergeCell ref="D58:H58"/>
    <mergeCell ref="C46:E46"/>
    <mergeCell ref="A53:B53"/>
    <mergeCell ref="B251:D251"/>
    <mergeCell ref="G109:H118"/>
    <mergeCell ref="A120:H120"/>
    <mergeCell ref="G139:H144"/>
    <mergeCell ref="G146:H151"/>
    <mergeCell ref="C150:F150"/>
    <mergeCell ref="A116:B116"/>
    <mergeCell ref="A198:H198"/>
    <mergeCell ref="A205:H208"/>
    <mergeCell ref="A204:B204"/>
    <mergeCell ref="E204:F204"/>
    <mergeCell ref="C204:D204"/>
    <mergeCell ref="G204:H204"/>
    <mergeCell ref="A200:H200"/>
    <mergeCell ref="A203:H203"/>
    <mergeCell ref="A201:H201"/>
    <mergeCell ref="A151:B151"/>
    <mergeCell ref="A150:B150"/>
    <mergeCell ref="A133:B133"/>
    <mergeCell ref="A134:B134"/>
    <mergeCell ref="A152:H152"/>
    <mergeCell ref="B196:H196"/>
    <mergeCell ref="A113:B113"/>
    <mergeCell ref="B181:H181"/>
    <mergeCell ref="I55:M55"/>
    <mergeCell ref="I42:L42"/>
    <mergeCell ref="L138:M138"/>
    <mergeCell ref="A128:B128"/>
    <mergeCell ref="L128:M128"/>
    <mergeCell ref="A129:B129"/>
    <mergeCell ref="A130:B130"/>
    <mergeCell ref="A127:H127"/>
    <mergeCell ref="G128:H130"/>
    <mergeCell ref="A123:B123"/>
    <mergeCell ref="L123:M123"/>
    <mergeCell ref="G121:H123"/>
    <mergeCell ref="A135:B135"/>
    <mergeCell ref="A136:B136"/>
    <mergeCell ref="A131:H131"/>
    <mergeCell ref="L135:M135"/>
    <mergeCell ref="C53:E53"/>
    <mergeCell ref="A46:B46"/>
    <mergeCell ref="A54:H54"/>
    <mergeCell ref="A55:C55"/>
    <mergeCell ref="A56:C56"/>
    <mergeCell ref="D56:H56"/>
    <mergeCell ref="A51:B52"/>
    <mergeCell ref="C51:E51"/>
    <mergeCell ref="A169:B169"/>
    <mergeCell ref="A170:B170"/>
    <mergeCell ref="A171:B171"/>
    <mergeCell ref="A172:B172"/>
    <mergeCell ref="A166:H166"/>
    <mergeCell ref="L152:M152"/>
    <mergeCell ref="L153:M153"/>
    <mergeCell ref="A154:B154"/>
    <mergeCell ref="A155:B155"/>
    <mergeCell ref="A156:B156"/>
    <mergeCell ref="A157:B157"/>
    <mergeCell ref="A158:B158"/>
    <mergeCell ref="A159:H159"/>
    <mergeCell ref="A160:B160"/>
    <mergeCell ref="G160:H165"/>
    <mergeCell ref="A161:B161"/>
    <mergeCell ref="A162:B162"/>
    <mergeCell ref="A163:B163"/>
    <mergeCell ref="A164:B164"/>
    <mergeCell ref="C164:F164"/>
    <mergeCell ref="A165:B165"/>
    <mergeCell ref="I181:O181"/>
    <mergeCell ref="I59:M59"/>
    <mergeCell ref="I60:M60"/>
    <mergeCell ref="L173:M173"/>
    <mergeCell ref="A174:B174"/>
    <mergeCell ref="G174:H179"/>
    <mergeCell ref="L174:M174"/>
    <mergeCell ref="A175:B175"/>
    <mergeCell ref="A176:B176"/>
    <mergeCell ref="A177:B177"/>
    <mergeCell ref="A178:B178"/>
    <mergeCell ref="A179:B179"/>
    <mergeCell ref="C174:F174"/>
    <mergeCell ref="C175:F175"/>
    <mergeCell ref="C176:F176"/>
    <mergeCell ref="C177:F177"/>
    <mergeCell ref="C178:F178"/>
    <mergeCell ref="C179:F179"/>
    <mergeCell ref="A173:H173"/>
    <mergeCell ref="L166:M166"/>
    <mergeCell ref="A167:B167"/>
    <mergeCell ref="G167:H172"/>
    <mergeCell ref="L167:M167"/>
    <mergeCell ref="A168:B168"/>
  </mergeCell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208" max="16383" man="1"/>
    <brk id="250" max="7" man="1"/>
    <brk id="291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H11" sqref="H11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171" t="s">
        <v>114</v>
      </c>
      <c r="C3" s="171"/>
      <c r="D3" s="171"/>
      <c r="E3" s="171"/>
      <c r="F3" s="171"/>
      <c r="G3" s="171"/>
      <c r="H3" s="171"/>
    </row>
    <row r="4" spans="1:9" x14ac:dyDescent="0.25">
      <c r="A4" s="19"/>
      <c r="B4" s="20" t="s">
        <v>115</v>
      </c>
      <c r="C4" s="20" t="s">
        <v>116</v>
      </c>
      <c r="D4" s="20" t="s">
        <v>71</v>
      </c>
      <c r="E4" s="20" t="s">
        <v>117</v>
      </c>
      <c r="F4" s="20" t="s">
        <v>123</v>
      </c>
      <c r="G4" s="20" t="s">
        <v>124</v>
      </c>
      <c r="H4" s="20" t="s">
        <v>118</v>
      </c>
    </row>
    <row r="5" spans="1:9" ht="15" customHeight="1" x14ac:dyDescent="0.25">
      <c r="A5" s="19"/>
      <c r="B5" s="22" t="s">
        <v>119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119</v>
      </c>
      <c r="C6" s="26"/>
      <c r="D6" s="22"/>
      <c r="E6" s="22"/>
      <c r="F6" s="24">
        <f t="shared" ref="F6:F9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119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119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119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120</v>
      </c>
      <c r="C10" s="23"/>
      <c r="D10" s="53" t="s">
        <v>174</v>
      </c>
      <c r="E10" s="22">
        <v>690</v>
      </c>
      <c r="F10" s="24">
        <v>1077</v>
      </c>
      <c r="G10" s="24">
        <f t="shared" si="1"/>
        <v>11699.1643454039</v>
      </c>
      <c r="H10" s="25">
        <v>12600000</v>
      </c>
    </row>
    <row r="11" spans="1:9" ht="15" customHeight="1" x14ac:dyDescent="0.25">
      <c r="A11" s="19"/>
      <c r="B11" s="22" t="s">
        <v>120</v>
      </c>
      <c r="C11" s="23"/>
      <c r="D11" s="53" t="s">
        <v>175</v>
      </c>
      <c r="E11" s="22"/>
      <c r="F11" s="24">
        <v>1423</v>
      </c>
      <c r="G11" s="24">
        <f t="shared" si="1"/>
        <v>10751.932536893886</v>
      </c>
      <c r="H11" s="25">
        <v>15300000</v>
      </c>
    </row>
    <row r="12" spans="1:9" ht="15" customHeight="1" x14ac:dyDescent="0.25">
      <c r="A12" s="19"/>
      <c r="B12" s="27" t="s">
        <v>121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122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7" sqref="E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2025-09-13T05:25:20Z</cp:lastPrinted>
  <dcterms:created xsi:type="dcterms:W3CDTF">2019-07-16T09:29:46Z</dcterms:created>
  <dcterms:modified xsi:type="dcterms:W3CDTF">2025-09-13T05:26:35Z</dcterms:modified>
</cp:coreProperties>
</file>