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1"/>
  <workbookPr/>
  <mc:AlternateContent xmlns:mc="http://schemas.openxmlformats.org/markup-compatibility/2006">
    <mc:Choice Requires="x15">
      <x15ac:absPath xmlns:x15ac="http://schemas.microsoft.com/office/spreadsheetml/2010/11/ac" url="D:\Gaurav\Sep 25\DUMP\"/>
    </mc:Choice>
  </mc:AlternateContent>
  <xr:revisionPtr revIDLastSave="0" documentId="13_ncr:1_{E0AF0127-0B44-435C-AF1F-C9A94043F5A0}" xr6:coauthVersionLast="36" xr6:coauthVersionMax="47" xr10:uidLastSave="{00000000-0000-0000-0000-000000000000}"/>
  <bookViews>
    <workbookView xWindow="0" yWindow="0" windowWidth="20490" windowHeight="6825" xr2:uid="{00000000-000D-0000-FFFF-FFFF00000000}"/>
  </bookViews>
  <sheets>
    <sheet name="Report" sheetId="1" r:id="rId1"/>
    <sheet name="Flat detail" sheetId="3" r:id="rId2"/>
    <sheet name="Note" sheetId="4" r:id="rId3"/>
    <sheet name="valuation" sheetId="5" r:id="rId4"/>
  </sheets>
  <definedNames>
    <definedName name="_xlnm.Print_Area" localSheetId="0">Report!$A$1:$H$362</definedName>
  </definedNames>
  <calcPr calcId="191029"/>
</workbook>
</file>

<file path=xl/calcChain.xml><?xml version="1.0" encoding="utf-8"?>
<calcChain xmlns="http://schemas.openxmlformats.org/spreadsheetml/2006/main">
  <c r="G12" i="5" l="1"/>
  <c r="G11" i="5"/>
  <c r="F11" i="5"/>
  <c r="G10" i="5"/>
  <c r="F10" i="5"/>
  <c r="G9" i="5"/>
  <c r="F9" i="5"/>
  <c r="G8" i="5"/>
  <c r="F8" i="5"/>
  <c r="G7" i="5"/>
  <c r="F7" i="5"/>
  <c r="G6" i="5"/>
  <c r="F6" i="5"/>
  <c r="G5" i="5"/>
  <c r="F5" i="5"/>
  <c r="E36" i="3"/>
  <c r="D36" i="3"/>
  <c r="L34" i="3"/>
  <c r="K34" i="3"/>
  <c r="I34" i="3"/>
  <c r="H34" i="3"/>
  <c r="E34" i="3"/>
  <c r="D34" i="3"/>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D240" i="1"/>
  <c r="F225" i="1"/>
  <c r="D225" i="1"/>
  <c r="F224" i="1"/>
  <c r="D224" i="1"/>
  <c r="F223" i="1"/>
  <c r="D223" i="1"/>
  <c r="F222" i="1"/>
  <c r="D222" i="1"/>
  <c r="F221" i="1"/>
  <c r="D221" i="1"/>
  <c r="F220" i="1"/>
  <c r="D220" i="1"/>
  <c r="F219" i="1"/>
  <c r="D219" i="1"/>
  <c r="F218" i="1"/>
  <c r="D218" i="1"/>
  <c r="F217" i="1"/>
  <c r="D217" i="1"/>
  <c r="G216" i="1"/>
  <c r="F216" i="1"/>
  <c r="D216" i="1"/>
  <c r="F214" i="1"/>
  <c r="D214" i="1"/>
  <c r="F213" i="1"/>
  <c r="D213" i="1"/>
  <c r="F212" i="1"/>
  <c r="D212" i="1"/>
  <c r="F211" i="1"/>
  <c r="D211" i="1"/>
  <c r="F210" i="1"/>
  <c r="D210" i="1"/>
  <c r="F209" i="1"/>
  <c r="D209" i="1"/>
  <c r="F208" i="1"/>
  <c r="D208" i="1"/>
  <c r="F207" i="1"/>
  <c r="D207" i="1"/>
  <c r="F206" i="1"/>
  <c r="D206" i="1"/>
  <c r="G205" i="1"/>
  <c r="F205" i="1"/>
  <c r="D205" i="1"/>
  <c r="F203" i="1"/>
  <c r="D203" i="1"/>
  <c r="F202" i="1"/>
  <c r="D202" i="1"/>
  <c r="F201" i="1"/>
  <c r="D201" i="1"/>
  <c r="F200" i="1"/>
  <c r="D200" i="1"/>
  <c r="F199" i="1"/>
  <c r="D199" i="1"/>
  <c r="F198" i="1"/>
  <c r="D198" i="1"/>
  <c r="I197" i="1"/>
  <c r="F197" i="1"/>
  <c r="D197" i="1"/>
  <c r="F196" i="1"/>
  <c r="D196" i="1"/>
  <c r="F195" i="1"/>
  <c r="D195" i="1"/>
  <c r="G194" i="1"/>
  <c r="F194" i="1"/>
  <c r="D194" i="1"/>
  <c r="F192" i="1"/>
  <c r="D192" i="1"/>
  <c r="F191" i="1"/>
  <c r="D191" i="1"/>
  <c r="F190" i="1"/>
  <c r="D190" i="1"/>
  <c r="F189" i="1"/>
  <c r="D189" i="1"/>
  <c r="F188" i="1"/>
  <c r="D188" i="1"/>
  <c r="F187" i="1"/>
  <c r="D187" i="1"/>
  <c r="F186" i="1"/>
  <c r="D186" i="1"/>
  <c r="F185" i="1"/>
  <c r="D185" i="1"/>
  <c r="F184" i="1"/>
  <c r="D184" i="1"/>
  <c r="F183" i="1"/>
  <c r="D183" i="1"/>
  <c r="F181" i="1"/>
  <c r="D181" i="1"/>
  <c r="F180" i="1"/>
  <c r="D180" i="1"/>
  <c r="F179" i="1"/>
  <c r="D179" i="1"/>
  <c r="F178" i="1"/>
  <c r="D178" i="1"/>
  <c r="G175" i="1"/>
  <c r="F172" i="1"/>
  <c r="D172" i="1"/>
  <c r="F171" i="1"/>
  <c r="D171" i="1"/>
  <c r="F170" i="1"/>
  <c r="D170" i="1"/>
  <c r="F169" i="1"/>
  <c r="D169" i="1"/>
  <c r="F168" i="1"/>
  <c r="D168" i="1"/>
  <c r="G167" i="1"/>
  <c r="F167" i="1"/>
  <c r="D167" i="1"/>
  <c r="F165" i="1"/>
  <c r="D165" i="1"/>
  <c r="F164" i="1"/>
  <c r="D164" i="1"/>
  <c r="F163" i="1"/>
  <c r="D163" i="1"/>
  <c r="F162" i="1"/>
  <c r="D162" i="1"/>
  <c r="F161" i="1"/>
  <c r="D161" i="1"/>
  <c r="G160" i="1"/>
  <c r="F160" i="1"/>
  <c r="D160" i="1"/>
  <c r="F158" i="1"/>
  <c r="D158" i="1"/>
  <c r="F157" i="1"/>
  <c r="D157" i="1"/>
  <c r="F156" i="1"/>
  <c r="D156" i="1"/>
  <c r="F155" i="1"/>
  <c r="D155" i="1"/>
  <c r="F154" i="1"/>
  <c r="D154" i="1"/>
  <c r="G153" i="1"/>
  <c r="F153" i="1"/>
  <c r="D153" i="1"/>
  <c r="F151" i="1"/>
  <c r="D151" i="1"/>
  <c r="F150" i="1"/>
  <c r="D150" i="1"/>
  <c r="F149" i="1"/>
  <c r="D149" i="1"/>
  <c r="F148" i="1"/>
  <c r="D148" i="1"/>
  <c r="F147" i="1"/>
  <c r="D147" i="1"/>
  <c r="J146" i="1"/>
  <c r="F146" i="1"/>
  <c r="D146" i="1"/>
  <c r="F144" i="1"/>
  <c r="D144" i="1"/>
  <c r="F143" i="1"/>
  <c r="D143" i="1"/>
  <c r="F142" i="1"/>
  <c r="D142" i="1"/>
  <c r="I141" i="1"/>
  <c r="F141" i="1"/>
  <c r="D141" i="1"/>
  <c r="J140" i="1"/>
  <c r="I140" i="1"/>
  <c r="F140" i="1"/>
  <c r="D140" i="1"/>
  <c r="F137" i="1"/>
  <c r="D137" i="1"/>
  <c r="F136" i="1"/>
  <c r="D136" i="1"/>
  <c r="F135" i="1"/>
  <c r="D135" i="1"/>
  <c r="F134" i="1"/>
  <c r="D134" i="1"/>
  <c r="F133" i="1"/>
  <c r="D133" i="1"/>
  <c r="F132" i="1"/>
  <c r="D132" i="1"/>
  <c r="F131" i="1"/>
  <c r="D131" i="1"/>
  <c r="F130" i="1"/>
  <c r="D130" i="1"/>
  <c r="F129" i="1"/>
  <c r="D129" i="1"/>
  <c r="F128" i="1"/>
  <c r="D128" i="1"/>
  <c r="F127" i="1"/>
  <c r="D127" i="1"/>
  <c r="F122" i="1"/>
  <c r="D122" i="1"/>
  <c r="C122" i="1"/>
  <c r="F121" i="1"/>
  <c r="D121" i="1"/>
  <c r="C121" i="1"/>
  <c r="F120" i="1"/>
  <c r="D120" i="1"/>
  <c r="C120" i="1"/>
  <c r="F117" i="1"/>
  <c r="D117" i="1"/>
  <c r="C117" i="1"/>
  <c r="F116" i="1"/>
  <c r="D116" i="1"/>
  <c r="C116" i="1"/>
  <c r="K113" i="1"/>
  <c r="J113" i="1"/>
  <c r="F113" i="1"/>
  <c r="D113" i="1"/>
  <c r="C113" i="1"/>
  <c r="F112" i="1"/>
  <c r="D112" i="1"/>
  <c r="C112" i="1"/>
  <c r="F111" i="1"/>
  <c r="D111" i="1"/>
  <c r="C111" i="1"/>
  <c r="F108" i="1"/>
  <c r="D108" i="1"/>
  <c r="C108" i="1"/>
  <c r="F105" i="1"/>
  <c r="J86" i="1"/>
  <c r="J85" i="1"/>
  <c r="J84" i="1"/>
  <c r="J83" i="1"/>
  <c r="J72" i="1"/>
  <c r="J71" i="1"/>
  <c r="J70" i="1"/>
  <c r="J69" i="1"/>
  <c r="D53" i="1"/>
  <c r="C46" i="1"/>
  <c r="E41" i="1"/>
  <c r="E40" i="1"/>
  <c r="E7" i="1"/>
  <c r="E3" i="1"/>
  <c r="H76" i="1"/>
  <c r="H62" i="1"/>
  <c r="J79" i="1" l="1"/>
  <c r="E79" i="1"/>
  <c r="D87" i="1"/>
  <c r="D83" i="1"/>
  <c r="D86" i="1"/>
  <c r="D82" i="1"/>
  <c r="D81" i="1"/>
  <c r="J78" i="1"/>
  <c r="J81" i="1"/>
  <c r="J82" i="1" s="1"/>
  <c r="J87" i="1" s="1"/>
  <c r="J88" i="1" s="1"/>
  <c r="D85" i="1"/>
  <c r="J80" i="1"/>
  <c r="C79" i="1" s="1"/>
  <c r="G79" i="1" s="1"/>
  <c r="D88" i="1"/>
  <c r="D84" i="1"/>
  <c r="D80" i="1"/>
  <c r="D71" i="1"/>
  <c r="D67" i="1"/>
  <c r="J64" i="1"/>
  <c r="D74" i="1"/>
  <c r="D70" i="1"/>
  <c r="J66" i="1"/>
  <c r="D65" i="1"/>
  <c r="D73" i="1"/>
  <c r="D69" i="1"/>
  <c r="J65" i="1"/>
  <c r="D72" i="1"/>
  <c r="D68" i="1"/>
  <c r="J67" i="1"/>
  <c r="J68" i="1" s="1"/>
  <c r="J73" i="1" s="1"/>
  <c r="J74" i="1" s="1"/>
  <c r="C66" i="1" s="1"/>
  <c r="E65" i="1" l="1"/>
  <c r="I61" i="1" s="1"/>
  <c r="C63" i="1" s="1"/>
  <c r="G65" i="1"/>
  <c r="D66" i="1"/>
  <c r="D79" i="1"/>
  <c r="I75" i="1" s="1"/>
  <c r="C77" i="1" s="1"/>
</calcChain>
</file>

<file path=xl/sharedStrings.xml><?xml version="1.0" encoding="utf-8"?>
<sst xmlns="http://schemas.openxmlformats.org/spreadsheetml/2006/main" count="544" uniqueCount="266">
  <si>
    <t>Office No. 1031, Wing J, Akshar Business Park, Plot No. 03 Sector 25, Near APMC Market,
Vashi, Navi Mumbai, Maharashtra 400703 TEL: 022-46090378/79/8
E mail : vsjcapf@gmail.com. Web site : www.vsjadon.com</t>
  </si>
  <si>
    <t xml:space="preserve">Valuation Report </t>
  </si>
  <si>
    <t>Date:</t>
  </si>
  <si>
    <t>CPC Name:</t>
  </si>
  <si>
    <t>Axis Goregaon</t>
  </si>
  <si>
    <t>Date Of Property Visit</t>
  </si>
  <si>
    <t>Name of the builder group</t>
  </si>
  <si>
    <t>M/s.Suchita Orange Project Royale</t>
  </si>
  <si>
    <t>Name of the builder company</t>
  </si>
  <si>
    <t>Name of the Project</t>
  </si>
  <si>
    <t>O and S Royale</t>
  </si>
  <si>
    <t>Contect Details ( Name &amp; Contect No.)</t>
  </si>
  <si>
    <t xml:space="preserve">Kunal Gupta - 9664877660
</t>
  </si>
  <si>
    <t>Name / No of the Building</t>
  </si>
  <si>
    <t>01 Building (Wing A &amp; B)</t>
  </si>
  <si>
    <t>Docouments Provided</t>
  </si>
  <si>
    <t>Approved Plans, Sale Plans</t>
  </si>
  <si>
    <t>RERA No.</t>
  </si>
  <si>
    <t>P51800027371</t>
  </si>
  <si>
    <t xml:space="preserve">Project location details       </t>
  </si>
  <si>
    <t>O and S Royale, Proposed S.R. Scheme on Plot Bearing CTS No. 150(Pt), 151, 151/1 to 7, 152, 152/1 to 7, 153, 153/6(Pt), 7(Pt), 8 &amp; 9, 154(Pt), 154/11(Pt) &amp; 12, 162(B)/16 to 27 &amp; 351(Pt) of Village Asalfa, Andheri Ghatkopar Link Road ,Dist. Kurla, Ghatkopar(W), Mumbai-400084. Known As "Suchita Co-Op. Housing Society Ltd."</t>
  </si>
  <si>
    <t>CTS No</t>
  </si>
  <si>
    <t>150(Pt), 151, 151/1 to 7, 152, 152/1 to 7, 153, 153/6(Pt), 7(Pt), 8 &amp; 9, 154(Pt), 154/11(Pt) &amp; 12, 162(B)/16 to 27 &amp; 351(Pt)</t>
  </si>
  <si>
    <t>Road</t>
  </si>
  <si>
    <t>Andheri-Ghatkopar Road</t>
  </si>
  <si>
    <t>Locality/Village</t>
  </si>
  <si>
    <t>Asalpha</t>
  </si>
  <si>
    <t>City</t>
  </si>
  <si>
    <t>Ghatkopar</t>
  </si>
  <si>
    <t>District</t>
  </si>
  <si>
    <t>Mumbai</t>
  </si>
  <si>
    <t>Taluka</t>
  </si>
  <si>
    <t>Kurla</t>
  </si>
  <si>
    <t>Pin Code</t>
  </si>
  <si>
    <t>Near by Landmark</t>
  </si>
  <si>
    <t>Disha Hospital</t>
  </si>
  <si>
    <t xml:space="preserve">Distance from city centre: </t>
  </si>
  <si>
    <t>0.75Km from Asalpha Metro Station</t>
  </si>
  <si>
    <t>Accessibility to the Project from the City: (Proximity to civic amenities like school, hospital, market, etc.)</t>
  </si>
  <si>
    <t>all available at  1 to 2 km.</t>
  </si>
  <si>
    <t>Does property have Electricity / Water / Drainage Connection</t>
  </si>
  <si>
    <t>Yes</t>
  </si>
  <si>
    <t>Class of locality</t>
  </si>
  <si>
    <t>Upper Class</t>
  </si>
  <si>
    <t>Nature of land with topographical condtion</t>
  </si>
  <si>
    <t>Plane</t>
  </si>
  <si>
    <t xml:space="preserve">Nature of the locality </t>
  </si>
  <si>
    <t>Developed</t>
  </si>
  <si>
    <t>Quality of infrastructure in vicinity</t>
  </si>
  <si>
    <t>Good</t>
  </si>
  <si>
    <t>Type of Structure</t>
  </si>
  <si>
    <t>RCC Frame Structure</t>
  </si>
  <si>
    <t xml:space="preserve">Approved usage of the Property:                                                                                                                                             </t>
  </si>
  <si>
    <t>Residential + Commercial</t>
  </si>
  <si>
    <t>Restrictive Covenants in regard to Land Use</t>
  </si>
  <si>
    <t>No</t>
  </si>
  <si>
    <t>Boundries</t>
  </si>
  <si>
    <t>As per deed</t>
  </si>
  <si>
    <t>At site</t>
  </si>
  <si>
    <t>East</t>
  </si>
  <si>
    <t>NA</t>
  </si>
  <si>
    <t>Other Plot</t>
  </si>
  <si>
    <t>Slum</t>
  </si>
  <si>
    <t>West</t>
  </si>
  <si>
    <t>North</t>
  </si>
  <si>
    <t>45.70 M W Road</t>
  </si>
  <si>
    <t>South</t>
  </si>
  <si>
    <t>Does the boundaries at site match, as mentioned in the Docoumentation: NA</t>
  </si>
  <si>
    <t>Latitude</t>
  </si>
  <si>
    <t>Longitude</t>
  </si>
  <si>
    <t>Location Link</t>
  </si>
  <si>
    <t>https://maps.app.goo.gl/HFjQFMx3kJtMYMd16</t>
  </si>
  <si>
    <t>Area Statement Details :</t>
  </si>
  <si>
    <t>Total land area of the project in Sq. Mt.</t>
  </si>
  <si>
    <t>Permissible FSI</t>
  </si>
  <si>
    <t>Permissible TDR/Paid FSI</t>
  </si>
  <si>
    <t>Total FSI availaible for the project</t>
  </si>
  <si>
    <t>Total Approved Builtup area of the project (Sq.Mt)</t>
  </si>
  <si>
    <t>Total number of Buildings</t>
  </si>
  <si>
    <t>01 Building</t>
  </si>
  <si>
    <t xml:space="preserve">Approval Detail : Plan approval </t>
  </si>
  <si>
    <t xml:space="preserve">Layout Approval No     </t>
  </si>
  <si>
    <t>SRA/ENG/3133/L/PL-STGL/AP</t>
  </si>
  <si>
    <t>Dated</t>
  </si>
  <si>
    <t>05/04/2023.</t>
  </si>
  <si>
    <t xml:space="preserve">Approved Floor plan No.  </t>
  </si>
  <si>
    <t>Commencement Certificate No.</t>
  </si>
  <si>
    <t>L/PVT &amp; STGOVT/0003/20110729</t>
  </si>
  <si>
    <t>02/07/2021.</t>
  </si>
  <si>
    <t>Valid Up to: This full CC is granted for Rehab wing 'B' of composite bldg from Ground Floor to 8th (Pt) upper floors i.e.upto top of lift machine room &amp; OHWT as per approved plans dtd 23/10/2020 marked as A-B-C-D-E-F-G-H-I-J on plan as at page 1019.</t>
  </si>
  <si>
    <t>21/01/2022.</t>
  </si>
  <si>
    <t>Valid Up to: This further CC is granted for Sale Wing 'A' of composite bldg from Ground floor to 5th upper floors only for RCC frame work as per approved plan dtd 23/10/2020.</t>
  </si>
  <si>
    <t xml:space="preserve">O. Certificate No.: </t>
  </si>
  <si>
    <t>NA
Approved upto : NA</t>
  </si>
  <si>
    <t xml:space="preserve">Date of approval: </t>
  </si>
  <si>
    <t>Building wise Construction details</t>
  </si>
  <si>
    <t>Approved area of building (Sq.Mt)</t>
  </si>
  <si>
    <t>Approved no of units</t>
  </si>
  <si>
    <t>Sale Flats - 59, Sale Shops - 06
Rehab Flats - 57 , PAP Flats - 05</t>
  </si>
  <si>
    <t>Approved no of Floors</t>
  </si>
  <si>
    <t>A &amp; B Wing = Gr + 1st to 8th Floor</t>
  </si>
  <si>
    <t>Proposed no of Floors</t>
  </si>
  <si>
    <t>Expected Completion</t>
  </si>
  <si>
    <t>As per RERA - 30/06/2026</t>
  </si>
  <si>
    <t>Projected life of the structure</t>
  </si>
  <si>
    <t>60 Years After Completion</t>
  </si>
  <si>
    <t xml:space="preserve">Quality of construction: </t>
  </si>
  <si>
    <t xml:space="preserve">Material laying at Site: </t>
  </si>
  <si>
    <t xml:space="preserve">Cement, Aggregate, Steel, etc </t>
  </si>
  <si>
    <t>Construction details:</t>
  </si>
  <si>
    <t>A &amp; B Wing = Gr + 8th Floor</t>
  </si>
  <si>
    <t>Basement</t>
  </si>
  <si>
    <t>Ground</t>
  </si>
  <si>
    <t>Podium</t>
  </si>
  <si>
    <t>Floors</t>
  </si>
  <si>
    <t xml:space="preserve">Stage of construction: </t>
  </si>
  <si>
    <t>All work Completed. OC Received.</t>
  </si>
  <si>
    <t>Type of Work</t>
  </si>
  <si>
    <t>Slab/Floor</t>
  </si>
  <si>
    <t>Complition %</t>
  </si>
  <si>
    <t>Progress %</t>
  </si>
  <si>
    <t>Disbursement %</t>
  </si>
  <si>
    <t>Piling Work in process</t>
  </si>
  <si>
    <t>Excavation</t>
  </si>
  <si>
    <t>Excavation in process</t>
  </si>
  <si>
    <t>Plinth</t>
  </si>
  <si>
    <t>Excavation Completed</t>
  </si>
  <si>
    <t>RCC (Including podiums)</t>
  </si>
  <si>
    <t>Footing in Process</t>
  </si>
  <si>
    <t>Brickwork</t>
  </si>
  <si>
    <t>Brickwork &amp; Internal Plaster</t>
  </si>
  <si>
    <t>Footing Completed</t>
  </si>
  <si>
    <t>Internal Plaster</t>
  </si>
  <si>
    <t>Basement 1</t>
  </si>
  <si>
    <t>Ext. Plaster &amp; Plumbing</t>
  </si>
  <si>
    <t>External Plaster &amp; Plumbing</t>
  </si>
  <si>
    <t>Basement 2</t>
  </si>
  <si>
    <t>Flooring &amp; Fitting</t>
  </si>
  <si>
    <t>Basement 3</t>
  </si>
  <si>
    <t>Painting &amp; Wooden</t>
  </si>
  <si>
    <t>Basement 4</t>
  </si>
  <si>
    <t>Building Common Amenities</t>
  </si>
  <si>
    <t>Plinth in process</t>
  </si>
  <si>
    <t>Possession</t>
  </si>
  <si>
    <t>Plinth completed</t>
  </si>
  <si>
    <t>B Wing = Gr + 8th Floor</t>
  </si>
  <si>
    <t>Wheather the construction is as per approved Building plan : Under Construction</t>
  </si>
  <si>
    <t>Violations Observed if any : NA</t>
  </si>
  <si>
    <r>
      <rPr>
        <b/>
        <sz val="12"/>
        <rFont val="Times New Roman"/>
        <family val="1"/>
      </rP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</si>
  <si>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</si>
  <si>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Recommended Rates of the Property :</t>
  </si>
  <si>
    <t>Recommended rate of the flat Per Sq. Ft. (on Saleable area)</t>
  </si>
  <si>
    <t>Recommended rate of the shop Per Sq. Ft. (on Saleable area)</t>
  </si>
  <si>
    <t>Recommended rate of the Office Per Sq. Ft. (on Saleable area)</t>
  </si>
  <si>
    <t>Floor Rise Rate Per Sq.ft</t>
  </si>
  <si>
    <t>Development Charges</t>
  </si>
  <si>
    <t>Club Charges</t>
  </si>
  <si>
    <t>Legal Services Charges</t>
  </si>
  <si>
    <t>Gas Connection Charges</t>
  </si>
  <si>
    <t>Water, Electricity, Drainages, Sewerage Connection</t>
  </si>
  <si>
    <t>Society Formation Charges</t>
  </si>
  <si>
    <t>Advance Maintenance Charges</t>
  </si>
  <si>
    <t xml:space="preserve">Recommended rate of Parking </t>
  </si>
  <si>
    <t>6,00,000/-</t>
  </si>
  <si>
    <t>Distressed valuation of the Property</t>
  </si>
  <si>
    <t>Commercial Area Details :</t>
  </si>
  <si>
    <t>Building &amp; Wing</t>
  </si>
  <si>
    <t>No. of Units</t>
  </si>
  <si>
    <t>Total Carpet Area</t>
  </si>
  <si>
    <t>Total Saleable Area</t>
  </si>
  <si>
    <t>Shop</t>
  </si>
  <si>
    <t>Residential Area Details : Sale</t>
  </si>
  <si>
    <t>Wing A</t>
  </si>
  <si>
    <t>Wing B</t>
  </si>
  <si>
    <t>Total</t>
  </si>
  <si>
    <t>Residential Area Details : PAP</t>
  </si>
  <si>
    <t>Residential Area Details : Rehab</t>
  </si>
  <si>
    <t>Grand Total</t>
  </si>
  <si>
    <t xml:space="preserve">Details of Flats in Building   </t>
  </si>
  <si>
    <t>Flat/Shop No.</t>
  </si>
  <si>
    <t>Sale/ Rehab</t>
  </si>
  <si>
    <t>Description</t>
  </si>
  <si>
    <t>Gross Carpet area</t>
  </si>
  <si>
    <t>Attached Terrace area</t>
  </si>
  <si>
    <t>Saleable area</t>
  </si>
  <si>
    <t>Floor</t>
  </si>
  <si>
    <t>A &amp; B Wing</t>
  </si>
  <si>
    <t>Basement, Ground, 1st Floor for Commercial &amp; Parking</t>
  </si>
  <si>
    <t>Sale</t>
  </si>
  <si>
    <t>Bank Locker (Triplex Basement Floor)</t>
  </si>
  <si>
    <t>Basement + Ground + 1st Floor</t>
  </si>
  <si>
    <t>Nursing home Unit 1
(Duplex to 1st Floor)</t>
  </si>
  <si>
    <t>Ground + 1st Floor</t>
  </si>
  <si>
    <t>Commercial</t>
  </si>
  <si>
    <t>Ground Floor</t>
  </si>
  <si>
    <t>Rehab</t>
  </si>
  <si>
    <t>Sale Wing A</t>
  </si>
  <si>
    <t>1st Floor for Residential</t>
  </si>
  <si>
    <t>1RK</t>
  </si>
  <si>
    <t>2nd Floor</t>
  </si>
  <si>
    <t>1BHK</t>
  </si>
  <si>
    <t>2nd Floor for Residential</t>
  </si>
  <si>
    <t>2BHK</t>
  </si>
  <si>
    <t>3rd to 6th Floor</t>
  </si>
  <si>
    <t>7th Floor</t>
  </si>
  <si>
    <t>8th Floor</t>
  </si>
  <si>
    <t>Rehab Wing B</t>
  </si>
  <si>
    <t>1st Floor for Commercial &amp; Amenities</t>
  </si>
  <si>
    <t>Welfare Centre</t>
  </si>
  <si>
    <t xml:space="preserve">Balwadi </t>
  </si>
  <si>
    <t>Yoga Centre</t>
  </si>
  <si>
    <r>
      <rPr>
        <sz val="12"/>
        <color indexed="8"/>
        <rFont val="Times New Roman"/>
        <family val="1"/>
      </rPr>
      <t xml:space="preserve">1BHK </t>
    </r>
    <r>
      <rPr>
        <sz val="11"/>
        <color rgb="FF000000"/>
        <rFont val="Times New Roman"/>
        <family val="1"/>
      </rPr>
      <t>(Skill Development Room)</t>
    </r>
  </si>
  <si>
    <t>PAP</t>
  </si>
  <si>
    <t xml:space="preserve">Remarks:  </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</si>
  <si>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</si>
  <si>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</si>
  <si>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</si>
  <si>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</si>
  <si>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</si>
  <si>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</si>
  <si>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</si>
  <si>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Inspected By :</t>
  </si>
  <si>
    <t>Report By :</t>
  </si>
  <si>
    <t>Authorized Signatory
Name &amp; Seal of the agency</t>
  </si>
  <si>
    <t xml:space="preserve">PHOTOGRAPHS OF PROPERTY : 
</t>
  </si>
  <si>
    <t>Layout :</t>
  </si>
  <si>
    <t>Google Map :</t>
  </si>
  <si>
    <t>…………………………………………………………………………………………………………………………………………………………………………………………………………………………………………………………………………………………………………..</t>
  </si>
  <si>
    <t xml:space="preserve">Floor No </t>
  </si>
  <si>
    <t>Flat</t>
  </si>
  <si>
    <t>Discription</t>
  </si>
  <si>
    <t>Carpet</t>
  </si>
  <si>
    <t>Fungible</t>
  </si>
  <si>
    <t>Terrace</t>
  </si>
  <si>
    <t>L</t>
  </si>
  <si>
    <t>W</t>
  </si>
  <si>
    <t>A</t>
  </si>
  <si>
    <t>Hall</t>
  </si>
  <si>
    <t>CB</t>
  </si>
  <si>
    <t>FB</t>
  </si>
  <si>
    <t>kitch</t>
  </si>
  <si>
    <t>Bed1</t>
  </si>
  <si>
    <t>Bed2</t>
  </si>
  <si>
    <t>toilet1</t>
  </si>
  <si>
    <t>DB</t>
  </si>
  <si>
    <t>toilet2</t>
  </si>
  <si>
    <t>toilet3</t>
  </si>
  <si>
    <t>passage1</t>
  </si>
  <si>
    <t>passage2</t>
  </si>
  <si>
    <t>passage3</t>
  </si>
  <si>
    <t>passage4</t>
  </si>
  <si>
    <t>Market Research Data</t>
  </si>
  <si>
    <t>Source</t>
  </si>
  <si>
    <t>Distance from proposed property</t>
  </si>
  <si>
    <t>Net Carpet</t>
  </si>
  <si>
    <t>Saleable Area</t>
  </si>
  <si>
    <t>Rate on Saleable</t>
  </si>
  <si>
    <t>Market Value</t>
  </si>
  <si>
    <t>Magic Brick</t>
  </si>
  <si>
    <t>3BHK</t>
  </si>
  <si>
    <t>99 Acres</t>
  </si>
  <si>
    <t>Average</t>
  </si>
  <si>
    <t xml:space="preserve">Valuation Adopted </t>
  </si>
  <si>
    <t>Gaurav Panchal</t>
  </si>
  <si>
    <t>Sagar Naresh katale</t>
  </si>
  <si>
    <t xml:space="preserve">1. Finishing Work is in process. Internal photographs was not allowed. (Slow Speed)
2. We considered  Saleable area  as per our calculation.
3. We considered Carpet area as per Approved Plan.
4. We considered Gross carpet area = Net carpet.
5. We have considered rate by verifying it from market inquire.
6. Car parking is subjected to authentic documentation.
7. We have updated latest CC from Rera (dtd.22/04/2024).
8. We have updated Approved Pland &amp; C.C (on 06/06/2024).
9. Please provide revised CC for Wing A.
7.  On Site, we meet Mr.Farukh - 9820665033.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</si>
</sst>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_(* #,##0_);_(* \(#,##0\);_(* &quot;-&quot;??_);_(@_)"/>
    <numFmt numFmtId="166" formatCode="0.0"/>
  </numFmts>
  <fonts count="20">
    <font>
      <sz val="11"/>
      <color rgb="FF000000"/>
      <name val="Calibri"/>
      <charset val="134"/>
    </font>
    <font>
      <sz val="11"/>
      <color indexed="8"/>
      <name val="Calibri"/>
      <family val="2"/>
    </font>
    <font>
      <sz val="11"/>
      <color theme="1"/>
      <name val="Calibri"/>
      <family val="2"/>
      <scheme val="minor"/>
    </font>
    <font>
      <b/>
      <sz val="11"/>
      <color theme="1"/>
      <name val="Calibri"/>
      <family val="2"/>
      <scheme val="minor"/>
    </font>
    <font>
      <sz val="11"/>
      <color rgb="FFFF0000"/>
      <name val="Calibri"/>
      <family val="2"/>
      <scheme val="minor"/>
    </font>
    <font>
      <sz val="11"/>
      <color rgb="FFFF0000"/>
      <name val="Calibri"/>
      <family val="2"/>
    </font>
    <font>
      <sz val="12"/>
      <color rgb="FFFF0000"/>
      <name val="Times New Roman"/>
      <family val="1"/>
    </font>
    <font>
      <sz val="12"/>
      <name val="Times New Roman"/>
      <family val="1"/>
    </font>
    <font>
      <sz val="11"/>
      <color theme="1"/>
      <name val="Times New Roman"/>
      <family val="1"/>
    </font>
    <font>
      <sz val="12"/>
      <color indexed="8"/>
      <name val="Times New Roman"/>
      <family val="1"/>
    </font>
    <font>
      <sz val="12"/>
      <color theme="1"/>
      <name val="Times New Roman"/>
      <family val="1"/>
    </font>
    <font>
      <b/>
      <sz val="11.5"/>
      <color indexed="8"/>
      <name val="Times New Roman"/>
      <family val="1"/>
    </font>
    <font>
      <b/>
      <sz val="12"/>
      <color indexed="8"/>
      <name val="Times New Roman"/>
      <family val="1"/>
    </font>
    <font>
      <b/>
      <sz val="12"/>
      <name val="Times New Roman"/>
      <family val="1"/>
    </font>
    <font>
      <u/>
      <sz val="11"/>
      <color theme="10"/>
      <name val="Calibri"/>
      <family val="2"/>
    </font>
    <font>
      <sz val="11"/>
      <color rgb="FF000000"/>
      <name val="Times New Roman"/>
      <family val="1"/>
    </font>
    <font>
      <b/>
      <sz val="12"/>
      <color theme="1"/>
      <name val="Times New Roman"/>
      <family val="1"/>
    </font>
    <font>
      <b/>
      <sz val="11"/>
      <color indexed="8"/>
      <name val="Times New Roman"/>
      <family val="1"/>
    </font>
    <font>
      <sz val="11"/>
      <name val="Times New Roman"/>
      <family val="1"/>
    </font>
    <font>
      <sz val="10"/>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32">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bottom style="thin">
        <color auto="1"/>
      </bottom>
      <diagonal/>
    </border>
    <border>
      <left/>
      <right style="medium">
        <color auto="1"/>
      </right>
      <top/>
      <bottom style="medium">
        <color auto="1"/>
      </bottom>
      <diagonal/>
    </border>
    <border>
      <left/>
      <right/>
      <top/>
      <bottom style="medium">
        <color auto="1"/>
      </bottom>
      <diagonal/>
    </border>
  </borders>
  <cellStyleXfs count="9">
    <xf numFmtId="0" fontId="0" fillId="0" borderId="0"/>
    <xf numFmtId="0" fontId="14" fillId="0" borderId="0" applyNumberFormat="0" applyFill="0" applyBorder="0" applyAlignment="0" applyProtection="0"/>
    <xf numFmtId="164" fontId="1" fillId="0" borderId="0" applyFont="0" applyFill="0" applyBorder="0" applyAlignment="0" applyProtection="0"/>
    <xf numFmtId="0" fontId="1" fillId="0" borderId="0"/>
    <xf numFmtId="0" fontId="1" fillId="0" borderId="0"/>
    <xf numFmtId="0" fontId="2" fillId="0" borderId="0"/>
    <xf numFmtId="0" fontId="2" fillId="0" borderId="0"/>
    <xf numFmtId="0" fontId="19" fillId="0" borderId="0"/>
    <xf numFmtId="0" fontId="2" fillId="0" borderId="0"/>
  </cellStyleXfs>
  <cellXfs count="175">
    <xf numFmtId="0" fontId="0" fillId="0" borderId="0" xfId="0"/>
    <xf numFmtId="0" fontId="1" fillId="0" borderId="0" xfId="4"/>
    <xf numFmtId="0" fontId="2" fillId="0" borderId="0" xfId="8"/>
    <xf numFmtId="0" fontId="3" fillId="0" borderId="1" xfId="8" applyFont="1" applyBorder="1" applyAlignment="1">
      <alignment horizontal="center" vertical="top" wrapText="1"/>
    </xf>
    <xf numFmtId="0" fontId="2" fillId="0" borderId="1" xfId="8" applyBorder="1" applyAlignment="1">
      <alignment horizontal="center" vertical="center"/>
    </xf>
    <xf numFmtId="0" fontId="2" fillId="0" borderId="1" xfId="8" applyBorder="1" applyAlignment="1">
      <alignment horizontal="left" vertical="center"/>
    </xf>
    <xf numFmtId="1" fontId="2" fillId="0" borderId="1" xfId="8" applyNumberFormat="1" applyBorder="1" applyAlignment="1">
      <alignment horizontal="center" vertical="center"/>
    </xf>
    <xf numFmtId="165" fontId="2" fillId="0" borderId="1" xfId="2" applyNumberFormat="1" applyFont="1" applyBorder="1" applyAlignment="1">
      <alignment horizontal="right" vertical="center"/>
    </xf>
    <xf numFmtId="0" fontId="2" fillId="0" borderId="1" xfId="8" applyBorder="1" applyAlignment="1">
      <alignment horizontal="left" vertical="center" wrapText="1"/>
    </xf>
    <xf numFmtId="0" fontId="3" fillId="0" borderId="1" xfId="8" applyFont="1" applyBorder="1" applyAlignment="1">
      <alignment horizontal="center" vertical="center"/>
    </xf>
    <xf numFmtId="1" fontId="4" fillId="0" borderId="1" xfId="8" applyNumberFormat="1" applyFont="1" applyBorder="1" applyAlignment="1">
      <alignment horizontal="center" vertical="center"/>
    </xf>
    <xf numFmtId="0" fontId="1" fillId="0" borderId="1" xfId="4" applyBorder="1" applyAlignment="1">
      <alignment horizontal="center" vertical="center"/>
    </xf>
    <xf numFmtId="0" fontId="5" fillId="0" borderId="0" xfId="4" applyFont="1"/>
    <xf numFmtId="0" fontId="0" fillId="2" borderId="1" xfId="0" applyFill="1" applyBorder="1"/>
    <xf numFmtId="0" fontId="0" fillId="0" borderId="2" xfId="0" applyBorder="1"/>
    <xf numFmtId="0" fontId="3" fillId="0" borderId="1" xfId="0" applyFont="1" applyBorder="1"/>
    <xf numFmtId="0" fontId="3" fillId="0" borderId="1" xfId="0" applyFont="1" applyBorder="1" applyAlignment="1">
      <alignment horizontal="center"/>
    </xf>
    <xf numFmtId="0" fontId="0" fillId="0" borderId="1" xfId="0" applyBorder="1"/>
    <xf numFmtId="0" fontId="6" fillId="0" borderId="0" xfId="6" applyFont="1"/>
    <xf numFmtId="0" fontId="7" fillId="0" borderId="0" xfId="6" applyFont="1"/>
    <xf numFmtId="0" fontId="8" fillId="0" borderId="0" xfId="6" applyFont="1"/>
    <xf numFmtId="0" fontId="9" fillId="0" borderId="0" xfId="3" applyFont="1"/>
    <xf numFmtId="0" fontId="10" fillId="0" borderId="0" xfId="0" applyFont="1" applyAlignment="1">
      <alignment horizontal="center" vertical="center"/>
    </xf>
    <xf numFmtId="0" fontId="10" fillId="0" borderId="0" xfId="6" applyFont="1" applyAlignment="1">
      <alignment horizontal="center" vertical="center"/>
    </xf>
    <xf numFmtId="0" fontId="10" fillId="0" borderId="0" xfId="0" applyFont="1"/>
    <xf numFmtId="0" fontId="10" fillId="0" borderId="0" xfId="6" applyFont="1" applyProtection="1">
      <protection locked="0"/>
    </xf>
    <xf numFmtId="0" fontId="10" fillId="0" borderId="0" xfId="6" applyFont="1"/>
    <xf numFmtId="0" fontId="7" fillId="0" borderId="1" xfId="6" applyFont="1" applyBorder="1" applyAlignment="1" applyProtection="1">
      <alignment horizontal="center" vertical="top"/>
      <protection locked="0"/>
    </xf>
    <xf numFmtId="0" fontId="7" fillId="3" borderId="1" xfId="6" applyFont="1" applyFill="1" applyBorder="1" applyAlignment="1" applyProtection="1">
      <alignment horizontal="left" vertical="top"/>
      <protection locked="0"/>
    </xf>
    <xf numFmtId="0" fontId="7" fillId="3" borderId="1" xfId="6" applyFont="1" applyFill="1" applyBorder="1" applyAlignment="1" applyProtection="1">
      <alignment vertical="top"/>
      <protection locked="0"/>
    </xf>
    <xf numFmtId="0" fontId="13" fillId="3" borderId="1" xfId="6" applyFont="1" applyFill="1" applyBorder="1" applyAlignment="1" applyProtection="1">
      <alignment horizontal="left" vertical="top"/>
      <protection locked="0"/>
    </xf>
    <xf numFmtId="0" fontId="7" fillId="0" borderId="18" xfId="6" applyFont="1" applyBorder="1" applyAlignment="1" applyProtection="1">
      <alignment horizontal="center" vertical="top"/>
      <protection locked="0"/>
    </xf>
    <xf numFmtId="0" fontId="7" fillId="0" borderId="19" xfId="6" applyFont="1" applyBorder="1" applyAlignment="1" applyProtection="1">
      <alignment horizontal="center" vertical="top"/>
      <protection locked="0"/>
    </xf>
    <xf numFmtId="0" fontId="7" fillId="0" borderId="1" xfId="6" applyFont="1" applyBorder="1" applyAlignment="1" applyProtection="1">
      <alignment horizontal="center" vertical="top" wrapText="1"/>
      <protection locked="0"/>
    </xf>
    <xf numFmtId="0" fontId="10" fillId="0" borderId="0" xfId="6" applyFont="1" applyProtection="1">
      <protection hidden="1"/>
    </xf>
    <xf numFmtId="0" fontId="10" fillId="0" borderId="20" xfId="6" applyFont="1" applyBorder="1" applyProtection="1">
      <protection hidden="1"/>
    </xf>
    <xf numFmtId="0" fontId="10" fillId="0" borderId="21" xfId="6" applyFont="1" applyBorder="1" applyProtection="1">
      <protection hidden="1"/>
    </xf>
    <xf numFmtId="0" fontId="10" fillId="0" borderId="22" xfId="6" applyFont="1" applyBorder="1" applyProtection="1">
      <protection hidden="1"/>
    </xf>
    <xf numFmtId="0" fontId="15" fillId="0" borderId="0" xfId="0" applyFont="1" applyProtection="1">
      <protection hidden="1"/>
    </xf>
    <xf numFmtId="0" fontId="10" fillId="0" borderId="22" xfId="6" applyFont="1" applyBorder="1"/>
    <xf numFmtId="0" fontId="7" fillId="0" borderId="1" xfId="6" applyFont="1" applyBorder="1" applyAlignment="1" applyProtection="1">
      <alignment horizontal="center" wrapText="1"/>
      <protection locked="0"/>
    </xf>
    <xf numFmtId="9" fontId="7" fillId="3" borderId="1" xfId="6" applyNumberFormat="1" applyFont="1" applyFill="1" applyBorder="1" applyAlignment="1" applyProtection="1">
      <alignment horizontal="center" vertical="center" wrapText="1"/>
      <protection hidden="1"/>
    </xf>
    <xf numFmtId="1" fontId="7" fillId="0" borderId="1" xfId="6" applyNumberFormat="1" applyFont="1" applyBorder="1" applyAlignment="1" applyProtection="1">
      <alignment horizontal="center" wrapText="1"/>
      <protection locked="0"/>
    </xf>
    <xf numFmtId="0" fontId="7" fillId="0" borderId="24" xfId="6" applyFont="1" applyBorder="1" applyAlignment="1" applyProtection="1">
      <alignment horizontal="center" wrapText="1"/>
      <protection locked="0"/>
    </xf>
    <xf numFmtId="9" fontId="7" fillId="3" borderId="24" xfId="6" applyNumberFormat="1" applyFont="1" applyFill="1" applyBorder="1" applyAlignment="1" applyProtection="1">
      <alignment horizontal="center" vertical="center" wrapText="1"/>
      <protection hidden="1"/>
    </xf>
    <xf numFmtId="0" fontId="16" fillId="0" borderId="1" xfId="0" applyFont="1" applyBorder="1" applyAlignment="1" applyProtection="1">
      <alignment horizontal="center" vertical="center"/>
      <protection locked="0"/>
    </xf>
    <xf numFmtId="1" fontId="10" fillId="0" borderId="1" xfId="0" applyNumberFormat="1" applyFont="1" applyBorder="1" applyAlignment="1" applyProtection="1">
      <alignment horizontal="center" vertical="center"/>
      <protection locked="0"/>
    </xf>
    <xf numFmtId="1" fontId="16" fillId="0" borderId="1" xfId="0" applyNumberFormat="1" applyFont="1" applyBorder="1" applyAlignment="1" applyProtection="1">
      <alignment horizontal="center" vertical="center"/>
      <protection locked="0"/>
    </xf>
    <xf numFmtId="1" fontId="12" fillId="0" borderId="1" xfId="6" applyNumberFormat="1" applyFont="1" applyBorder="1" applyAlignment="1" applyProtection="1">
      <alignment horizontal="center" vertical="top" wrapText="1"/>
      <protection locked="0"/>
    </xf>
    <xf numFmtId="1" fontId="17" fillId="0" borderId="1" xfId="6" applyNumberFormat="1" applyFont="1" applyBorder="1" applyAlignment="1" applyProtection="1">
      <alignment horizontal="center" vertical="top" wrapText="1"/>
      <protection locked="0"/>
    </xf>
    <xf numFmtId="1" fontId="12" fillId="0" borderId="1" xfId="6" applyNumberFormat="1" applyFont="1" applyBorder="1" applyAlignment="1" applyProtection="1">
      <alignment horizontal="center" vertical="center" wrapText="1"/>
      <protection locked="0"/>
    </xf>
    <xf numFmtId="1" fontId="9" fillId="0" borderId="1" xfId="6" applyNumberFormat="1" applyFont="1" applyBorder="1" applyAlignment="1" applyProtection="1">
      <alignment horizontal="center" vertical="center" wrapText="1"/>
      <protection locked="0"/>
    </xf>
    <xf numFmtId="1" fontId="9" fillId="0" borderId="3" xfId="6" applyNumberFormat="1" applyFont="1" applyBorder="1" applyAlignment="1" applyProtection="1">
      <alignment horizontal="center" vertical="center" wrapText="1"/>
      <protection locked="0"/>
    </xf>
    <xf numFmtId="0" fontId="15" fillId="0" borderId="22" xfId="0" applyFont="1" applyBorder="1" applyProtection="1">
      <protection hidden="1"/>
    </xf>
    <xf numFmtId="9" fontId="15" fillId="0" borderId="22" xfId="0" applyNumberFormat="1" applyFont="1" applyBorder="1" applyProtection="1">
      <protection hidden="1"/>
    </xf>
    <xf numFmtId="1" fontId="0" fillId="0" borderId="22" xfId="0" applyNumberFormat="1" applyBorder="1"/>
    <xf numFmtId="9" fontId="15" fillId="0" borderId="30" xfId="0" applyNumberFormat="1" applyFont="1" applyBorder="1" applyProtection="1">
      <protection hidden="1"/>
    </xf>
    <xf numFmtId="1" fontId="0" fillId="0" borderId="22" xfId="0" applyNumberFormat="1" applyBorder="1" applyAlignment="1">
      <alignment horizontal="right"/>
    </xf>
    <xf numFmtId="0" fontId="15" fillId="0" borderId="31" xfId="0" applyFont="1" applyBorder="1" applyProtection="1">
      <protection hidden="1"/>
    </xf>
    <xf numFmtId="1" fontId="0" fillId="0" borderId="30" xfId="0" applyNumberFormat="1" applyBorder="1"/>
    <xf numFmtId="1" fontId="10" fillId="0" borderId="0" xfId="0" applyNumberFormat="1" applyFont="1" applyAlignment="1">
      <alignment horizontal="center" vertical="center"/>
    </xf>
    <xf numFmtId="1" fontId="10" fillId="0" borderId="0" xfId="6" applyNumberFormat="1" applyFont="1" applyAlignment="1">
      <alignment horizontal="center" vertical="center"/>
    </xf>
    <xf numFmtId="0" fontId="12" fillId="0" borderId="0" xfId="6" applyFont="1" applyAlignment="1" applyProtection="1">
      <alignment vertical="top"/>
      <protection locked="0"/>
    </xf>
    <xf numFmtId="0" fontId="12" fillId="0" borderId="0" xfId="6" applyFont="1" applyAlignment="1" applyProtection="1">
      <alignment vertical="top" wrapText="1"/>
      <protection locked="0"/>
    </xf>
    <xf numFmtId="0" fontId="16" fillId="0" borderId="0" xfId="6" applyFont="1" applyProtection="1">
      <protection locked="0"/>
    </xf>
    <xf numFmtId="0" fontId="7" fillId="0" borderId="1" xfId="6" applyFont="1" applyBorder="1" applyAlignment="1" applyProtection="1">
      <alignment horizontal="left" vertical="top" wrapText="1"/>
      <protection locked="0"/>
    </xf>
    <xf numFmtId="0" fontId="7" fillId="0" borderId="1" xfId="6" applyFont="1" applyBorder="1" applyAlignment="1" applyProtection="1">
      <alignment horizontal="left" vertical="top"/>
      <protection locked="0"/>
    </xf>
    <xf numFmtId="0" fontId="13" fillId="0" borderId="1" xfId="6" applyFont="1" applyBorder="1" applyAlignment="1" applyProtection="1">
      <alignment horizontal="center" vertical="top" wrapText="1"/>
      <protection locked="0"/>
    </xf>
    <xf numFmtId="1" fontId="9" fillId="0" borderId="6" xfId="6" applyNumberFormat="1" applyFont="1" applyBorder="1" applyAlignment="1" applyProtection="1">
      <alignment horizontal="center" vertical="center" wrapText="1"/>
      <protection locked="0"/>
    </xf>
    <xf numFmtId="1" fontId="9" fillId="0" borderId="7" xfId="6" applyNumberFormat="1" applyFont="1" applyBorder="1" applyAlignment="1" applyProtection="1">
      <alignment horizontal="center" vertical="center" wrapText="1"/>
      <protection locked="0"/>
    </xf>
    <xf numFmtId="1" fontId="9" fillId="0" borderId="8" xfId="6" applyNumberFormat="1" applyFont="1" applyBorder="1" applyAlignment="1" applyProtection="1">
      <alignment horizontal="center" vertical="center" wrapText="1"/>
      <protection locked="0"/>
    </xf>
    <xf numFmtId="1" fontId="9" fillId="0" borderId="9" xfId="6" applyNumberFormat="1" applyFont="1" applyBorder="1" applyAlignment="1" applyProtection="1">
      <alignment horizontal="center" vertical="center" wrapText="1"/>
      <protection locked="0"/>
    </xf>
    <xf numFmtId="1" fontId="9" fillId="0" borderId="10" xfId="6" applyNumberFormat="1" applyFont="1" applyBorder="1" applyAlignment="1" applyProtection="1">
      <alignment horizontal="center" vertical="center" wrapText="1"/>
      <protection locked="0"/>
    </xf>
    <xf numFmtId="1" fontId="9" fillId="0" borderId="11" xfId="6" applyNumberFormat="1" applyFont="1" applyBorder="1" applyAlignment="1" applyProtection="1">
      <alignment horizontal="center" vertical="center" wrapText="1"/>
      <protection locked="0"/>
    </xf>
    <xf numFmtId="9" fontId="7" fillId="3" borderId="1" xfId="6" applyNumberFormat="1" applyFont="1" applyFill="1" applyBorder="1" applyAlignment="1" applyProtection="1">
      <alignment horizontal="center" vertical="center" wrapText="1"/>
      <protection hidden="1"/>
    </xf>
    <xf numFmtId="9" fontId="7" fillId="3" borderId="24" xfId="6" applyNumberFormat="1" applyFont="1" applyFill="1" applyBorder="1" applyAlignment="1" applyProtection="1">
      <alignment horizontal="center" vertical="center" wrapText="1"/>
      <protection hidden="1"/>
    </xf>
    <xf numFmtId="9" fontId="7" fillId="3" borderId="19" xfId="6" applyNumberFormat="1" applyFont="1" applyFill="1" applyBorder="1" applyAlignment="1" applyProtection="1">
      <alignment horizontal="center" vertical="center" wrapText="1"/>
      <protection hidden="1"/>
    </xf>
    <xf numFmtId="9" fontId="7" fillId="3" borderId="25" xfId="6" applyNumberFormat="1" applyFont="1" applyFill="1" applyBorder="1" applyAlignment="1" applyProtection="1">
      <alignment horizontal="center" vertical="center" wrapText="1"/>
      <protection hidden="1"/>
    </xf>
    <xf numFmtId="0" fontId="9" fillId="0" borderId="1" xfId="6" applyFont="1" applyBorder="1" applyAlignment="1" applyProtection="1">
      <alignment horizontal="left" vertical="top"/>
      <protection locked="0"/>
    </xf>
    <xf numFmtId="0" fontId="9" fillId="0" borderId="1" xfId="6" applyFont="1" applyBorder="1" applyAlignment="1" applyProtection="1">
      <alignment horizontal="left" vertical="top" wrapText="1"/>
      <protection locked="0"/>
    </xf>
    <xf numFmtId="0" fontId="18" fillId="0" borderId="1" xfId="6" applyFont="1" applyBorder="1" applyAlignment="1" applyProtection="1">
      <alignment horizontal="center" vertical="top" wrapText="1"/>
      <protection locked="0"/>
    </xf>
    <xf numFmtId="0" fontId="7" fillId="0" borderId="6" xfId="6" applyFont="1" applyBorder="1" applyAlignment="1" applyProtection="1">
      <alignment horizontal="left" vertical="top" wrapText="1"/>
      <protection locked="0"/>
    </xf>
    <xf numFmtId="0" fontId="7" fillId="0" borderId="7" xfId="6" applyFont="1" applyBorder="1" applyAlignment="1" applyProtection="1">
      <alignment horizontal="left" vertical="top" wrapText="1"/>
      <protection locked="0"/>
    </xf>
    <xf numFmtId="0" fontId="7" fillId="0" borderId="8" xfId="6" applyFont="1" applyBorder="1" applyAlignment="1" applyProtection="1">
      <alignment horizontal="left" vertical="top" wrapText="1"/>
      <protection locked="0"/>
    </xf>
    <xf numFmtId="0" fontId="7" fillId="0" borderId="9" xfId="6" applyFont="1" applyBorder="1" applyAlignment="1" applyProtection="1">
      <alignment horizontal="left" vertical="top" wrapText="1"/>
      <protection locked="0"/>
    </xf>
    <xf numFmtId="0" fontId="7" fillId="0" borderId="10" xfId="6" applyFont="1" applyBorder="1" applyAlignment="1" applyProtection="1">
      <alignment horizontal="left" vertical="top" wrapText="1"/>
      <protection locked="0"/>
    </xf>
    <xf numFmtId="0" fontId="7" fillId="0" borderId="11" xfId="6" applyFont="1" applyBorder="1" applyAlignment="1" applyProtection="1">
      <alignment horizontal="left" vertical="top" wrapText="1"/>
      <protection locked="0"/>
    </xf>
    <xf numFmtId="1" fontId="12" fillId="0" borderId="1" xfId="6"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left" vertical="top" wrapText="1"/>
      <protection locked="0"/>
    </xf>
    <xf numFmtId="0" fontId="13" fillId="0" borderId="1" xfId="3" applyFont="1" applyBorder="1" applyAlignment="1" applyProtection="1">
      <alignment horizontal="left" vertical="top" wrapText="1"/>
      <protection locked="0"/>
    </xf>
    <xf numFmtId="0" fontId="9" fillId="0" borderId="1" xfId="6" applyFont="1" applyBorder="1" applyAlignment="1" applyProtection="1">
      <alignment vertical="top"/>
      <protection locked="0"/>
    </xf>
    <xf numFmtId="1" fontId="12" fillId="0" borderId="3" xfId="6" applyNumberFormat="1" applyFont="1" applyBorder="1" applyAlignment="1" applyProtection="1">
      <alignment horizontal="center" vertical="center" wrapText="1"/>
      <protection locked="0"/>
    </xf>
    <xf numFmtId="1" fontId="12" fillId="0" borderId="4" xfId="6" applyNumberFormat="1" applyFont="1" applyBorder="1" applyAlignment="1" applyProtection="1">
      <alignment horizontal="center" vertical="center" wrapText="1"/>
      <protection locked="0"/>
    </xf>
    <xf numFmtId="1" fontId="12" fillId="0" borderId="5" xfId="6" applyNumberFormat="1" applyFont="1" applyBorder="1" applyAlignment="1" applyProtection="1">
      <alignment horizontal="center" vertical="center" wrapText="1"/>
      <protection locked="0"/>
    </xf>
    <xf numFmtId="1" fontId="9" fillId="0" borderId="3" xfId="6" applyNumberFormat="1" applyFont="1" applyBorder="1" applyAlignment="1" applyProtection="1">
      <alignment horizontal="center" vertical="center"/>
      <protection locked="0"/>
    </xf>
    <xf numFmtId="1" fontId="9" fillId="0" borderId="4" xfId="6" applyNumberFormat="1" applyFont="1" applyBorder="1" applyAlignment="1" applyProtection="1">
      <alignment horizontal="center" vertical="center"/>
      <protection locked="0"/>
    </xf>
    <xf numFmtId="1" fontId="9" fillId="0" borderId="5" xfId="6" applyNumberFormat="1" applyFont="1" applyBorder="1" applyAlignment="1" applyProtection="1">
      <alignment horizontal="center" vertical="center"/>
      <protection locked="0"/>
    </xf>
    <xf numFmtId="1" fontId="9" fillId="0" borderId="3" xfId="6" applyNumberFormat="1" applyFont="1" applyBorder="1" applyAlignment="1" applyProtection="1">
      <alignment horizontal="center" vertical="center" wrapText="1"/>
      <protection locked="0"/>
    </xf>
    <xf numFmtId="1" fontId="9" fillId="0" borderId="4" xfId="6" applyNumberFormat="1" applyFont="1" applyBorder="1" applyAlignment="1" applyProtection="1">
      <alignment horizontal="center" vertical="center" wrapText="1"/>
      <protection locked="0"/>
    </xf>
    <xf numFmtId="1" fontId="9" fillId="0" borderId="5" xfId="6" applyNumberFormat="1" applyFont="1" applyBorder="1" applyAlignment="1" applyProtection="1">
      <alignment horizontal="center" vertical="center" wrapText="1"/>
      <protection locked="0"/>
    </xf>
    <xf numFmtId="1" fontId="9" fillId="0" borderId="1" xfId="6" applyNumberFormat="1" applyFont="1" applyBorder="1" applyAlignment="1" applyProtection="1">
      <alignment horizontal="center" vertical="center" wrapText="1"/>
      <protection locked="0"/>
    </xf>
    <xf numFmtId="0" fontId="12" fillId="0" borderId="1" xfId="6" applyFont="1" applyBorder="1" applyAlignment="1" applyProtection="1">
      <alignment horizontal="center" vertical="top"/>
      <protection locked="0"/>
    </xf>
    <xf numFmtId="1" fontId="12" fillId="0" borderId="1" xfId="6" applyNumberFormat="1"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top" wrapText="1"/>
      <protection locked="0"/>
    </xf>
    <xf numFmtId="1" fontId="10" fillId="0" borderId="3" xfId="0" applyNumberFormat="1" applyFont="1" applyBorder="1" applyAlignment="1" applyProtection="1">
      <alignment horizontal="center" vertical="top" wrapText="1"/>
      <protection locked="0"/>
    </xf>
    <xf numFmtId="1" fontId="10" fillId="0" borderId="4" xfId="0" applyNumberFormat="1" applyFont="1" applyBorder="1" applyAlignment="1" applyProtection="1">
      <alignment horizontal="center" vertical="top" wrapText="1"/>
      <protection locked="0"/>
    </xf>
    <xf numFmtId="1" fontId="10" fillId="0" borderId="5" xfId="0" applyNumberFormat="1" applyFont="1" applyBorder="1" applyAlignment="1" applyProtection="1">
      <alignment horizontal="center" vertical="top" wrapText="1"/>
      <protection locked="0"/>
    </xf>
    <xf numFmtId="1" fontId="12" fillId="0" borderId="1" xfId="0" applyNumberFormat="1" applyFont="1" applyBorder="1" applyAlignment="1" applyProtection="1">
      <alignment horizontal="center" vertical="center" wrapText="1"/>
      <protection locked="0"/>
    </xf>
    <xf numFmtId="1" fontId="16" fillId="0" borderId="1" xfId="0" applyNumberFormat="1" applyFont="1" applyBorder="1" applyAlignment="1" applyProtection="1">
      <alignment horizontal="center" vertical="top" wrapText="1"/>
      <protection locked="0"/>
    </xf>
    <xf numFmtId="1" fontId="12" fillId="0" borderId="1" xfId="0" applyNumberFormat="1" applyFont="1" applyBorder="1" applyAlignment="1" applyProtection="1">
      <alignment horizontal="center" vertical="top" wrapText="1"/>
      <protection locked="0"/>
    </xf>
    <xf numFmtId="1" fontId="12" fillId="0" borderId="3" xfId="0" applyNumberFormat="1" applyFont="1" applyBorder="1" applyAlignment="1" applyProtection="1">
      <alignment horizontal="center" vertical="center" wrapText="1"/>
      <protection locked="0"/>
    </xf>
    <xf numFmtId="1" fontId="12" fillId="0" borderId="5" xfId="0" applyNumberFormat="1" applyFont="1" applyBorder="1" applyAlignment="1" applyProtection="1">
      <alignment horizontal="center" vertical="center" wrapText="1"/>
      <protection locked="0"/>
    </xf>
    <xf numFmtId="1" fontId="16" fillId="0" borderId="3" xfId="0" applyNumberFormat="1" applyFont="1" applyBorder="1" applyAlignment="1" applyProtection="1">
      <alignment horizontal="center" vertical="top" wrapText="1"/>
      <protection locked="0"/>
    </xf>
    <xf numFmtId="1" fontId="16" fillId="0" borderId="5" xfId="0" applyNumberFormat="1" applyFont="1" applyBorder="1" applyAlignment="1" applyProtection="1">
      <alignment horizontal="center" vertical="top" wrapText="1"/>
      <protection locked="0"/>
    </xf>
    <xf numFmtId="1" fontId="12" fillId="0" borderId="3" xfId="0" applyNumberFormat="1" applyFont="1" applyBorder="1" applyAlignment="1" applyProtection="1">
      <alignment horizontal="center" vertical="top" wrapText="1"/>
      <protection locked="0"/>
    </xf>
    <xf numFmtId="1" fontId="12" fillId="0" borderId="4" xfId="0" applyNumberFormat="1" applyFont="1" applyBorder="1" applyAlignment="1" applyProtection="1">
      <alignment horizontal="center" vertical="top" wrapText="1"/>
      <protection locked="0"/>
    </xf>
    <xf numFmtId="1" fontId="12" fillId="0" borderId="5" xfId="0" applyNumberFormat="1" applyFont="1" applyBorder="1" applyAlignment="1" applyProtection="1">
      <alignment horizontal="center" vertical="top" wrapText="1"/>
      <protection locked="0"/>
    </xf>
    <xf numFmtId="0" fontId="16" fillId="0" borderId="1" xfId="0" applyFont="1" applyBorder="1" applyAlignment="1" applyProtection="1">
      <alignment horizontal="center" vertical="top" wrapText="1"/>
      <protection locked="0"/>
    </xf>
    <xf numFmtId="0" fontId="7" fillId="3" borderId="1" xfId="6" applyFont="1" applyFill="1" applyBorder="1" applyAlignment="1" applyProtection="1">
      <alignment horizontal="left" vertical="top"/>
      <protection locked="0"/>
    </xf>
    <xf numFmtId="0" fontId="7" fillId="3" borderId="1" xfId="6" applyFont="1" applyFill="1" applyBorder="1" applyAlignment="1" applyProtection="1">
      <alignment horizontal="left" vertical="top" wrapText="1"/>
      <protection locked="0"/>
    </xf>
    <xf numFmtId="0" fontId="12" fillId="0" borderId="1" xfId="6" applyFont="1" applyBorder="1" applyAlignment="1" applyProtection="1">
      <alignment horizontal="left" vertical="top"/>
      <protection locked="0"/>
    </xf>
    <xf numFmtId="0" fontId="7" fillId="0" borderId="18" xfId="6" applyFont="1" applyBorder="1" applyAlignment="1" applyProtection="1">
      <alignment horizontal="center" vertical="top" wrapText="1"/>
      <protection locked="0"/>
    </xf>
    <xf numFmtId="0" fontId="7" fillId="0" borderId="1" xfId="6" applyFont="1" applyBorder="1" applyAlignment="1" applyProtection="1">
      <alignment horizontal="center" vertical="top" wrapText="1"/>
      <protection locked="0"/>
    </xf>
    <xf numFmtId="0" fontId="7" fillId="0" borderId="23" xfId="6" applyFont="1" applyBorder="1" applyAlignment="1" applyProtection="1">
      <alignment horizontal="center" vertical="top" wrapText="1"/>
      <protection locked="0"/>
    </xf>
    <xf numFmtId="0" fontId="7" fillId="0" borderId="24" xfId="6" applyFont="1" applyBorder="1" applyAlignment="1" applyProtection="1">
      <alignment horizontal="center" vertical="top" wrapText="1"/>
      <protection locked="0"/>
    </xf>
    <xf numFmtId="0" fontId="7" fillId="0" borderId="29" xfId="6" applyFont="1" applyBorder="1" applyAlignment="1" applyProtection="1">
      <alignment horizontal="left" vertical="top"/>
      <protection locked="0"/>
    </xf>
    <xf numFmtId="0" fontId="13" fillId="0" borderId="1" xfId="6" applyFont="1" applyBorder="1" applyAlignment="1" applyProtection="1">
      <alignment horizontal="left" vertical="top"/>
      <protection locked="0"/>
    </xf>
    <xf numFmtId="0" fontId="13" fillId="0" borderId="1" xfId="6" applyFont="1" applyBorder="1" applyAlignment="1" applyProtection="1">
      <alignment horizontal="left" vertical="top" wrapText="1"/>
      <protection locked="0"/>
    </xf>
    <xf numFmtId="0" fontId="7" fillId="0" borderId="19" xfId="6" applyFont="1" applyBorder="1" applyAlignment="1" applyProtection="1">
      <alignment horizontal="center" vertical="top" wrapText="1"/>
      <protection locked="0"/>
    </xf>
    <xf numFmtId="0" fontId="7" fillId="0" borderId="18" xfId="6" applyFont="1" applyBorder="1" applyAlignment="1" applyProtection="1">
      <alignment horizontal="center" vertical="top"/>
      <protection locked="0"/>
    </xf>
    <xf numFmtId="0" fontId="7" fillId="0" borderId="1" xfId="6" applyFont="1" applyBorder="1" applyAlignment="1" applyProtection="1">
      <alignment horizontal="center" vertical="top"/>
      <protection locked="0"/>
    </xf>
    <xf numFmtId="0" fontId="12" fillId="0" borderId="26" xfId="6" applyFont="1" applyBorder="1" applyAlignment="1" applyProtection="1">
      <alignment horizontal="left" vertical="top" wrapText="1"/>
      <protection locked="0"/>
    </xf>
    <xf numFmtId="0" fontId="12" fillId="0" borderId="27" xfId="6" applyFont="1" applyBorder="1" applyAlignment="1" applyProtection="1">
      <alignment horizontal="left" vertical="top" wrapText="1"/>
      <protection locked="0"/>
    </xf>
    <xf numFmtId="0" fontId="12" fillId="0" borderId="28" xfId="6" applyFont="1" applyBorder="1" applyAlignment="1" applyProtection="1">
      <alignment horizontal="left" vertical="top" wrapText="1"/>
      <protection locked="0"/>
    </xf>
    <xf numFmtId="0" fontId="13" fillId="0" borderId="18" xfId="6" applyFont="1" applyBorder="1" applyAlignment="1" applyProtection="1">
      <alignment horizontal="left" vertical="top"/>
      <protection locked="0"/>
    </xf>
    <xf numFmtId="0" fontId="13" fillId="0" borderId="19" xfId="6" applyFont="1" applyBorder="1" applyAlignment="1" applyProtection="1">
      <alignment horizontal="left" vertical="top" wrapText="1"/>
      <protection locked="0"/>
    </xf>
    <xf numFmtId="0" fontId="7" fillId="0" borderId="12" xfId="6" applyFont="1" applyBorder="1" applyAlignment="1" applyProtection="1">
      <alignment horizontal="left" vertical="top"/>
      <protection locked="0"/>
    </xf>
    <xf numFmtId="0" fontId="7" fillId="0" borderId="12" xfId="6" applyFont="1" applyBorder="1" applyAlignment="1" applyProtection="1">
      <alignment horizontal="left" vertical="top" wrapText="1"/>
      <protection locked="0"/>
    </xf>
    <xf numFmtId="0" fontId="13" fillId="0" borderId="13" xfId="6" applyFont="1" applyBorder="1" applyAlignment="1" applyProtection="1">
      <alignment horizontal="left" vertical="top" wrapText="1"/>
      <protection locked="0"/>
    </xf>
    <xf numFmtId="0" fontId="13" fillId="0" borderId="14" xfId="6" applyFont="1" applyBorder="1" applyAlignment="1" applyProtection="1">
      <alignment horizontal="left" vertical="top" wrapText="1"/>
      <protection locked="0"/>
    </xf>
    <xf numFmtId="0" fontId="13" fillId="0" borderId="15" xfId="6" applyFont="1" applyBorder="1" applyAlignment="1" applyProtection="1">
      <alignment horizontal="left" vertical="top" wrapText="1"/>
      <protection locked="0"/>
    </xf>
    <xf numFmtId="0" fontId="13" fillId="0" borderId="16" xfId="6" applyFont="1" applyBorder="1" applyAlignment="1" applyProtection="1">
      <alignment horizontal="left" vertical="top" wrapText="1"/>
      <protection locked="0"/>
    </xf>
    <xf numFmtId="0" fontId="13" fillId="0" borderId="17" xfId="6" applyFont="1" applyBorder="1" applyAlignment="1" applyProtection="1">
      <alignment horizontal="left" vertical="top" wrapText="1"/>
      <protection locked="0"/>
    </xf>
    <xf numFmtId="0" fontId="13" fillId="0" borderId="1" xfId="6" applyFont="1" applyBorder="1" applyAlignment="1" applyProtection="1">
      <alignment vertical="top"/>
      <protection locked="0"/>
    </xf>
    <xf numFmtId="14" fontId="7" fillId="3" borderId="1" xfId="6" applyNumberFormat="1" applyFont="1" applyFill="1" applyBorder="1" applyAlignment="1" applyProtection="1">
      <alignment horizontal="left" vertical="top" wrapText="1"/>
      <protection locked="0"/>
    </xf>
    <xf numFmtId="0" fontId="7" fillId="3" borderId="3" xfId="6" applyFont="1" applyFill="1" applyBorder="1" applyAlignment="1" applyProtection="1">
      <alignment horizontal="left" vertical="top" wrapText="1"/>
      <protection locked="0"/>
    </xf>
    <xf numFmtId="0" fontId="7" fillId="3" borderId="4" xfId="6" applyFont="1" applyFill="1" applyBorder="1" applyAlignment="1" applyProtection="1">
      <alignment horizontal="left" vertical="top" wrapText="1"/>
      <protection locked="0"/>
    </xf>
    <xf numFmtId="0" fontId="7" fillId="3" borderId="5" xfId="6" applyFont="1" applyFill="1" applyBorder="1" applyAlignment="1" applyProtection="1">
      <alignment horizontal="left" vertical="top" wrapText="1"/>
      <protection locked="0"/>
    </xf>
    <xf numFmtId="14" fontId="7" fillId="3" borderId="1" xfId="6" applyNumberFormat="1" applyFont="1" applyFill="1" applyBorder="1" applyAlignment="1" applyProtection="1">
      <alignment horizontal="left" vertical="top"/>
      <protection locked="0"/>
    </xf>
    <xf numFmtId="0" fontId="13" fillId="3" borderId="1" xfId="6" applyFont="1" applyFill="1" applyBorder="1" applyAlignment="1" applyProtection="1">
      <alignment horizontal="left" vertical="top" wrapText="1"/>
      <protection locked="0"/>
    </xf>
    <xf numFmtId="0" fontId="13" fillId="3" borderId="1" xfId="6" applyFont="1" applyFill="1" applyBorder="1" applyAlignment="1" applyProtection="1">
      <alignment horizontal="left" vertical="top"/>
      <protection locked="0"/>
    </xf>
    <xf numFmtId="0" fontId="13" fillId="0" borderId="3" xfId="6" applyFont="1" applyBorder="1" applyAlignment="1" applyProtection="1">
      <alignment horizontal="left" vertical="top" wrapText="1"/>
      <protection locked="0"/>
    </xf>
    <xf numFmtId="0" fontId="13" fillId="0" borderId="5" xfId="6" applyFont="1" applyBorder="1" applyAlignment="1" applyProtection="1">
      <alignment horizontal="left" vertical="top" wrapText="1"/>
      <protection locked="0"/>
    </xf>
    <xf numFmtId="2" fontId="7" fillId="0" borderId="1" xfId="6" applyNumberFormat="1" applyFont="1" applyBorder="1" applyAlignment="1" applyProtection="1">
      <alignment horizontal="left" vertical="top"/>
      <protection locked="0"/>
    </xf>
    <xf numFmtId="14" fontId="7" fillId="0" borderId="1" xfId="6" applyNumberFormat="1" applyFont="1" applyBorder="1" applyAlignment="1" applyProtection="1">
      <alignment horizontal="left" vertical="top" wrapText="1"/>
      <protection locked="0"/>
    </xf>
    <xf numFmtId="2" fontId="9" fillId="0" borderId="1" xfId="6" applyNumberFormat="1" applyFont="1" applyBorder="1" applyAlignment="1" applyProtection="1">
      <alignment horizontal="left" vertical="top" wrapText="1"/>
      <protection locked="0"/>
    </xf>
    <xf numFmtId="166" fontId="9" fillId="0" borderId="1" xfId="6" applyNumberFormat="1" applyFont="1" applyBorder="1" applyAlignment="1" applyProtection="1">
      <alignment horizontal="left" vertical="top"/>
      <protection locked="0"/>
    </xf>
    <xf numFmtId="166" fontId="7" fillId="0" borderId="1" xfId="6" applyNumberFormat="1" applyFont="1" applyBorder="1" applyAlignment="1" applyProtection="1">
      <alignment horizontal="left" vertical="top"/>
      <protection locked="0"/>
    </xf>
    <xf numFmtId="0" fontId="7" fillId="0" borderId="1" xfId="6" applyFont="1" applyBorder="1" applyAlignment="1" applyProtection="1">
      <alignment horizontal="center"/>
      <protection locked="0"/>
    </xf>
    <xf numFmtId="0" fontId="10" fillId="0" borderId="1" xfId="6" applyFont="1" applyBorder="1" applyAlignment="1" applyProtection="1">
      <alignment horizontal="center"/>
      <protection locked="0"/>
    </xf>
    <xf numFmtId="0" fontId="9" fillId="0" borderId="1" xfId="6" applyFont="1" applyBorder="1" applyAlignment="1" applyProtection="1">
      <alignment horizontal="center" vertical="top"/>
      <protection locked="0"/>
    </xf>
    <xf numFmtId="0" fontId="14" fillId="0" borderId="3" xfId="1" applyBorder="1" applyAlignment="1" applyProtection="1">
      <alignment horizontal="left"/>
      <protection locked="0"/>
    </xf>
    <xf numFmtId="0" fontId="10" fillId="0" borderId="4" xfId="6" applyFont="1" applyBorder="1" applyAlignment="1" applyProtection="1">
      <alignment horizontal="left"/>
      <protection locked="0"/>
    </xf>
    <xf numFmtId="0" fontId="10" fillId="0" borderId="5" xfId="6" applyFont="1" applyBorder="1" applyAlignment="1" applyProtection="1">
      <alignment horizontal="left"/>
      <protection locked="0"/>
    </xf>
    <xf numFmtId="0" fontId="7" fillId="0" borderId="1" xfId="6" applyFont="1" applyBorder="1" applyAlignment="1" applyProtection="1">
      <alignment horizontal="left" vertical="center" wrapText="1"/>
      <protection locked="0"/>
    </xf>
    <xf numFmtId="0" fontId="13" fillId="0" borderId="1" xfId="6" applyFont="1" applyBorder="1" applyAlignment="1" applyProtection="1">
      <alignment horizontal="center"/>
      <protection locked="0"/>
    </xf>
    <xf numFmtId="0" fontId="13" fillId="0" borderId="1" xfId="6" applyFont="1" applyBorder="1" applyAlignment="1" applyProtection="1">
      <alignment horizontal="center" vertical="top"/>
      <protection locked="0"/>
    </xf>
    <xf numFmtId="0" fontId="7" fillId="0" borderId="1" xfId="6" applyFont="1" applyBorder="1" applyAlignment="1" applyProtection="1">
      <alignment horizontal="left"/>
      <protection locked="0"/>
    </xf>
    <xf numFmtId="0" fontId="11" fillId="0" borderId="1" xfId="6" applyFont="1" applyBorder="1" applyAlignment="1" applyProtection="1">
      <alignment horizontal="center" vertical="top" wrapText="1"/>
      <protection locked="0"/>
    </xf>
    <xf numFmtId="14" fontId="9" fillId="0" borderId="1" xfId="6" applyNumberFormat="1" applyFont="1" applyBorder="1" applyAlignment="1" applyProtection="1">
      <alignment horizontal="left" vertical="top"/>
      <protection locked="0"/>
    </xf>
    <xf numFmtId="14" fontId="7" fillId="0" borderId="1" xfId="6" applyNumberFormat="1" applyFont="1" applyBorder="1" applyAlignment="1" applyProtection="1">
      <alignment horizontal="left" vertical="top"/>
      <protection locked="0"/>
    </xf>
    <xf numFmtId="0" fontId="0" fillId="2" borderId="1" xfId="0" applyFill="1" applyBorder="1" applyAlignment="1">
      <alignment horizontal="center" wrapText="1"/>
    </xf>
    <xf numFmtId="0" fontId="3" fillId="0" borderId="1" xfId="0" applyFont="1" applyBorder="1" applyAlignment="1">
      <alignment horizontal="center"/>
    </xf>
    <xf numFmtId="0" fontId="3" fillId="0" borderId="1" xfId="8" applyFont="1" applyBorder="1" applyAlignment="1">
      <alignment horizontal="left"/>
    </xf>
  </cellXfs>
  <cellStyles count="9">
    <cellStyle name="Comma 2" xfId="2" xr:uid="{00000000-0005-0000-0000-000031000000}"/>
    <cellStyle name="Excel Built-in Normal" xfId="3" xr:uid="{00000000-0005-0000-0000-000032000000}"/>
    <cellStyle name="Excel Built-in Normal 2" xfId="4" xr:uid="{00000000-0005-0000-0000-000033000000}"/>
    <cellStyle name="Hyperlink" xfId="1" builtinId="8"/>
    <cellStyle name="Normal" xfId="0" builtinId="0"/>
    <cellStyle name="Normal 2" xfId="5" xr:uid="{00000000-0005-0000-0000-000034000000}"/>
    <cellStyle name="Normal 3" xfId="6" xr:uid="{00000000-0005-0000-0000-000035000000}"/>
    <cellStyle name="Normal 3 3" xfId="7" xr:uid="{00000000-0005-0000-0000-000036000000}"/>
    <cellStyle name="Normal 4" xfId="8" xr:uid="{00000000-0005-0000-0000-00003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571501</xdr:colOff>
      <xdr:row>321</xdr:row>
      <xdr:rowOff>44824</xdr:rowOff>
    </xdr:from>
    <xdr:to>
      <xdr:col>7</xdr:col>
      <xdr:colOff>135233</xdr:colOff>
      <xdr:row>339</xdr:row>
      <xdr:rowOff>14119</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cstate="print"/>
        <a:srcRect/>
        <a:stretch>
          <a:fillRect/>
        </a:stretch>
      </xdr:blipFill>
      <xdr:spPr>
        <a:xfrm>
          <a:off x="571500" y="66516885"/>
          <a:ext cx="5120640" cy="3569970"/>
        </a:xfrm>
        <a:prstGeom prst="rect">
          <a:avLst/>
        </a:prstGeom>
        <a:ln>
          <a:solidFill>
            <a:schemeClr val="tx1"/>
          </a:solidFill>
        </a:ln>
      </xdr:spPr>
    </xdr:pic>
    <xdr:clientData/>
  </xdr:twoCellAnchor>
  <xdr:twoCellAnchor>
    <xdr:from>
      <xdr:col>10</xdr:col>
      <xdr:colOff>303529</xdr:colOff>
      <xdr:row>242</xdr:row>
      <xdr:rowOff>161524</xdr:rowOff>
    </xdr:from>
    <xdr:to>
      <xdr:col>12</xdr:col>
      <xdr:colOff>91175</xdr:colOff>
      <xdr:row>244</xdr:row>
      <xdr:rowOff>146006</xdr:rowOff>
    </xdr:to>
    <xdr:sp macro="" textlink="">
      <xdr:nvSpPr>
        <xdr:cNvPr id="26" name="TextBox 13">
          <a:extLst>
            <a:ext uri="{FF2B5EF4-FFF2-40B4-BE49-F238E27FC236}">
              <a16:creationId xmlns:a16="http://schemas.microsoft.com/office/drawing/2014/main" id="{00000000-0008-0000-0000-00001A000000}"/>
            </a:ext>
          </a:extLst>
        </xdr:cNvPr>
        <xdr:cNvSpPr txBox="1"/>
      </xdr:nvSpPr>
      <xdr:spPr>
        <a:xfrm>
          <a:off x="8709660" y="50841275"/>
          <a:ext cx="1012190" cy="37465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rgbClr val="FF0000"/>
              </a:solidFill>
            </a:rPr>
            <a:t>Wing A</a:t>
          </a:r>
          <a:endParaRPr lang="x-none">
            <a:solidFill>
              <a:srgbClr val="FF0000"/>
            </a:solidFill>
          </a:endParaRPr>
        </a:p>
      </xdr:txBody>
    </xdr:sp>
    <xdr:clientData/>
  </xdr:twoCellAnchor>
  <xdr:twoCellAnchor>
    <xdr:from>
      <xdr:col>9</xdr:col>
      <xdr:colOff>0</xdr:colOff>
      <xdr:row>241</xdr:row>
      <xdr:rowOff>129682</xdr:rowOff>
    </xdr:from>
    <xdr:to>
      <xdr:col>9</xdr:col>
      <xdr:colOff>366486</xdr:colOff>
      <xdr:row>244</xdr:row>
      <xdr:rowOff>2866</xdr:rowOff>
    </xdr:to>
    <xdr:cxnSp macro="">
      <xdr:nvCxnSpPr>
        <xdr:cNvPr id="27" name="Straight Arrow Connector 26">
          <a:extLst>
            <a:ext uri="{FF2B5EF4-FFF2-40B4-BE49-F238E27FC236}">
              <a16:creationId xmlns:a16="http://schemas.microsoft.com/office/drawing/2014/main" id="{00000000-0008-0000-0000-00001B000000}"/>
            </a:ext>
          </a:extLst>
        </xdr:cNvPr>
        <xdr:cNvCxnSpPr/>
      </xdr:nvCxnSpPr>
      <xdr:spPr>
        <a:xfrm flipH="1">
          <a:off x="7752080" y="50609500"/>
          <a:ext cx="366395" cy="4635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203352</xdr:colOff>
      <xdr:row>240</xdr:row>
      <xdr:rowOff>11206</xdr:rowOff>
    </xdr:from>
    <xdr:to>
      <xdr:col>11</xdr:col>
      <xdr:colOff>96768</xdr:colOff>
      <xdr:row>241</xdr:row>
      <xdr:rowOff>181379</xdr:rowOff>
    </xdr:to>
    <xdr:sp macro="" textlink="">
      <xdr:nvSpPr>
        <xdr:cNvPr id="28" name="TextBox 18">
          <a:extLst>
            <a:ext uri="{FF2B5EF4-FFF2-40B4-BE49-F238E27FC236}">
              <a16:creationId xmlns:a16="http://schemas.microsoft.com/office/drawing/2014/main" id="{00000000-0008-0000-0000-00001C000000}"/>
            </a:ext>
          </a:extLst>
        </xdr:cNvPr>
        <xdr:cNvSpPr txBox="1"/>
      </xdr:nvSpPr>
      <xdr:spPr>
        <a:xfrm>
          <a:off x="7955280" y="50290730"/>
          <a:ext cx="1160145" cy="370205"/>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rgbClr val="FF0000"/>
              </a:solidFill>
            </a:rPr>
            <a:t>Wing B</a:t>
          </a:r>
          <a:endParaRPr lang="x-none">
            <a:solidFill>
              <a:srgbClr val="FF0000"/>
            </a:solidFill>
          </a:endParaRPr>
        </a:p>
      </xdr:txBody>
    </xdr:sp>
    <xdr:clientData/>
  </xdr:twoCellAnchor>
  <xdr:twoCellAnchor>
    <xdr:from>
      <xdr:col>10</xdr:col>
      <xdr:colOff>194129</xdr:colOff>
      <xdr:row>244</xdr:row>
      <xdr:rowOff>20493</xdr:rowOff>
    </xdr:from>
    <xdr:to>
      <xdr:col>10</xdr:col>
      <xdr:colOff>556986</xdr:colOff>
      <xdr:row>245</xdr:row>
      <xdr:rowOff>188357</xdr:rowOff>
    </xdr:to>
    <xdr:cxnSp macro="">
      <xdr:nvCxnSpPr>
        <xdr:cNvPr id="29" name="Straight Arrow Connector 28">
          <a:extLst>
            <a:ext uri="{FF2B5EF4-FFF2-40B4-BE49-F238E27FC236}">
              <a16:creationId xmlns:a16="http://schemas.microsoft.com/office/drawing/2014/main" id="{00000000-0008-0000-0000-00001D000000}"/>
            </a:ext>
          </a:extLst>
        </xdr:cNvPr>
        <xdr:cNvCxnSpPr/>
      </xdr:nvCxnSpPr>
      <xdr:spPr>
        <a:xfrm flipH="1">
          <a:off x="8600440" y="51090830"/>
          <a:ext cx="363220" cy="36766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669943</xdr:colOff>
      <xdr:row>281</xdr:row>
      <xdr:rowOff>67713</xdr:rowOff>
    </xdr:from>
    <xdr:to>
      <xdr:col>6</xdr:col>
      <xdr:colOff>96133</xdr:colOff>
      <xdr:row>299</xdr:row>
      <xdr:rowOff>37007</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2"/>
        <a:stretch>
          <a:fillRect/>
        </a:stretch>
      </xdr:blipFill>
      <xdr:spPr>
        <a:xfrm>
          <a:off x="1433830" y="58538745"/>
          <a:ext cx="3437890" cy="3569970"/>
        </a:xfrm>
        <a:prstGeom prst="rect">
          <a:avLst/>
        </a:prstGeom>
        <a:ln>
          <a:solidFill>
            <a:schemeClr val="tx1"/>
          </a:solidFill>
        </a:ln>
      </xdr:spPr>
    </xdr:pic>
    <xdr:clientData/>
  </xdr:twoCellAnchor>
  <xdr:twoCellAnchor editAs="oneCell">
    <xdr:from>
      <xdr:col>0</xdr:col>
      <xdr:colOff>134470</xdr:colOff>
      <xdr:row>299</xdr:row>
      <xdr:rowOff>190500</xdr:rowOff>
    </xdr:from>
    <xdr:to>
      <xdr:col>7</xdr:col>
      <xdr:colOff>685146</xdr:colOff>
      <xdr:row>315</xdr:row>
      <xdr:rowOff>23206</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3"/>
        <a:stretch>
          <a:fillRect/>
        </a:stretch>
      </xdr:blipFill>
      <xdr:spPr>
        <a:xfrm>
          <a:off x="133985" y="62262385"/>
          <a:ext cx="6108065" cy="3032760"/>
        </a:xfrm>
        <a:prstGeom prst="rect">
          <a:avLst/>
        </a:prstGeom>
        <a:ln>
          <a:solidFill>
            <a:schemeClr val="tx1"/>
          </a:solidFill>
        </a:ln>
      </xdr:spPr>
    </xdr:pic>
    <xdr:clientData/>
  </xdr:twoCellAnchor>
  <xdr:twoCellAnchor>
    <xdr:from>
      <xdr:col>1</xdr:col>
      <xdr:colOff>100854</xdr:colOff>
      <xdr:row>339</xdr:row>
      <xdr:rowOff>145676</xdr:rowOff>
    </xdr:from>
    <xdr:to>
      <xdr:col>6</xdr:col>
      <xdr:colOff>479135</xdr:colOff>
      <xdr:row>359</xdr:row>
      <xdr:rowOff>71558</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862854" y="70383026"/>
          <a:ext cx="4388306" cy="3926382"/>
          <a:chOff x="862854" y="70877205"/>
          <a:chExt cx="4401193" cy="3960000"/>
        </a:xfrm>
      </xdr:grpSpPr>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a:xfrm>
            <a:off x="862854" y="70877205"/>
            <a:ext cx="4401193" cy="3960000"/>
          </a:xfrm>
          <a:prstGeom prst="rect">
            <a:avLst/>
          </a:prstGeom>
          <a:ln>
            <a:solidFill>
              <a:schemeClr val="tx1"/>
            </a:solidFill>
          </a:ln>
        </xdr:spPr>
      </xdr:pic>
      <xdr:sp macro="" textlink="">
        <xdr:nvSpPr>
          <xdr:cNvPr id="2" name="Rectangle 1">
            <a:extLst>
              <a:ext uri="{FF2B5EF4-FFF2-40B4-BE49-F238E27FC236}">
                <a16:creationId xmlns:a16="http://schemas.microsoft.com/office/drawing/2014/main" id="{00000000-0008-0000-0000-000002000000}"/>
              </a:ext>
            </a:extLst>
          </xdr:cNvPr>
          <xdr:cNvSpPr/>
        </xdr:nvSpPr>
        <xdr:spPr>
          <a:xfrm rot="1909429">
            <a:off x="1883207" y="72499041"/>
            <a:ext cx="1535206" cy="1003863"/>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xdr:from>
      <xdr:col>15</xdr:col>
      <xdr:colOff>332105</xdr:colOff>
      <xdr:row>256</xdr:row>
      <xdr:rowOff>100965</xdr:rowOff>
    </xdr:from>
    <xdr:to>
      <xdr:col>17</xdr:col>
      <xdr:colOff>502920</xdr:colOff>
      <xdr:row>269</xdr:row>
      <xdr:rowOff>54610</xdr:rowOff>
    </xdr:to>
    <xdr:pic>
      <xdr:nvPicPr>
        <xdr:cNvPr id="4" name="Picture 2" descr="https://vsjcllp.vsjadon.com/upload/insp-220651-1525.jp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a:xfrm>
          <a:off x="12120245" y="53288565"/>
          <a:ext cx="1435735" cy="252920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101600</xdr:colOff>
      <xdr:row>256</xdr:row>
      <xdr:rowOff>100965</xdr:rowOff>
    </xdr:from>
    <xdr:to>
      <xdr:col>15</xdr:col>
      <xdr:colOff>269240</xdr:colOff>
      <xdr:row>269</xdr:row>
      <xdr:rowOff>56515</xdr:rowOff>
    </xdr:to>
    <xdr:pic>
      <xdr:nvPicPr>
        <xdr:cNvPr id="5" name="Picture 4" descr="https://vsjcllp.vsjadon.com/upload/insp-220651-845.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a:xfrm>
          <a:off x="8727440" y="53288565"/>
          <a:ext cx="3329940" cy="253111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401955</xdr:colOff>
      <xdr:row>241</xdr:row>
      <xdr:rowOff>81915</xdr:rowOff>
    </xdr:from>
    <xdr:to>
      <xdr:col>17</xdr:col>
      <xdr:colOff>408940</xdr:colOff>
      <xdr:row>256</xdr:row>
      <xdr:rowOff>25400</xdr:rowOff>
    </xdr:to>
    <xdr:pic>
      <xdr:nvPicPr>
        <xdr:cNvPr id="7" name="Picture 8" descr="https://vsjcllp.vsjadon.com/upload/insp-220651-844.jp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a:xfrm>
          <a:off x="11557635" y="50305335"/>
          <a:ext cx="1904365" cy="290766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8</xdr:col>
      <xdr:colOff>704850</xdr:colOff>
      <xdr:row>241</xdr:row>
      <xdr:rowOff>72390</xdr:rowOff>
    </xdr:from>
    <xdr:to>
      <xdr:col>14</xdr:col>
      <xdr:colOff>302895</xdr:colOff>
      <xdr:row>256</xdr:row>
      <xdr:rowOff>12700</xdr:rowOff>
    </xdr:to>
    <xdr:pic>
      <xdr:nvPicPr>
        <xdr:cNvPr id="8" name="Picture 10" descr="https://vsjcllp.vsjadon.com/upload/insp-220651-848.jpg">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a:xfrm>
          <a:off x="7258050" y="50295810"/>
          <a:ext cx="4200525" cy="290449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629285</xdr:colOff>
      <xdr:row>256</xdr:row>
      <xdr:rowOff>100965</xdr:rowOff>
    </xdr:from>
    <xdr:to>
      <xdr:col>10</xdr:col>
      <xdr:colOff>41910</xdr:colOff>
      <xdr:row>269</xdr:row>
      <xdr:rowOff>60960</xdr:rowOff>
    </xdr:to>
    <xdr:pic>
      <xdr:nvPicPr>
        <xdr:cNvPr id="9" name="Picture 12" descr="https://vsjcllp.vsjadon.com/upload/insp-220651-843.jp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a:xfrm>
          <a:off x="7182485" y="53288565"/>
          <a:ext cx="1485265" cy="253555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1074420</xdr:colOff>
      <xdr:row>241</xdr:row>
      <xdr:rowOff>19050</xdr:rowOff>
    </xdr:from>
    <xdr:to>
      <xdr:col>17</xdr:col>
      <xdr:colOff>305264</xdr:colOff>
      <xdr:row>277</xdr:row>
      <xdr:rowOff>94350</xdr:rowOff>
    </xdr:to>
    <xdr:grpSp>
      <xdr:nvGrpSpPr>
        <xdr:cNvPr id="6" name="Group 5">
          <a:extLst>
            <a:ext uri="{FF2B5EF4-FFF2-40B4-BE49-F238E27FC236}">
              <a16:creationId xmlns:a16="http://schemas.microsoft.com/office/drawing/2014/main" id="{8218F993-2FBF-F0EB-00AB-F5DB4B24A926}"/>
            </a:ext>
          </a:extLst>
        </xdr:cNvPr>
        <xdr:cNvGrpSpPr/>
      </xdr:nvGrpSpPr>
      <xdr:grpSpPr>
        <a:xfrm>
          <a:off x="7456170" y="50663475"/>
          <a:ext cx="5574494" cy="7266675"/>
          <a:chOff x="228599" y="96130"/>
          <a:chExt cx="5721179" cy="7200000"/>
        </a:xfrm>
      </xdr:grpSpPr>
      <xdr:grpSp>
        <xdr:nvGrpSpPr>
          <xdr:cNvPr id="10" name="Group 9">
            <a:extLst>
              <a:ext uri="{FF2B5EF4-FFF2-40B4-BE49-F238E27FC236}">
                <a16:creationId xmlns:a16="http://schemas.microsoft.com/office/drawing/2014/main" id="{0E114524-B329-37BA-0103-44F078A0AD7C}"/>
              </a:ext>
            </a:extLst>
          </xdr:cNvPr>
          <xdr:cNvGrpSpPr/>
        </xdr:nvGrpSpPr>
        <xdr:grpSpPr>
          <a:xfrm>
            <a:off x="228599" y="96130"/>
            <a:ext cx="5721179" cy="5220000"/>
            <a:chOff x="228599" y="96130"/>
            <a:chExt cx="5721179" cy="5220000"/>
          </a:xfrm>
        </xdr:grpSpPr>
        <xdr:pic>
          <xdr:nvPicPr>
            <xdr:cNvPr id="15" name="Picture 14">
              <a:extLst>
                <a:ext uri="{FF2B5EF4-FFF2-40B4-BE49-F238E27FC236}">
                  <a16:creationId xmlns:a16="http://schemas.microsoft.com/office/drawing/2014/main" id="{80EEA062-FE13-7E58-C32D-522D6F5018C7}"/>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4133334" y="2796130"/>
              <a:ext cx="1816444" cy="2520000"/>
            </a:xfrm>
            <a:prstGeom prst="rect">
              <a:avLst/>
            </a:prstGeom>
            <a:ln>
              <a:solidFill>
                <a:schemeClr val="tx1"/>
              </a:solidFill>
            </a:ln>
          </xdr:spPr>
        </xdr:pic>
        <xdr:pic>
          <xdr:nvPicPr>
            <xdr:cNvPr id="16" name="Picture 15">
              <a:extLst>
                <a:ext uri="{FF2B5EF4-FFF2-40B4-BE49-F238E27FC236}">
                  <a16:creationId xmlns:a16="http://schemas.microsoft.com/office/drawing/2014/main" id="{68E0D71E-CF3B-90EE-B0F7-35B7249B6669}"/>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4133334" y="96130"/>
              <a:ext cx="1816444" cy="2520000"/>
            </a:xfrm>
            <a:prstGeom prst="rect">
              <a:avLst/>
            </a:prstGeom>
            <a:ln>
              <a:solidFill>
                <a:schemeClr val="tx1"/>
              </a:solidFill>
            </a:ln>
          </xdr:spPr>
        </xdr:pic>
        <xdr:pic>
          <xdr:nvPicPr>
            <xdr:cNvPr id="17" name="Picture 16">
              <a:extLst>
                <a:ext uri="{FF2B5EF4-FFF2-40B4-BE49-F238E27FC236}">
                  <a16:creationId xmlns:a16="http://schemas.microsoft.com/office/drawing/2014/main" id="{DB3B7686-2B33-8741-A73C-492E13AC541E}"/>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28599" y="96130"/>
              <a:ext cx="3762634" cy="5220000"/>
            </a:xfrm>
            <a:prstGeom prst="rect">
              <a:avLst/>
            </a:prstGeom>
            <a:ln>
              <a:solidFill>
                <a:schemeClr val="tx1"/>
              </a:solidFill>
            </a:ln>
          </xdr:spPr>
        </xdr:pic>
      </xdr:grpSp>
      <xdr:grpSp>
        <xdr:nvGrpSpPr>
          <xdr:cNvPr id="12" name="Group 11">
            <a:extLst>
              <a:ext uri="{FF2B5EF4-FFF2-40B4-BE49-F238E27FC236}">
                <a16:creationId xmlns:a16="http://schemas.microsoft.com/office/drawing/2014/main" id="{27B0E7E1-59DE-B1BE-5D02-AC86BD04B647}"/>
              </a:ext>
            </a:extLst>
          </xdr:cNvPr>
          <xdr:cNvGrpSpPr/>
        </xdr:nvGrpSpPr>
        <xdr:grpSpPr>
          <a:xfrm>
            <a:off x="769408" y="5496130"/>
            <a:ext cx="4639561" cy="1800000"/>
            <a:chOff x="704335" y="5496130"/>
            <a:chExt cx="4639561" cy="1800000"/>
          </a:xfrm>
        </xdr:grpSpPr>
        <xdr:pic>
          <xdr:nvPicPr>
            <xdr:cNvPr id="13" name="Picture 12">
              <a:extLst>
                <a:ext uri="{FF2B5EF4-FFF2-40B4-BE49-F238E27FC236}">
                  <a16:creationId xmlns:a16="http://schemas.microsoft.com/office/drawing/2014/main" id="{200C9F1B-9D43-CFEF-AB97-798F9B93C4B3}"/>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704335" y="5496130"/>
              <a:ext cx="1297460" cy="1800000"/>
            </a:xfrm>
            <a:prstGeom prst="rect">
              <a:avLst/>
            </a:prstGeom>
            <a:ln>
              <a:solidFill>
                <a:schemeClr val="tx1"/>
              </a:solidFill>
            </a:ln>
          </xdr:spPr>
        </xdr:pic>
        <xdr:pic>
          <xdr:nvPicPr>
            <xdr:cNvPr id="14" name="Picture 13">
              <a:extLst>
                <a:ext uri="{FF2B5EF4-FFF2-40B4-BE49-F238E27FC236}">
                  <a16:creationId xmlns:a16="http://schemas.microsoft.com/office/drawing/2014/main" id="{469749B3-7F24-46E1-59A0-8E331D8ED3C8}"/>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143896" y="5496130"/>
              <a:ext cx="3200000" cy="1800000"/>
            </a:xfrm>
            <a:prstGeom prst="rect">
              <a:avLst/>
            </a:prstGeom>
            <a:ln>
              <a:solidFill>
                <a:schemeClr val="tx1"/>
              </a:solidFill>
            </a:ln>
          </xdr:spPr>
        </xdr:pic>
      </xdr:grpSp>
    </xdr:grpSp>
    <xdr:clientData/>
  </xdr:twoCellAnchor>
  <xdr:twoCellAnchor>
    <xdr:from>
      <xdr:col>0</xdr:col>
      <xdr:colOff>85726</xdr:colOff>
      <xdr:row>240</xdr:row>
      <xdr:rowOff>85725</xdr:rowOff>
    </xdr:from>
    <xdr:to>
      <xdr:col>7</xdr:col>
      <xdr:colOff>781051</xdr:colOff>
      <xdr:row>276</xdr:row>
      <xdr:rowOff>57150</xdr:rowOff>
    </xdr:to>
    <xdr:grpSp>
      <xdr:nvGrpSpPr>
        <xdr:cNvPr id="25" name="Group 24">
          <a:extLst>
            <a:ext uri="{FF2B5EF4-FFF2-40B4-BE49-F238E27FC236}">
              <a16:creationId xmlns:a16="http://schemas.microsoft.com/office/drawing/2014/main" id="{1595C482-F3D0-4754-BD9F-F9F6B64A65AD}"/>
            </a:ext>
          </a:extLst>
        </xdr:cNvPr>
        <xdr:cNvGrpSpPr/>
      </xdr:nvGrpSpPr>
      <xdr:grpSpPr>
        <a:xfrm>
          <a:off x="85726" y="50530125"/>
          <a:ext cx="6248400" cy="7162800"/>
          <a:chOff x="302795" y="397133"/>
          <a:chExt cx="6342857" cy="7405170"/>
        </a:xfrm>
      </xdr:grpSpPr>
      <xdr:pic>
        <xdr:nvPicPr>
          <xdr:cNvPr id="30" name="Picture 29">
            <a:extLst>
              <a:ext uri="{FF2B5EF4-FFF2-40B4-BE49-F238E27FC236}">
                <a16:creationId xmlns:a16="http://schemas.microsoft.com/office/drawing/2014/main" id="{36A4AF76-45C1-4A53-8F66-E0FB0BE644CA}"/>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430505" y="397133"/>
            <a:ext cx="2157750" cy="2880000"/>
          </a:xfrm>
          <a:prstGeom prst="rect">
            <a:avLst/>
          </a:prstGeom>
          <a:ln>
            <a:solidFill>
              <a:schemeClr val="tx1"/>
            </a:solidFill>
          </a:ln>
        </xdr:spPr>
      </xdr:pic>
      <xdr:pic>
        <xdr:nvPicPr>
          <xdr:cNvPr id="31" name="Picture 30">
            <a:extLst>
              <a:ext uri="{FF2B5EF4-FFF2-40B4-BE49-F238E27FC236}">
                <a16:creationId xmlns:a16="http://schemas.microsoft.com/office/drawing/2014/main" id="{30B76FFD-69E9-4767-97BF-B9B32E364FEB}"/>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2752293" y="397133"/>
            <a:ext cx="3836444" cy="2880000"/>
          </a:xfrm>
          <a:prstGeom prst="rect">
            <a:avLst/>
          </a:prstGeom>
          <a:ln>
            <a:solidFill>
              <a:schemeClr val="tx1"/>
            </a:solidFill>
          </a:ln>
        </xdr:spPr>
      </xdr:pic>
      <xdr:pic>
        <xdr:nvPicPr>
          <xdr:cNvPr id="32" name="Picture 31">
            <a:extLst>
              <a:ext uri="{FF2B5EF4-FFF2-40B4-BE49-F238E27FC236}">
                <a16:creationId xmlns:a16="http://schemas.microsoft.com/office/drawing/2014/main" id="{CD094BBB-2F75-4845-9350-332ACE0DE13B}"/>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3768319" y="3469718"/>
            <a:ext cx="2877333" cy="2160000"/>
          </a:xfrm>
          <a:prstGeom prst="rect">
            <a:avLst/>
          </a:prstGeom>
          <a:ln>
            <a:solidFill>
              <a:schemeClr val="tx1"/>
            </a:solidFill>
          </a:ln>
        </xdr:spPr>
      </xdr:pic>
      <xdr:pic>
        <xdr:nvPicPr>
          <xdr:cNvPr id="33" name="Picture 32">
            <a:extLst>
              <a:ext uri="{FF2B5EF4-FFF2-40B4-BE49-F238E27FC236}">
                <a16:creationId xmlns:a16="http://schemas.microsoft.com/office/drawing/2014/main" id="{4777FB41-6C91-4EEE-BB4B-AC4F1F27AE08}"/>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2035557" y="3469718"/>
            <a:ext cx="1618313" cy="2160000"/>
          </a:xfrm>
          <a:prstGeom prst="rect">
            <a:avLst/>
          </a:prstGeom>
          <a:ln>
            <a:solidFill>
              <a:schemeClr val="tx1"/>
            </a:solidFill>
          </a:ln>
        </xdr:spPr>
      </xdr:pic>
      <xdr:pic>
        <xdr:nvPicPr>
          <xdr:cNvPr id="34" name="Picture 33">
            <a:extLst>
              <a:ext uri="{FF2B5EF4-FFF2-40B4-BE49-F238E27FC236}">
                <a16:creationId xmlns:a16="http://schemas.microsoft.com/office/drawing/2014/main" id="{66B59729-B682-4CB4-ACE4-A35CD6D32CCD}"/>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302795" y="3469718"/>
            <a:ext cx="1618313" cy="2160000"/>
          </a:xfrm>
          <a:prstGeom prst="rect">
            <a:avLst/>
          </a:prstGeom>
          <a:ln>
            <a:solidFill>
              <a:schemeClr val="tx1"/>
            </a:solidFill>
          </a:ln>
        </xdr:spPr>
      </xdr:pic>
      <xdr:pic>
        <xdr:nvPicPr>
          <xdr:cNvPr id="35" name="Picture 34">
            <a:extLst>
              <a:ext uri="{FF2B5EF4-FFF2-40B4-BE49-F238E27FC236}">
                <a16:creationId xmlns:a16="http://schemas.microsoft.com/office/drawing/2014/main" id="{859D2EF3-BD7A-4C18-89EA-36470F99EDB6}"/>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081263" y="5822303"/>
            <a:ext cx="1483453" cy="1980000"/>
          </a:xfrm>
          <a:prstGeom prst="rect">
            <a:avLst/>
          </a:prstGeom>
          <a:ln>
            <a:solidFill>
              <a:schemeClr val="tx1"/>
            </a:solidFill>
          </a:ln>
        </xdr:spPr>
      </xdr:pic>
      <xdr:pic>
        <xdr:nvPicPr>
          <xdr:cNvPr id="36" name="Picture 35">
            <a:extLst>
              <a:ext uri="{FF2B5EF4-FFF2-40B4-BE49-F238E27FC236}">
                <a16:creationId xmlns:a16="http://schemas.microsoft.com/office/drawing/2014/main" id="{7196978B-8599-4B53-AB8B-2577835BBE65}"/>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2744634" y="5822303"/>
            <a:ext cx="1483453" cy="1980000"/>
          </a:xfrm>
          <a:prstGeom prst="rect">
            <a:avLst/>
          </a:prstGeom>
          <a:ln>
            <a:solidFill>
              <a:schemeClr val="tx1"/>
            </a:solidFill>
          </a:ln>
        </xdr:spPr>
      </xdr:pic>
      <xdr:pic>
        <xdr:nvPicPr>
          <xdr:cNvPr id="37" name="Picture 36">
            <a:extLst>
              <a:ext uri="{FF2B5EF4-FFF2-40B4-BE49-F238E27FC236}">
                <a16:creationId xmlns:a16="http://schemas.microsoft.com/office/drawing/2014/main" id="{CDC25A11-8672-4463-A287-7640E9067B6D}"/>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4408005" y="5822303"/>
            <a:ext cx="1483453" cy="1980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HFjQFMx3kJtMYMd16"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556"/>
  <sheetViews>
    <sheetView tabSelected="1" view="pageBreakPreview" topLeftCell="A231" zoomScaleNormal="100" zoomScalePageLayoutView="85" workbookViewId="0">
      <selection activeCell="J235" sqref="J235"/>
    </sheetView>
  </sheetViews>
  <sheetFormatPr defaultColWidth="9.28515625" defaultRowHeight="15.75"/>
  <cols>
    <col min="1" max="1" width="11.42578125" style="25" customWidth="1"/>
    <col min="2" max="2" width="11.28515625" style="25" customWidth="1"/>
    <col min="3" max="4" width="12.7109375" style="25" customWidth="1"/>
    <col min="5" max="7" width="11.7109375" style="25" customWidth="1"/>
    <col min="8" max="8" width="12.42578125" style="25" customWidth="1"/>
    <col min="9" max="9" width="20.42578125" style="26" customWidth="1"/>
    <col min="10" max="10" width="9.7109375" style="26" customWidth="1"/>
    <col min="11" max="252" width="9.28515625" style="26"/>
    <col min="253" max="253" width="8.7109375" style="26" customWidth="1"/>
    <col min="254" max="254" width="9.7109375" style="26" customWidth="1"/>
    <col min="255" max="255" width="14.42578125" style="26" customWidth="1"/>
    <col min="256" max="256" width="7.28515625" style="26" customWidth="1"/>
    <col min="257" max="257" width="5.5703125" style="26" customWidth="1"/>
    <col min="258" max="258" width="9" style="26" customWidth="1"/>
    <col min="259" max="260" width="9.7109375" style="26" customWidth="1"/>
    <col min="261" max="261" width="11.28515625" style="26" customWidth="1"/>
    <col min="262" max="262" width="2.7109375" style="26" customWidth="1"/>
    <col min="263" max="263" width="3.5703125" style="26" customWidth="1"/>
    <col min="264" max="508" width="9.28515625" style="26"/>
    <col min="509" max="509" width="8.7109375" style="26" customWidth="1"/>
    <col min="510" max="510" width="9.7109375" style="26" customWidth="1"/>
    <col min="511" max="511" width="14.42578125" style="26" customWidth="1"/>
    <col min="512" max="512" width="7.28515625" style="26" customWidth="1"/>
    <col min="513" max="513" width="5.5703125" style="26" customWidth="1"/>
    <col min="514" max="514" width="9" style="26" customWidth="1"/>
    <col min="515" max="516" width="9.7109375" style="26" customWidth="1"/>
    <col min="517" max="517" width="11.28515625" style="26" customWidth="1"/>
    <col min="518" max="518" width="2.7109375" style="26" customWidth="1"/>
    <col min="519" max="519" width="3.5703125" style="26" customWidth="1"/>
    <col min="520" max="764" width="9.28515625" style="26"/>
    <col min="765" max="765" width="8.7109375" style="26" customWidth="1"/>
    <col min="766" max="766" width="9.7109375" style="26" customWidth="1"/>
    <col min="767" max="767" width="14.42578125" style="26" customWidth="1"/>
    <col min="768" max="768" width="7.28515625" style="26" customWidth="1"/>
    <col min="769" max="769" width="5.5703125" style="26" customWidth="1"/>
    <col min="770" max="770" width="9" style="26" customWidth="1"/>
    <col min="771" max="772" width="9.7109375" style="26" customWidth="1"/>
    <col min="773" max="773" width="11.28515625" style="26" customWidth="1"/>
    <col min="774" max="774" width="2.7109375" style="26" customWidth="1"/>
    <col min="775" max="775" width="3.5703125" style="26" customWidth="1"/>
    <col min="776" max="1020" width="9.28515625" style="26"/>
    <col min="1021" max="1021" width="8.7109375" style="26" customWidth="1"/>
    <col min="1022" max="1022" width="9.7109375" style="26" customWidth="1"/>
    <col min="1023" max="1023" width="14.42578125" style="26" customWidth="1"/>
    <col min="1024" max="1024" width="7.28515625" style="26" customWidth="1"/>
    <col min="1025" max="1025" width="5.5703125" style="26" customWidth="1"/>
    <col min="1026" max="1026" width="9" style="26" customWidth="1"/>
    <col min="1027" max="1028" width="9.7109375" style="26" customWidth="1"/>
    <col min="1029" max="1029" width="11.28515625" style="26" customWidth="1"/>
    <col min="1030" max="1030" width="2.7109375" style="26" customWidth="1"/>
    <col min="1031" max="1031" width="3.5703125" style="26" customWidth="1"/>
    <col min="1032" max="1276" width="9.28515625" style="26"/>
    <col min="1277" max="1277" width="8.7109375" style="26" customWidth="1"/>
    <col min="1278" max="1278" width="9.7109375" style="26" customWidth="1"/>
    <col min="1279" max="1279" width="14.42578125" style="26" customWidth="1"/>
    <col min="1280" max="1280" width="7.28515625" style="26" customWidth="1"/>
    <col min="1281" max="1281" width="5.5703125" style="26" customWidth="1"/>
    <col min="1282" max="1282" width="9" style="26" customWidth="1"/>
    <col min="1283" max="1284" width="9.7109375" style="26" customWidth="1"/>
    <col min="1285" max="1285" width="11.28515625" style="26" customWidth="1"/>
    <col min="1286" max="1286" width="2.7109375" style="26" customWidth="1"/>
    <col min="1287" max="1287" width="3.5703125" style="26" customWidth="1"/>
    <col min="1288" max="1532" width="9.28515625" style="26"/>
    <col min="1533" max="1533" width="8.7109375" style="26" customWidth="1"/>
    <col min="1534" max="1534" width="9.7109375" style="26" customWidth="1"/>
    <col min="1535" max="1535" width="14.42578125" style="26" customWidth="1"/>
    <col min="1536" max="1536" width="7.28515625" style="26" customWidth="1"/>
    <col min="1537" max="1537" width="5.5703125" style="26" customWidth="1"/>
    <col min="1538" max="1538" width="9" style="26" customWidth="1"/>
    <col min="1539" max="1540" width="9.7109375" style="26" customWidth="1"/>
    <col min="1541" max="1541" width="11.28515625" style="26" customWidth="1"/>
    <col min="1542" max="1542" width="2.7109375" style="26" customWidth="1"/>
    <col min="1543" max="1543" width="3.5703125" style="26" customWidth="1"/>
    <col min="1544" max="1788" width="9.28515625" style="26"/>
    <col min="1789" max="1789" width="8.7109375" style="26" customWidth="1"/>
    <col min="1790" max="1790" width="9.7109375" style="26" customWidth="1"/>
    <col min="1791" max="1791" width="14.42578125" style="26" customWidth="1"/>
    <col min="1792" max="1792" width="7.28515625" style="26" customWidth="1"/>
    <col min="1793" max="1793" width="5.5703125" style="26" customWidth="1"/>
    <col min="1794" max="1794" width="9" style="26" customWidth="1"/>
    <col min="1795" max="1796" width="9.7109375" style="26" customWidth="1"/>
    <col min="1797" max="1797" width="11.28515625" style="26" customWidth="1"/>
    <col min="1798" max="1798" width="2.7109375" style="26" customWidth="1"/>
    <col min="1799" max="1799" width="3.5703125" style="26" customWidth="1"/>
    <col min="1800" max="2044" width="9.28515625" style="26"/>
    <col min="2045" max="2045" width="8.7109375" style="26" customWidth="1"/>
    <col min="2046" max="2046" width="9.7109375" style="26" customWidth="1"/>
    <col min="2047" max="2047" width="14.42578125" style="26" customWidth="1"/>
    <col min="2048" max="2048" width="7.28515625" style="26" customWidth="1"/>
    <col min="2049" max="2049" width="5.5703125" style="26" customWidth="1"/>
    <col min="2050" max="2050" width="9" style="26" customWidth="1"/>
    <col min="2051" max="2052" width="9.7109375" style="26" customWidth="1"/>
    <col min="2053" max="2053" width="11.28515625" style="26" customWidth="1"/>
    <col min="2054" max="2054" width="2.7109375" style="26" customWidth="1"/>
    <col min="2055" max="2055" width="3.5703125" style="26" customWidth="1"/>
    <col min="2056" max="2300" width="9.28515625" style="26"/>
    <col min="2301" max="2301" width="8.7109375" style="26" customWidth="1"/>
    <col min="2302" max="2302" width="9.7109375" style="26" customWidth="1"/>
    <col min="2303" max="2303" width="14.42578125" style="26" customWidth="1"/>
    <col min="2304" max="2304" width="7.28515625" style="26" customWidth="1"/>
    <col min="2305" max="2305" width="5.5703125" style="26" customWidth="1"/>
    <col min="2306" max="2306" width="9" style="26" customWidth="1"/>
    <col min="2307" max="2308" width="9.7109375" style="26" customWidth="1"/>
    <col min="2309" max="2309" width="11.28515625" style="26" customWidth="1"/>
    <col min="2310" max="2310" width="2.7109375" style="26" customWidth="1"/>
    <col min="2311" max="2311" width="3.5703125" style="26" customWidth="1"/>
    <col min="2312" max="2556" width="9.28515625" style="26"/>
    <col min="2557" max="2557" width="8.7109375" style="26" customWidth="1"/>
    <col min="2558" max="2558" width="9.7109375" style="26" customWidth="1"/>
    <col min="2559" max="2559" width="14.42578125" style="26" customWidth="1"/>
    <col min="2560" max="2560" width="7.28515625" style="26" customWidth="1"/>
    <col min="2561" max="2561" width="5.5703125" style="26" customWidth="1"/>
    <col min="2562" max="2562" width="9" style="26" customWidth="1"/>
    <col min="2563" max="2564" width="9.7109375" style="26" customWidth="1"/>
    <col min="2565" max="2565" width="11.28515625" style="26" customWidth="1"/>
    <col min="2566" max="2566" width="2.7109375" style="26" customWidth="1"/>
    <col min="2567" max="2567" width="3.5703125" style="26" customWidth="1"/>
    <col min="2568" max="2812" width="9.28515625" style="26"/>
    <col min="2813" max="2813" width="8.7109375" style="26" customWidth="1"/>
    <col min="2814" max="2814" width="9.7109375" style="26" customWidth="1"/>
    <col min="2815" max="2815" width="14.42578125" style="26" customWidth="1"/>
    <col min="2816" max="2816" width="7.28515625" style="26" customWidth="1"/>
    <col min="2817" max="2817" width="5.5703125" style="26" customWidth="1"/>
    <col min="2818" max="2818" width="9" style="26" customWidth="1"/>
    <col min="2819" max="2820" width="9.7109375" style="26" customWidth="1"/>
    <col min="2821" max="2821" width="11.28515625" style="26" customWidth="1"/>
    <col min="2822" max="2822" width="2.7109375" style="26" customWidth="1"/>
    <col min="2823" max="2823" width="3.5703125" style="26" customWidth="1"/>
    <col min="2824" max="3068" width="9.28515625" style="26"/>
    <col min="3069" max="3069" width="8.7109375" style="26" customWidth="1"/>
    <col min="3070" max="3070" width="9.7109375" style="26" customWidth="1"/>
    <col min="3071" max="3071" width="14.42578125" style="26" customWidth="1"/>
    <col min="3072" max="3072" width="7.28515625" style="26" customWidth="1"/>
    <col min="3073" max="3073" width="5.5703125" style="26" customWidth="1"/>
    <col min="3074" max="3074" width="9" style="26" customWidth="1"/>
    <col min="3075" max="3076" width="9.7109375" style="26" customWidth="1"/>
    <col min="3077" max="3077" width="11.28515625" style="26" customWidth="1"/>
    <col min="3078" max="3078" width="2.7109375" style="26" customWidth="1"/>
    <col min="3079" max="3079" width="3.5703125" style="26" customWidth="1"/>
    <col min="3080" max="3324" width="9.28515625" style="26"/>
    <col min="3325" max="3325" width="8.7109375" style="26" customWidth="1"/>
    <col min="3326" max="3326" width="9.7109375" style="26" customWidth="1"/>
    <col min="3327" max="3327" width="14.42578125" style="26" customWidth="1"/>
    <col min="3328" max="3328" width="7.28515625" style="26" customWidth="1"/>
    <col min="3329" max="3329" width="5.5703125" style="26" customWidth="1"/>
    <col min="3330" max="3330" width="9" style="26" customWidth="1"/>
    <col min="3331" max="3332" width="9.7109375" style="26" customWidth="1"/>
    <col min="3333" max="3333" width="11.28515625" style="26" customWidth="1"/>
    <col min="3334" max="3334" width="2.7109375" style="26" customWidth="1"/>
    <col min="3335" max="3335" width="3.5703125" style="26" customWidth="1"/>
    <col min="3336" max="3580" width="9.28515625" style="26"/>
    <col min="3581" max="3581" width="8.7109375" style="26" customWidth="1"/>
    <col min="3582" max="3582" width="9.7109375" style="26" customWidth="1"/>
    <col min="3583" max="3583" width="14.42578125" style="26" customWidth="1"/>
    <col min="3584" max="3584" width="7.28515625" style="26" customWidth="1"/>
    <col min="3585" max="3585" width="5.5703125" style="26" customWidth="1"/>
    <col min="3586" max="3586" width="9" style="26" customWidth="1"/>
    <col min="3587" max="3588" width="9.7109375" style="26" customWidth="1"/>
    <col min="3589" max="3589" width="11.28515625" style="26" customWidth="1"/>
    <col min="3590" max="3590" width="2.7109375" style="26" customWidth="1"/>
    <col min="3591" max="3591" width="3.5703125" style="26" customWidth="1"/>
    <col min="3592" max="3836" width="9.28515625" style="26"/>
    <col min="3837" max="3837" width="8.7109375" style="26" customWidth="1"/>
    <col min="3838" max="3838" width="9.7109375" style="26" customWidth="1"/>
    <col min="3839" max="3839" width="14.42578125" style="26" customWidth="1"/>
    <col min="3840" max="3840" width="7.28515625" style="26" customWidth="1"/>
    <col min="3841" max="3841" width="5.5703125" style="26" customWidth="1"/>
    <col min="3842" max="3842" width="9" style="26" customWidth="1"/>
    <col min="3843" max="3844" width="9.7109375" style="26" customWidth="1"/>
    <col min="3845" max="3845" width="11.28515625" style="26" customWidth="1"/>
    <col min="3846" max="3846" width="2.7109375" style="26" customWidth="1"/>
    <col min="3847" max="3847" width="3.5703125" style="26" customWidth="1"/>
    <col min="3848" max="4092" width="9.28515625" style="26"/>
    <col min="4093" max="4093" width="8.7109375" style="26" customWidth="1"/>
    <col min="4094" max="4094" width="9.7109375" style="26" customWidth="1"/>
    <col min="4095" max="4095" width="14.42578125" style="26" customWidth="1"/>
    <col min="4096" max="4096" width="7.28515625" style="26" customWidth="1"/>
    <col min="4097" max="4097" width="5.5703125" style="26" customWidth="1"/>
    <col min="4098" max="4098" width="9" style="26" customWidth="1"/>
    <col min="4099" max="4100" width="9.7109375" style="26" customWidth="1"/>
    <col min="4101" max="4101" width="11.28515625" style="26" customWidth="1"/>
    <col min="4102" max="4102" width="2.7109375" style="26" customWidth="1"/>
    <col min="4103" max="4103" width="3.5703125" style="26" customWidth="1"/>
    <col min="4104" max="4348" width="9.28515625" style="26"/>
    <col min="4349" max="4349" width="8.7109375" style="26" customWidth="1"/>
    <col min="4350" max="4350" width="9.7109375" style="26" customWidth="1"/>
    <col min="4351" max="4351" width="14.42578125" style="26" customWidth="1"/>
    <col min="4352" max="4352" width="7.28515625" style="26" customWidth="1"/>
    <col min="4353" max="4353" width="5.5703125" style="26" customWidth="1"/>
    <col min="4354" max="4354" width="9" style="26" customWidth="1"/>
    <col min="4355" max="4356" width="9.7109375" style="26" customWidth="1"/>
    <col min="4357" max="4357" width="11.28515625" style="26" customWidth="1"/>
    <col min="4358" max="4358" width="2.7109375" style="26" customWidth="1"/>
    <col min="4359" max="4359" width="3.5703125" style="26" customWidth="1"/>
    <col min="4360" max="4604" width="9.28515625" style="26"/>
    <col min="4605" max="4605" width="8.7109375" style="26" customWidth="1"/>
    <col min="4606" max="4606" width="9.7109375" style="26" customWidth="1"/>
    <col min="4607" max="4607" width="14.42578125" style="26" customWidth="1"/>
    <col min="4608" max="4608" width="7.28515625" style="26" customWidth="1"/>
    <col min="4609" max="4609" width="5.5703125" style="26" customWidth="1"/>
    <col min="4610" max="4610" width="9" style="26" customWidth="1"/>
    <col min="4611" max="4612" width="9.7109375" style="26" customWidth="1"/>
    <col min="4613" max="4613" width="11.28515625" style="26" customWidth="1"/>
    <col min="4614" max="4614" width="2.7109375" style="26" customWidth="1"/>
    <col min="4615" max="4615" width="3.5703125" style="26" customWidth="1"/>
    <col min="4616" max="4860" width="9.28515625" style="26"/>
    <col min="4861" max="4861" width="8.7109375" style="26" customWidth="1"/>
    <col min="4862" max="4862" width="9.7109375" style="26" customWidth="1"/>
    <col min="4863" max="4863" width="14.42578125" style="26" customWidth="1"/>
    <col min="4864" max="4864" width="7.28515625" style="26" customWidth="1"/>
    <col min="4865" max="4865" width="5.5703125" style="26" customWidth="1"/>
    <col min="4866" max="4866" width="9" style="26" customWidth="1"/>
    <col min="4867" max="4868" width="9.7109375" style="26" customWidth="1"/>
    <col min="4869" max="4869" width="11.28515625" style="26" customWidth="1"/>
    <col min="4870" max="4870" width="2.7109375" style="26" customWidth="1"/>
    <col min="4871" max="4871" width="3.5703125" style="26" customWidth="1"/>
    <col min="4872" max="5116" width="9.28515625" style="26"/>
    <col min="5117" max="5117" width="8.7109375" style="26" customWidth="1"/>
    <col min="5118" max="5118" width="9.7109375" style="26" customWidth="1"/>
    <col min="5119" max="5119" width="14.42578125" style="26" customWidth="1"/>
    <col min="5120" max="5120" width="7.28515625" style="26" customWidth="1"/>
    <col min="5121" max="5121" width="5.5703125" style="26" customWidth="1"/>
    <col min="5122" max="5122" width="9" style="26" customWidth="1"/>
    <col min="5123" max="5124" width="9.7109375" style="26" customWidth="1"/>
    <col min="5125" max="5125" width="11.28515625" style="26" customWidth="1"/>
    <col min="5126" max="5126" width="2.7109375" style="26" customWidth="1"/>
    <col min="5127" max="5127" width="3.5703125" style="26" customWidth="1"/>
    <col min="5128" max="5372" width="9.28515625" style="26"/>
    <col min="5373" max="5373" width="8.7109375" style="26" customWidth="1"/>
    <col min="5374" max="5374" width="9.7109375" style="26" customWidth="1"/>
    <col min="5375" max="5375" width="14.42578125" style="26" customWidth="1"/>
    <col min="5376" max="5376" width="7.28515625" style="26" customWidth="1"/>
    <col min="5377" max="5377" width="5.5703125" style="26" customWidth="1"/>
    <col min="5378" max="5378" width="9" style="26" customWidth="1"/>
    <col min="5379" max="5380" width="9.7109375" style="26" customWidth="1"/>
    <col min="5381" max="5381" width="11.28515625" style="26" customWidth="1"/>
    <col min="5382" max="5382" width="2.7109375" style="26" customWidth="1"/>
    <col min="5383" max="5383" width="3.5703125" style="26" customWidth="1"/>
    <col min="5384" max="5628" width="9.28515625" style="26"/>
    <col min="5629" max="5629" width="8.7109375" style="26" customWidth="1"/>
    <col min="5630" max="5630" width="9.7109375" style="26" customWidth="1"/>
    <col min="5631" max="5631" width="14.42578125" style="26" customWidth="1"/>
    <col min="5632" max="5632" width="7.28515625" style="26" customWidth="1"/>
    <col min="5633" max="5633" width="5.5703125" style="26" customWidth="1"/>
    <col min="5634" max="5634" width="9" style="26" customWidth="1"/>
    <col min="5635" max="5636" width="9.7109375" style="26" customWidth="1"/>
    <col min="5637" max="5637" width="11.28515625" style="26" customWidth="1"/>
    <col min="5638" max="5638" width="2.7109375" style="26" customWidth="1"/>
    <col min="5639" max="5639" width="3.5703125" style="26" customWidth="1"/>
    <col min="5640" max="5884" width="9.28515625" style="26"/>
    <col min="5885" max="5885" width="8.7109375" style="26" customWidth="1"/>
    <col min="5886" max="5886" width="9.7109375" style="26" customWidth="1"/>
    <col min="5887" max="5887" width="14.42578125" style="26" customWidth="1"/>
    <col min="5888" max="5888" width="7.28515625" style="26" customWidth="1"/>
    <col min="5889" max="5889" width="5.5703125" style="26" customWidth="1"/>
    <col min="5890" max="5890" width="9" style="26" customWidth="1"/>
    <col min="5891" max="5892" width="9.7109375" style="26" customWidth="1"/>
    <col min="5893" max="5893" width="11.28515625" style="26" customWidth="1"/>
    <col min="5894" max="5894" width="2.7109375" style="26" customWidth="1"/>
    <col min="5895" max="5895" width="3.5703125" style="26" customWidth="1"/>
    <col min="5896" max="6140" width="9.28515625" style="26"/>
    <col min="6141" max="6141" width="8.7109375" style="26" customWidth="1"/>
    <col min="6142" max="6142" width="9.7109375" style="26" customWidth="1"/>
    <col min="6143" max="6143" width="14.42578125" style="26" customWidth="1"/>
    <col min="6144" max="6144" width="7.28515625" style="26" customWidth="1"/>
    <col min="6145" max="6145" width="5.5703125" style="26" customWidth="1"/>
    <col min="6146" max="6146" width="9" style="26" customWidth="1"/>
    <col min="6147" max="6148" width="9.7109375" style="26" customWidth="1"/>
    <col min="6149" max="6149" width="11.28515625" style="26" customWidth="1"/>
    <col min="6150" max="6150" width="2.7109375" style="26" customWidth="1"/>
    <col min="6151" max="6151" width="3.5703125" style="26" customWidth="1"/>
    <col min="6152" max="6396" width="9.28515625" style="26"/>
    <col min="6397" max="6397" width="8.7109375" style="26" customWidth="1"/>
    <col min="6398" max="6398" width="9.7109375" style="26" customWidth="1"/>
    <col min="6399" max="6399" width="14.42578125" style="26" customWidth="1"/>
    <col min="6400" max="6400" width="7.28515625" style="26" customWidth="1"/>
    <col min="6401" max="6401" width="5.5703125" style="26" customWidth="1"/>
    <col min="6402" max="6402" width="9" style="26" customWidth="1"/>
    <col min="6403" max="6404" width="9.7109375" style="26" customWidth="1"/>
    <col min="6405" max="6405" width="11.28515625" style="26" customWidth="1"/>
    <col min="6406" max="6406" width="2.7109375" style="26" customWidth="1"/>
    <col min="6407" max="6407" width="3.5703125" style="26" customWidth="1"/>
    <col min="6408" max="6652" width="9.28515625" style="26"/>
    <col min="6653" max="6653" width="8.7109375" style="26" customWidth="1"/>
    <col min="6654" max="6654" width="9.7109375" style="26" customWidth="1"/>
    <col min="6655" max="6655" width="14.42578125" style="26" customWidth="1"/>
    <col min="6656" max="6656" width="7.28515625" style="26" customWidth="1"/>
    <col min="6657" max="6657" width="5.5703125" style="26" customWidth="1"/>
    <col min="6658" max="6658" width="9" style="26" customWidth="1"/>
    <col min="6659" max="6660" width="9.7109375" style="26" customWidth="1"/>
    <col min="6661" max="6661" width="11.28515625" style="26" customWidth="1"/>
    <col min="6662" max="6662" width="2.7109375" style="26" customWidth="1"/>
    <col min="6663" max="6663" width="3.5703125" style="26" customWidth="1"/>
    <col min="6664" max="6908" width="9.28515625" style="26"/>
    <col min="6909" max="6909" width="8.7109375" style="26" customWidth="1"/>
    <col min="6910" max="6910" width="9.7109375" style="26" customWidth="1"/>
    <col min="6911" max="6911" width="14.42578125" style="26" customWidth="1"/>
    <col min="6912" max="6912" width="7.28515625" style="26" customWidth="1"/>
    <col min="6913" max="6913" width="5.5703125" style="26" customWidth="1"/>
    <col min="6914" max="6914" width="9" style="26" customWidth="1"/>
    <col min="6915" max="6916" width="9.7109375" style="26" customWidth="1"/>
    <col min="6917" max="6917" width="11.28515625" style="26" customWidth="1"/>
    <col min="6918" max="6918" width="2.7109375" style="26" customWidth="1"/>
    <col min="6919" max="6919" width="3.5703125" style="26" customWidth="1"/>
    <col min="6920" max="7164" width="9.28515625" style="26"/>
    <col min="7165" max="7165" width="8.7109375" style="26" customWidth="1"/>
    <col min="7166" max="7166" width="9.7109375" style="26" customWidth="1"/>
    <col min="7167" max="7167" width="14.42578125" style="26" customWidth="1"/>
    <col min="7168" max="7168" width="7.28515625" style="26" customWidth="1"/>
    <col min="7169" max="7169" width="5.5703125" style="26" customWidth="1"/>
    <col min="7170" max="7170" width="9" style="26" customWidth="1"/>
    <col min="7171" max="7172" width="9.7109375" style="26" customWidth="1"/>
    <col min="7173" max="7173" width="11.28515625" style="26" customWidth="1"/>
    <col min="7174" max="7174" width="2.7109375" style="26" customWidth="1"/>
    <col min="7175" max="7175" width="3.5703125" style="26" customWidth="1"/>
    <col min="7176" max="7420" width="9.28515625" style="26"/>
    <col min="7421" max="7421" width="8.7109375" style="26" customWidth="1"/>
    <col min="7422" max="7422" width="9.7109375" style="26" customWidth="1"/>
    <col min="7423" max="7423" width="14.42578125" style="26" customWidth="1"/>
    <col min="7424" max="7424" width="7.28515625" style="26" customWidth="1"/>
    <col min="7425" max="7425" width="5.5703125" style="26" customWidth="1"/>
    <col min="7426" max="7426" width="9" style="26" customWidth="1"/>
    <col min="7427" max="7428" width="9.7109375" style="26" customWidth="1"/>
    <col min="7429" max="7429" width="11.28515625" style="26" customWidth="1"/>
    <col min="7430" max="7430" width="2.7109375" style="26" customWidth="1"/>
    <col min="7431" max="7431" width="3.5703125" style="26" customWidth="1"/>
    <col min="7432" max="7676" width="9.28515625" style="26"/>
    <col min="7677" max="7677" width="8.7109375" style="26" customWidth="1"/>
    <col min="7678" max="7678" width="9.7109375" style="26" customWidth="1"/>
    <col min="7679" max="7679" width="14.42578125" style="26" customWidth="1"/>
    <col min="7680" max="7680" width="7.28515625" style="26" customWidth="1"/>
    <col min="7681" max="7681" width="5.5703125" style="26" customWidth="1"/>
    <col min="7682" max="7682" width="9" style="26" customWidth="1"/>
    <col min="7683" max="7684" width="9.7109375" style="26" customWidth="1"/>
    <col min="7685" max="7685" width="11.28515625" style="26" customWidth="1"/>
    <col min="7686" max="7686" width="2.7109375" style="26" customWidth="1"/>
    <col min="7687" max="7687" width="3.5703125" style="26" customWidth="1"/>
    <col min="7688" max="7932" width="9.28515625" style="26"/>
    <col min="7933" max="7933" width="8.7109375" style="26" customWidth="1"/>
    <col min="7934" max="7934" width="9.7109375" style="26" customWidth="1"/>
    <col min="7935" max="7935" width="14.42578125" style="26" customWidth="1"/>
    <col min="7936" max="7936" width="7.28515625" style="26" customWidth="1"/>
    <col min="7937" max="7937" width="5.5703125" style="26" customWidth="1"/>
    <col min="7938" max="7938" width="9" style="26" customWidth="1"/>
    <col min="7939" max="7940" width="9.7109375" style="26" customWidth="1"/>
    <col min="7941" max="7941" width="11.28515625" style="26" customWidth="1"/>
    <col min="7942" max="7942" width="2.7109375" style="26" customWidth="1"/>
    <col min="7943" max="7943" width="3.5703125" style="26" customWidth="1"/>
    <col min="7944" max="8188" width="9.28515625" style="26"/>
    <col min="8189" max="8189" width="8.7109375" style="26" customWidth="1"/>
    <col min="8190" max="8190" width="9.7109375" style="26" customWidth="1"/>
    <col min="8191" max="8191" width="14.42578125" style="26" customWidth="1"/>
    <col min="8192" max="8192" width="7.28515625" style="26" customWidth="1"/>
    <col min="8193" max="8193" width="5.5703125" style="26" customWidth="1"/>
    <col min="8194" max="8194" width="9" style="26" customWidth="1"/>
    <col min="8195" max="8196" width="9.7109375" style="26" customWidth="1"/>
    <col min="8197" max="8197" width="11.28515625" style="26" customWidth="1"/>
    <col min="8198" max="8198" width="2.7109375" style="26" customWidth="1"/>
    <col min="8199" max="8199" width="3.5703125" style="26" customWidth="1"/>
    <col min="8200" max="8444" width="9.28515625" style="26"/>
    <col min="8445" max="8445" width="8.7109375" style="26" customWidth="1"/>
    <col min="8446" max="8446" width="9.7109375" style="26" customWidth="1"/>
    <col min="8447" max="8447" width="14.42578125" style="26" customWidth="1"/>
    <col min="8448" max="8448" width="7.28515625" style="26" customWidth="1"/>
    <col min="8449" max="8449" width="5.5703125" style="26" customWidth="1"/>
    <col min="8450" max="8450" width="9" style="26" customWidth="1"/>
    <col min="8451" max="8452" width="9.7109375" style="26" customWidth="1"/>
    <col min="8453" max="8453" width="11.28515625" style="26" customWidth="1"/>
    <col min="8454" max="8454" width="2.7109375" style="26" customWidth="1"/>
    <col min="8455" max="8455" width="3.5703125" style="26" customWidth="1"/>
    <col min="8456" max="8700" width="9.28515625" style="26"/>
    <col min="8701" max="8701" width="8.7109375" style="26" customWidth="1"/>
    <col min="8702" max="8702" width="9.7109375" style="26" customWidth="1"/>
    <col min="8703" max="8703" width="14.42578125" style="26" customWidth="1"/>
    <col min="8704" max="8704" width="7.28515625" style="26" customWidth="1"/>
    <col min="8705" max="8705" width="5.5703125" style="26" customWidth="1"/>
    <col min="8706" max="8706" width="9" style="26" customWidth="1"/>
    <col min="8707" max="8708" width="9.7109375" style="26" customWidth="1"/>
    <col min="8709" max="8709" width="11.28515625" style="26" customWidth="1"/>
    <col min="8710" max="8710" width="2.7109375" style="26" customWidth="1"/>
    <col min="8711" max="8711" width="3.5703125" style="26" customWidth="1"/>
    <col min="8712" max="8956" width="9.28515625" style="26"/>
    <col min="8957" max="8957" width="8.7109375" style="26" customWidth="1"/>
    <col min="8958" max="8958" width="9.7109375" style="26" customWidth="1"/>
    <col min="8959" max="8959" width="14.42578125" style="26" customWidth="1"/>
    <col min="8960" max="8960" width="7.28515625" style="26" customWidth="1"/>
    <col min="8961" max="8961" width="5.5703125" style="26" customWidth="1"/>
    <col min="8962" max="8962" width="9" style="26" customWidth="1"/>
    <col min="8963" max="8964" width="9.7109375" style="26" customWidth="1"/>
    <col min="8965" max="8965" width="11.28515625" style="26" customWidth="1"/>
    <col min="8966" max="8966" width="2.7109375" style="26" customWidth="1"/>
    <col min="8967" max="8967" width="3.5703125" style="26" customWidth="1"/>
    <col min="8968" max="9212" width="9.28515625" style="26"/>
    <col min="9213" max="9213" width="8.7109375" style="26" customWidth="1"/>
    <col min="9214" max="9214" width="9.7109375" style="26" customWidth="1"/>
    <col min="9215" max="9215" width="14.42578125" style="26" customWidth="1"/>
    <col min="9216" max="9216" width="7.28515625" style="26" customWidth="1"/>
    <col min="9217" max="9217" width="5.5703125" style="26" customWidth="1"/>
    <col min="9218" max="9218" width="9" style="26" customWidth="1"/>
    <col min="9219" max="9220" width="9.7109375" style="26" customWidth="1"/>
    <col min="9221" max="9221" width="11.28515625" style="26" customWidth="1"/>
    <col min="9222" max="9222" width="2.7109375" style="26" customWidth="1"/>
    <col min="9223" max="9223" width="3.5703125" style="26" customWidth="1"/>
    <col min="9224" max="9468" width="9.28515625" style="26"/>
    <col min="9469" max="9469" width="8.7109375" style="26" customWidth="1"/>
    <col min="9470" max="9470" width="9.7109375" style="26" customWidth="1"/>
    <col min="9471" max="9471" width="14.42578125" style="26" customWidth="1"/>
    <col min="9472" max="9472" width="7.28515625" style="26" customWidth="1"/>
    <col min="9473" max="9473" width="5.5703125" style="26" customWidth="1"/>
    <col min="9474" max="9474" width="9" style="26" customWidth="1"/>
    <col min="9475" max="9476" width="9.7109375" style="26" customWidth="1"/>
    <col min="9477" max="9477" width="11.28515625" style="26" customWidth="1"/>
    <col min="9478" max="9478" width="2.7109375" style="26" customWidth="1"/>
    <col min="9479" max="9479" width="3.5703125" style="26" customWidth="1"/>
    <col min="9480" max="9724" width="9.28515625" style="26"/>
    <col min="9725" max="9725" width="8.7109375" style="26" customWidth="1"/>
    <col min="9726" max="9726" width="9.7109375" style="26" customWidth="1"/>
    <col min="9727" max="9727" width="14.42578125" style="26" customWidth="1"/>
    <col min="9728" max="9728" width="7.28515625" style="26" customWidth="1"/>
    <col min="9729" max="9729" width="5.5703125" style="26" customWidth="1"/>
    <col min="9730" max="9730" width="9" style="26" customWidth="1"/>
    <col min="9731" max="9732" width="9.7109375" style="26" customWidth="1"/>
    <col min="9733" max="9733" width="11.28515625" style="26" customWidth="1"/>
    <col min="9734" max="9734" width="2.7109375" style="26" customWidth="1"/>
    <col min="9735" max="9735" width="3.5703125" style="26" customWidth="1"/>
    <col min="9736" max="9980" width="9.28515625" style="26"/>
    <col min="9981" max="9981" width="8.7109375" style="26" customWidth="1"/>
    <col min="9982" max="9982" width="9.7109375" style="26" customWidth="1"/>
    <col min="9983" max="9983" width="14.42578125" style="26" customWidth="1"/>
    <col min="9984" max="9984" width="7.28515625" style="26" customWidth="1"/>
    <col min="9985" max="9985" width="5.5703125" style="26" customWidth="1"/>
    <col min="9986" max="9986" width="9" style="26" customWidth="1"/>
    <col min="9987" max="9988" width="9.7109375" style="26" customWidth="1"/>
    <col min="9989" max="9989" width="11.28515625" style="26" customWidth="1"/>
    <col min="9990" max="9990" width="2.7109375" style="26" customWidth="1"/>
    <col min="9991" max="9991" width="3.5703125" style="26" customWidth="1"/>
    <col min="9992" max="10236" width="9.28515625" style="26"/>
    <col min="10237" max="10237" width="8.7109375" style="26" customWidth="1"/>
    <col min="10238" max="10238" width="9.7109375" style="26" customWidth="1"/>
    <col min="10239" max="10239" width="14.42578125" style="26" customWidth="1"/>
    <col min="10240" max="10240" width="7.28515625" style="26" customWidth="1"/>
    <col min="10241" max="10241" width="5.5703125" style="26" customWidth="1"/>
    <col min="10242" max="10242" width="9" style="26" customWidth="1"/>
    <col min="10243" max="10244" width="9.7109375" style="26" customWidth="1"/>
    <col min="10245" max="10245" width="11.28515625" style="26" customWidth="1"/>
    <col min="10246" max="10246" width="2.7109375" style="26" customWidth="1"/>
    <col min="10247" max="10247" width="3.5703125" style="26" customWidth="1"/>
    <col min="10248" max="10492" width="9.28515625" style="26"/>
    <col min="10493" max="10493" width="8.7109375" style="26" customWidth="1"/>
    <col min="10494" max="10494" width="9.7109375" style="26" customWidth="1"/>
    <col min="10495" max="10495" width="14.42578125" style="26" customWidth="1"/>
    <col min="10496" max="10496" width="7.28515625" style="26" customWidth="1"/>
    <col min="10497" max="10497" width="5.5703125" style="26" customWidth="1"/>
    <col min="10498" max="10498" width="9" style="26" customWidth="1"/>
    <col min="10499" max="10500" width="9.7109375" style="26" customWidth="1"/>
    <col min="10501" max="10501" width="11.28515625" style="26" customWidth="1"/>
    <col min="10502" max="10502" width="2.7109375" style="26" customWidth="1"/>
    <col min="10503" max="10503" width="3.5703125" style="26" customWidth="1"/>
    <col min="10504" max="10748" width="9.28515625" style="26"/>
    <col min="10749" max="10749" width="8.7109375" style="26" customWidth="1"/>
    <col min="10750" max="10750" width="9.7109375" style="26" customWidth="1"/>
    <col min="10751" max="10751" width="14.42578125" style="26" customWidth="1"/>
    <col min="10752" max="10752" width="7.28515625" style="26" customWidth="1"/>
    <col min="10753" max="10753" width="5.5703125" style="26" customWidth="1"/>
    <col min="10754" max="10754" width="9" style="26" customWidth="1"/>
    <col min="10755" max="10756" width="9.7109375" style="26" customWidth="1"/>
    <col min="10757" max="10757" width="11.28515625" style="26" customWidth="1"/>
    <col min="10758" max="10758" width="2.7109375" style="26" customWidth="1"/>
    <col min="10759" max="10759" width="3.5703125" style="26" customWidth="1"/>
    <col min="10760" max="11004" width="9.28515625" style="26"/>
    <col min="11005" max="11005" width="8.7109375" style="26" customWidth="1"/>
    <col min="11006" max="11006" width="9.7109375" style="26" customWidth="1"/>
    <col min="11007" max="11007" width="14.42578125" style="26" customWidth="1"/>
    <col min="11008" max="11008" width="7.28515625" style="26" customWidth="1"/>
    <col min="11009" max="11009" width="5.5703125" style="26" customWidth="1"/>
    <col min="11010" max="11010" width="9" style="26" customWidth="1"/>
    <col min="11011" max="11012" width="9.7109375" style="26" customWidth="1"/>
    <col min="11013" max="11013" width="11.28515625" style="26" customWidth="1"/>
    <col min="11014" max="11014" width="2.7109375" style="26" customWidth="1"/>
    <col min="11015" max="11015" width="3.5703125" style="26" customWidth="1"/>
    <col min="11016" max="11260" width="9.28515625" style="26"/>
    <col min="11261" max="11261" width="8.7109375" style="26" customWidth="1"/>
    <col min="11262" max="11262" width="9.7109375" style="26" customWidth="1"/>
    <col min="11263" max="11263" width="14.42578125" style="26" customWidth="1"/>
    <col min="11264" max="11264" width="7.28515625" style="26" customWidth="1"/>
    <col min="11265" max="11265" width="5.5703125" style="26" customWidth="1"/>
    <col min="11266" max="11266" width="9" style="26" customWidth="1"/>
    <col min="11267" max="11268" width="9.7109375" style="26" customWidth="1"/>
    <col min="11269" max="11269" width="11.28515625" style="26" customWidth="1"/>
    <col min="11270" max="11270" width="2.7109375" style="26" customWidth="1"/>
    <col min="11271" max="11271" width="3.5703125" style="26" customWidth="1"/>
    <col min="11272" max="11516" width="9.28515625" style="26"/>
    <col min="11517" max="11517" width="8.7109375" style="26" customWidth="1"/>
    <col min="11518" max="11518" width="9.7109375" style="26" customWidth="1"/>
    <col min="11519" max="11519" width="14.42578125" style="26" customWidth="1"/>
    <col min="11520" max="11520" width="7.28515625" style="26" customWidth="1"/>
    <col min="11521" max="11521" width="5.5703125" style="26" customWidth="1"/>
    <col min="11522" max="11522" width="9" style="26" customWidth="1"/>
    <col min="11523" max="11524" width="9.7109375" style="26" customWidth="1"/>
    <col min="11525" max="11525" width="11.28515625" style="26" customWidth="1"/>
    <col min="11526" max="11526" width="2.7109375" style="26" customWidth="1"/>
    <col min="11527" max="11527" width="3.5703125" style="26" customWidth="1"/>
    <col min="11528" max="11772" width="9.28515625" style="26"/>
    <col min="11773" max="11773" width="8.7109375" style="26" customWidth="1"/>
    <col min="11774" max="11774" width="9.7109375" style="26" customWidth="1"/>
    <col min="11775" max="11775" width="14.42578125" style="26" customWidth="1"/>
    <col min="11776" max="11776" width="7.28515625" style="26" customWidth="1"/>
    <col min="11777" max="11777" width="5.5703125" style="26" customWidth="1"/>
    <col min="11778" max="11778" width="9" style="26" customWidth="1"/>
    <col min="11779" max="11780" width="9.7109375" style="26" customWidth="1"/>
    <col min="11781" max="11781" width="11.28515625" style="26" customWidth="1"/>
    <col min="11782" max="11782" width="2.7109375" style="26" customWidth="1"/>
    <col min="11783" max="11783" width="3.5703125" style="26" customWidth="1"/>
    <col min="11784" max="12028" width="9.28515625" style="26"/>
    <col min="12029" max="12029" width="8.7109375" style="26" customWidth="1"/>
    <col min="12030" max="12030" width="9.7109375" style="26" customWidth="1"/>
    <col min="12031" max="12031" width="14.42578125" style="26" customWidth="1"/>
    <col min="12032" max="12032" width="7.28515625" style="26" customWidth="1"/>
    <col min="12033" max="12033" width="5.5703125" style="26" customWidth="1"/>
    <col min="12034" max="12034" width="9" style="26" customWidth="1"/>
    <col min="12035" max="12036" width="9.7109375" style="26" customWidth="1"/>
    <col min="12037" max="12037" width="11.28515625" style="26" customWidth="1"/>
    <col min="12038" max="12038" width="2.7109375" style="26" customWidth="1"/>
    <col min="12039" max="12039" width="3.5703125" style="26" customWidth="1"/>
    <col min="12040" max="12284" width="9.28515625" style="26"/>
    <col min="12285" max="12285" width="8.7109375" style="26" customWidth="1"/>
    <col min="12286" max="12286" width="9.7109375" style="26" customWidth="1"/>
    <col min="12287" max="12287" width="14.42578125" style="26" customWidth="1"/>
    <col min="12288" max="12288" width="7.28515625" style="26" customWidth="1"/>
    <col min="12289" max="12289" width="5.5703125" style="26" customWidth="1"/>
    <col min="12290" max="12290" width="9" style="26" customWidth="1"/>
    <col min="12291" max="12292" width="9.7109375" style="26" customWidth="1"/>
    <col min="12293" max="12293" width="11.28515625" style="26" customWidth="1"/>
    <col min="12294" max="12294" width="2.7109375" style="26" customWidth="1"/>
    <col min="12295" max="12295" width="3.5703125" style="26" customWidth="1"/>
    <col min="12296" max="12540" width="9.28515625" style="26"/>
    <col min="12541" max="12541" width="8.7109375" style="26" customWidth="1"/>
    <col min="12542" max="12542" width="9.7109375" style="26" customWidth="1"/>
    <col min="12543" max="12543" width="14.42578125" style="26" customWidth="1"/>
    <col min="12544" max="12544" width="7.28515625" style="26" customWidth="1"/>
    <col min="12545" max="12545" width="5.5703125" style="26" customWidth="1"/>
    <col min="12546" max="12546" width="9" style="26" customWidth="1"/>
    <col min="12547" max="12548" width="9.7109375" style="26" customWidth="1"/>
    <col min="12549" max="12549" width="11.28515625" style="26" customWidth="1"/>
    <col min="12550" max="12550" width="2.7109375" style="26" customWidth="1"/>
    <col min="12551" max="12551" width="3.5703125" style="26" customWidth="1"/>
    <col min="12552" max="12796" width="9.28515625" style="26"/>
    <col min="12797" max="12797" width="8.7109375" style="26" customWidth="1"/>
    <col min="12798" max="12798" width="9.7109375" style="26" customWidth="1"/>
    <col min="12799" max="12799" width="14.42578125" style="26" customWidth="1"/>
    <col min="12800" max="12800" width="7.28515625" style="26" customWidth="1"/>
    <col min="12801" max="12801" width="5.5703125" style="26" customWidth="1"/>
    <col min="12802" max="12802" width="9" style="26" customWidth="1"/>
    <col min="12803" max="12804" width="9.7109375" style="26" customWidth="1"/>
    <col min="12805" max="12805" width="11.28515625" style="26" customWidth="1"/>
    <col min="12806" max="12806" width="2.7109375" style="26" customWidth="1"/>
    <col min="12807" max="12807" width="3.5703125" style="26" customWidth="1"/>
    <col min="12808" max="13052" width="9.28515625" style="26"/>
    <col min="13053" max="13053" width="8.7109375" style="26" customWidth="1"/>
    <col min="13054" max="13054" width="9.7109375" style="26" customWidth="1"/>
    <col min="13055" max="13055" width="14.42578125" style="26" customWidth="1"/>
    <col min="13056" max="13056" width="7.28515625" style="26" customWidth="1"/>
    <col min="13057" max="13057" width="5.5703125" style="26" customWidth="1"/>
    <col min="13058" max="13058" width="9" style="26" customWidth="1"/>
    <col min="13059" max="13060" width="9.7109375" style="26" customWidth="1"/>
    <col min="13061" max="13061" width="11.28515625" style="26" customWidth="1"/>
    <col min="13062" max="13062" width="2.7109375" style="26" customWidth="1"/>
    <col min="13063" max="13063" width="3.5703125" style="26" customWidth="1"/>
    <col min="13064" max="13308" width="9.28515625" style="26"/>
    <col min="13309" max="13309" width="8.7109375" style="26" customWidth="1"/>
    <col min="13310" max="13310" width="9.7109375" style="26" customWidth="1"/>
    <col min="13311" max="13311" width="14.42578125" style="26" customWidth="1"/>
    <col min="13312" max="13312" width="7.28515625" style="26" customWidth="1"/>
    <col min="13313" max="13313" width="5.5703125" style="26" customWidth="1"/>
    <col min="13314" max="13314" width="9" style="26" customWidth="1"/>
    <col min="13315" max="13316" width="9.7109375" style="26" customWidth="1"/>
    <col min="13317" max="13317" width="11.28515625" style="26" customWidth="1"/>
    <col min="13318" max="13318" width="2.7109375" style="26" customWidth="1"/>
    <col min="13319" max="13319" width="3.5703125" style="26" customWidth="1"/>
    <col min="13320" max="13564" width="9.28515625" style="26"/>
    <col min="13565" max="13565" width="8.7109375" style="26" customWidth="1"/>
    <col min="13566" max="13566" width="9.7109375" style="26" customWidth="1"/>
    <col min="13567" max="13567" width="14.42578125" style="26" customWidth="1"/>
    <col min="13568" max="13568" width="7.28515625" style="26" customWidth="1"/>
    <col min="13569" max="13569" width="5.5703125" style="26" customWidth="1"/>
    <col min="13570" max="13570" width="9" style="26" customWidth="1"/>
    <col min="13571" max="13572" width="9.7109375" style="26" customWidth="1"/>
    <col min="13573" max="13573" width="11.28515625" style="26" customWidth="1"/>
    <col min="13574" max="13574" width="2.7109375" style="26" customWidth="1"/>
    <col min="13575" max="13575" width="3.5703125" style="26" customWidth="1"/>
    <col min="13576" max="13820" width="9.28515625" style="26"/>
    <col min="13821" max="13821" width="8.7109375" style="26" customWidth="1"/>
    <col min="13822" max="13822" width="9.7109375" style="26" customWidth="1"/>
    <col min="13823" max="13823" width="14.42578125" style="26" customWidth="1"/>
    <col min="13824" max="13824" width="7.28515625" style="26" customWidth="1"/>
    <col min="13825" max="13825" width="5.5703125" style="26" customWidth="1"/>
    <col min="13826" max="13826" width="9" style="26" customWidth="1"/>
    <col min="13827" max="13828" width="9.7109375" style="26" customWidth="1"/>
    <col min="13829" max="13829" width="11.28515625" style="26" customWidth="1"/>
    <col min="13830" max="13830" width="2.7109375" style="26" customWidth="1"/>
    <col min="13831" max="13831" width="3.5703125" style="26" customWidth="1"/>
    <col min="13832" max="14076" width="9.28515625" style="26"/>
    <col min="14077" max="14077" width="8.7109375" style="26" customWidth="1"/>
    <col min="14078" max="14078" width="9.7109375" style="26" customWidth="1"/>
    <col min="14079" max="14079" width="14.42578125" style="26" customWidth="1"/>
    <col min="14080" max="14080" width="7.28515625" style="26" customWidth="1"/>
    <col min="14081" max="14081" width="5.5703125" style="26" customWidth="1"/>
    <col min="14082" max="14082" width="9" style="26" customWidth="1"/>
    <col min="14083" max="14084" width="9.7109375" style="26" customWidth="1"/>
    <col min="14085" max="14085" width="11.28515625" style="26" customWidth="1"/>
    <col min="14086" max="14086" width="2.7109375" style="26" customWidth="1"/>
    <col min="14087" max="14087" width="3.5703125" style="26" customWidth="1"/>
    <col min="14088" max="14332" width="9.28515625" style="26"/>
    <col min="14333" max="14333" width="8.7109375" style="26" customWidth="1"/>
    <col min="14334" max="14334" width="9.7109375" style="26" customWidth="1"/>
    <col min="14335" max="14335" width="14.42578125" style="26" customWidth="1"/>
    <col min="14336" max="14336" width="7.28515625" style="26" customWidth="1"/>
    <col min="14337" max="14337" width="5.5703125" style="26" customWidth="1"/>
    <col min="14338" max="14338" width="9" style="26" customWidth="1"/>
    <col min="14339" max="14340" width="9.7109375" style="26" customWidth="1"/>
    <col min="14341" max="14341" width="11.28515625" style="26" customWidth="1"/>
    <col min="14342" max="14342" width="2.7109375" style="26" customWidth="1"/>
    <col min="14343" max="14343" width="3.5703125" style="26" customWidth="1"/>
    <col min="14344" max="14588" width="9.28515625" style="26"/>
    <col min="14589" max="14589" width="8.7109375" style="26" customWidth="1"/>
    <col min="14590" max="14590" width="9.7109375" style="26" customWidth="1"/>
    <col min="14591" max="14591" width="14.42578125" style="26" customWidth="1"/>
    <col min="14592" max="14592" width="7.28515625" style="26" customWidth="1"/>
    <col min="14593" max="14593" width="5.5703125" style="26" customWidth="1"/>
    <col min="14594" max="14594" width="9" style="26" customWidth="1"/>
    <col min="14595" max="14596" width="9.7109375" style="26" customWidth="1"/>
    <col min="14597" max="14597" width="11.28515625" style="26" customWidth="1"/>
    <col min="14598" max="14598" width="2.7109375" style="26" customWidth="1"/>
    <col min="14599" max="14599" width="3.5703125" style="26" customWidth="1"/>
    <col min="14600" max="14844" width="9.28515625" style="26"/>
    <col min="14845" max="14845" width="8.7109375" style="26" customWidth="1"/>
    <col min="14846" max="14846" width="9.7109375" style="26" customWidth="1"/>
    <col min="14847" max="14847" width="14.42578125" style="26" customWidth="1"/>
    <col min="14848" max="14848" width="7.28515625" style="26" customWidth="1"/>
    <col min="14849" max="14849" width="5.5703125" style="26" customWidth="1"/>
    <col min="14850" max="14850" width="9" style="26" customWidth="1"/>
    <col min="14851" max="14852" width="9.7109375" style="26" customWidth="1"/>
    <col min="14853" max="14853" width="11.28515625" style="26" customWidth="1"/>
    <col min="14854" max="14854" width="2.7109375" style="26" customWidth="1"/>
    <col min="14855" max="14855" width="3.5703125" style="26" customWidth="1"/>
    <col min="14856" max="15100" width="9.28515625" style="26"/>
    <col min="15101" max="15101" width="8.7109375" style="26" customWidth="1"/>
    <col min="15102" max="15102" width="9.7109375" style="26" customWidth="1"/>
    <col min="15103" max="15103" width="14.42578125" style="26" customWidth="1"/>
    <col min="15104" max="15104" width="7.28515625" style="26" customWidth="1"/>
    <col min="15105" max="15105" width="5.5703125" style="26" customWidth="1"/>
    <col min="15106" max="15106" width="9" style="26" customWidth="1"/>
    <col min="15107" max="15108" width="9.7109375" style="26" customWidth="1"/>
    <col min="15109" max="15109" width="11.28515625" style="26" customWidth="1"/>
    <col min="15110" max="15110" width="2.7109375" style="26" customWidth="1"/>
    <col min="15111" max="15111" width="3.5703125" style="26" customWidth="1"/>
    <col min="15112" max="15356" width="9.28515625" style="26"/>
    <col min="15357" max="15357" width="8.7109375" style="26" customWidth="1"/>
    <col min="15358" max="15358" width="9.7109375" style="26" customWidth="1"/>
    <col min="15359" max="15359" width="14.42578125" style="26" customWidth="1"/>
    <col min="15360" max="15360" width="7.28515625" style="26" customWidth="1"/>
    <col min="15361" max="15361" width="5.5703125" style="26" customWidth="1"/>
    <col min="15362" max="15362" width="9" style="26" customWidth="1"/>
    <col min="15363" max="15364" width="9.7109375" style="26" customWidth="1"/>
    <col min="15365" max="15365" width="11.28515625" style="26" customWidth="1"/>
    <col min="15366" max="15366" width="2.7109375" style="26" customWidth="1"/>
    <col min="15367" max="15367" width="3.5703125" style="26" customWidth="1"/>
    <col min="15368" max="15612" width="9.28515625" style="26"/>
    <col min="15613" max="15613" width="8.7109375" style="26" customWidth="1"/>
    <col min="15614" max="15614" width="9.7109375" style="26" customWidth="1"/>
    <col min="15615" max="15615" width="14.42578125" style="26" customWidth="1"/>
    <col min="15616" max="15616" width="7.28515625" style="26" customWidth="1"/>
    <col min="15617" max="15617" width="5.5703125" style="26" customWidth="1"/>
    <col min="15618" max="15618" width="9" style="26" customWidth="1"/>
    <col min="15619" max="15620" width="9.7109375" style="26" customWidth="1"/>
    <col min="15621" max="15621" width="11.28515625" style="26" customWidth="1"/>
    <col min="15622" max="15622" width="2.7109375" style="26" customWidth="1"/>
    <col min="15623" max="15623" width="3.5703125" style="26" customWidth="1"/>
    <col min="15624" max="15868" width="9.28515625" style="26"/>
    <col min="15869" max="15869" width="8.7109375" style="26" customWidth="1"/>
    <col min="15870" max="15870" width="9.7109375" style="26" customWidth="1"/>
    <col min="15871" max="15871" width="14.42578125" style="26" customWidth="1"/>
    <col min="15872" max="15872" width="7.28515625" style="26" customWidth="1"/>
    <col min="15873" max="15873" width="5.5703125" style="26" customWidth="1"/>
    <col min="15874" max="15874" width="9" style="26" customWidth="1"/>
    <col min="15875" max="15876" width="9.7109375" style="26" customWidth="1"/>
    <col min="15877" max="15877" width="11.28515625" style="26" customWidth="1"/>
    <col min="15878" max="15878" width="2.7109375" style="26" customWidth="1"/>
    <col min="15879" max="15879" width="3.5703125" style="26" customWidth="1"/>
    <col min="15880" max="16124" width="9.28515625" style="26"/>
    <col min="16125" max="16125" width="8.7109375" style="26" customWidth="1"/>
    <col min="16126" max="16126" width="9.7109375" style="26" customWidth="1"/>
    <col min="16127" max="16127" width="14.42578125" style="26" customWidth="1"/>
    <col min="16128" max="16128" width="7.28515625" style="26" customWidth="1"/>
    <col min="16129" max="16129" width="5.5703125" style="26" customWidth="1"/>
    <col min="16130" max="16130" width="9" style="26" customWidth="1"/>
    <col min="16131" max="16132" width="9.7109375" style="26" customWidth="1"/>
    <col min="16133" max="16133" width="11.28515625" style="26" customWidth="1"/>
    <col min="16134" max="16134" width="2.7109375" style="26" customWidth="1"/>
    <col min="16135" max="16135" width="3.5703125" style="26" customWidth="1"/>
    <col min="16136" max="16384" width="9.28515625" style="26"/>
  </cols>
  <sheetData>
    <row r="1" spans="1:8" ht="46.5" customHeight="1">
      <c r="A1" s="169" t="s">
        <v>0</v>
      </c>
      <c r="B1" s="169"/>
      <c r="C1" s="169"/>
      <c r="D1" s="169"/>
      <c r="E1" s="169"/>
      <c r="F1" s="169"/>
      <c r="G1" s="169"/>
      <c r="H1" s="169"/>
    </row>
    <row r="2" spans="1:8" ht="16.5" customHeight="1">
      <c r="A2" s="101" t="s">
        <v>1</v>
      </c>
      <c r="B2" s="101"/>
      <c r="C2" s="101"/>
      <c r="D2" s="101"/>
      <c r="E2" s="101"/>
      <c r="F2" s="101"/>
      <c r="G2" s="101"/>
      <c r="H2" s="101"/>
    </row>
    <row r="3" spans="1:8">
      <c r="A3" s="78" t="s">
        <v>2</v>
      </c>
      <c r="B3" s="78"/>
      <c r="C3" s="78"/>
      <c r="D3" s="78"/>
      <c r="E3" s="170" t="str">
        <f ca="1">TEXT(TODAY(),"DD/MM/YYYY")</f>
        <v>18/09/2025</v>
      </c>
      <c r="F3" s="170"/>
      <c r="G3" s="170"/>
      <c r="H3" s="170"/>
    </row>
    <row r="4" spans="1:8" ht="15" customHeight="1">
      <c r="A4" s="78" t="s">
        <v>3</v>
      </c>
      <c r="B4" s="78"/>
      <c r="C4" s="78"/>
      <c r="D4" s="78"/>
      <c r="E4" s="165" t="s">
        <v>4</v>
      </c>
      <c r="F4" s="165"/>
      <c r="G4" s="165"/>
      <c r="H4" s="165"/>
    </row>
    <row r="5" spans="1:8">
      <c r="A5" s="78" t="s">
        <v>5</v>
      </c>
      <c r="B5" s="78"/>
      <c r="C5" s="78"/>
      <c r="D5" s="78"/>
      <c r="E5" s="171">
        <v>45916</v>
      </c>
      <c r="F5" s="171"/>
      <c r="G5" s="171"/>
      <c r="H5" s="171"/>
    </row>
    <row r="6" spans="1:8" ht="16.5" customHeight="1">
      <c r="A6" s="78" t="s">
        <v>6</v>
      </c>
      <c r="B6" s="78"/>
      <c r="C6" s="78"/>
      <c r="D6" s="78"/>
      <c r="E6" s="79" t="s">
        <v>7</v>
      </c>
      <c r="F6" s="79"/>
      <c r="G6" s="79"/>
      <c r="H6" s="79"/>
    </row>
    <row r="7" spans="1:8" ht="15" customHeight="1">
      <c r="A7" s="78" t="s">
        <v>8</v>
      </c>
      <c r="B7" s="78"/>
      <c r="C7" s="78"/>
      <c r="D7" s="78"/>
      <c r="E7" s="79" t="str">
        <f>E6</f>
        <v>M/s.Suchita Orange Project Royale</v>
      </c>
      <c r="F7" s="79"/>
      <c r="G7" s="79"/>
      <c r="H7" s="79"/>
    </row>
    <row r="8" spans="1:8">
      <c r="A8" s="78" t="s">
        <v>9</v>
      </c>
      <c r="B8" s="78"/>
      <c r="C8" s="78"/>
      <c r="D8" s="78"/>
      <c r="E8" s="121" t="s">
        <v>10</v>
      </c>
      <c r="F8" s="121"/>
      <c r="G8" s="121"/>
      <c r="H8" s="121"/>
    </row>
    <row r="9" spans="1:8">
      <c r="A9" s="78" t="s">
        <v>11</v>
      </c>
      <c r="B9" s="78"/>
      <c r="C9" s="78"/>
      <c r="D9" s="78"/>
      <c r="E9" s="79" t="s">
        <v>12</v>
      </c>
      <c r="F9" s="78"/>
      <c r="G9" s="78"/>
      <c r="H9" s="78"/>
    </row>
    <row r="10" spans="1:8">
      <c r="A10" s="66" t="s">
        <v>13</v>
      </c>
      <c r="B10" s="66"/>
      <c r="C10" s="66"/>
      <c r="D10" s="66"/>
      <c r="E10" s="66" t="s">
        <v>14</v>
      </c>
      <c r="F10" s="66"/>
      <c r="G10" s="66"/>
      <c r="H10" s="66"/>
    </row>
    <row r="11" spans="1:8">
      <c r="A11" s="78" t="s">
        <v>15</v>
      </c>
      <c r="B11" s="78"/>
      <c r="C11" s="78"/>
      <c r="D11" s="78"/>
      <c r="E11" s="65" t="s">
        <v>16</v>
      </c>
      <c r="F11" s="65"/>
      <c r="G11" s="65"/>
      <c r="H11" s="65"/>
    </row>
    <row r="12" spans="1:8">
      <c r="A12" s="78" t="s">
        <v>17</v>
      </c>
      <c r="B12" s="78"/>
      <c r="C12" s="78"/>
      <c r="D12" s="78"/>
      <c r="E12" s="66" t="s">
        <v>18</v>
      </c>
      <c r="F12" s="66"/>
      <c r="G12" s="66"/>
      <c r="H12" s="66"/>
    </row>
    <row r="13" spans="1:8" ht="82.5" customHeight="1">
      <c r="A13" s="65" t="s">
        <v>19</v>
      </c>
      <c r="B13" s="65"/>
      <c r="C13" s="65" t="s">
        <v>20</v>
      </c>
      <c r="D13" s="65"/>
      <c r="E13" s="65"/>
      <c r="F13" s="65"/>
      <c r="G13" s="65"/>
      <c r="H13" s="65"/>
    </row>
    <row r="14" spans="1:8" ht="33" customHeight="1">
      <c r="A14" s="65" t="s">
        <v>21</v>
      </c>
      <c r="B14" s="65"/>
      <c r="C14" s="65" t="s">
        <v>22</v>
      </c>
      <c r="D14" s="65"/>
      <c r="E14" s="65"/>
      <c r="F14" s="65"/>
      <c r="G14" s="65"/>
      <c r="H14" s="65"/>
    </row>
    <row r="15" spans="1:8" ht="15.75" customHeight="1">
      <c r="A15" s="65" t="s">
        <v>23</v>
      </c>
      <c r="B15" s="65"/>
      <c r="C15" s="66" t="s">
        <v>24</v>
      </c>
      <c r="D15" s="66"/>
      <c r="E15" s="65" t="s">
        <v>25</v>
      </c>
      <c r="F15" s="65"/>
      <c r="G15" s="65" t="s">
        <v>26</v>
      </c>
      <c r="H15" s="65"/>
    </row>
    <row r="16" spans="1:8">
      <c r="A16" s="66" t="s">
        <v>27</v>
      </c>
      <c r="B16" s="66"/>
      <c r="C16" s="65" t="s">
        <v>28</v>
      </c>
      <c r="D16" s="65"/>
      <c r="E16" s="65" t="s">
        <v>29</v>
      </c>
      <c r="F16" s="65"/>
      <c r="G16" s="168" t="s">
        <v>30</v>
      </c>
      <c r="H16" s="168"/>
    </row>
    <row r="17" spans="1:8">
      <c r="A17" s="66" t="s">
        <v>31</v>
      </c>
      <c r="B17" s="66"/>
      <c r="C17" s="65" t="s">
        <v>32</v>
      </c>
      <c r="D17" s="65"/>
      <c r="E17" s="65" t="s">
        <v>33</v>
      </c>
      <c r="F17" s="65"/>
      <c r="G17" s="65">
        <v>400084</v>
      </c>
      <c r="H17" s="65"/>
    </row>
    <row r="18" spans="1:8" ht="32.25" customHeight="1">
      <c r="A18" s="66" t="s">
        <v>34</v>
      </c>
      <c r="B18" s="66"/>
      <c r="C18" s="120" t="s">
        <v>35</v>
      </c>
      <c r="D18" s="120"/>
      <c r="E18" s="65" t="s">
        <v>36</v>
      </c>
      <c r="F18" s="65"/>
      <c r="G18" s="65" t="s">
        <v>37</v>
      </c>
      <c r="H18" s="65"/>
    </row>
    <row r="19" spans="1:8" ht="15" customHeight="1">
      <c r="A19" s="65" t="s">
        <v>38</v>
      </c>
      <c r="B19" s="65"/>
      <c r="C19" s="65"/>
      <c r="D19" s="65"/>
      <c r="E19" s="66" t="s">
        <v>39</v>
      </c>
      <c r="F19" s="66"/>
      <c r="G19" s="66"/>
      <c r="H19" s="66"/>
    </row>
    <row r="20" spans="1:8" ht="18.75" customHeight="1">
      <c r="A20" s="65"/>
      <c r="B20" s="65"/>
      <c r="C20" s="65"/>
      <c r="D20" s="65"/>
      <c r="E20" s="66"/>
      <c r="F20" s="66"/>
      <c r="G20" s="66"/>
      <c r="H20" s="66"/>
    </row>
    <row r="21" spans="1:8" ht="15" customHeight="1">
      <c r="A21" s="65" t="s">
        <v>40</v>
      </c>
      <c r="B21" s="65"/>
      <c r="C21" s="65"/>
      <c r="D21" s="65"/>
      <c r="E21" s="65" t="s">
        <v>41</v>
      </c>
      <c r="F21" s="65"/>
      <c r="G21" s="65"/>
      <c r="H21" s="65"/>
    </row>
    <row r="22" spans="1:8" ht="15" customHeight="1">
      <c r="A22" s="66" t="s">
        <v>42</v>
      </c>
      <c r="B22" s="66"/>
      <c r="C22" s="66"/>
      <c r="D22" s="66"/>
      <c r="E22" s="65" t="s">
        <v>43</v>
      </c>
      <c r="F22" s="65"/>
      <c r="G22" s="65"/>
      <c r="H22" s="65"/>
    </row>
    <row r="23" spans="1:8">
      <c r="A23" s="66" t="s">
        <v>44</v>
      </c>
      <c r="B23" s="66"/>
      <c r="C23" s="66"/>
      <c r="D23" s="66"/>
      <c r="E23" s="65" t="s">
        <v>45</v>
      </c>
      <c r="F23" s="65"/>
      <c r="G23" s="65"/>
      <c r="H23" s="65"/>
    </row>
    <row r="24" spans="1:8">
      <c r="A24" s="66" t="s">
        <v>46</v>
      </c>
      <c r="B24" s="66"/>
      <c r="C24" s="66"/>
      <c r="D24" s="66"/>
      <c r="E24" s="65" t="s">
        <v>47</v>
      </c>
      <c r="F24" s="65"/>
      <c r="G24" s="65"/>
      <c r="H24" s="65"/>
    </row>
    <row r="25" spans="1:8">
      <c r="A25" s="66" t="s">
        <v>48</v>
      </c>
      <c r="B25" s="66"/>
      <c r="C25" s="66"/>
      <c r="D25" s="66"/>
      <c r="E25" s="65" t="s">
        <v>49</v>
      </c>
      <c r="F25" s="65"/>
      <c r="G25" s="65"/>
      <c r="H25" s="65"/>
    </row>
    <row r="26" spans="1:8">
      <c r="A26" s="66" t="s">
        <v>50</v>
      </c>
      <c r="B26" s="66"/>
      <c r="C26" s="66"/>
      <c r="D26" s="66"/>
      <c r="E26" s="65" t="s">
        <v>51</v>
      </c>
      <c r="F26" s="65"/>
      <c r="G26" s="65"/>
      <c r="H26" s="65"/>
    </row>
    <row r="27" spans="1:8" ht="15" customHeight="1">
      <c r="A27" s="65" t="s">
        <v>52</v>
      </c>
      <c r="B27" s="65"/>
      <c r="C27" s="65"/>
      <c r="D27" s="65"/>
      <c r="E27" s="165" t="s">
        <v>53</v>
      </c>
      <c r="F27" s="165"/>
      <c r="G27" s="165"/>
      <c r="H27" s="165"/>
    </row>
    <row r="28" spans="1:8">
      <c r="A28" s="65" t="s">
        <v>54</v>
      </c>
      <c r="B28" s="65"/>
      <c r="C28" s="65"/>
      <c r="D28" s="65"/>
      <c r="E28" s="65" t="s">
        <v>55</v>
      </c>
      <c r="F28" s="65"/>
      <c r="G28" s="65"/>
      <c r="H28" s="65"/>
    </row>
    <row r="29" spans="1:8" s="18" customFormat="1">
      <c r="A29" s="166" t="s">
        <v>56</v>
      </c>
      <c r="B29" s="166"/>
      <c r="C29" s="167" t="s">
        <v>57</v>
      </c>
      <c r="D29" s="167"/>
      <c r="E29" s="167"/>
      <c r="F29" s="167" t="s">
        <v>58</v>
      </c>
      <c r="G29" s="167"/>
      <c r="H29" s="167"/>
    </row>
    <row r="30" spans="1:8" s="18" customFormat="1">
      <c r="A30" s="159" t="s">
        <v>59</v>
      </c>
      <c r="B30" s="159" t="s">
        <v>60</v>
      </c>
      <c r="C30" s="131" t="s">
        <v>61</v>
      </c>
      <c r="D30" s="131"/>
      <c r="E30" s="131"/>
      <c r="F30" s="131" t="s">
        <v>62</v>
      </c>
      <c r="G30" s="131"/>
      <c r="H30" s="131"/>
    </row>
    <row r="31" spans="1:8">
      <c r="A31" s="159" t="s">
        <v>63</v>
      </c>
      <c r="B31" s="159" t="s">
        <v>60</v>
      </c>
      <c r="C31" s="131" t="s">
        <v>61</v>
      </c>
      <c r="D31" s="131"/>
      <c r="E31" s="131"/>
      <c r="F31" s="131" t="s">
        <v>35</v>
      </c>
      <c r="G31" s="131"/>
      <c r="H31" s="131"/>
    </row>
    <row r="32" spans="1:8" s="18" customFormat="1">
      <c r="A32" s="159" t="s">
        <v>64</v>
      </c>
      <c r="B32" s="159" t="s">
        <v>60</v>
      </c>
      <c r="C32" s="131" t="s">
        <v>65</v>
      </c>
      <c r="D32" s="131"/>
      <c r="E32" s="131"/>
      <c r="F32" s="131" t="s">
        <v>24</v>
      </c>
      <c r="G32" s="131"/>
      <c r="H32" s="131"/>
    </row>
    <row r="33" spans="1:8">
      <c r="A33" s="159" t="s">
        <v>66</v>
      </c>
      <c r="B33" s="159" t="s">
        <v>60</v>
      </c>
      <c r="C33" s="131" t="s">
        <v>61</v>
      </c>
      <c r="D33" s="131"/>
      <c r="E33" s="131"/>
      <c r="F33" s="131" t="s">
        <v>62</v>
      </c>
      <c r="G33" s="131"/>
      <c r="H33" s="131"/>
    </row>
    <row r="34" spans="1:8">
      <c r="A34" s="78" t="s">
        <v>67</v>
      </c>
      <c r="B34" s="78"/>
      <c r="C34" s="78"/>
      <c r="D34" s="78"/>
      <c r="E34" s="78"/>
      <c r="F34" s="78"/>
      <c r="G34" s="78"/>
      <c r="H34" s="78"/>
    </row>
    <row r="35" spans="1:8" ht="15.75" customHeight="1">
      <c r="A35" s="101" t="s">
        <v>68</v>
      </c>
      <c r="B35" s="101"/>
      <c r="C35" s="160">
        <v>19.0939239</v>
      </c>
      <c r="D35" s="160"/>
      <c r="E35" s="101" t="s">
        <v>69</v>
      </c>
      <c r="F35" s="101"/>
      <c r="G35" s="161">
        <v>72.897842199999999</v>
      </c>
      <c r="H35" s="161"/>
    </row>
    <row r="36" spans="1:8" ht="15.75" customHeight="1">
      <c r="A36" s="101" t="s">
        <v>70</v>
      </c>
      <c r="B36" s="101"/>
      <c r="C36" s="162" t="s">
        <v>71</v>
      </c>
      <c r="D36" s="163"/>
      <c r="E36" s="163"/>
      <c r="F36" s="163"/>
      <c r="G36" s="163"/>
      <c r="H36" s="164"/>
    </row>
    <row r="37" spans="1:8">
      <c r="A37" s="121" t="s">
        <v>72</v>
      </c>
      <c r="B37" s="121"/>
      <c r="C37" s="121"/>
      <c r="D37" s="121"/>
      <c r="E37" s="121"/>
      <c r="F37" s="121"/>
      <c r="G37" s="121"/>
      <c r="H37" s="121"/>
    </row>
    <row r="38" spans="1:8">
      <c r="A38" s="78" t="s">
        <v>73</v>
      </c>
      <c r="B38" s="78"/>
      <c r="C38" s="78"/>
      <c r="D38" s="78"/>
      <c r="E38" s="156">
        <v>1272.21</v>
      </c>
      <c r="F38" s="156"/>
      <c r="G38" s="156"/>
      <c r="H38" s="156"/>
    </row>
    <row r="39" spans="1:8">
      <c r="A39" s="78" t="s">
        <v>74</v>
      </c>
      <c r="B39" s="78"/>
      <c r="C39" s="78"/>
      <c r="D39" s="78"/>
      <c r="E39" s="157">
        <v>1.1000000000000001</v>
      </c>
      <c r="F39" s="157"/>
      <c r="G39" s="157"/>
      <c r="H39" s="157"/>
    </row>
    <row r="40" spans="1:8">
      <c r="A40" s="78" t="s">
        <v>75</v>
      </c>
      <c r="B40" s="78"/>
      <c r="C40" s="78"/>
      <c r="D40" s="78"/>
      <c r="E40" s="157">
        <f>E42/E38-E39</f>
        <v>1.0101469097083</v>
      </c>
      <c r="F40" s="157"/>
      <c r="G40" s="157"/>
      <c r="H40" s="157"/>
    </row>
    <row r="41" spans="1:8">
      <c r="A41" s="66" t="s">
        <v>76</v>
      </c>
      <c r="B41" s="66"/>
      <c r="C41" s="66"/>
      <c r="D41" s="66"/>
      <c r="E41" s="158">
        <f>E39+E40</f>
        <v>2.1101469097083001</v>
      </c>
      <c r="F41" s="158"/>
      <c r="G41" s="158"/>
      <c r="H41" s="158"/>
    </row>
    <row r="42" spans="1:8">
      <c r="A42" s="66" t="s">
        <v>77</v>
      </c>
      <c r="B42" s="66"/>
      <c r="C42" s="66"/>
      <c r="D42" s="66"/>
      <c r="E42" s="154">
        <v>2684.55</v>
      </c>
      <c r="F42" s="154"/>
      <c r="G42" s="154"/>
      <c r="H42" s="154"/>
    </row>
    <row r="43" spans="1:8">
      <c r="A43" s="66" t="s">
        <v>78</v>
      </c>
      <c r="B43" s="66"/>
      <c r="C43" s="66"/>
      <c r="D43" s="66"/>
      <c r="E43" s="66" t="s">
        <v>79</v>
      </c>
      <c r="F43" s="66"/>
      <c r="G43" s="66"/>
      <c r="H43" s="66"/>
    </row>
    <row r="44" spans="1:8">
      <c r="A44" s="127" t="s">
        <v>80</v>
      </c>
      <c r="B44" s="127"/>
      <c r="C44" s="127"/>
      <c r="D44" s="127"/>
      <c r="E44" s="127"/>
      <c r="F44" s="127"/>
      <c r="G44" s="127"/>
      <c r="H44" s="127"/>
    </row>
    <row r="45" spans="1:8">
      <c r="A45" s="65" t="s">
        <v>81</v>
      </c>
      <c r="B45" s="65"/>
      <c r="C45" s="120" t="s">
        <v>82</v>
      </c>
      <c r="D45" s="120"/>
      <c r="E45" s="120"/>
      <c r="F45" s="28" t="s">
        <v>83</v>
      </c>
      <c r="G45" s="155" t="s">
        <v>84</v>
      </c>
      <c r="H45" s="65"/>
    </row>
    <row r="46" spans="1:8">
      <c r="A46" s="65" t="s">
        <v>85</v>
      </c>
      <c r="B46" s="65"/>
      <c r="C46" s="120" t="str">
        <f>C45</f>
        <v>SRA/ENG/3133/L/PL-STGL/AP</v>
      </c>
      <c r="D46" s="120"/>
      <c r="E46" s="120"/>
      <c r="F46" s="28" t="s">
        <v>83</v>
      </c>
      <c r="G46" s="155" t="s">
        <v>84</v>
      </c>
      <c r="H46" s="65"/>
    </row>
    <row r="47" spans="1:8" s="19" customFormat="1" ht="15.6" customHeight="1">
      <c r="A47" s="81" t="s">
        <v>86</v>
      </c>
      <c r="B47" s="82"/>
      <c r="C47" s="120" t="s">
        <v>87</v>
      </c>
      <c r="D47" s="119"/>
      <c r="E47" s="119"/>
      <c r="F47" s="29" t="s">
        <v>83</v>
      </c>
      <c r="G47" s="145" t="s">
        <v>88</v>
      </c>
      <c r="H47" s="119"/>
    </row>
    <row r="48" spans="1:8" s="19" customFormat="1" ht="63.6" customHeight="1">
      <c r="A48" s="83"/>
      <c r="B48" s="84"/>
      <c r="C48" s="146" t="s">
        <v>89</v>
      </c>
      <c r="D48" s="147"/>
      <c r="E48" s="147"/>
      <c r="F48" s="147"/>
      <c r="G48" s="147"/>
      <c r="H48" s="148"/>
    </row>
    <row r="49" spans="1:11" s="19" customFormat="1">
      <c r="A49" s="83"/>
      <c r="B49" s="84"/>
      <c r="C49" s="120" t="s">
        <v>87</v>
      </c>
      <c r="D49" s="119"/>
      <c r="E49" s="119"/>
      <c r="F49" s="29" t="s">
        <v>83</v>
      </c>
      <c r="G49" s="149" t="s">
        <v>90</v>
      </c>
      <c r="H49" s="119"/>
    </row>
    <row r="50" spans="1:11" s="19" customFormat="1" ht="48" customHeight="1">
      <c r="A50" s="85"/>
      <c r="B50" s="86"/>
      <c r="C50" s="146" t="s">
        <v>91</v>
      </c>
      <c r="D50" s="147"/>
      <c r="E50" s="147"/>
      <c r="F50" s="147"/>
      <c r="G50" s="147"/>
      <c r="H50" s="148"/>
    </row>
    <row r="51" spans="1:11">
      <c r="A51" s="128" t="s">
        <v>92</v>
      </c>
      <c r="B51" s="128"/>
      <c r="C51" s="150" t="s">
        <v>93</v>
      </c>
      <c r="D51" s="151"/>
      <c r="E51" s="151" t="s">
        <v>94</v>
      </c>
      <c r="F51" s="30" t="s">
        <v>83</v>
      </c>
      <c r="G51" s="152" t="s">
        <v>60</v>
      </c>
      <c r="H51" s="153"/>
    </row>
    <row r="52" spans="1:11">
      <c r="A52" s="144" t="s">
        <v>95</v>
      </c>
      <c r="B52" s="144"/>
      <c r="C52" s="144"/>
      <c r="D52" s="144"/>
      <c r="E52" s="144"/>
      <c r="F52" s="144"/>
      <c r="G52" s="144"/>
      <c r="H52" s="144"/>
    </row>
    <row r="53" spans="1:11">
      <c r="A53" s="65" t="s">
        <v>96</v>
      </c>
      <c r="B53" s="65"/>
      <c r="C53" s="65"/>
      <c r="D53" s="66">
        <f>E42</f>
        <v>2684.55</v>
      </c>
      <c r="E53" s="66"/>
      <c r="F53" s="66"/>
      <c r="G53" s="66"/>
      <c r="H53" s="66"/>
    </row>
    <row r="54" spans="1:11" ht="33.75" customHeight="1">
      <c r="A54" s="65" t="s">
        <v>97</v>
      </c>
      <c r="B54" s="66"/>
      <c r="C54" s="66"/>
      <c r="D54" s="65" t="s">
        <v>98</v>
      </c>
      <c r="E54" s="66"/>
      <c r="F54" s="66"/>
      <c r="G54" s="66"/>
      <c r="H54" s="66"/>
    </row>
    <row r="55" spans="1:11">
      <c r="A55" s="65" t="s">
        <v>99</v>
      </c>
      <c r="B55" s="66"/>
      <c r="C55" s="66"/>
      <c r="D55" s="66" t="s">
        <v>100</v>
      </c>
      <c r="E55" s="66"/>
      <c r="F55" s="66"/>
      <c r="G55" s="66"/>
      <c r="H55" s="66"/>
    </row>
    <row r="56" spans="1:11">
      <c r="A56" s="65" t="s">
        <v>101</v>
      </c>
      <c r="B56" s="66"/>
      <c r="C56" s="66"/>
      <c r="D56" s="66" t="s">
        <v>100</v>
      </c>
      <c r="E56" s="66"/>
      <c r="F56" s="66"/>
      <c r="G56" s="66"/>
      <c r="H56" s="66"/>
    </row>
    <row r="57" spans="1:11" ht="15.75" customHeight="1">
      <c r="A57" s="66" t="s">
        <v>102</v>
      </c>
      <c r="B57" s="66"/>
      <c r="C57" s="66"/>
      <c r="D57" s="65" t="s">
        <v>103</v>
      </c>
      <c r="E57" s="65"/>
      <c r="F57" s="65"/>
      <c r="G57" s="65"/>
      <c r="H57" s="65"/>
    </row>
    <row r="58" spans="1:11" ht="15.75" customHeight="1">
      <c r="A58" s="66" t="s">
        <v>104</v>
      </c>
      <c r="B58" s="66"/>
      <c r="C58" s="66"/>
      <c r="D58" s="65" t="s">
        <v>105</v>
      </c>
      <c r="E58" s="65"/>
      <c r="F58" s="65"/>
      <c r="G58" s="65"/>
      <c r="H58" s="65"/>
    </row>
    <row r="59" spans="1:11" ht="15.75" customHeight="1">
      <c r="A59" s="66" t="s">
        <v>106</v>
      </c>
      <c r="B59" s="66"/>
      <c r="C59" s="66"/>
      <c r="D59" s="65" t="s">
        <v>49</v>
      </c>
      <c r="E59" s="65"/>
      <c r="F59" s="65"/>
      <c r="G59" s="65"/>
      <c r="H59" s="65"/>
      <c r="J59" s="34"/>
      <c r="K59" s="34"/>
    </row>
    <row r="60" spans="1:11" ht="15.75" customHeight="1">
      <c r="A60" s="137" t="s">
        <v>107</v>
      </c>
      <c r="B60" s="137"/>
      <c r="C60" s="137"/>
      <c r="D60" s="138" t="s">
        <v>108</v>
      </c>
      <c r="E60" s="138"/>
      <c r="F60" s="138"/>
      <c r="G60" s="138"/>
      <c r="H60" s="138"/>
      <c r="J60" s="34"/>
      <c r="K60" s="34"/>
    </row>
    <row r="61" spans="1:11" ht="15.75" customHeight="1">
      <c r="A61" s="139" t="s">
        <v>109</v>
      </c>
      <c r="B61" s="140"/>
      <c r="C61" s="141" t="s">
        <v>110</v>
      </c>
      <c r="D61" s="142"/>
      <c r="E61" s="142"/>
      <c r="F61" s="142"/>
      <c r="G61" s="142"/>
      <c r="H61" s="143"/>
      <c r="I61" s="35" t="str">
        <f ca="1">(IF(E65&gt;99%,"All work completed. Please provide OC.",IF(E65&gt;89.8%,"Plinth, RCC, Brick, Plaster, Flooring, Painting work Completed. Finishing work is in process.",IF(E65&lt;94%,(IF(C65=0,"Work not yet Started.",IF(D65=25%,"Piling work in process",IF(D65=50%,"Excavation work in process",IF(D65=100%,"Excavation work Completed. ","0")))&amp;(IF(C66=0%,"",IF(C66=J67,"Footing work is process",IF(C66=J68,"Footing work Completed",IF(C66=J69,"1st Basement Completed",IF(C66=J70,"1st &amp; 2nd Basement Completed",IF(C66=J71,"1st to 3rd Basement Completed",IF(C66=J72,"1st to 4th Basement Completed",IF(C66=J73,"Plinth work is process",IF(C66=J74,"Plinth work completed","0")))))))))))&amp;(IF(C67=(D62+F62+H62),", RCC Slab",IF(C67&gt;0,", RCC upto "&amp;C67&amp;" Slab",""))&amp;(IF(C68=H62,", Brickwork",IF(C68&gt;0,", Brickwork upto "&amp;C68&amp;" Floor",""))&amp;(IF(C69=H62,", Internal Plaster",IF(C69&gt;0,", Internal Plaster upto "&amp;C69&amp;" Floor",""))&amp;(IF(C70=H62,", External Plaster",IF(C70&gt;0,", External Plaster upto "&amp;C70&amp;" Floor",""))&amp;(IF(C71=H62,", Flooring",IF(C71&gt;0,", Flooring upto "&amp;C71&amp;" Floor",""))&amp;(IF(C72=H62,", Painting",IF(C72&gt;0,", Painting upto "&amp;C72&amp;" Floor",""))&amp;(IF(C73&gt;0,", Finishing upto "&amp;C73&amp;" Floor","")&amp;(IF(C67&gt;0.5," Completed",""))))))))))))))</f>
        <v>Plinth, RCC, Brick, Plaster, Flooring, Painting work Completed. Finishing work is in process.</v>
      </c>
      <c r="J61" s="36"/>
      <c r="K61" s="36"/>
    </row>
    <row r="62" spans="1:11">
      <c r="A62" s="31" t="s">
        <v>111</v>
      </c>
      <c r="B62" s="27">
        <v>0</v>
      </c>
      <c r="C62" s="27" t="s">
        <v>112</v>
      </c>
      <c r="D62" s="27">
        <v>1</v>
      </c>
      <c r="E62" s="27" t="s">
        <v>113</v>
      </c>
      <c r="F62" s="27">
        <v>0</v>
      </c>
      <c r="G62" s="27" t="s">
        <v>114</v>
      </c>
      <c r="H62" s="32">
        <f ca="1">--TRIM(RIGHT(SUBSTITUTE(LEFT(C61,_xlfn.AGGREGATE(16,6,FIND({0,1,2,3,4,5,6,7,8,9},C61,ROW(INDIRECT("1:"&amp;LEN(C61)))),1))," ",REPT(" ",LEN(C61))),LEN(C61)))</f>
        <v>8</v>
      </c>
      <c r="I62" s="34"/>
      <c r="J62" s="37"/>
      <c r="K62" s="37"/>
    </row>
    <row r="63" spans="1:11" ht="34.5" customHeight="1">
      <c r="A63" s="135" t="s">
        <v>115</v>
      </c>
      <c r="B63" s="127"/>
      <c r="C63" s="128" t="str">
        <f ca="1">I61</f>
        <v>Plinth, RCC, Brick, Plaster, Flooring, Painting work Completed. Finishing work is in process.</v>
      </c>
      <c r="D63" s="128"/>
      <c r="E63" s="128"/>
      <c r="F63" s="128"/>
      <c r="G63" s="128"/>
      <c r="H63" s="136"/>
      <c r="I63" s="34" t="s">
        <v>116</v>
      </c>
      <c r="J63" s="37"/>
      <c r="K63" s="37"/>
    </row>
    <row r="64" spans="1:11" ht="31.5">
      <c r="A64" s="122" t="s">
        <v>117</v>
      </c>
      <c r="B64" s="123"/>
      <c r="C64" s="33" t="s">
        <v>118</v>
      </c>
      <c r="D64" s="33" t="s">
        <v>119</v>
      </c>
      <c r="E64" s="123" t="s">
        <v>120</v>
      </c>
      <c r="F64" s="123"/>
      <c r="G64" s="123" t="s">
        <v>121</v>
      </c>
      <c r="H64" s="129"/>
      <c r="I64" s="38" t="s">
        <v>122</v>
      </c>
      <c r="J64" s="39">
        <f ca="1">H62*25%</f>
        <v>2</v>
      </c>
      <c r="K64" s="39"/>
    </row>
    <row r="65" spans="1:11">
      <c r="A65" s="122" t="s">
        <v>123</v>
      </c>
      <c r="B65" s="123"/>
      <c r="C65" s="40">
        <v>8</v>
      </c>
      <c r="D65" s="41">
        <f ca="1">((100/H62)*C65)/100</f>
        <v>1</v>
      </c>
      <c r="E65" s="74">
        <f ca="1">(((C66/H62*10)+(40/(D62+F62+H62)*C67)+(7.5/(H62)*C68)+(7.5/(H62)*C69)+(10/H62*C70)+(10/H62*C71)+(5/H62*C72)+(5/H62*C73)+(5/H62*C74))/100)</f>
        <v>0.94374999999999998</v>
      </c>
      <c r="F65" s="74"/>
      <c r="G65" s="74">
        <f ca="1">((((C65/H62)*20)+((C66/H62)*25)+(30/(H62+F62+D62)*C67)+(5/H62*C68)+(5/H62*C69)+(5/H62*C70)+(5/H62*C71)+(0/H62*C72)+(0/H62*C73)+(5/H62*C74))/100)</f>
        <v>0.95</v>
      </c>
      <c r="H65" s="76"/>
      <c r="I65" s="38" t="s">
        <v>124</v>
      </c>
      <c r="J65" s="53">
        <f ca="1">H62*50%</f>
        <v>4</v>
      </c>
      <c r="K65" s="39"/>
    </row>
    <row r="66" spans="1:11">
      <c r="A66" s="122" t="s">
        <v>125</v>
      </c>
      <c r="B66" s="123"/>
      <c r="C66" s="42">
        <f ca="1">J74</f>
        <v>8</v>
      </c>
      <c r="D66" s="41">
        <f ca="1">((100/H62)*C66)/100</f>
        <v>1</v>
      </c>
      <c r="E66" s="74"/>
      <c r="F66" s="74"/>
      <c r="G66" s="74"/>
      <c r="H66" s="76"/>
      <c r="I66" s="38" t="s">
        <v>126</v>
      </c>
      <c r="J66" s="53">
        <f ca="1">H62</f>
        <v>8</v>
      </c>
      <c r="K66" s="54"/>
    </row>
    <row r="67" spans="1:11">
      <c r="A67" s="130" t="s">
        <v>127</v>
      </c>
      <c r="B67" s="131"/>
      <c r="C67" s="42">
        <v>9</v>
      </c>
      <c r="D67" s="41">
        <f ca="1">((100/(D62+F62+H62))*C67)/100</f>
        <v>1</v>
      </c>
      <c r="E67" s="74"/>
      <c r="F67" s="74"/>
      <c r="G67" s="74"/>
      <c r="H67" s="76"/>
      <c r="I67" s="38" t="s">
        <v>128</v>
      </c>
      <c r="J67" s="55">
        <f ca="1">(IF(B62&gt;1,(H62/(B62+2)),H62/4))</f>
        <v>2</v>
      </c>
      <c r="K67" s="54"/>
    </row>
    <row r="68" spans="1:11">
      <c r="A68" s="122" t="s">
        <v>129</v>
      </c>
      <c r="B68" s="123" t="s">
        <v>130</v>
      </c>
      <c r="C68" s="40">
        <v>8</v>
      </c>
      <c r="D68" s="41">
        <f ca="1">((100/H62)*C68)/100</f>
        <v>1</v>
      </c>
      <c r="E68" s="74"/>
      <c r="F68" s="74"/>
      <c r="G68" s="74"/>
      <c r="H68" s="76"/>
      <c r="I68" s="38" t="s">
        <v>131</v>
      </c>
      <c r="J68" s="55">
        <f ca="1">(IF(B62&gt;1,(H62/(B62+2)+J67),H62/4+J67))</f>
        <v>4</v>
      </c>
      <c r="K68" s="54"/>
    </row>
    <row r="69" spans="1:11" ht="15" customHeight="1">
      <c r="A69" s="122" t="s">
        <v>132</v>
      </c>
      <c r="B69" s="123" t="s">
        <v>130</v>
      </c>
      <c r="C69" s="40">
        <v>8</v>
      </c>
      <c r="D69" s="41">
        <f ca="1">((100/H62)*C69)/100</f>
        <v>1</v>
      </c>
      <c r="E69" s="74"/>
      <c r="F69" s="74"/>
      <c r="G69" s="74"/>
      <c r="H69" s="76"/>
      <c r="I69" s="38" t="s">
        <v>133</v>
      </c>
      <c r="J69" s="55">
        <f>(IF(B62&gt;1,(H62/(B62+2)+J68),0))</f>
        <v>0</v>
      </c>
      <c r="K69" s="54"/>
    </row>
    <row r="70" spans="1:11">
      <c r="A70" s="130" t="s">
        <v>134</v>
      </c>
      <c r="B70" s="131" t="s">
        <v>135</v>
      </c>
      <c r="C70" s="40">
        <v>8</v>
      </c>
      <c r="D70" s="41">
        <f ca="1">((100/(H62))*C70)/100</f>
        <v>1</v>
      </c>
      <c r="E70" s="74"/>
      <c r="F70" s="74"/>
      <c r="G70" s="74"/>
      <c r="H70" s="76"/>
      <c r="I70" s="38" t="s">
        <v>136</v>
      </c>
      <c r="J70" s="55">
        <f>(IF(B62&gt;2,(H62/(B62+2)+J69),0))</f>
        <v>0</v>
      </c>
      <c r="K70" s="56"/>
    </row>
    <row r="71" spans="1:11">
      <c r="A71" s="122" t="s">
        <v>137</v>
      </c>
      <c r="B71" s="123" t="s">
        <v>137</v>
      </c>
      <c r="C71" s="40">
        <v>8</v>
      </c>
      <c r="D71" s="41">
        <f ca="1">((100/H62)*C71)/100</f>
        <v>1</v>
      </c>
      <c r="E71" s="74"/>
      <c r="F71" s="74"/>
      <c r="G71" s="74"/>
      <c r="H71" s="76"/>
      <c r="I71" s="38" t="s">
        <v>138</v>
      </c>
      <c r="J71" s="57">
        <f>(IF(B62&gt;3,(H62/(B62+2)+J70),0))</f>
        <v>0</v>
      </c>
      <c r="K71" s="54"/>
    </row>
    <row r="72" spans="1:11">
      <c r="A72" s="122" t="s">
        <v>139</v>
      </c>
      <c r="B72" s="123"/>
      <c r="C72" s="40">
        <v>8</v>
      </c>
      <c r="D72" s="41">
        <f ca="1">((100/H62)*C72)/100</f>
        <v>1</v>
      </c>
      <c r="E72" s="74"/>
      <c r="F72" s="74"/>
      <c r="G72" s="74"/>
      <c r="H72" s="76"/>
      <c r="I72" s="38" t="s">
        <v>140</v>
      </c>
      <c r="J72" s="55">
        <f>(IF(B62&gt;4,(H62/(B62+2)+J71),0))</f>
        <v>0</v>
      </c>
      <c r="K72" s="54"/>
    </row>
    <row r="73" spans="1:11" ht="15" customHeight="1">
      <c r="A73" s="122" t="s">
        <v>141</v>
      </c>
      <c r="B73" s="123" t="s">
        <v>141</v>
      </c>
      <c r="C73" s="40">
        <v>7</v>
      </c>
      <c r="D73" s="41">
        <f ca="1">((100/(H62))*C73)/100</f>
        <v>0.875</v>
      </c>
      <c r="E73" s="74"/>
      <c r="F73" s="74"/>
      <c r="G73" s="74"/>
      <c r="H73" s="76"/>
      <c r="I73" s="38" t="s">
        <v>142</v>
      </c>
      <c r="J73" s="55">
        <f ca="1">(IF(B62=1,(H62/(B62+3)+J68),IF(B62=0,(H62/4+J68),IF(B62&gt;1,0))))</f>
        <v>6</v>
      </c>
      <c r="K73" s="54"/>
    </row>
    <row r="74" spans="1:11">
      <c r="A74" s="124" t="s">
        <v>143</v>
      </c>
      <c r="B74" s="125"/>
      <c r="C74" s="43">
        <v>0</v>
      </c>
      <c r="D74" s="44">
        <f ca="1">((100/(H62))*C74)/100</f>
        <v>0</v>
      </c>
      <c r="E74" s="75"/>
      <c r="F74" s="75"/>
      <c r="G74" s="75"/>
      <c r="H74" s="77"/>
      <c r="I74" s="58" t="s">
        <v>144</v>
      </c>
      <c r="J74" s="59">
        <f ca="1">(IF(B62&gt;1.5,(H62/(B62+2)+J68+MAX(0,J69-J68)+MAX(0,J70-J69)+MAX(0,J71-J70)+MAX(0,J72-J71)+MAX(0,J73-J72)),IF(B62=1,(H62/(B62+3)+J73),IF(B62=0,H62/4+J73))))</f>
        <v>8</v>
      </c>
      <c r="K74" s="56"/>
    </row>
    <row r="75" spans="1:11" ht="15.75" hidden="1" customHeight="1">
      <c r="A75" s="132" t="s">
        <v>109</v>
      </c>
      <c r="B75" s="133"/>
      <c r="C75" s="133" t="s">
        <v>145</v>
      </c>
      <c r="D75" s="133"/>
      <c r="E75" s="133"/>
      <c r="F75" s="133"/>
      <c r="G75" s="133"/>
      <c r="H75" s="134"/>
      <c r="I75" s="35" t="str">
        <f ca="1">(IF(E79&gt;99%,"All work completed. Please provide OC.",IF(E79&gt;89.8%,"Plinth, RCC, Brick, Plaster, Flooring, Painting work Completed. Finishing work is in process.",IF(E79&lt;94%,(IF(C79=0,"Work not yet Started.",IF(D79=25%,"Piling work in process",IF(D79=50%,"Excavation work in process",IF(D79=100%,"Excavation work Completed. ","0")))&amp;(IF(C80=0%,"",IF(C80=J81,"Footing work is process",IF(C80=J82,"Footing work Completed",IF(C80=J83,"1st Basement Completed",IF(C80=J84,"1st &amp; 2nd Basement Completed",IF(C80=J85,"1st to 3rd Basement Completed",IF(C80=J86,"1st to 4th Basement Completed",IF(C80=J87,"Plinth work is process",IF(C80=J88,"Plinth work completed","0")))))))))))&amp;(IF(C81=(D76+F76+H76),", RCC Slab",IF(C81&gt;0,", RCC upto "&amp;C81&amp;" Slab",""))&amp;(IF(C82=H76,", Brickwork",IF(C82&gt;0,", Brickwork upto "&amp;C82&amp;" Floor",""))&amp;(IF(C83=H76,", Internal Plaster",IF(C83&gt;0,", Internal Plaster upto "&amp;C83&amp;" Floor",""))&amp;(IF(C84=H76,", External Plaster",IF(C84&gt;0,", External Plaster upto "&amp;C84&amp;" Floor",""))&amp;(IF(C85=H76,", Flooring",IF(C85&gt;0,", Flooring upto "&amp;C85&amp;" Floor",""))&amp;(IF(C86=H76,", Painting",IF(C86&gt;0,", Painting upto "&amp;C86&amp;" Floor",""))&amp;(IF(C87&gt;0,", Finishing upto "&amp;C87&amp;" Floor","")&amp;(IF(C81&gt;0.5," Completed",""))))))))))))))</f>
        <v>Excavation work Completed. Plinth work completed, RCC upto 8 Slab, Brickwork upto 5 Floor Completed</v>
      </c>
      <c r="J75" s="36"/>
      <c r="K75" s="36"/>
    </row>
    <row r="76" spans="1:11" hidden="1">
      <c r="A76" s="31" t="s">
        <v>111</v>
      </c>
      <c r="B76" s="27">
        <v>0</v>
      </c>
      <c r="C76" s="27" t="s">
        <v>112</v>
      </c>
      <c r="D76" s="27">
        <v>1</v>
      </c>
      <c r="E76" s="27" t="s">
        <v>113</v>
      </c>
      <c r="F76" s="27">
        <v>0</v>
      </c>
      <c r="G76" s="27" t="s">
        <v>114</v>
      </c>
      <c r="H76" s="32">
        <f ca="1">--TRIM(RIGHT(SUBSTITUTE(LEFT(C75,_xlfn.AGGREGATE(16,6,FIND({0,1,2,3,4,5,6,7,8,9},C75,ROW(INDIRECT("1:"&amp;LEN(C75)))),1))," ",REPT(" ",LEN(C75))),LEN(C75)))</f>
        <v>8</v>
      </c>
      <c r="I76" s="34"/>
      <c r="J76" s="37"/>
      <c r="K76" s="37"/>
    </row>
    <row r="77" spans="1:11" ht="35.25" hidden="1" customHeight="1">
      <c r="A77" s="135" t="s">
        <v>115</v>
      </c>
      <c r="B77" s="127"/>
      <c r="C77" s="128" t="str">
        <f ca="1">I75</f>
        <v>Excavation work Completed. Plinth work completed, RCC upto 8 Slab, Brickwork upto 5 Floor Completed</v>
      </c>
      <c r="D77" s="128"/>
      <c r="E77" s="128"/>
      <c r="F77" s="128"/>
      <c r="G77" s="128"/>
      <c r="H77" s="136"/>
      <c r="I77" s="34" t="s">
        <v>116</v>
      </c>
      <c r="J77" s="37"/>
      <c r="K77" s="37"/>
    </row>
    <row r="78" spans="1:11" ht="31.5" hidden="1">
      <c r="A78" s="122" t="s">
        <v>117</v>
      </c>
      <c r="B78" s="123"/>
      <c r="C78" s="33" t="s">
        <v>118</v>
      </c>
      <c r="D78" s="33" t="s">
        <v>119</v>
      </c>
      <c r="E78" s="123" t="s">
        <v>120</v>
      </c>
      <c r="F78" s="123"/>
      <c r="G78" s="123" t="s">
        <v>121</v>
      </c>
      <c r="H78" s="129"/>
      <c r="I78" s="38" t="s">
        <v>122</v>
      </c>
      <c r="J78" s="39">
        <f ca="1">H76*25%</f>
        <v>2</v>
      </c>
      <c r="K78" s="39"/>
    </row>
    <row r="79" spans="1:11" hidden="1">
      <c r="A79" s="122" t="s">
        <v>123</v>
      </c>
      <c r="B79" s="123"/>
      <c r="C79" s="40">
        <f ca="1">J80</f>
        <v>8</v>
      </c>
      <c r="D79" s="41">
        <f ca="1">((100/H76)*C79)/100</f>
        <v>1</v>
      </c>
      <c r="E79" s="74">
        <f ca="1">(((C80/H76*10)+(40/(D76+F76+H76)*C81)+(7.5/(H76)*C82)+(7.5/(H76)*C83)+(10/H76*C84)+(10/H76*C85)+(5/H76*C86)+(5/H76*C87)+(5/H76*C88))/100)</f>
        <v>0.5024305555555556</v>
      </c>
      <c r="F79" s="74"/>
      <c r="G79" s="74">
        <f ca="1">((((C79/H76)*20)+((C80/H76)*25)+(30/(H76+F76+D76)*C81)+(5/H76*C82)+(5/H76*C83)+(5/H76*C84)+(5/H76*C85)+(0/H76*C86)+(0/H76*C87)+(5/H76*C88))/100)</f>
        <v>0.74791666666666667</v>
      </c>
      <c r="H79" s="76"/>
      <c r="I79" s="38" t="s">
        <v>124</v>
      </c>
      <c r="J79" s="53">
        <f ca="1">H76*50%</f>
        <v>4</v>
      </c>
      <c r="K79" s="39"/>
    </row>
    <row r="80" spans="1:11" hidden="1">
      <c r="A80" s="122" t="s">
        <v>125</v>
      </c>
      <c r="B80" s="123"/>
      <c r="C80" s="42">
        <v>8</v>
      </c>
      <c r="D80" s="41">
        <f ca="1">((100/H76)*C80)/100</f>
        <v>1</v>
      </c>
      <c r="E80" s="74"/>
      <c r="F80" s="74"/>
      <c r="G80" s="74"/>
      <c r="H80" s="76"/>
      <c r="I80" s="38" t="s">
        <v>126</v>
      </c>
      <c r="J80" s="53">
        <f ca="1">H76</f>
        <v>8</v>
      </c>
      <c r="K80" s="54"/>
    </row>
    <row r="81" spans="1:11" hidden="1">
      <c r="A81" s="130" t="s">
        <v>127</v>
      </c>
      <c r="B81" s="131"/>
      <c r="C81" s="42">
        <v>8</v>
      </c>
      <c r="D81" s="41">
        <f ca="1">((100/(D76+F76+H76))*C81)/100</f>
        <v>0.88888888888888884</v>
      </c>
      <c r="E81" s="74"/>
      <c r="F81" s="74"/>
      <c r="G81" s="74"/>
      <c r="H81" s="76"/>
      <c r="I81" s="38" t="s">
        <v>128</v>
      </c>
      <c r="J81" s="55">
        <f ca="1">(IF(B76&gt;1,(H76/(B76+2)),H76/4))</f>
        <v>2</v>
      </c>
      <c r="K81" s="54"/>
    </row>
    <row r="82" spans="1:11" hidden="1">
      <c r="A82" s="122" t="s">
        <v>129</v>
      </c>
      <c r="B82" s="123" t="s">
        <v>130</v>
      </c>
      <c r="C82" s="40">
        <v>5</v>
      </c>
      <c r="D82" s="41">
        <f ca="1">((100/H76)*C82)/100</f>
        <v>0.625</v>
      </c>
      <c r="E82" s="74"/>
      <c r="F82" s="74"/>
      <c r="G82" s="74"/>
      <c r="H82" s="76"/>
      <c r="I82" s="38" t="s">
        <v>131</v>
      </c>
      <c r="J82" s="55">
        <f ca="1">(IF(B76&gt;1,(H76/(B76+2)+J81),H76/4+J81))</f>
        <v>4</v>
      </c>
      <c r="K82" s="54"/>
    </row>
    <row r="83" spans="1:11" ht="15" hidden="1" customHeight="1">
      <c r="A83" s="122" t="s">
        <v>132</v>
      </c>
      <c r="B83" s="123" t="s">
        <v>130</v>
      </c>
      <c r="C83" s="40">
        <v>0</v>
      </c>
      <c r="D83" s="41">
        <f ca="1">((100/H76)*C83)/100</f>
        <v>0</v>
      </c>
      <c r="E83" s="74"/>
      <c r="F83" s="74"/>
      <c r="G83" s="74"/>
      <c r="H83" s="76"/>
      <c r="I83" s="38" t="s">
        <v>133</v>
      </c>
      <c r="J83" s="55">
        <f>(IF(B76&gt;1,(H76/(B76+2)+J82),0))</f>
        <v>0</v>
      </c>
      <c r="K83" s="54"/>
    </row>
    <row r="84" spans="1:11" hidden="1">
      <c r="A84" s="130" t="s">
        <v>134</v>
      </c>
      <c r="B84" s="131" t="s">
        <v>135</v>
      </c>
      <c r="C84" s="40">
        <v>0</v>
      </c>
      <c r="D84" s="41">
        <f ca="1">((100/(H76))*C84)/100</f>
        <v>0</v>
      </c>
      <c r="E84" s="74"/>
      <c r="F84" s="74"/>
      <c r="G84" s="74"/>
      <c r="H84" s="76"/>
      <c r="I84" s="38" t="s">
        <v>136</v>
      </c>
      <c r="J84" s="55">
        <f>(IF(B76&gt;2,(H76/(B76+2)+J83),0))</f>
        <v>0</v>
      </c>
      <c r="K84" s="56"/>
    </row>
    <row r="85" spans="1:11" hidden="1">
      <c r="A85" s="122" t="s">
        <v>137</v>
      </c>
      <c r="B85" s="123" t="s">
        <v>137</v>
      </c>
      <c r="C85" s="40">
        <v>0</v>
      </c>
      <c r="D85" s="41">
        <f ca="1">((100/H76)*C85)/100</f>
        <v>0</v>
      </c>
      <c r="E85" s="74"/>
      <c r="F85" s="74"/>
      <c r="G85" s="74"/>
      <c r="H85" s="76"/>
      <c r="I85" s="38" t="s">
        <v>138</v>
      </c>
      <c r="J85" s="57">
        <f>(IF(B76&gt;3,(H76/(B76+2)+J84),0))</f>
        <v>0</v>
      </c>
      <c r="K85" s="54"/>
    </row>
    <row r="86" spans="1:11" hidden="1">
      <c r="A86" s="122" t="s">
        <v>139</v>
      </c>
      <c r="B86" s="123"/>
      <c r="C86" s="40">
        <v>0</v>
      </c>
      <c r="D86" s="41">
        <f ca="1">((100/H76)*C86)/100</f>
        <v>0</v>
      </c>
      <c r="E86" s="74"/>
      <c r="F86" s="74"/>
      <c r="G86" s="74"/>
      <c r="H86" s="76"/>
      <c r="I86" s="38" t="s">
        <v>140</v>
      </c>
      <c r="J86" s="55">
        <f>(IF(B76&gt;4,(H76/(B76+2)+J85),0))</f>
        <v>0</v>
      </c>
      <c r="K86" s="54"/>
    </row>
    <row r="87" spans="1:11" ht="15" hidden="1" customHeight="1">
      <c r="A87" s="122" t="s">
        <v>141</v>
      </c>
      <c r="B87" s="123" t="s">
        <v>141</v>
      </c>
      <c r="C87" s="40">
        <v>0</v>
      </c>
      <c r="D87" s="41">
        <f ca="1">((100/(H76))*C87)/100</f>
        <v>0</v>
      </c>
      <c r="E87" s="74"/>
      <c r="F87" s="74"/>
      <c r="G87" s="74"/>
      <c r="H87" s="76"/>
      <c r="I87" s="38" t="s">
        <v>142</v>
      </c>
      <c r="J87" s="55">
        <f ca="1">(IF(B76=1,(H76/(B76+3)+J82),IF(B76=0,(H76/4+J82),IF(B76&gt;1,0))))</f>
        <v>6</v>
      </c>
      <c r="K87" s="54"/>
    </row>
    <row r="88" spans="1:11" hidden="1">
      <c r="A88" s="124" t="s">
        <v>143</v>
      </c>
      <c r="B88" s="125"/>
      <c r="C88" s="43">
        <v>0</v>
      </c>
      <c r="D88" s="44">
        <f ca="1">((100/(H76))*C88)/100</f>
        <v>0</v>
      </c>
      <c r="E88" s="75"/>
      <c r="F88" s="75"/>
      <c r="G88" s="75"/>
      <c r="H88" s="77"/>
      <c r="I88" s="58" t="s">
        <v>144</v>
      </c>
      <c r="J88" s="59">
        <f ca="1">(IF(B76&gt;1.5,(H76/(B76+2)+J82+MAX(0,J83-J82)+MAX(0,J84-J83)+MAX(0,J85-J84)+MAX(0,J86-J85)+MAX(0,J87-J86)),IF(B76=1,(H76/(B76+3)+J87),IF(B76=0,H76/4+J87))))</f>
        <v>8</v>
      </c>
      <c r="K88" s="56"/>
    </row>
    <row r="89" spans="1:11">
      <c r="A89" s="126" t="s">
        <v>146</v>
      </c>
      <c r="B89" s="126"/>
      <c r="C89" s="126"/>
      <c r="D89" s="126"/>
      <c r="E89" s="126"/>
      <c r="F89" s="126"/>
      <c r="G89" s="126"/>
      <c r="H89" s="126"/>
    </row>
    <row r="90" spans="1:11">
      <c r="A90" s="66" t="s">
        <v>147</v>
      </c>
      <c r="B90" s="66"/>
      <c r="C90" s="66"/>
      <c r="D90" s="66"/>
      <c r="E90" s="66"/>
      <c r="F90" s="66"/>
      <c r="G90" s="66"/>
      <c r="H90" s="66"/>
    </row>
    <row r="91" spans="1:11" ht="15" customHeight="1">
      <c r="A91" s="127" t="s">
        <v>148</v>
      </c>
      <c r="B91" s="127"/>
      <c r="C91" s="128" t="s">
        <v>149</v>
      </c>
      <c r="D91" s="128"/>
      <c r="E91" s="128"/>
      <c r="F91" s="128"/>
      <c r="G91" s="128"/>
      <c r="H91" s="128"/>
    </row>
    <row r="92" spans="1:11">
      <c r="A92" s="127" t="s">
        <v>150</v>
      </c>
      <c r="B92" s="127"/>
      <c r="C92" s="127"/>
      <c r="D92" s="127"/>
      <c r="E92" s="127"/>
      <c r="F92" s="127"/>
      <c r="G92" s="127"/>
      <c r="H92" s="127"/>
    </row>
    <row r="93" spans="1:11">
      <c r="A93" s="66" t="s">
        <v>151</v>
      </c>
      <c r="B93" s="66"/>
      <c r="C93" s="66"/>
      <c r="D93" s="66"/>
      <c r="E93" s="66"/>
      <c r="F93" s="119">
        <v>14000</v>
      </c>
      <c r="G93" s="119"/>
      <c r="H93" s="119"/>
    </row>
    <row r="94" spans="1:11">
      <c r="A94" s="66" t="s">
        <v>152</v>
      </c>
      <c r="B94" s="66"/>
      <c r="C94" s="66"/>
      <c r="D94" s="66"/>
      <c r="E94" s="66"/>
      <c r="F94" s="119">
        <v>22000</v>
      </c>
      <c r="G94" s="119"/>
      <c r="H94" s="119"/>
    </row>
    <row r="95" spans="1:11" hidden="1">
      <c r="A95" s="66" t="s">
        <v>153</v>
      </c>
      <c r="B95" s="66"/>
      <c r="C95" s="66"/>
      <c r="D95" s="66"/>
      <c r="E95" s="66"/>
      <c r="F95" s="119"/>
      <c r="G95" s="119"/>
      <c r="H95" s="119"/>
    </row>
    <row r="96" spans="1:11" s="20" customFormat="1" hidden="1">
      <c r="A96" s="66" t="s">
        <v>154</v>
      </c>
      <c r="B96" s="66"/>
      <c r="C96" s="66"/>
      <c r="D96" s="66"/>
      <c r="E96" s="66"/>
      <c r="F96" s="119" t="s">
        <v>60</v>
      </c>
      <c r="G96" s="119"/>
      <c r="H96" s="119"/>
    </row>
    <row r="97" spans="1:8" s="20" customFormat="1" hidden="1">
      <c r="A97" s="66" t="s">
        <v>155</v>
      </c>
      <c r="B97" s="66"/>
      <c r="C97" s="66"/>
      <c r="D97" s="66"/>
      <c r="E97" s="66"/>
      <c r="F97" s="119" t="s">
        <v>60</v>
      </c>
      <c r="G97" s="119"/>
      <c r="H97" s="119"/>
    </row>
    <row r="98" spans="1:8" s="20" customFormat="1" hidden="1">
      <c r="A98" s="78" t="s">
        <v>156</v>
      </c>
      <c r="B98" s="78"/>
      <c r="C98" s="78"/>
      <c r="D98" s="78"/>
      <c r="E98" s="78"/>
      <c r="F98" s="119" t="s">
        <v>60</v>
      </c>
      <c r="G98" s="119"/>
      <c r="H98" s="119"/>
    </row>
    <row r="99" spans="1:8" s="20" customFormat="1" hidden="1">
      <c r="A99" s="78" t="s">
        <v>157</v>
      </c>
      <c r="B99" s="78"/>
      <c r="C99" s="78"/>
      <c r="D99" s="78"/>
      <c r="E99" s="78"/>
      <c r="F99" s="119" t="s">
        <v>60</v>
      </c>
      <c r="G99" s="119"/>
      <c r="H99" s="119"/>
    </row>
    <row r="100" spans="1:8" s="20" customFormat="1" hidden="1">
      <c r="A100" s="78" t="s">
        <v>158</v>
      </c>
      <c r="B100" s="78"/>
      <c r="C100" s="78"/>
      <c r="D100" s="78"/>
      <c r="E100" s="78"/>
      <c r="F100" s="119" t="s">
        <v>60</v>
      </c>
      <c r="G100" s="119"/>
      <c r="H100" s="119"/>
    </row>
    <row r="101" spans="1:8" s="20" customFormat="1" hidden="1">
      <c r="A101" s="78" t="s">
        <v>159</v>
      </c>
      <c r="B101" s="78"/>
      <c r="C101" s="78"/>
      <c r="D101" s="78"/>
      <c r="E101" s="78"/>
      <c r="F101" s="119" t="s">
        <v>60</v>
      </c>
      <c r="G101" s="119"/>
      <c r="H101" s="119"/>
    </row>
    <row r="102" spans="1:8" s="20" customFormat="1" hidden="1">
      <c r="A102" s="78" t="s">
        <v>160</v>
      </c>
      <c r="B102" s="78"/>
      <c r="C102" s="78"/>
      <c r="D102" s="78"/>
      <c r="E102" s="78"/>
      <c r="F102" s="119" t="s">
        <v>60</v>
      </c>
      <c r="G102" s="119"/>
      <c r="H102" s="119"/>
    </row>
    <row r="103" spans="1:8" s="20" customFormat="1" hidden="1">
      <c r="A103" s="78" t="s">
        <v>161</v>
      </c>
      <c r="B103" s="78"/>
      <c r="C103" s="78"/>
      <c r="D103" s="78"/>
      <c r="E103" s="78"/>
      <c r="F103" s="119" t="s">
        <v>60</v>
      </c>
      <c r="G103" s="119"/>
      <c r="H103" s="119"/>
    </row>
    <row r="104" spans="1:8">
      <c r="A104" s="78" t="s">
        <v>162</v>
      </c>
      <c r="B104" s="78"/>
      <c r="C104" s="78"/>
      <c r="D104" s="78"/>
      <c r="E104" s="78"/>
      <c r="F104" s="120" t="s">
        <v>163</v>
      </c>
      <c r="G104" s="120"/>
      <c r="H104" s="120"/>
    </row>
    <row r="105" spans="1:8" s="21" customFormat="1">
      <c r="A105" s="121" t="s">
        <v>164</v>
      </c>
      <c r="B105" s="121"/>
      <c r="C105" s="121"/>
      <c r="D105" s="121"/>
      <c r="E105" s="121"/>
      <c r="F105" s="119">
        <f>F93*0.8</f>
        <v>11200</v>
      </c>
      <c r="G105" s="119"/>
      <c r="H105" s="119"/>
    </row>
    <row r="106" spans="1:8" s="22" customFormat="1" ht="15.75" customHeight="1">
      <c r="A106" s="108" t="s">
        <v>165</v>
      </c>
      <c r="B106" s="108"/>
      <c r="C106" s="108"/>
      <c r="D106" s="108"/>
      <c r="E106" s="108"/>
      <c r="F106" s="108"/>
      <c r="G106" s="108"/>
      <c r="H106" s="108"/>
    </row>
    <row r="107" spans="1:8" s="22" customFormat="1" ht="15.75" customHeight="1">
      <c r="A107" s="110" t="s">
        <v>166</v>
      </c>
      <c r="B107" s="110"/>
      <c r="C107" s="45" t="s">
        <v>167</v>
      </c>
      <c r="D107" s="118" t="s">
        <v>168</v>
      </c>
      <c r="E107" s="118"/>
      <c r="F107" s="110" t="s">
        <v>169</v>
      </c>
      <c r="G107" s="110"/>
      <c r="H107" s="110"/>
    </row>
    <row r="108" spans="1:8" s="22" customFormat="1">
      <c r="A108" s="103" t="s">
        <v>170</v>
      </c>
      <c r="B108" s="103"/>
      <c r="C108" s="46">
        <f>COUNT(D127:D132)</f>
        <v>6</v>
      </c>
      <c r="D108" s="104">
        <f>SUM(D127:D132)</f>
        <v>7603.4764728</v>
      </c>
      <c r="E108" s="104"/>
      <c r="F108" s="105">
        <f>SUM(F127:F132)</f>
        <v>11405.2147092</v>
      </c>
      <c r="G108" s="106"/>
      <c r="H108" s="107"/>
    </row>
    <row r="109" spans="1:8" s="22" customFormat="1">
      <c r="A109" s="108" t="s">
        <v>171</v>
      </c>
      <c r="B109" s="108"/>
      <c r="C109" s="108"/>
      <c r="D109" s="108"/>
      <c r="E109" s="108"/>
      <c r="F109" s="108"/>
      <c r="G109" s="108"/>
      <c r="H109" s="108"/>
    </row>
    <row r="110" spans="1:8" s="22" customFormat="1">
      <c r="A110" s="110" t="s">
        <v>166</v>
      </c>
      <c r="B110" s="110"/>
      <c r="C110" s="45" t="s">
        <v>167</v>
      </c>
      <c r="D110" s="118" t="s">
        <v>168</v>
      </c>
      <c r="E110" s="118"/>
      <c r="F110" s="110" t="s">
        <v>169</v>
      </c>
      <c r="G110" s="110"/>
      <c r="H110" s="110"/>
    </row>
    <row r="111" spans="1:8" s="22" customFormat="1">
      <c r="A111" s="103" t="s">
        <v>172</v>
      </c>
      <c r="B111" s="103"/>
      <c r="C111" s="46">
        <f>COUNT(D140:D144)+COUNT(D146:D151)+COUNT(D153:D158)*4+COUNT(D160:D165)+COUNT(D167:D172)</f>
        <v>47</v>
      </c>
      <c r="D111" s="104">
        <f>SUM(D140:D144)+SUM(D146:D151)+SUM(D153:D158)*4+SUM(D160:D165)+SUM(D167:D172)</f>
        <v>19359.484560000001</v>
      </c>
      <c r="E111" s="104"/>
      <c r="F111" s="105">
        <f>SUM(F140:F144)+SUM(F146:F151)+SUM(F153:F158)*4+SUM(F160:F165)+SUM(F167:F172)</f>
        <v>28071.252612</v>
      </c>
      <c r="G111" s="106"/>
      <c r="H111" s="107"/>
    </row>
    <row r="112" spans="1:8" s="22" customFormat="1">
      <c r="A112" s="103" t="s">
        <v>173</v>
      </c>
      <c r="B112" s="103"/>
      <c r="C112" s="46">
        <f>COUNT(D207:D208)+COUNT(D216:D225)</f>
        <v>12</v>
      </c>
      <c r="D112" s="104">
        <f>SUM(D207:D208)+SUM(D216:D225)</f>
        <v>3607.6622400000001</v>
      </c>
      <c r="E112" s="104"/>
      <c r="F112" s="105">
        <f>SUM(F207:F208)+SUM(F216:F225)</f>
        <v>5411.4933600000004</v>
      </c>
      <c r="G112" s="106"/>
      <c r="H112" s="107"/>
    </row>
    <row r="113" spans="1:11" s="22" customFormat="1">
      <c r="A113" s="108" t="s">
        <v>174</v>
      </c>
      <c r="B113" s="108"/>
      <c r="C113" s="47">
        <f>SUM(C111:C112)</f>
        <v>59</v>
      </c>
      <c r="D113" s="109">
        <f>SUM(D111:E112)</f>
        <v>22967.146799999999</v>
      </c>
      <c r="E113" s="109"/>
      <c r="F113" s="110">
        <f>SUM(F111:H112)</f>
        <v>33482.745971999997</v>
      </c>
      <c r="G113" s="110"/>
      <c r="H113" s="110"/>
      <c r="J113" s="60" t="e">
        <f>F103+F113</f>
        <v>#VALUE!</v>
      </c>
      <c r="K113" s="60">
        <f>D103+D113</f>
        <v>22967.146799999999</v>
      </c>
    </row>
    <row r="114" spans="1:11" s="22" customFormat="1">
      <c r="A114" s="108" t="s">
        <v>175</v>
      </c>
      <c r="B114" s="108"/>
      <c r="C114" s="108"/>
      <c r="D114" s="108"/>
      <c r="E114" s="108"/>
      <c r="F114" s="108"/>
      <c r="G114" s="108"/>
      <c r="H114" s="108"/>
    </row>
    <row r="115" spans="1:11" s="22" customFormat="1">
      <c r="A115" s="110" t="s">
        <v>166</v>
      </c>
      <c r="B115" s="110"/>
      <c r="C115" s="45" t="s">
        <v>167</v>
      </c>
      <c r="D115" s="118" t="s">
        <v>168</v>
      </c>
      <c r="E115" s="118"/>
      <c r="F115" s="110" t="s">
        <v>169</v>
      </c>
      <c r="G115" s="110"/>
      <c r="H115" s="110"/>
    </row>
    <row r="116" spans="1:11" s="22" customFormat="1">
      <c r="A116" s="103" t="s">
        <v>173</v>
      </c>
      <c r="B116" s="103"/>
      <c r="C116" s="46">
        <f>COUNT(D205:D206,D212:D214)</f>
        <v>5</v>
      </c>
      <c r="D116" s="104">
        <f>SUM(D205:D206,D212:D214)</f>
        <v>1503.1926000000001</v>
      </c>
      <c r="E116" s="104"/>
      <c r="F116" s="105">
        <f>SUM(F205:F206,F212:F214)</f>
        <v>2254.7889</v>
      </c>
      <c r="G116" s="106"/>
      <c r="H116" s="107"/>
    </row>
    <row r="117" spans="1:11" s="22" customFormat="1">
      <c r="A117" s="108" t="s">
        <v>174</v>
      </c>
      <c r="B117" s="108"/>
      <c r="C117" s="47">
        <f>SUM(C116)</f>
        <v>5</v>
      </c>
      <c r="D117" s="109">
        <f>SUM(D116)</f>
        <v>1503.1926000000001</v>
      </c>
      <c r="E117" s="109"/>
      <c r="F117" s="110">
        <f>SUM(F116)</f>
        <v>2254.7889</v>
      </c>
      <c r="G117" s="110"/>
      <c r="H117" s="110"/>
      <c r="J117" s="60"/>
      <c r="K117" s="60"/>
    </row>
    <row r="118" spans="1:11" s="22" customFormat="1">
      <c r="A118" s="108" t="s">
        <v>176</v>
      </c>
      <c r="B118" s="108"/>
      <c r="C118" s="108"/>
      <c r="D118" s="108"/>
      <c r="E118" s="108"/>
      <c r="F118" s="108"/>
      <c r="G118" s="108"/>
      <c r="H118" s="108"/>
    </row>
    <row r="119" spans="1:11" s="22" customFormat="1">
      <c r="A119" s="110" t="s">
        <v>166</v>
      </c>
      <c r="B119" s="110"/>
      <c r="C119" s="45" t="s">
        <v>167</v>
      </c>
      <c r="D119" s="118" t="s">
        <v>168</v>
      </c>
      <c r="E119" s="118"/>
      <c r="F119" s="110" t="s">
        <v>169</v>
      </c>
      <c r="G119" s="110"/>
      <c r="H119" s="110"/>
    </row>
    <row r="120" spans="1:11" s="22" customFormat="1">
      <c r="A120" s="103" t="s">
        <v>173</v>
      </c>
      <c r="B120" s="103"/>
      <c r="C120" s="46">
        <f>COUNT(D178:D181)+COUNT(D183:D192)+COUNT(D194:D203)*4+COUNT(D209:D211)</f>
        <v>57</v>
      </c>
      <c r="D120" s="104">
        <f>SUM(D178:D181)+SUM(D183:D192)+SUM(D194:D203)*4+SUM(D209:D211)</f>
        <v>17136.395639999999</v>
      </c>
      <c r="E120" s="104"/>
      <c r="F120" s="105">
        <f>SUM(F178:F181)+SUM(F183:F192)+SUM(F194:F203)*4+SUM(F209:F211)</f>
        <v>25644.465756000001</v>
      </c>
      <c r="G120" s="106"/>
      <c r="H120" s="107"/>
    </row>
    <row r="121" spans="1:11" s="22" customFormat="1" hidden="1">
      <c r="A121" s="108" t="s">
        <v>174</v>
      </c>
      <c r="B121" s="108"/>
      <c r="C121" s="47">
        <f>SUM(C120)</f>
        <v>57</v>
      </c>
      <c r="D121" s="109">
        <f>SUM(D120)</f>
        <v>17136.395639999999</v>
      </c>
      <c r="E121" s="109"/>
      <c r="F121" s="110">
        <f>SUM(F120)</f>
        <v>25644.465756000001</v>
      </c>
      <c r="G121" s="110"/>
      <c r="H121" s="110"/>
      <c r="J121" s="60"/>
      <c r="K121" s="60"/>
    </row>
    <row r="122" spans="1:11" s="22" customFormat="1">
      <c r="A122" s="111" t="s">
        <v>177</v>
      </c>
      <c r="B122" s="112"/>
      <c r="C122" s="47">
        <f>C108+C113+C121+C117</f>
        <v>127</v>
      </c>
      <c r="D122" s="113">
        <f>D108+D113+D121+D117</f>
        <v>49210.2115128</v>
      </c>
      <c r="E122" s="114"/>
      <c r="F122" s="115">
        <f>F108+F113+F121+F117</f>
        <v>72787.215337200003</v>
      </c>
      <c r="G122" s="116"/>
      <c r="H122" s="117"/>
      <c r="J122" s="60"/>
      <c r="K122" s="60"/>
    </row>
    <row r="123" spans="1:11">
      <c r="A123" s="101" t="s">
        <v>178</v>
      </c>
      <c r="B123" s="101"/>
      <c r="C123" s="101"/>
      <c r="D123" s="101"/>
      <c r="E123" s="101"/>
      <c r="F123" s="101"/>
      <c r="G123" s="101"/>
      <c r="H123" s="101"/>
    </row>
    <row r="124" spans="1:11" ht="47.25" customHeight="1">
      <c r="A124" s="48" t="s">
        <v>179</v>
      </c>
      <c r="B124" s="48" t="s">
        <v>180</v>
      </c>
      <c r="C124" s="48" t="s">
        <v>181</v>
      </c>
      <c r="D124" s="48" t="s">
        <v>182</v>
      </c>
      <c r="E124" s="49" t="s">
        <v>183</v>
      </c>
      <c r="F124" s="48" t="s">
        <v>184</v>
      </c>
      <c r="G124" s="102" t="s">
        <v>185</v>
      </c>
      <c r="H124" s="102"/>
    </row>
    <row r="125" spans="1:11" s="23" customFormat="1">
      <c r="A125" s="87" t="s">
        <v>186</v>
      </c>
      <c r="B125" s="87"/>
      <c r="C125" s="87"/>
      <c r="D125" s="87"/>
      <c r="E125" s="87"/>
      <c r="F125" s="87"/>
      <c r="G125" s="87"/>
      <c r="H125" s="87"/>
    </row>
    <row r="126" spans="1:11" s="23" customFormat="1" ht="15.75" customHeight="1">
      <c r="A126" s="91" t="s">
        <v>187</v>
      </c>
      <c r="B126" s="92"/>
      <c r="C126" s="92"/>
      <c r="D126" s="92"/>
      <c r="E126" s="92"/>
      <c r="F126" s="92"/>
      <c r="G126" s="92"/>
      <c r="H126" s="93"/>
    </row>
    <row r="127" spans="1:11" s="23" customFormat="1" ht="78.75" customHeight="1">
      <c r="A127" s="51">
        <v>1</v>
      </c>
      <c r="B127" s="50" t="s">
        <v>188</v>
      </c>
      <c r="C127" s="51" t="s">
        <v>189</v>
      </c>
      <c r="D127" s="51">
        <f>(8.29*5.27+2.9*9.47+5.09*4.33+8.29*2.03+7.27*3.05+2.89*3.4+1.3*1.2+2.6*2.8+9.23*2.95+6.13*3.33+8.23*4.06+1.97*2.44+8.85*2.22+8.14*2.95+4.8*1)*10.764</f>
        <v>3069.6904368</v>
      </c>
      <c r="E127" s="51">
        <v>0</v>
      </c>
      <c r="F127" s="51">
        <f t="shared" ref="F127:F132" si="0">D127*1.5+E127</f>
        <v>4604.5356552000003</v>
      </c>
      <c r="G127" s="97" t="s">
        <v>190</v>
      </c>
      <c r="H127" s="99"/>
    </row>
    <row r="128" spans="1:11" s="23" customFormat="1" ht="79.5" customHeight="1">
      <c r="A128" s="51">
        <v>2</v>
      </c>
      <c r="B128" s="50" t="s">
        <v>188</v>
      </c>
      <c r="C128" s="51" t="s">
        <v>189</v>
      </c>
      <c r="D128" s="51">
        <f>(7.3*4.57+6.3*5.47+5.1*0.9+6.32*11.3+8.15*6.43+2.89*3.55+1.93*2.67+1.73*1.2)*10.764</f>
        <v>2300.4939204000002</v>
      </c>
      <c r="E128" s="51">
        <v>0</v>
      </c>
      <c r="F128" s="51">
        <f t="shared" si="0"/>
        <v>3450.7408805999999</v>
      </c>
      <c r="G128" s="68" t="s">
        <v>190</v>
      </c>
      <c r="H128" s="69"/>
    </row>
    <row r="129" spans="1:10" s="23" customFormat="1" ht="69" customHeight="1">
      <c r="A129" s="51">
        <v>1</v>
      </c>
      <c r="B129" s="50" t="s">
        <v>188</v>
      </c>
      <c r="C129" s="51" t="s">
        <v>191</v>
      </c>
      <c r="D129" s="51">
        <f>(5.02*4.17+7.22*1.9+6.2*5.4+5.02*2.05+7.82*3.27+8.74*2.78+7.21*1.5+4*3+3.9*0.7+1.7*0.59)*10.764</f>
        <v>1666.6869959999999</v>
      </c>
      <c r="E129" s="51">
        <v>0</v>
      </c>
      <c r="F129" s="51">
        <f t="shared" si="0"/>
        <v>2500.0304940000001</v>
      </c>
      <c r="G129" s="97" t="s">
        <v>192</v>
      </c>
      <c r="H129" s="99"/>
    </row>
    <row r="130" spans="1:10" s="23" customFormat="1">
      <c r="A130" s="51">
        <v>1</v>
      </c>
      <c r="B130" s="50" t="s">
        <v>188</v>
      </c>
      <c r="C130" s="51" t="s">
        <v>193</v>
      </c>
      <c r="D130" s="51">
        <f>(4.98*4.02)*10.764</f>
        <v>215.4909744</v>
      </c>
      <c r="E130" s="51">
        <v>0</v>
      </c>
      <c r="F130" s="51">
        <f t="shared" si="0"/>
        <v>323.23646159999998</v>
      </c>
      <c r="G130" s="100" t="s">
        <v>194</v>
      </c>
      <c r="H130" s="100"/>
    </row>
    <row r="131" spans="1:10" s="23" customFormat="1">
      <c r="A131" s="51">
        <v>2</v>
      </c>
      <c r="B131" s="50" t="s">
        <v>188</v>
      </c>
      <c r="C131" s="51" t="s">
        <v>193</v>
      </c>
      <c r="D131" s="51">
        <f>(2.85*2.42+1.55*1.6+1.15*1.45)*10.764</f>
        <v>118.882998</v>
      </c>
      <c r="E131" s="51">
        <v>0</v>
      </c>
      <c r="F131" s="51">
        <f t="shared" si="0"/>
        <v>178.32449700000001</v>
      </c>
      <c r="G131" s="100" t="s">
        <v>194</v>
      </c>
      <c r="H131" s="100"/>
    </row>
    <row r="132" spans="1:10" s="23" customFormat="1">
      <c r="A132" s="51">
        <v>3</v>
      </c>
      <c r="B132" s="50" t="s">
        <v>188</v>
      </c>
      <c r="C132" s="51" t="s">
        <v>193</v>
      </c>
      <c r="D132" s="51">
        <f>(3.98*4.02+1.38*1.23+1.676*0.3+1.25*2.7)*10.764</f>
        <v>232.23114720000001</v>
      </c>
      <c r="E132" s="51">
        <v>0</v>
      </c>
      <c r="F132" s="51">
        <f t="shared" si="0"/>
        <v>348.34672080000001</v>
      </c>
      <c r="G132" s="100" t="s">
        <v>194</v>
      </c>
      <c r="H132" s="100"/>
    </row>
    <row r="133" spans="1:10" s="23" customFormat="1" hidden="1">
      <c r="A133" s="51">
        <v>39</v>
      </c>
      <c r="B133" s="51" t="s">
        <v>195</v>
      </c>
      <c r="C133" s="51" t="s">
        <v>170</v>
      </c>
      <c r="D133" s="51">
        <f>5.8*10.764</f>
        <v>62.431199999999997</v>
      </c>
      <c r="E133" s="51">
        <v>0</v>
      </c>
      <c r="F133" s="51">
        <f t="shared" ref="F133:F137" si="1">D133*1.5+E133</f>
        <v>93.646799999999999</v>
      </c>
      <c r="G133" s="100" t="s">
        <v>194</v>
      </c>
      <c r="H133" s="100"/>
    </row>
    <row r="134" spans="1:10" s="23" customFormat="1" hidden="1">
      <c r="A134" s="51">
        <v>52</v>
      </c>
      <c r="B134" s="51" t="s">
        <v>195</v>
      </c>
      <c r="C134" s="51" t="s">
        <v>170</v>
      </c>
      <c r="D134" s="51">
        <f>(8.66)*10.764</f>
        <v>93.216239999999999</v>
      </c>
      <c r="E134" s="51">
        <v>0</v>
      </c>
      <c r="F134" s="51">
        <f t="shared" si="1"/>
        <v>139.82436000000001</v>
      </c>
      <c r="G134" s="100" t="s">
        <v>194</v>
      </c>
      <c r="H134" s="100"/>
    </row>
    <row r="135" spans="1:10" s="23" customFormat="1" hidden="1">
      <c r="A135" s="51">
        <v>53</v>
      </c>
      <c r="B135" s="51" t="s">
        <v>195</v>
      </c>
      <c r="C135" s="51" t="s">
        <v>170</v>
      </c>
      <c r="D135" s="51">
        <f>8.66*10.764</f>
        <v>93.216239999999999</v>
      </c>
      <c r="E135" s="51">
        <v>0</v>
      </c>
      <c r="F135" s="51">
        <f t="shared" si="1"/>
        <v>139.82436000000001</v>
      </c>
      <c r="G135" s="100" t="s">
        <v>194</v>
      </c>
      <c r="H135" s="100"/>
    </row>
    <row r="136" spans="1:10" s="23" customFormat="1" hidden="1">
      <c r="A136" s="51">
        <v>55</v>
      </c>
      <c r="B136" s="51" t="s">
        <v>195</v>
      </c>
      <c r="C136" s="51" t="s">
        <v>170</v>
      </c>
      <c r="D136" s="51">
        <f>15.46*10.764</f>
        <v>166.41144</v>
      </c>
      <c r="E136" s="51">
        <v>0</v>
      </c>
      <c r="F136" s="51">
        <f t="shared" si="1"/>
        <v>249.61716000000001</v>
      </c>
      <c r="G136" s="100" t="s">
        <v>194</v>
      </c>
      <c r="H136" s="100"/>
    </row>
    <row r="137" spans="1:10" s="23" customFormat="1" hidden="1">
      <c r="A137" s="51">
        <v>61</v>
      </c>
      <c r="B137" s="51" t="s">
        <v>195</v>
      </c>
      <c r="C137" s="51" t="s">
        <v>170</v>
      </c>
      <c r="D137" s="51">
        <f>(1.27+1.62*0.9*0.5)*10.764</f>
        <v>21.517236</v>
      </c>
      <c r="E137" s="51">
        <v>0</v>
      </c>
      <c r="F137" s="51">
        <f t="shared" si="1"/>
        <v>32.275854000000002</v>
      </c>
      <c r="G137" s="100" t="s">
        <v>194</v>
      </c>
      <c r="H137" s="100"/>
    </row>
    <row r="138" spans="1:10" s="23" customFormat="1">
      <c r="A138" s="87" t="s">
        <v>196</v>
      </c>
      <c r="B138" s="87"/>
      <c r="C138" s="87"/>
      <c r="D138" s="87"/>
      <c r="E138" s="87"/>
      <c r="F138" s="87"/>
      <c r="G138" s="87"/>
      <c r="H138" s="87"/>
    </row>
    <row r="139" spans="1:10" s="23" customFormat="1">
      <c r="A139" s="87" t="s">
        <v>197</v>
      </c>
      <c r="B139" s="87"/>
      <c r="C139" s="87"/>
      <c r="D139" s="87"/>
      <c r="E139" s="87"/>
      <c r="F139" s="87"/>
      <c r="G139" s="87"/>
      <c r="H139" s="87"/>
    </row>
    <row r="140" spans="1:10" s="23" customFormat="1">
      <c r="A140" s="52">
        <v>1</v>
      </c>
      <c r="B140" s="50" t="s">
        <v>188</v>
      </c>
      <c r="C140" s="51" t="s">
        <v>198</v>
      </c>
      <c r="D140" s="51">
        <f>20.34*10.764</f>
        <v>218.93976000000001</v>
      </c>
      <c r="E140" s="51">
        <v>0</v>
      </c>
      <c r="F140" s="51">
        <f t="shared" ref="F140:F144" si="2">D140*1.45+E140</f>
        <v>317.46265199999999</v>
      </c>
      <c r="G140" s="68" t="s">
        <v>199</v>
      </c>
      <c r="H140" s="69"/>
      <c r="I140" s="61">
        <f>(3.01*2.8+1.62*1.72+2.4*2.92+1.37*1.07)</f>
        <v>19.688300000000002</v>
      </c>
      <c r="J140" s="23">
        <f>F140/D140</f>
        <v>1.45</v>
      </c>
    </row>
    <row r="141" spans="1:10" s="23" customFormat="1">
      <c r="A141" s="52">
        <v>2</v>
      </c>
      <c r="B141" s="50" t="s">
        <v>188</v>
      </c>
      <c r="C141" s="51" t="s">
        <v>200</v>
      </c>
      <c r="D141" s="51">
        <f>38.64*10.764</f>
        <v>415.92095999999998</v>
      </c>
      <c r="E141" s="51">
        <v>0</v>
      </c>
      <c r="F141" s="51">
        <f t="shared" si="2"/>
        <v>603.08539199999996</v>
      </c>
      <c r="G141" s="70"/>
      <c r="H141" s="71"/>
      <c r="I141" s="61">
        <f>(2.75*4.32+2.03*2.37+2.83*2.96+1.24*1.92+2.17*1.22+0.86*1.37+0.9*1.87+2.15*1.82)</f>
        <v>36.8703</v>
      </c>
    </row>
    <row r="142" spans="1:10" s="23" customFormat="1">
      <c r="A142" s="52">
        <v>3</v>
      </c>
      <c r="B142" s="50" t="s">
        <v>188</v>
      </c>
      <c r="C142" s="51" t="s">
        <v>198</v>
      </c>
      <c r="D142" s="51">
        <f>28.35*10.764</f>
        <v>305.15940000000001</v>
      </c>
      <c r="E142" s="51">
        <v>0</v>
      </c>
      <c r="F142" s="51">
        <f t="shared" si="2"/>
        <v>442.48113000000001</v>
      </c>
      <c r="G142" s="70"/>
      <c r="H142" s="71"/>
    </row>
    <row r="143" spans="1:10" s="23" customFormat="1">
      <c r="A143" s="52">
        <v>4</v>
      </c>
      <c r="B143" s="50" t="s">
        <v>188</v>
      </c>
      <c r="C143" s="51" t="s">
        <v>200</v>
      </c>
      <c r="D143" s="51">
        <f>43.09*10.764</f>
        <v>463.82076000000001</v>
      </c>
      <c r="E143" s="51">
        <v>0</v>
      </c>
      <c r="F143" s="51">
        <f t="shared" si="2"/>
        <v>672.54010200000005</v>
      </c>
      <c r="G143" s="70"/>
      <c r="H143" s="71"/>
    </row>
    <row r="144" spans="1:10" s="23" customFormat="1">
      <c r="A144" s="52">
        <v>5</v>
      </c>
      <c r="B144" s="50" t="s">
        <v>188</v>
      </c>
      <c r="C144" s="51" t="s">
        <v>200</v>
      </c>
      <c r="D144" s="51">
        <f>37.68*10.764</f>
        <v>405.58751999999998</v>
      </c>
      <c r="E144" s="51">
        <v>0</v>
      </c>
      <c r="F144" s="51">
        <f t="shared" si="2"/>
        <v>588.10190399999999</v>
      </c>
      <c r="G144" s="70"/>
      <c r="H144" s="71"/>
    </row>
    <row r="145" spans="1:10" s="23" customFormat="1">
      <c r="A145" s="87" t="s">
        <v>201</v>
      </c>
      <c r="B145" s="87"/>
      <c r="C145" s="87"/>
      <c r="D145" s="87"/>
      <c r="E145" s="87"/>
      <c r="F145" s="87"/>
      <c r="G145" s="87"/>
      <c r="H145" s="87"/>
    </row>
    <row r="146" spans="1:10" s="23" customFormat="1">
      <c r="A146" s="52">
        <v>1</v>
      </c>
      <c r="B146" s="50" t="s">
        <v>188</v>
      </c>
      <c r="C146" s="51" t="s">
        <v>200</v>
      </c>
      <c r="D146" s="51">
        <f>34.76*10.764</f>
        <v>374.15663999999998</v>
      </c>
      <c r="E146" s="51">
        <v>0</v>
      </c>
      <c r="F146" s="51">
        <f t="shared" ref="F146:F151" si="3">D146*1.45+E146</f>
        <v>542.52712799999995</v>
      </c>
      <c r="G146" s="68" t="s">
        <v>199</v>
      </c>
      <c r="H146" s="69"/>
      <c r="J146" s="23">
        <f>F146/D146</f>
        <v>1.45</v>
      </c>
    </row>
    <row r="147" spans="1:10" s="23" customFormat="1">
      <c r="A147" s="52">
        <v>2</v>
      </c>
      <c r="B147" s="50" t="s">
        <v>188</v>
      </c>
      <c r="C147" s="51" t="s">
        <v>200</v>
      </c>
      <c r="D147" s="51">
        <f>25.56*10.764</f>
        <v>275.12783999999999</v>
      </c>
      <c r="E147" s="51">
        <v>0</v>
      </c>
      <c r="F147" s="51">
        <f t="shared" si="3"/>
        <v>398.93536799999998</v>
      </c>
      <c r="G147" s="70"/>
      <c r="H147" s="71"/>
    </row>
    <row r="148" spans="1:10" s="23" customFormat="1">
      <c r="A148" s="52">
        <v>3</v>
      </c>
      <c r="B148" s="50" t="s">
        <v>188</v>
      </c>
      <c r="C148" s="51" t="s">
        <v>200</v>
      </c>
      <c r="D148" s="51">
        <f>38.66*10.764</f>
        <v>416.13623999999999</v>
      </c>
      <c r="E148" s="51">
        <v>0</v>
      </c>
      <c r="F148" s="51">
        <f t="shared" si="3"/>
        <v>603.39754800000003</v>
      </c>
      <c r="G148" s="70"/>
      <c r="H148" s="71"/>
    </row>
    <row r="149" spans="1:10" s="23" customFormat="1">
      <c r="A149" s="52">
        <v>4</v>
      </c>
      <c r="B149" s="50" t="s">
        <v>188</v>
      </c>
      <c r="C149" s="51" t="s">
        <v>200</v>
      </c>
      <c r="D149" s="51">
        <f>39.24*10.764</f>
        <v>422.37936000000002</v>
      </c>
      <c r="E149" s="51">
        <v>0</v>
      </c>
      <c r="F149" s="51">
        <f t="shared" si="3"/>
        <v>612.45007199999998</v>
      </c>
      <c r="G149" s="70"/>
      <c r="H149" s="71"/>
    </row>
    <row r="150" spans="1:10" s="23" customFormat="1">
      <c r="A150" s="52">
        <v>5</v>
      </c>
      <c r="B150" s="50" t="s">
        <v>188</v>
      </c>
      <c r="C150" s="51" t="s">
        <v>202</v>
      </c>
      <c r="D150" s="51">
        <f>59.26*10.764</f>
        <v>637.87464</v>
      </c>
      <c r="E150" s="51">
        <v>0</v>
      </c>
      <c r="F150" s="51">
        <f t="shared" si="3"/>
        <v>924.918228</v>
      </c>
      <c r="G150" s="70"/>
      <c r="H150" s="71"/>
    </row>
    <row r="151" spans="1:10" s="23" customFormat="1">
      <c r="A151" s="52">
        <v>6</v>
      </c>
      <c r="B151" s="50" t="s">
        <v>188</v>
      </c>
      <c r="C151" s="51" t="s">
        <v>200</v>
      </c>
      <c r="D151" s="51">
        <f>35.44*10.764</f>
        <v>381.47615999999999</v>
      </c>
      <c r="E151" s="51">
        <v>0</v>
      </c>
      <c r="F151" s="51">
        <f t="shared" si="3"/>
        <v>553.14043200000003</v>
      </c>
      <c r="G151" s="72"/>
      <c r="H151" s="73"/>
    </row>
    <row r="152" spans="1:10" s="23" customFormat="1">
      <c r="A152" s="87" t="s">
        <v>203</v>
      </c>
      <c r="B152" s="87"/>
      <c r="C152" s="87"/>
      <c r="D152" s="87"/>
      <c r="E152" s="87"/>
      <c r="F152" s="87"/>
      <c r="G152" s="87"/>
      <c r="H152" s="87"/>
    </row>
    <row r="153" spans="1:10" s="23" customFormat="1">
      <c r="A153" s="52">
        <v>1</v>
      </c>
      <c r="B153" s="50" t="s">
        <v>188</v>
      </c>
      <c r="C153" s="51" t="s">
        <v>200</v>
      </c>
      <c r="D153" s="51">
        <f>34.76*10.764</f>
        <v>374.15663999999998</v>
      </c>
      <c r="E153" s="51">
        <v>0</v>
      </c>
      <c r="F153" s="51">
        <f t="shared" ref="F153:F158" si="4">D153*1.45+E153</f>
        <v>542.52712799999995</v>
      </c>
      <c r="G153" s="68" t="str">
        <f>A152</f>
        <v>3rd to 6th Floor</v>
      </c>
      <c r="H153" s="69"/>
    </row>
    <row r="154" spans="1:10" s="23" customFormat="1">
      <c r="A154" s="52">
        <v>2</v>
      </c>
      <c r="B154" s="50" t="s">
        <v>188</v>
      </c>
      <c r="C154" s="51" t="s">
        <v>200</v>
      </c>
      <c r="D154" s="51">
        <f>25.56*10.764</f>
        <v>275.12783999999999</v>
      </c>
      <c r="E154" s="51">
        <v>0</v>
      </c>
      <c r="F154" s="51">
        <f t="shared" si="4"/>
        <v>398.93536799999998</v>
      </c>
      <c r="G154" s="70"/>
      <c r="H154" s="71"/>
    </row>
    <row r="155" spans="1:10" s="23" customFormat="1">
      <c r="A155" s="52">
        <v>3</v>
      </c>
      <c r="B155" s="50" t="s">
        <v>188</v>
      </c>
      <c r="C155" s="51" t="s">
        <v>200</v>
      </c>
      <c r="D155" s="51">
        <f>38.66*10.764</f>
        <v>416.13623999999999</v>
      </c>
      <c r="E155" s="51">
        <v>0</v>
      </c>
      <c r="F155" s="51">
        <f t="shared" si="4"/>
        <v>603.39754800000003</v>
      </c>
      <c r="G155" s="70"/>
      <c r="H155" s="71"/>
    </row>
    <row r="156" spans="1:10" s="23" customFormat="1">
      <c r="A156" s="52">
        <v>4</v>
      </c>
      <c r="B156" s="50" t="s">
        <v>188</v>
      </c>
      <c r="C156" s="51" t="s">
        <v>200</v>
      </c>
      <c r="D156" s="51">
        <f>39.24*10.764</f>
        <v>422.37936000000002</v>
      </c>
      <c r="E156" s="51">
        <v>0</v>
      </c>
      <c r="F156" s="51">
        <f t="shared" si="4"/>
        <v>612.45007199999998</v>
      </c>
      <c r="G156" s="70"/>
      <c r="H156" s="71"/>
    </row>
    <row r="157" spans="1:10" s="23" customFormat="1">
      <c r="A157" s="52">
        <v>5</v>
      </c>
      <c r="B157" s="50" t="s">
        <v>188</v>
      </c>
      <c r="C157" s="51" t="s">
        <v>202</v>
      </c>
      <c r="D157" s="51">
        <f>59.26*10.764</f>
        <v>637.87464</v>
      </c>
      <c r="E157" s="51">
        <v>0</v>
      </c>
      <c r="F157" s="51">
        <f t="shared" si="4"/>
        <v>924.918228</v>
      </c>
      <c r="G157" s="70"/>
      <c r="H157" s="71"/>
    </row>
    <row r="158" spans="1:10" s="23" customFormat="1">
      <c r="A158" s="52">
        <v>6</v>
      </c>
      <c r="B158" s="50" t="s">
        <v>188</v>
      </c>
      <c r="C158" s="51" t="s">
        <v>200</v>
      </c>
      <c r="D158" s="51">
        <f>35.44*10.764</f>
        <v>381.47615999999999</v>
      </c>
      <c r="E158" s="51">
        <v>0</v>
      </c>
      <c r="F158" s="51">
        <f t="shared" si="4"/>
        <v>553.14043200000003</v>
      </c>
      <c r="G158" s="72"/>
      <c r="H158" s="73"/>
    </row>
    <row r="159" spans="1:10" s="23" customFormat="1">
      <c r="A159" s="87" t="s">
        <v>204</v>
      </c>
      <c r="B159" s="87"/>
      <c r="C159" s="87"/>
      <c r="D159" s="87"/>
      <c r="E159" s="87"/>
      <c r="F159" s="87"/>
      <c r="G159" s="87"/>
      <c r="H159" s="87"/>
    </row>
    <row r="160" spans="1:10" s="23" customFormat="1">
      <c r="A160" s="52">
        <v>1</v>
      </c>
      <c r="B160" s="50" t="s">
        <v>188</v>
      </c>
      <c r="C160" s="51" t="s">
        <v>200</v>
      </c>
      <c r="D160" s="51">
        <f>34.76*10.764</f>
        <v>374.15663999999998</v>
      </c>
      <c r="E160" s="51">
        <v>0</v>
      </c>
      <c r="F160" s="51">
        <f t="shared" ref="F160:F165" si="5">D160*1.45+E160</f>
        <v>542.52712799999995</v>
      </c>
      <c r="G160" s="68" t="str">
        <f>A159</f>
        <v>7th Floor</v>
      </c>
      <c r="H160" s="69"/>
    </row>
    <row r="161" spans="1:8" s="23" customFormat="1">
      <c r="A161" s="52">
        <v>2</v>
      </c>
      <c r="B161" s="50" t="s">
        <v>188</v>
      </c>
      <c r="C161" s="51" t="s">
        <v>200</v>
      </c>
      <c r="D161" s="51">
        <f>25.56*10.764</f>
        <v>275.12783999999999</v>
      </c>
      <c r="E161" s="51">
        <v>0</v>
      </c>
      <c r="F161" s="51">
        <f t="shared" si="5"/>
        <v>398.93536799999998</v>
      </c>
      <c r="G161" s="70"/>
      <c r="H161" s="71"/>
    </row>
    <row r="162" spans="1:8" s="23" customFormat="1">
      <c r="A162" s="52">
        <v>3</v>
      </c>
      <c r="B162" s="50" t="s">
        <v>188</v>
      </c>
      <c r="C162" s="51" t="s">
        <v>200</v>
      </c>
      <c r="D162" s="51">
        <f>38.66*10.764</f>
        <v>416.13623999999999</v>
      </c>
      <c r="E162" s="51">
        <v>0</v>
      </c>
      <c r="F162" s="51">
        <f t="shared" si="5"/>
        <v>603.39754800000003</v>
      </c>
      <c r="G162" s="70"/>
      <c r="H162" s="71"/>
    </row>
    <row r="163" spans="1:8" s="23" customFormat="1">
      <c r="A163" s="52">
        <v>4</v>
      </c>
      <c r="B163" s="50" t="s">
        <v>188</v>
      </c>
      <c r="C163" s="51" t="s">
        <v>200</v>
      </c>
      <c r="D163" s="51">
        <f>39.24*10.764</f>
        <v>422.37936000000002</v>
      </c>
      <c r="E163" s="51">
        <v>0</v>
      </c>
      <c r="F163" s="51">
        <f t="shared" si="5"/>
        <v>612.45007199999998</v>
      </c>
      <c r="G163" s="70"/>
      <c r="H163" s="71"/>
    </row>
    <row r="164" spans="1:8" s="23" customFormat="1">
      <c r="A164" s="52">
        <v>5</v>
      </c>
      <c r="B164" s="50" t="s">
        <v>188</v>
      </c>
      <c r="C164" s="51" t="s">
        <v>202</v>
      </c>
      <c r="D164" s="51">
        <f>59.26*10.764</f>
        <v>637.87464</v>
      </c>
      <c r="E164" s="51">
        <v>0</v>
      </c>
      <c r="F164" s="51">
        <f t="shared" si="5"/>
        <v>924.918228</v>
      </c>
      <c r="G164" s="70"/>
      <c r="H164" s="71"/>
    </row>
    <row r="165" spans="1:8" s="23" customFormat="1">
      <c r="A165" s="52">
        <v>6</v>
      </c>
      <c r="B165" s="50" t="s">
        <v>188</v>
      </c>
      <c r="C165" s="51" t="s">
        <v>200</v>
      </c>
      <c r="D165" s="51">
        <f>35.44*10.764</f>
        <v>381.47615999999999</v>
      </c>
      <c r="E165" s="51">
        <v>0</v>
      </c>
      <c r="F165" s="51">
        <f t="shared" si="5"/>
        <v>553.14043200000003</v>
      </c>
      <c r="G165" s="72"/>
      <c r="H165" s="73"/>
    </row>
    <row r="166" spans="1:8" s="23" customFormat="1" ht="15.75" customHeight="1">
      <c r="A166" s="91" t="s">
        <v>205</v>
      </c>
      <c r="B166" s="92"/>
      <c r="C166" s="92"/>
      <c r="D166" s="92"/>
      <c r="E166" s="92"/>
      <c r="F166" s="92"/>
      <c r="G166" s="92"/>
      <c r="H166" s="93"/>
    </row>
    <row r="167" spans="1:8" s="23" customFormat="1" ht="15.75" customHeight="1">
      <c r="A167" s="52">
        <v>1</v>
      </c>
      <c r="B167" s="50" t="s">
        <v>188</v>
      </c>
      <c r="C167" s="51" t="s">
        <v>200</v>
      </c>
      <c r="D167" s="51">
        <f>34.76*10.764</f>
        <v>374.15663999999998</v>
      </c>
      <c r="E167" s="51">
        <v>0</v>
      </c>
      <c r="F167" s="51">
        <f t="shared" ref="F167:F170" si="6">D167*1.45+E167</f>
        <v>542.52712799999995</v>
      </c>
      <c r="G167" s="68" t="str">
        <f>A166</f>
        <v>8th Floor</v>
      </c>
      <c r="H167" s="69"/>
    </row>
    <row r="168" spans="1:8" s="23" customFormat="1">
      <c r="A168" s="52">
        <v>2</v>
      </c>
      <c r="B168" s="50" t="s">
        <v>188</v>
      </c>
      <c r="C168" s="51" t="s">
        <v>200</v>
      </c>
      <c r="D168" s="51">
        <f>25.56*10.764</f>
        <v>275.12783999999999</v>
      </c>
      <c r="E168" s="51">
        <v>0</v>
      </c>
      <c r="F168" s="51">
        <f t="shared" si="6"/>
        <v>398.93536799999998</v>
      </c>
      <c r="G168" s="70"/>
      <c r="H168" s="71"/>
    </row>
    <row r="169" spans="1:8" s="23" customFormat="1">
      <c r="A169" s="52">
        <v>3</v>
      </c>
      <c r="B169" s="50" t="s">
        <v>188</v>
      </c>
      <c r="C169" s="51" t="s">
        <v>200</v>
      </c>
      <c r="D169" s="51">
        <f>38.66*10.764</f>
        <v>416.13623999999999</v>
      </c>
      <c r="E169" s="51">
        <v>0</v>
      </c>
      <c r="F169" s="51">
        <f t="shared" si="6"/>
        <v>603.39754800000003</v>
      </c>
      <c r="G169" s="70"/>
      <c r="H169" s="71"/>
    </row>
    <row r="170" spans="1:8" s="23" customFormat="1">
      <c r="A170" s="52">
        <v>4</v>
      </c>
      <c r="B170" s="50" t="s">
        <v>188</v>
      </c>
      <c r="C170" s="51" t="s">
        <v>200</v>
      </c>
      <c r="D170" s="51">
        <f>39.24*10.764</f>
        <v>422.37936000000002</v>
      </c>
      <c r="E170" s="51">
        <v>0</v>
      </c>
      <c r="F170" s="51">
        <f t="shared" si="6"/>
        <v>612.45007199999998</v>
      </c>
      <c r="G170" s="70"/>
      <c r="H170" s="71"/>
    </row>
    <row r="171" spans="1:8" s="23" customFormat="1">
      <c r="A171" s="52">
        <v>5</v>
      </c>
      <c r="B171" s="50" t="s">
        <v>188</v>
      </c>
      <c r="C171" s="51" t="s">
        <v>202</v>
      </c>
      <c r="D171" s="51">
        <f>59.26*10.764</f>
        <v>637.87464</v>
      </c>
      <c r="E171" s="51">
        <v>0</v>
      </c>
      <c r="F171" s="51">
        <f t="shared" ref="F171:F172" si="7">D171*1.45+E171</f>
        <v>924.918228</v>
      </c>
      <c r="G171" s="70"/>
      <c r="H171" s="71"/>
    </row>
    <row r="172" spans="1:8" s="23" customFormat="1">
      <c r="A172" s="52">
        <v>6</v>
      </c>
      <c r="B172" s="50" t="s">
        <v>188</v>
      </c>
      <c r="C172" s="51" t="s">
        <v>200</v>
      </c>
      <c r="D172" s="51">
        <f>35.44*10.764</f>
        <v>381.47615999999999</v>
      </c>
      <c r="E172" s="51">
        <v>0</v>
      </c>
      <c r="F172" s="51">
        <f t="shared" si="7"/>
        <v>553.14043200000003</v>
      </c>
      <c r="G172" s="72"/>
      <c r="H172" s="73"/>
    </row>
    <row r="173" spans="1:8" s="23" customFormat="1">
      <c r="A173" s="91" t="s">
        <v>206</v>
      </c>
      <c r="B173" s="92"/>
      <c r="C173" s="92"/>
      <c r="D173" s="92"/>
      <c r="E173" s="92"/>
      <c r="F173" s="92"/>
      <c r="G173" s="92"/>
      <c r="H173" s="93"/>
    </row>
    <row r="174" spans="1:8" s="23" customFormat="1">
      <c r="A174" s="91" t="s">
        <v>207</v>
      </c>
      <c r="B174" s="92"/>
      <c r="C174" s="92"/>
      <c r="D174" s="92"/>
      <c r="E174" s="92"/>
      <c r="F174" s="92"/>
      <c r="G174" s="92"/>
      <c r="H174" s="93"/>
    </row>
    <row r="175" spans="1:8" s="23" customFormat="1" ht="15.75" customHeight="1">
      <c r="A175" s="51">
        <v>4</v>
      </c>
      <c r="B175" s="94" t="s">
        <v>208</v>
      </c>
      <c r="C175" s="95"/>
      <c r="D175" s="95"/>
      <c r="E175" s="95"/>
      <c r="F175" s="96"/>
      <c r="G175" s="70" t="str">
        <f>A174</f>
        <v>1st Floor for Commercial &amp; Amenities</v>
      </c>
      <c r="H175" s="71"/>
    </row>
    <row r="176" spans="1:8" s="23" customFormat="1">
      <c r="A176" s="51">
        <v>5</v>
      </c>
      <c r="B176" s="97" t="s">
        <v>209</v>
      </c>
      <c r="C176" s="98"/>
      <c r="D176" s="98"/>
      <c r="E176" s="98"/>
      <c r="F176" s="99"/>
      <c r="G176" s="70"/>
      <c r="H176" s="71"/>
    </row>
    <row r="177" spans="1:9" s="23" customFormat="1">
      <c r="A177" s="51">
        <v>6</v>
      </c>
      <c r="B177" s="97" t="s">
        <v>210</v>
      </c>
      <c r="C177" s="98"/>
      <c r="D177" s="98"/>
      <c r="E177" s="98"/>
      <c r="F177" s="99"/>
      <c r="G177" s="70"/>
      <c r="H177" s="71"/>
    </row>
    <row r="178" spans="1:9" s="23" customFormat="1" ht="45.75">
      <c r="A178" s="51">
        <v>7</v>
      </c>
      <c r="B178" s="51" t="s">
        <v>195</v>
      </c>
      <c r="C178" s="51" t="s">
        <v>211</v>
      </c>
      <c r="D178" s="51">
        <f>27.93*10.764</f>
        <v>300.63852000000003</v>
      </c>
      <c r="E178" s="51">
        <v>0</v>
      </c>
      <c r="F178" s="51">
        <f>D178*1.45+E178</f>
        <v>435.92585400000002</v>
      </c>
      <c r="G178" s="70"/>
      <c r="H178" s="71"/>
      <c r="I178" s="23">
        <v>4</v>
      </c>
    </row>
    <row r="179" spans="1:9" s="23" customFormat="1">
      <c r="A179" s="51">
        <v>8</v>
      </c>
      <c r="B179" s="51" t="s">
        <v>195</v>
      </c>
      <c r="C179" s="51" t="s">
        <v>200</v>
      </c>
      <c r="D179" s="51">
        <f t="shared" ref="D179:D181" si="8">27.93*10.764</f>
        <v>300.63852000000003</v>
      </c>
      <c r="E179" s="51">
        <v>0</v>
      </c>
      <c r="F179" s="51">
        <f t="shared" ref="F179:F181" si="9">D179*1.45+E179</f>
        <v>435.92585400000002</v>
      </c>
      <c r="G179" s="70"/>
      <c r="H179" s="71"/>
    </row>
    <row r="180" spans="1:9" s="23" customFormat="1">
      <c r="A180" s="51">
        <v>9</v>
      </c>
      <c r="B180" s="51" t="s">
        <v>195</v>
      </c>
      <c r="C180" s="51" t="s">
        <v>200</v>
      </c>
      <c r="D180" s="51">
        <f t="shared" si="8"/>
        <v>300.63852000000003</v>
      </c>
      <c r="E180" s="51">
        <v>0</v>
      </c>
      <c r="F180" s="51">
        <f t="shared" si="9"/>
        <v>435.92585400000002</v>
      </c>
      <c r="G180" s="70"/>
      <c r="H180" s="71"/>
    </row>
    <row r="181" spans="1:9" s="23" customFormat="1">
      <c r="A181" s="51">
        <v>10</v>
      </c>
      <c r="B181" s="51" t="s">
        <v>195</v>
      </c>
      <c r="C181" s="51" t="s">
        <v>200</v>
      </c>
      <c r="D181" s="51">
        <f t="shared" si="8"/>
        <v>300.63852000000003</v>
      </c>
      <c r="E181" s="51">
        <v>0</v>
      </c>
      <c r="F181" s="51">
        <f t="shared" si="9"/>
        <v>435.92585400000002</v>
      </c>
      <c r="G181" s="72"/>
      <c r="H181" s="73"/>
    </row>
    <row r="182" spans="1:9" s="23" customFormat="1">
      <c r="A182" s="87" t="s">
        <v>201</v>
      </c>
      <c r="B182" s="87"/>
      <c r="C182" s="87"/>
      <c r="D182" s="87"/>
      <c r="E182" s="87"/>
      <c r="F182" s="87"/>
      <c r="G182" s="87"/>
      <c r="H182" s="87"/>
    </row>
    <row r="183" spans="1:9" s="23" customFormat="1">
      <c r="A183" s="51">
        <v>1</v>
      </c>
      <c r="B183" s="51" t="s">
        <v>195</v>
      </c>
      <c r="C183" s="51" t="s">
        <v>200</v>
      </c>
      <c r="D183" s="51">
        <f>27.93*10.764</f>
        <v>300.63852000000003</v>
      </c>
      <c r="E183" s="51">
        <v>0</v>
      </c>
      <c r="F183" s="51">
        <f>D183*1.5+E183</f>
        <v>450.95778000000001</v>
      </c>
      <c r="G183" s="68" t="s">
        <v>199</v>
      </c>
      <c r="H183" s="69"/>
    </row>
    <row r="184" spans="1:9" s="23" customFormat="1">
      <c r="A184" s="51">
        <v>2</v>
      </c>
      <c r="B184" s="51" t="s">
        <v>195</v>
      </c>
      <c r="C184" s="51" t="s">
        <v>200</v>
      </c>
      <c r="D184" s="51">
        <f t="shared" ref="D184:D192" si="10">27.93*10.764</f>
        <v>300.63852000000003</v>
      </c>
      <c r="E184" s="51">
        <v>0</v>
      </c>
      <c r="F184" s="51">
        <f t="shared" ref="F184:F192" si="11">D184*1.5+E184</f>
        <v>450.95778000000001</v>
      </c>
      <c r="G184" s="70"/>
      <c r="H184" s="71"/>
    </row>
    <row r="185" spans="1:9" s="23" customFormat="1">
      <c r="A185" s="51">
        <v>3</v>
      </c>
      <c r="B185" s="51" t="s">
        <v>195</v>
      </c>
      <c r="C185" s="51" t="s">
        <v>200</v>
      </c>
      <c r="D185" s="51">
        <f t="shared" si="10"/>
        <v>300.63852000000003</v>
      </c>
      <c r="E185" s="51">
        <v>0</v>
      </c>
      <c r="F185" s="51">
        <f t="shared" si="11"/>
        <v>450.95778000000001</v>
      </c>
      <c r="G185" s="70"/>
      <c r="H185" s="71"/>
    </row>
    <row r="186" spans="1:9" s="23" customFormat="1">
      <c r="A186" s="51">
        <v>4</v>
      </c>
      <c r="B186" s="51" t="s">
        <v>195</v>
      </c>
      <c r="C186" s="51" t="s">
        <v>200</v>
      </c>
      <c r="D186" s="51">
        <f t="shared" si="10"/>
        <v>300.63852000000003</v>
      </c>
      <c r="E186" s="51">
        <v>0</v>
      </c>
      <c r="F186" s="51">
        <f t="shared" si="11"/>
        <v>450.95778000000001</v>
      </c>
      <c r="G186" s="70"/>
      <c r="H186" s="71"/>
    </row>
    <row r="187" spans="1:9" s="23" customFormat="1">
      <c r="A187" s="51">
        <v>5</v>
      </c>
      <c r="B187" s="51" t="s">
        <v>195</v>
      </c>
      <c r="C187" s="51" t="s">
        <v>200</v>
      </c>
      <c r="D187" s="51">
        <f t="shared" si="10"/>
        <v>300.63852000000003</v>
      </c>
      <c r="E187" s="51">
        <v>0</v>
      </c>
      <c r="F187" s="51">
        <f t="shared" si="11"/>
        <v>450.95778000000001</v>
      </c>
      <c r="G187" s="70"/>
      <c r="H187" s="71"/>
      <c r="I187" s="23">
        <v>10</v>
      </c>
    </row>
    <row r="188" spans="1:9" s="23" customFormat="1">
      <c r="A188" s="51">
        <v>6</v>
      </c>
      <c r="B188" s="51" t="s">
        <v>195</v>
      </c>
      <c r="C188" s="51" t="s">
        <v>200</v>
      </c>
      <c r="D188" s="51">
        <f t="shared" si="10"/>
        <v>300.63852000000003</v>
      </c>
      <c r="E188" s="51">
        <v>0</v>
      </c>
      <c r="F188" s="51">
        <f t="shared" si="11"/>
        <v>450.95778000000001</v>
      </c>
      <c r="G188" s="70"/>
      <c r="H188" s="71"/>
    </row>
    <row r="189" spans="1:9" s="23" customFormat="1">
      <c r="A189" s="51">
        <v>7</v>
      </c>
      <c r="B189" s="51" t="s">
        <v>195</v>
      </c>
      <c r="C189" s="51" t="s">
        <v>200</v>
      </c>
      <c r="D189" s="51">
        <f t="shared" si="10"/>
        <v>300.63852000000003</v>
      </c>
      <c r="E189" s="51">
        <v>0</v>
      </c>
      <c r="F189" s="51">
        <f t="shared" si="11"/>
        <v>450.95778000000001</v>
      </c>
      <c r="G189" s="70"/>
      <c r="H189" s="71"/>
    </row>
    <row r="190" spans="1:9" s="23" customFormat="1">
      <c r="A190" s="51">
        <v>8</v>
      </c>
      <c r="B190" s="51" t="s">
        <v>195</v>
      </c>
      <c r="C190" s="51" t="s">
        <v>200</v>
      </c>
      <c r="D190" s="51">
        <f t="shared" si="10"/>
        <v>300.63852000000003</v>
      </c>
      <c r="E190" s="51">
        <v>0</v>
      </c>
      <c r="F190" s="51">
        <f t="shared" si="11"/>
        <v>450.95778000000001</v>
      </c>
      <c r="G190" s="70"/>
      <c r="H190" s="71"/>
    </row>
    <row r="191" spans="1:9" s="23" customFormat="1">
      <c r="A191" s="51">
        <v>9</v>
      </c>
      <c r="B191" s="51" t="s">
        <v>195</v>
      </c>
      <c r="C191" s="51" t="s">
        <v>200</v>
      </c>
      <c r="D191" s="51">
        <f t="shared" si="10"/>
        <v>300.63852000000003</v>
      </c>
      <c r="E191" s="51">
        <v>0</v>
      </c>
      <c r="F191" s="51">
        <f t="shared" si="11"/>
        <v>450.95778000000001</v>
      </c>
      <c r="G191" s="70"/>
      <c r="H191" s="71"/>
    </row>
    <row r="192" spans="1:9" s="23" customFormat="1">
      <c r="A192" s="51">
        <v>10</v>
      </c>
      <c r="B192" s="51" t="s">
        <v>195</v>
      </c>
      <c r="C192" s="51" t="s">
        <v>200</v>
      </c>
      <c r="D192" s="51">
        <f t="shared" si="10"/>
        <v>300.63852000000003</v>
      </c>
      <c r="E192" s="51">
        <v>0</v>
      </c>
      <c r="F192" s="51">
        <f t="shared" si="11"/>
        <v>450.95778000000001</v>
      </c>
      <c r="G192" s="72"/>
      <c r="H192" s="73"/>
    </row>
    <row r="193" spans="1:9" s="23" customFormat="1">
      <c r="A193" s="87" t="s">
        <v>203</v>
      </c>
      <c r="B193" s="87"/>
      <c r="C193" s="87"/>
      <c r="D193" s="87"/>
      <c r="E193" s="87"/>
      <c r="F193" s="87"/>
      <c r="G193" s="87"/>
      <c r="H193" s="87"/>
    </row>
    <row r="194" spans="1:9" s="23" customFormat="1">
      <c r="A194" s="51">
        <v>1</v>
      </c>
      <c r="B194" s="51" t="s">
        <v>195</v>
      </c>
      <c r="C194" s="51" t="s">
        <v>200</v>
      </c>
      <c r="D194" s="51">
        <f>27.93*10.764</f>
        <v>300.63852000000003</v>
      </c>
      <c r="E194" s="51">
        <v>0</v>
      </c>
      <c r="F194" s="51">
        <f>D194*1.5+E194</f>
        <v>450.95778000000001</v>
      </c>
      <c r="G194" s="68" t="str">
        <f>A193</f>
        <v>3rd to 6th Floor</v>
      </c>
      <c r="H194" s="69"/>
    </row>
    <row r="195" spans="1:9" s="23" customFormat="1">
      <c r="A195" s="51">
        <v>2</v>
      </c>
      <c r="B195" s="51" t="s">
        <v>195</v>
      </c>
      <c r="C195" s="51" t="s">
        <v>200</v>
      </c>
      <c r="D195" s="51">
        <f t="shared" ref="D195:D203" si="12">27.93*10.764</f>
        <v>300.63852000000003</v>
      </c>
      <c r="E195" s="51">
        <v>0</v>
      </c>
      <c r="F195" s="51">
        <f t="shared" ref="F195:F203" si="13">D195*1.5+E195</f>
        <v>450.95778000000001</v>
      </c>
      <c r="G195" s="70"/>
      <c r="H195" s="71"/>
    </row>
    <row r="196" spans="1:9" s="23" customFormat="1">
      <c r="A196" s="51">
        <v>3</v>
      </c>
      <c r="B196" s="51" t="s">
        <v>195</v>
      </c>
      <c r="C196" s="51" t="s">
        <v>200</v>
      </c>
      <c r="D196" s="51">
        <f t="shared" si="12"/>
        <v>300.63852000000003</v>
      </c>
      <c r="E196" s="51">
        <v>0</v>
      </c>
      <c r="F196" s="51">
        <f t="shared" si="13"/>
        <v>450.95778000000001</v>
      </c>
      <c r="G196" s="70"/>
      <c r="H196" s="71"/>
    </row>
    <row r="197" spans="1:9" s="23" customFormat="1">
      <c r="A197" s="51">
        <v>4</v>
      </c>
      <c r="B197" s="51" t="s">
        <v>195</v>
      </c>
      <c r="C197" s="51" t="s">
        <v>200</v>
      </c>
      <c r="D197" s="51">
        <f t="shared" si="12"/>
        <v>300.63852000000003</v>
      </c>
      <c r="E197" s="51">
        <v>0</v>
      </c>
      <c r="F197" s="51">
        <f t="shared" si="13"/>
        <v>450.95778000000001</v>
      </c>
      <c r="G197" s="70"/>
      <c r="H197" s="71"/>
      <c r="I197" s="23">
        <f>10*4</f>
        <v>40</v>
      </c>
    </row>
    <row r="198" spans="1:9" s="23" customFormat="1">
      <c r="A198" s="51">
        <v>5</v>
      </c>
      <c r="B198" s="51" t="s">
        <v>195</v>
      </c>
      <c r="C198" s="51" t="s">
        <v>200</v>
      </c>
      <c r="D198" s="51">
        <f t="shared" si="12"/>
        <v>300.63852000000003</v>
      </c>
      <c r="E198" s="51">
        <v>0</v>
      </c>
      <c r="F198" s="51">
        <f t="shared" si="13"/>
        <v>450.95778000000001</v>
      </c>
      <c r="G198" s="70"/>
      <c r="H198" s="71"/>
    </row>
    <row r="199" spans="1:9" s="23" customFormat="1">
      <c r="A199" s="51">
        <v>6</v>
      </c>
      <c r="B199" s="51" t="s">
        <v>195</v>
      </c>
      <c r="C199" s="51" t="s">
        <v>200</v>
      </c>
      <c r="D199" s="51">
        <f t="shared" si="12"/>
        <v>300.63852000000003</v>
      </c>
      <c r="E199" s="51">
        <v>0</v>
      </c>
      <c r="F199" s="51">
        <f t="shared" si="13"/>
        <v>450.95778000000001</v>
      </c>
      <c r="G199" s="70"/>
      <c r="H199" s="71"/>
    </row>
    <row r="200" spans="1:9" s="23" customFormat="1">
      <c r="A200" s="51">
        <v>7</v>
      </c>
      <c r="B200" s="51" t="s">
        <v>195</v>
      </c>
      <c r="C200" s="51" t="s">
        <v>200</v>
      </c>
      <c r="D200" s="51">
        <f t="shared" si="12"/>
        <v>300.63852000000003</v>
      </c>
      <c r="E200" s="51">
        <v>0</v>
      </c>
      <c r="F200" s="51">
        <f t="shared" si="13"/>
        <v>450.95778000000001</v>
      </c>
      <c r="G200" s="70"/>
      <c r="H200" s="71"/>
    </row>
    <row r="201" spans="1:9" s="23" customFormat="1">
      <c r="A201" s="51">
        <v>8</v>
      </c>
      <c r="B201" s="51" t="s">
        <v>195</v>
      </c>
      <c r="C201" s="51" t="s">
        <v>200</v>
      </c>
      <c r="D201" s="51">
        <f t="shared" si="12"/>
        <v>300.63852000000003</v>
      </c>
      <c r="E201" s="51">
        <v>0</v>
      </c>
      <c r="F201" s="51">
        <f t="shared" si="13"/>
        <v>450.95778000000001</v>
      </c>
      <c r="G201" s="70"/>
      <c r="H201" s="71"/>
    </row>
    <row r="202" spans="1:9" s="23" customFormat="1">
      <c r="A202" s="51">
        <v>9</v>
      </c>
      <c r="B202" s="51" t="s">
        <v>195</v>
      </c>
      <c r="C202" s="51" t="s">
        <v>200</v>
      </c>
      <c r="D202" s="51">
        <f t="shared" si="12"/>
        <v>300.63852000000003</v>
      </c>
      <c r="E202" s="51">
        <v>0</v>
      </c>
      <c r="F202" s="51">
        <f t="shared" si="13"/>
        <v>450.95778000000001</v>
      </c>
      <c r="G202" s="70"/>
      <c r="H202" s="71"/>
    </row>
    <row r="203" spans="1:9" s="23" customFormat="1">
      <c r="A203" s="51">
        <v>10</v>
      </c>
      <c r="B203" s="51" t="s">
        <v>195</v>
      </c>
      <c r="C203" s="51" t="s">
        <v>200</v>
      </c>
      <c r="D203" s="51">
        <f t="shared" si="12"/>
        <v>300.63852000000003</v>
      </c>
      <c r="E203" s="51">
        <v>0</v>
      </c>
      <c r="F203" s="51">
        <f t="shared" si="13"/>
        <v>450.95778000000001</v>
      </c>
      <c r="G203" s="72"/>
      <c r="H203" s="73"/>
    </row>
    <row r="204" spans="1:9" s="23" customFormat="1">
      <c r="A204" s="87" t="s">
        <v>204</v>
      </c>
      <c r="B204" s="87"/>
      <c r="C204" s="87"/>
      <c r="D204" s="87"/>
      <c r="E204" s="87"/>
      <c r="F204" s="87"/>
      <c r="G204" s="87"/>
      <c r="H204" s="87"/>
    </row>
    <row r="205" spans="1:9" s="23" customFormat="1">
      <c r="A205" s="51">
        <v>1</v>
      </c>
      <c r="B205" s="51" t="s">
        <v>212</v>
      </c>
      <c r="C205" s="51" t="s">
        <v>200</v>
      </c>
      <c r="D205" s="51">
        <f>27.93*10.764</f>
        <v>300.63852000000003</v>
      </c>
      <c r="E205" s="51">
        <v>0</v>
      </c>
      <c r="F205" s="51">
        <f>D205*1.5+E205</f>
        <v>450.95778000000001</v>
      </c>
      <c r="G205" s="68" t="str">
        <f>A204</f>
        <v>7th Floor</v>
      </c>
      <c r="H205" s="69"/>
    </row>
    <row r="206" spans="1:9" s="23" customFormat="1">
      <c r="A206" s="51">
        <v>2</v>
      </c>
      <c r="B206" s="51" t="s">
        <v>212</v>
      </c>
      <c r="C206" s="51" t="s">
        <v>200</v>
      </c>
      <c r="D206" s="51">
        <f t="shared" ref="D206:D214" si="14">27.93*10.764</f>
        <v>300.63852000000003</v>
      </c>
      <c r="E206" s="51">
        <v>0</v>
      </c>
      <c r="F206" s="51">
        <f t="shared" ref="F206:F214" si="15">D206*1.5+E206</f>
        <v>450.95778000000001</v>
      </c>
      <c r="G206" s="70"/>
      <c r="H206" s="71"/>
    </row>
    <row r="207" spans="1:9" s="23" customFormat="1">
      <c r="A207" s="51">
        <v>3</v>
      </c>
      <c r="B207" s="50" t="s">
        <v>188</v>
      </c>
      <c r="C207" s="51" t="s">
        <v>200</v>
      </c>
      <c r="D207" s="51">
        <f t="shared" si="14"/>
        <v>300.63852000000003</v>
      </c>
      <c r="E207" s="51">
        <v>0</v>
      </c>
      <c r="F207" s="51">
        <f t="shared" si="15"/>
        <v>450.95778000000001</v>
      </c>
      <c r="G207" s="70"/>
      <c r="H207" s="71"/>
    </row>
    <row r="208" spans="1:9" s="23" customFormat="1">
      <c r="A208" s="51">
        <v>4</v>
      </c>
      <c r="B208" s="50" t="s">
        <v>188</v>
      </c>
      <c r="C208" s="51" t="s">
        <v>200</v>
      </c>
      <c r="D208" s="51">
        <f t="shared" si="14"/>
        <v>300.63852000000003</v>
      </c>
      <c r="E208" s="51">
        <v>0</v>
      </c>
      <c r="F208" s="51">
        <f t="shared" si="15"/>
        <v>450.95778000000001</v>
      </c>
      <c r="G208" s="70"/>
      <c r="H208" s="71"/>
    </row>
    <row r="209" spans="1:9" s="23" customFormat="1">
      <c r="A209" s="51">
        <v>5</v>
      </c>
      <c r="B209" s="51" t="s">
        <v>195</v>
      </c>
      <c r="C209" s="51" t="s">
        <v>200</v>
      </c>
      <c r="D209" s="51">
        <f t="shared" si="14"/>
        <v>300.63852000000003</v>
      </c>
      <c r="E209" s="51">
        <v>0</v>
      </c>
      <c r="F209" s="51">
        <f t="shared" si="15"/>
        <v>450.95778000000001</v>
      </c>
      <c r="G209" s="70"/>
      <c r="H209" s="71"/>
      <c r="I209" s="23">
        <v>5</v>
      </c>
    </row>
    <row r="210" spans="1:9" s="23" customFormat="1">
      <c r="A210" s="51">
        <v>6</v>
      </c>
      <c r="B210" s="51" t="s">
        <v>195</v>
      </c>
      <c r="C210" s="51" t="s">
        <v>200</v>
      </c>
      <c r="D210" s="51">
        <f t="shared" si="14"/>
        <v>300.63852000000003</v>
      </c>
      <c r="E210" s="51">
        <v>0</v>
      </c>
      <c r="F210" s="51">
        <f t="shared" si="15"/>
        <v>450.95778000000001</v>
      </c>
      <c r="G210" s="70"/>
      <c r="H210" s="71"/>
    </row>
    <row r="211" spans="1:9" s="23" customFormat="1">
      <c r="A211" s="51">
        <v>7</v>
      </c>
      <c r="B211" s="51" t="s">
        <v>195</v>
      </c>
      <c r="C211" s="51" t="s">
        <v>200</v>
      </c>
      <c r="D211" s="51">
        <f t="shared" si="14"/>
        <v>300.63852000000003</v>
      </c>
      <c r="E211" s="51">
        <v>0</v>
      </c>
      <c r="F211" s="51">
        <f t="shared" si="15"/>
        <v>450.95778000000001</v>
      </c>
      <c r="G211" s="70"/>
      <c r="H211" s="71"/>
    </row>
    <row r="212" spans="1:9" s="23" customFormat="1">
      <c r="A212" s="51">
        <v>8</v>
      </c>
      <c r="B212" s="51" t="s">
        <v>212</v>
      </c>
      <c r="C212" s="51" t="s">
        <v>200</v>
      </c>
      <c r="D212" s="51">
        <f t="shared" si="14"/>
        <v>300.63852000000003</v>
      </c>
      <c r="E212" s="51">
        <v>0</v>
      </c>
      <c r="F212" s="51">
        <f t="shared" si="15"/>
        <v>450.95778000000001</v>
      </c>
      <c r="G212" s="70"/>
      <c r="H212" s="71"/>
    </row>
    <row r="213" spans="1:9" s="23" customFormat="1">
      <c r="A213" s="51">
        <v>9</v>
      </c>
      <c r="B213" s="51" t="s">
        <v>212</v>
      </c>
      <c r="C213" s="51" t="s">
        <v>200</v>
      </c>
      <c r="D213" s="51">
        <f t="shared" si="14"/>
        <v>300.63852000000003</v>
      </c>
      <c r="E213" s="51">
        <v>0</v>
      </c>
      <c r="F213" s="51">
        <f t="shared" si="15"/>
        <v>450.95778000000001</v>
      </c>
      <c r="G213" s="70"/>
      <c r="H213" s="71"/>
    </row>
    <row r="214" spans="1:9" s="23" customFormat="1">
      <c r="A214" s="51">
        <v>10</v>
      </c>
      <c r="B214" s="51" t="s">
        <v>212</v>
      </c>
      <c r="C214" s="51" t="s">
        <v>200</v>
      </c>
      <c r="D214" s="51">
        <f t="shared" si="14"/>
        <v>300.63852000000003</v>
      </c>
      <c r="E214" s="51">
        <v>0</v>
      </c>
      <c r="F214" s="51">
        <f t="shared" si="15"/>
        <v>450.95778000000001</v>
      </c>
      <c r="G214" s="72"/>
      <c r="H214" s="73"/>
    </row>
    <row r="215" spans="1:9" s="23" customFormat="1">
      <c r="A215" s="87" t="s">
        <v>205</v>
      </c>
      <c r="B215" s="87"/>
      <c r="C215" s="87"/>
      <c r="D215" s="87"/>
      <c r="E215" s="87"/>
      <c r="F215" s="87"/>
      <c r="G215" s="87"/>
      <c r="H215" s="87"/>
    </row>
    <row r="216" spans="1:9" s="23" customFormat="1">
      <c r="A216" s="51">
        <v>1</v>
      </c>
      <c r="B216" s="50" t="s">
        <v>188</v>
      </c>
      <c r="C216" s="51" t="s">
        <v>200</v>
      </c>
      <c r="D216" s="51">
        <f t="shared" ref="D216:D225" si="16">27.93*10.764</f>
        <v>300.63852000000003</v>
      </c>
      <c r="E216" s="51">
        <v>0</v>
      </c>
      <c r="F216" s="51">
        <f t="shared" ref="F216:F225" si="17">D216*1.5+E216</f>
        <v>450.95778000000001</v>
      </c>
      <c r="G216" s="68" t="str">
        <f>A215</f>
        <v>8th Floor</v>
      </c>
      <c r="H216" s="69"/>
    </row>
    <row r="217" spans="1:9" s="23" customFormat="1">
      <c r="A217" s="51">
        <v>2</v>
      </c>
      <c r="B217" s="50" t="s">
        <v>188</v>
      </c>
      <c r="C217" s="51" t="s">
        <v>200</v>
      </c>
      <c r="D217" s="51">
        <f t="shared" si="16"/>
        <v>300.63852000000003</v>
      </c>
      <c r="E217" s="51">
        <v>0</v>
      </c>
      <c r="F217" s="51">
        <f t="shared" si="17"/>
        <v>450.95778000000001</v>
      </c>
      <c r="G217" s="70"/>
      <c r="H217" s="71"/>
    </row>
    <row r="218" spans="1:9" s="23" customFormat="1">
      <c r="A218" s="51">
        <v>3</v>
      </c>
      <c r="B218" s="50" t="s">
        <v>188</v>
      </c>
      <c r="C218" s="51" t="s">
        <v>200</v>
      </c>
      <c r="D218" s="51">
        <f t="shared" si="16"/>
        <v>300.63852000000003</v>
      </c>
      <c r="E218" s="51">
        <v>0</v>
      </c>
      <c r="F218" s="51">
        <f t="shared" si="17"/>
        <v>450.95778000000001</v>
      </c>
      <c r="G218" s="70"/>
      <c r="H218" s="71"/>
    </row>
    <row r="219" spans="1:9" s="23" customFormat="1">
      <c r="A219" s="51">
        <v>4</v>
      </c>
      <c r="B219" s="50" t="s">
        <v>188</v>
      </c>
      <c r="C219" s="51" t="s">
        <v>200</v>
      </c>
      <c r="D219" s="51">
        <f t="shared" si="16"/>
        <v>300.63852000000003</v>
      </c>
      <c r="E219" s="51">
        <v>0</v>
      </c>
      <c r="F219" s="51">
        <f t="shared" si="17"/>
        <v>450.95778000000001</v>
      </c>
      <c r="G219" s="70"/>
      <c r="H219" s="71"/>
    </row>
    <row r="220" spans="1:9" s="23" customFormat="1">
      <c r="A220" s="51">
        <v>5</v>
      </c>
      <c r="B220" s="50" t="s">
        <v>188</v>
      </c>
      <c r="C220" s="51" t="s">
        <v>200</v>
      </c>
      <c r="D220" s="51">
        <f t="shared" si="16"/>
        <v>300.63852000000003</v>
      </c>
      <c r="E220" s="51">
        <v>0</v>
      </c>
      <c r="F220" s="51">
        <f t="shared" si="17"/>
        <v>450.95778000000001</v>
      </c>
      <c r="G220" s="70"/>
      <c r="H220" s="71"/>
    </row>
    <row r="221" spans="1:9" s="23" customFormat="1">
      <c r="A221" s="51">
        <v>6</v>
      </c>
      <c r="B221" s="50" t="s">
        <v>188</v>
      </c>
      <c r="C221" s="51" t="s">
        <v>200</v>
      </c>
      <c r="D221" s="51">
        <f t="shared" si="16"/>
        <v>300.63852000000003</v>
      </c>
      <c r="E221" s="51">
        <v>0</v>
      </c>
      <c r="F221" s="51">
        <f t="shared" si="17"/>
        <v>450.95778000000001</v>
      </c>
      <c r="G221" s="70"/>
      <c r="H221" s="71"/>
    </row>
    <row r="222" spans="1:9" s="23" customFormat="1">
      <c r="A222" s="51">
        <v>7</v>
      </c>
      <c r="B222" s="50" t="s">
        <v>188</v>
      </c>
      <c r="C222" s="51" t="s">
        <v>200</v>
      </c>
      <c r="D222" s="51">
        <f t="shared" si="16"/>
        <v>300.63852000000003</v>
      </c>
      <c r="E222" s="51">
        <v>0</v>
      </c>
      <c r="F222" s="51">
        <f t="shared" si="17"/>
        <v>450.95778000000001</v>
      </c>
      <c r="G222" s="70"/>
      <c r="H222" s="71"/>
    </row>
    <row r="223" spans="1:9" s="23" customFormat="1">
      <c r="A223" s="51">
        <v>8</v>
      </c>
      <c r="B223" s="50" t="s">
        <v>188</v>
      </c>
      <c r="C223" s="51" t="s">
        <v>200</v>
      </c>
      <c r="D223" s="51">
        <f t="shared" si="16"/>
        <v>300.63852000000003</v>
      </c>
      <c r="E223" s="51">
        <v>0</v>
      </c>
      <c r="F223" s="51">
        <f t="shared" si="17"/>
        <v>450.95778000000001</v>
      </c>
      <c r="G223" s="70"/>
      <c r="H223" s="71"/>
    </row>
    <row r="224" spans="1:9" s="23" customFormat="1">
      <c r="A224" s="51">
        <v>9</v>
      </c>
      <c r="B224" s="50" t="s">
        <v>188</v>
      </c>
      <c r="C224" s="51" t="s">
        <v>200</v>
      </c>
      <c r="D224" s="51">
        <f t="shared" si="16"/>
        <v>300.63852000000003</v>
      </c>
      <c r="E224" s="51">
        <v>0</v>
      </c>
      <c r="F224" s="51">
        <f t="shared" si="17"/>
        <v>450.95778000000001</v>
      </c>
      <c r="G224" s="70"/>
      <c r="H224" s="71"/>
    </row>
    <row r="225" spans="1:8" s="23" customFormat="1">
      <c r="A225" s="51">
        <v>10</v>
      </c>
      <c r="B225" s="50" t="s">
        <v>188</v>
      </c>
      <c r="C225" s="51" t="s">
        <v>200</v>
      </c>
      <c r="D225" s="51">
        <f t="shared" si="16"/>
        <v>300.63852000000003</v>
      </c>
      <c r="E225" s="51">
        <v>0</v>
      </c>
      <c r="F225" s="51">
        <f t="shared" si="17"/>
        <v>450.95778000000001</v>
      </c>
      <c r="G225" s="72"/>
      <c r="H225" s="73"/>
    </row>
    <row r="226" spans="1:8" s="22" customFormat="1">
      <c r="A226" s="88" t="s">
        <v>213</v>
      </c>
      <c r="B226" s="88"/>
      <c r="C226" s="88"/>
      <c r="D226" s="88"/>
      <c r="E226" s="88"/>
      <c r="F226" s="88"/>
      <c r="G226" s="88"/>
      <c r="H226" s="88"/>
    </row>
    <row r="227" spans="1:8" s="24" customFormat="1" ht="143.25" customHeight="1">
      <c r="A227" s="89" t="s">
        <v>265</v>
      </c>
      <c r="B227" s="89"/>
      <c r="C227" s="89"/>
      <c r="D227" s="89"/>
      <c r="E227" s="89"/>
      <c r="F227" s="89"/>
      <c r="G227" s="89"/>
      <c r="H227" s="89"/>
    </row>
    <row r="228" spans="1:8">
      <c r="A228" s="90" t="s">
        <v>214</v>
      </c>
      <c r="B228" s="90"/>
      <c r="C228" s="90"/>
      <c r="D228" s="90"/>
      <c r="E228" s="90"/>
      <c r="F228" s="90"/>
      <c r="G228" s="90"/>
      <c r="H228" s="90"/>
    </row>
    <row r="229" spans="1:8">
      <c r="A229" s="78" t="s">
        <v>215</v>
      </c>
      <c r="B229" s="78"/>
      <c r="C229" s="78"/>
      <c r="D229" s="78"/>
      <c r="E229" s="78"/>
      <c r="F229" s="78"/>
      <c r="G229" s="78"/>
      <c r="H229" s="78"/>
    </row>
    <row r="230" spans="1:8" ht="15.75" customHeight="1">
      <c r="A230" s="90" t="s">
        <v>216</v>
      </c>
      <c r="B230" s="90"/>
      <c r="C230" s="90"/>
      <c r="D230" s="90"/>
      <c r="E230" s="90"/>
      <c r="F230" s="90"/>
      <c r="G230" s="90"/>
      <c r="H230" s="90"/>
    </row>
    <row r="231" spans="1:8">
      <c r="A231" s="78" t="s">
        <v>217</v>
      </c>
      <c r="B231" s="78"/>
      <c r="C231" s="78"/>
      <c r="D231" s="78"/>
      <c r="E231" s="78"/>
      <c r="F231" s="78"/>
      <c r="G231" s="78"/>
      <c r="H231" s="78"/>
    </row>
    <row r="232" spans="1:8">
      <c r="A232" s="78" t="s">
        <v>218</v>
      </c>
      <c r="B232" s="78"/>
      <c r="C232" s="78"/>
      <c r="D232" s="78"/>
      <c r="E232" s="78"/>
      <c r="F232" s="78"/>
      <c r="G232" s="78"/>
      <c r="H232" s="78"/>
    </row>
    <row r="233" spans="1:8">
      <c r="A233" s="78" t="s">
        <v>219</v>
      </c>
      <c r="B233" s="78"/>
      <c r="C233" s="78"/>
      <c r="D233" s="78"/>
      <c r="E233" s="78"/>
      <c r="F233" s="78"/>
      <c r="G233" s="78"/>
      <c r="H233" s="78"/>
    </row>
    <row r="234" spans="1:8" ht="35.25" customHeight="1">
      <c r="A234" s="79" t="s">
        <v>220</v>
      </c>
      <c r="B234" s="79"/>
      <c r="C234" s="79"/>
      <c r="D234" s="79"/>
      <c r="E234" s="79"/>
      <c r="F234" s="79"/>
      <c r="G234" s="79"/>
      <c r="H234" s="79"/>
    </row>
    <row r="235" spans="1:8">
      <c r="A235" s="80" t="s">
        <v>221</v>
      </c>
      <c r="B235" s="80"/>
      <c r="C235" s="80" t="s">
        <v>264</v>
      </c>
      <c r="D235" s="80"/>
      <c r="E235" s="80" t="s">
        <v>222</v>
      </c>
      <c r="F235" s="80"/>
      <c r="G235" s="80" t="s">
        <v>263</v>
      </c>
      <c r="H235" s="80"/>
    </row>
    <row r="236" spans="1:8">
      <c r="A236" s="67" t="s">
        <v>223</v>
      </c>
      <c r="B236" s="67"/>
      <c r="C236" s="67"/>
      <c r="D236" s="67"/>
      <c r="E236" s="67"/>
      <c r="F236" s="67"/>
      <c r="G236" s="67"/>
      <c r="H236" s="67"/>
    </row>
    <row r="237" spans="1:8">
      <c r="A237" s="67"/>
      <c r="B237" s="67"/>
      <c r="C237" s="67"/>
      <c r="D237" s="67"/>
      <c r="E237" s="67"/>
      <c r="F237" s="67"/>
      <c r="G237" s="67"/>
      <c r="H237" s="67"/>
    </row>
    <row r="238" spans="1:8">
      <c r="A238" s="67"/>
      <c r="B238" s="67"/>
      <c r="C238" s="67"/>
      <c r="D238" s="67"/>
      <c r="E238" s="67"/>
      <c r="F238" s="67"/>
      <c r="G238" s="67"/>
      <c r="H238" s="67"/>
    </row>
    <row r="239" spans="1:8">
      <c r="A239" s="67"/>
      <c r="B239" s="67"/>
      <c r="C239" s="67"/>
      <c r="D239" s="67"/>
      <c r="E239" s="67"/>
      <c r="F239" s="67"/>
      <c r="G239" s="67"/>
      <c r="H239" s="67"/>
    </row>
    <row r="240" spans="1:8">
      <c r="A240" s="62" t="s">
        <v>224</v>
      </c>
      <c r="B240" s="63"/>
      <c r="C240" s="63"/>
      <c r="D240" s="62" t="str">
        <f>E8</f>
        <v>O and S Royale</v>
      </c>
      <c r="F240" s="63"/>
      <c r="G240" s="63"/>
      <c r="H240" s="63"/>
    </row>
    <row r="241" spans="1:8">
      <c r="A241" s="63"/>
      <c r="B241" s="63"/>
      <c r="C241" s="63"/>
      <c r="D241" s="63"/>
      <c r="E241" s="63"/>
      <c r="F241" s="63"/>
      <c r="G241" s="63"/>
      <c r="H241" s="63"/>
    </row>
    <row r="242" spans="1:8">
      <c r="A242" s="63"/>
      <c r="B242" s="63"/>
      <c r="C242" s="63"/>
      <c r="D242" s="63"/>
      <c r="E242" s="63"/>
      <c r="F242" s="63"/>
      <c r="G242" s="63"/>
      <c r="H242" s="63"/>
    </row>
    <row r="243" spans="1:8" ht="15" customHeight="1"/>
    <row r="281" spans="1:1">
      <c r="A281" s="64" t="s">
        <v>225</v>
      </c>
    </row>
    <row r="321" spans="1:1">
      <c r="A321" s="64" t="s">
        <v>226</v>
      </c>
    </row>
    <row r="556" spans="11:11">
      <c r="K556" s="26" t="s">
        <v>227</v>
      </c>
    </row>
  </sheetData>
  <mergeCells count="295">
    <mergeCell ref="A1:H1"/>
    <mergeCell ref="A2:H2"/>
    <mergeCell ref="A3:D3"/>
    <mergeCell ref="E3:H3"/>
    <mergeCell ref="A4:D4"/>
    <mergeCell ref="E4:H4"/>
    <mergeCell ref="A5:D5"/>
    <mergeCell ref="E5:H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B13"/>
    <mergeCell ref="C13:H13"/>
    <mergeCell ref="A14:B14"/>
    <mergeCell ref="C14:H14"/>
    <mergeCell ref="A15:B15"/>
    <mergeCell ref="C15:D15"/>
    <mergeCell ref="E15:F15"/>
    <mergeCell ref="G15:H15"/>
    <mergeCell ref="A16:B16"/>
    <mergeCell ref="C16:D16"/>
    <mergeCell ref="E16:F16"/>
    <mergeCell ref="G16:H16"/>
    <mergeCell ref="A17:B17"/>
    <mergeCell ref="C17:D17"/>
    <mergeCell ref="E17:F17"/>
    <mergeCell ref="G17:H17"/>
    <mergeCell ref="A18:B18"/>
    <mergeCell ref="C18:D18"/>
    <mergeCell ref="E18:F18"/>
    <mergeCell ref="G18:H18"/>
    <mergeCell ref="A21:D21"/>
    <mergeCell ref="E21:H21"/>
    <mergeCell ref="A22:D22"/>
    <mergeCell ref="E22:H22"/>
    <mergeCell ref="A23:D23"/>
    <mergeCell ref="E23:H23"/>
    <mergeCell ref="A24:D24"/>
    <mergeCell ref="E24:H24"/>
    <mergeCell ref="A25:D25"/>
    <mergeCell ref="E25:H25"/>
    <mergeCell ref="A26:D26"/>
    <mergeCell ref="E26:H26"/>
    <mergeCell ref="A27:D27"/>
    <mergeCell ref="E27:H27"/>
    <mergeCell ref="A28:D28"/>
    <mergeCell ref="E28:H28"/>
    <mergeCell ref="A29:B29"/>
    <mergeCell ref="C29:E29"/>
    <mergeCell ref="F29:H29"/>
    <mergeCell ref="A30:B30"/>
    <mergeCell ref="C30:E30"/>
    <mergeCell ref="F30:H30"/>
    <mergeCell ref="A31:B31"/>
    <mergeCell ref="C31:E31"/>
    <mergeCell ref="F31:H31"/>
    <mergeCell ref="A32:B32"/>
    <mergeCell ref="C32:E32"/>
    <mergeCell ref="F32:H32"/>
    <mergeCell ref="A33:B33"/>
    <mergeCell ref="C33:E33"/>
    <mergeCell ref="F33:H33"/>
    <mergeCell ref="A34:H34"/>
    <mergeCell ref="A35:B35"/>
    <mergeCell ref="C35:D35"/>
    <mergeCell ref="E35:F35"/>
    <mergeCell ref="G35:H35"/>
    <mergeCell ref="A36:B36"/>
    <mergeCell ref="C36:H36"/>
    <mergeCell ref="A37:H37"/>
    <mergeCell ref="A38:D38"/>
    <mergeCell ref="E38:H38"/>
    <mergeCell ref="A39:D39"/>
    <mergeCell ref="E39:H39"/>
    <mergeCell ref="A40:D40"/>
    <mergeCell ref="E40:H40"/>
    <mergeCell ref="A41:D41"/>
    <mergeCell ref="E41:H41"/>
    <mergeCell ref="A42:D42"/>
    <mergeCell ref="E42:H42"/>
    <mergeCell ref="A43:D43"/>
    <mergeCell ref="E43:H43"/>
    <mergeCell ref="A44:H44"/>
    <mergeCell ref="A45:B45"/>
    <mergeCell ref="C45:E45"/>
    <mergeCell ref="G45:H45"/>
    <mergeCell ref="A46:B46"/>
    <mergeCell ref="C46:E46"/>
    <mergeCell ref="G46:H46"/>
    <mergeCell ref="C47:E47"/>
    <mergeCell ref="G47:H47"/>
    <mergeCell ref="C48:H48"/>
    <mergeCell ref="C49:E49"/>
    <mergeCell ref="G49:H49"/>
    <mergeCell ref="C50:H50"/>
    <mergeCell ref="A51:B51"/>
    <mergeCell ref="C51:E51"/>
    <mergeCell ref="G51:H51"/>
    <mergeCell ref="A52:H52"/>
    <mergeCell ref="A53:C53"/>
    <mergeCell ref="D53:H53"/>
    <mergeCell ref="A54:C54"/>
    <mergeCell ref="D54:H54"/>
    <mergeCell ref="A55:C55"/>
    <mergeCell ref="D55:H55"/>
    <mergeCell ref="A56:C56"/>
    <mergeCell ref="D56:H56"/>
    <mergeCell ref="A57:C57"/>
    <mergeCell ref="D57:H57"/>
    <mergeCell ref="A58:C58"/>
    <mergeCell ref="D58:H58"/>
    <mergeCell ref="A59:C59"/>
    <mergeCell ref="D59:H59"/>
    <mergeCell ref="A60:C60"/>
    <mergeCell ref="D60:H60"/>
    <mergeCell ref="A61:B61"/>
    <mergeCell ref="C61:H61"/>
    <mergeCell ref="A63:B63"/>
    <mergeCell ref="C63:H63"/>
    <mergeCell ref="A64:B64"/>
    <mergeCell ref="E64:F64"/>
    <mergeCell ref="G64:H64"/>
    <mergeCell ref="A65:B65"/>
    <mergeCell ref="A66:B66"/>
    <mergeCell ref="A67:B67"/>
    <mergeCell ref="A68:B68"/>
    <mergeCell ref="A69:B69"/>
    <mergeCell ref="A70:B70"/>
    <mergeCell ref="A71:B71"/>
    <mergeCell ref="A72:B72"/>
    <mergeCell ref="A73:B73"/>
    <mergeCell ref="A74:B74"/>
    <mergeCell ref="A75:B75"/>
    <mergeCell ref="C75:H75"/>
    <mergeCell ref="A77:B77"/>
    <mergeCell ref="C77:H77"/>
    <mergeCell ref="A78:B78"/>
    <mergeCell ref="E78:F78"/>
    <mergeCell ref="G78:H78"/>
    <mergeCell ref="A79:B79"/>
    <mergeCell ref="A80:B80"/>
    <mergeCell ref="A81:B81"/>
    <mergeCell ref="A82:B82"/>
    <mergeCell ref="A83:B83"/>
    <mergeCell ref="A84:B84"/>
    <mergeCell ref="A85:B85"/>
    <mergeCell ref="A86:B86"/>
    <mergeCell ref="A87:B87"/>
    <mergeCell ref="A88:B88"/>
    <mergeCell ref="A89:H89"/>
    <mergeCell ref="A90:H90"/>
    <mergeCell ref="A91:B91"/>
    <mergeCell ref="C91:H91"/>
    <mergeCell ref="A92:H92"/>
    <mergeCell ref="A93:E93"/>
    <mergeCell ref="F93:H93"/>
    <mergeCell ref="A94:E94"/>
    <mergeCell ref="F94:H94"/>
    <mergeCell ref="A95:E95"/>
    <mergeCell ref="F95:H95"/>
    <mergeCell ref="A96:E96"/>
    <mergeCell ref="F96:H96"/>
    <mergeCell ref="A97:E97"/>
    <mergeCell ref="F97:H97"/>
    <mergeCell ref="A98:E98"/>
    <mergeCell ref="F98:H98"/>
    <mergeCell ref="A99:E99"/>
    <mergeCell ref="F99:H99"/>
    <mergeCell ref="A100:E100"/>
    <mergeCell ref="F100:H100"/>
    <mergeCell ref="A101:E101"/>
    <mergeCell ref="F101:H101"/>
    <mergeCell ref="A102:E102"/>
    <mergeCell ref="F102:H102"/>
    <mergeCell ref="A103:E103"/>
    <mergeCell ref="F103:H103"/>
    <mergeCell ref="A104:E104"/>
    <mergeCell ref="F104:H104"/>
    <mergeCell ref="A105:E105"/>
    <mergeCell ref="F105:H105"/>
    <mergeCell ref="A106:H106"/>
    <mergeCell ref="A107:B107"/>
    <mergeCell ref="D107:E107"/>
    <mergeCell ref="F107:H107"/>
    <mergeCell ref="A108:B108"/>
    <mergeCell ref="D108:E108"/>
    <mergeCell ref="F108:H108"/>
    <mergeCell ref="A109:H109"/>
    <mergeCell ref="A110:B110"/>
    <mergeCell ref="D110:E110"/>
    <mergeCell ref="F110:H110"/>
    <mergeCell ref="A111:B111"/>
    <mergeCell ref="D111:E111"/>
    <mergeCell ref="F111:H111"/>
    <mergeCell ref="A112:B112"/>
    <mergeCell ref="D112:E112"/>
    <mergeCell ref="F112:H112"/>
    <mergeCell ref="A113:B113"/>
    <mergeCell ref="D113:E113"/>
    <mergeCell ref="F113:H113"/>
    <mergeCell ref="A114:H114"/>
    <mergeCell ref="A115:B115"/>
    <mergeCell ref="D115:E115"/>
    <mergeCell ref="F115:H115"/>
    <mergeCell ref="A116:B116"/>
    <mergeCell ref="D116:E116"/>
    <mergeCell ref="F116:H116"/>
    <mergeCell ref="A117:B117"/>
    <mergeCell ref="D117:E117"/>
    <mergeCell ref="F117:H117"/>
    <mergeCell ref="A118:H118"/>
    <mergeCell ref="A119:B119"/>
    <mergeCell ref="D119:E119"/>
    <mergeCell ref="F119:H119"/>
    <mergeCell ref="G129:H129"/>
    <mergeCell ref="G130:H130"/>
    <mergeCell ref="G131:H131"/>
    <mergeCell ref="A120:B120"/>
    <mergeCell ref="D120:E120"/>
    <mergeCell ref="F120:H120"/>
    <mergeCell ref="A121:B121"/>
    <mergeCell ref="D121:E121"/>
    <mergeCell ref="F121:H121"/>
    <mergeCell ref="A122:B122"/>
    <mergeCell ref="D122:E122"/>
    <mergeCell ref="F122:H122"/>
    <mergeCell ref="A231:H231"/>
    <mergeCell ref="A152:H152"/>
    <mergeCell ref="A159:H159"/>
    <mergeCell ref="A166:H166"/>
    <mergeCell ref="A173:H173"/>
    <mergeCell ref="A174:H174"/>
    <mergeCell ref="B175:F175"/>
    <mergeCell ref="B176:F176"/>
    <mergeCell ref="B177:F177"/>
    <mergeCell ref="A182:H182"/>
    <mergeCell ref="G79:H88"/>
    <mergeCell ref="A193:H193"/>
    <mergeCell ref="A204:H204"/>
    <mergeCell ref="A215:H215"/>
    <mergeCell ref="A226:H226"/>
    <mergeCell ref="A227:H227"/>
    <mergeCell ref="A228:H228"/>
    <mergeCell ref="A229:H229"/>
    <mergeCell ref="A230:H230"/>
    <mergeCell ref="G132:H132"/>
    <mergeCell ref="G133:H133"/>
    <mergeCell ref="G134:H134"/>
    <mergeCell ref="G135:H135"/>
    <mergeCell ref="G136:H136"/>
    <mergeCell ref="G137:H137"/>
    <mergeCell ref="A138:H138"/>
    <mergeCell ref="A139:H139"/>
    <mergeCell ref="A145:H145"/>
    <mergeCell ref="A123:H123"/>
    <mergeCell ref="G124:H124"/>
    <mergeCell ref="A125:H125"/>
    <mergeCell ref="A126:H126"/>
    <mergeCell ref="G127:H127"/>
    <mergeCell ref="G128:H128"/>
    <mergeCell ref="A19:D20"/>
    <mergeCell ref="E19:H20"/>
    <mergeCell ref="A236:H239"/>
    <mergeCell ref="G146:H151"/>
    <mergeCell ref="G216:H225"/>
    <mergeCell ref="G175:H181"/>
    <mergeCell ref="G183:H192"/>
    <mergeCell ref="G194:H203"/>
    <mergeCell ref="G205:H214"/>
    <mergeCell ref="E65:F74"/>
    <mergeCell ref="G65:H74"/>
    <mergeCell ref="G160:H165"/>
    <mergeCell ref="G167:H172"/>
    <mergeCell ref="G153:H158"/>
    <mergeCell ref="G140:H144"/>
    <mergeCell ref="A232:H232"/>
    <mergeCell ref="A233:H233"/>
    <mergeCell ref="A234:H234"/>
    <mergeCell ref="A235:B235"/>
    <mergeCell ref="C235:D235"/>
    <mergeCell ref="E235:F235"/>
    <mergeCell ref="G235:H235"/>
    <mergeCell ref="A47:B50"/>
    <mergeCell ref="E79:F88"/>
  </mergeCells>
  <hyperlinks>
    <hyperlink ref="C36" r:id="rId1" xr:uid="{00000000-0004-0000-0000-000000000000}"/>
  </hyperlinks>
  <printOptions horizontalCentered="1"/>
  <pageMargins left="0.39370078740157499" right="0.39370078740157499" top="0.78740157480314998" bottom="0.78740157480314998" header="0.196850393700787" footer="0.196850393700787"/>
  <pageSetup fitToHeight="0" orientation="portrait" r:id="rId2"/>
  <headerFooter>
    <oddHeader>&amp;C&amp;G</oddHeader>
    <oddFooter>&amp;L&amp;"Times New Roman,Bold"&amp;12Ref No: &amp;F&amp;C&amp;G&amp;R&amp;"Times New Roman,Bold"&amp;12                                                          &amp;P</oddFooter>
  </headerFooter>
  <rowBreaks count="4" manualBreakCount="4">
    <brk id="60" max="16383" man="1"/>
    <brk id="239" max="16383" man="1"/>
    <brk id="280" max="7" man="1"/>
    <brk id="320"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L36"/>
  <sheetViews>
    <sheetView workbookViewId="0">
      <selection activeCell="M197" sqref="M197"/>
    </sheetView>
  </sheetViews>
  <sheetFormatPr defaultColWidth="9" defaultRowHeight="15"/>
  <cols>
    <col min="2" max="2" width="12.28515625" customWidth="1"/>
  </cols>
  <sheetData>
    <row r="2" spans="1:12">
      <c r="B2" s="13" t="s">
        <v>228</v>
      </c>
      <c r="C2" s="172"/>
      <c r="D2" s="172"/>
    </row>
    <row r="3" spans="1:12">
      <c r="D3" s="14"/>
      <c r="E3" s="14"/>
      <c r="F3" s="14"/>
      <c r="G3" s="14"/>
      <c r="H3" s="14"/>
      <c r="I3" s="14"/>
    </row>
    <row r="4" spans="1:12">
      <c r="A4" s="13" t="s">
        <v>229</v>
      </c>
      <c r="B4" s="15" t="s">
        <v>230</v>
      </c>
      <c r="C4" s="173" t="s">
        <v>231</v>
      </c>
      <c r="D4" s="173"/>
      <c r="E4" s="173"/>
      <c r="F4" s="16"/>
      <c r="G4" s="173" t="s">
        <v>232</v>
      </c>
      <c r="H4" s="173"/>
      <c r="I4" s="173"/>
      <c r="J4" s="173" t="s">
        <v>233</v>
      </c>
      <c r="K4" s="173"/>
      <c r="L4" s="173"/>
    </row>
    <row r="5" spans="1:12">
      <c r="A5" s="13">
        <v>202</v>
      </c>
      <c r="B5" s="15"/>
      <c r="C5" s="15" t="s">
        <v>234</v>
      </c>
      <c r="D5" s="15" t="s">
        <v>235</v>
      </c>
      <c r="E5" s="15" t="s">
        <v>236</v>
      </c>
      <c r="F5" s="15"/>
      <c r="G5" s="15" t="s">
        <v>234</v>
      </c>
      <c r="H5" s="15" t="s">
        <v>235</v>
      </c>
      <c r="I5" s="15" t="s">
        <v>236</v>
      </c>
      <c r="J5" s="15" t="s">
        <v>234</v>
      </c>
      <c r="K5" s="15" t="s">
        <v>235</v>
      </c>
      <c r="L5" s="15" t="s">
        <v>236</v>
      </c>
    </row>
    <row r="6" spans="1:12">
      <c r="B6" s="17" t="s">
        <v>237</v>
      </c>
      <c r="C6" s="17">
        <v>4.5</v>
      </c>
      <c r="D6" s="17">
        <v>2.9</v>
      </c>
      <c r="E6" s="17">
        <f>C6*D6</f>
        <v>13.05</v>
      </c>
      <c r="F6" s="17" t="s">
        <v>238</v>
      </c>
      <c r="G6" s="17"/>
      <c r="H6" s="17"/>
      <c r="I6" s="17">
        <f>G6*H6</f>
        <v>0</v>
      </c>
      <c r="J6" s="17"/>
      <c r="K6" s="17"/>
      <c r="L6" s="17">
        <f>J6*K6</f>
        <v>0</v>
      </c>
    </row>
    <row r="7" spans="1:12">
      <c r="B7" s="17"/>
      <c r="C7" s="17"/>
      <c r="D7" s="17"/>
      <c r="E7" s="17">
        <f t="shared" ref="E7:E33" si="0">C7*D7</f>
        <v>0</v>
      </c>
      <c r="F7" s="17" t="s">
        <v>239</v>
      </c>
      <c r="G7" s="17"/>
      <c r="H7" s="17"/>
      <c r="I7" s="17">
        <f t="shared" ref="I7:I33" si="1">G7*H7</f>
        <v>0</v>
      </c>
      <c r="J7" s="17"/>
      <c r="K7" s="17"/>
      <c r="L7" s="17">
        <f t="shared" ref="L7:L33" si="2">J7*K7</f>
        <v>0</v>
      </c>
    </row>
    <row r="8" spans="1:12">
      <c r="B8" s="17"/>
      <c r="C8" s="17"/>
      <c r="D8" s="17"/>
      <c r="E8" s="17">
        <f t="shared" si="0"/>
        <v>0</v>
      </c>
      <c r="F8" s="17"/>
      <c r="G8" s="17"/>
      <c r="H8" s="17"/>
      <c r="I8" s="17">
        <f t="shared" si="1"/>
        <v>0</v>
      </c>
      <c r="J8" s="17"/>
      <c r="K8" s="17"/>
      <c r="L8" s="17">
        <f t="shared" si="2"/>
        <v>0</v>
      </c>
    </row>
    <row r="9" spans="1:12">
      <c r="B9" s="17" t="s">
        <v>240</v>
      </c>
      <c r="C9" s="17">
        <v>1.88</v>
      </c>
      <c r="D9" s="17">
        <v>2.13</v>
      </c>
      <c r="E9" s="17">
        <f t="shared" si="0"/>
        <v>4.0044000000000004</v>
      </c>
      <c r="F9" s="17" t="s">
        <v>238</v>
      </c>
      <c r="G9" s="17"/>
      <c r="H9" s="17"/>
      <c r="I9" s="17">
        <f t="shared" si="1"/>
        <v>0</v>
      </c>
      <c r="J9" s="17"/>
      <c r="K9" s="17"/>
      <c r="L9" s="17">
        <f t="shared" si="2"/>
        <v>0</v>
      </c>
    </row>
    <row r="10" spans="1:12">
      <c r="B10" s="17"/>
      <c r="C10" s="17"/>
      <c r="D10" s="17"/>
      <c r="E10" s="17">
        <f t="shared" si="0"/>
        <v>0</v>
      </c>
      <c r="F10" s="17" t="s">
        <v>239</v>
      </c>
      <c r="G10" s="17"/>
      <c r="H10" s="17"/>
      <c r="I10" s="17">
        <f t="shared" si="1"/>
        <v>0</v>
      </c>
      <c r="J10" s="17"/>
      <c r="K10" s="17"/>
      <c r="L10" s="17">
        <f t="shared" si="2"/>
        <v>0</v>
      </c>
    </row>
    <row r="11" spans="1:12">
      <c r="B11" s="17"/>
      <c r="C11" s="17"/>
      <c r="D11" s="17"/>
      <c r="E11" s="17">
        <f t="shared" si="0"/>
        <v>0</v>
      </c>
      <c r="F11" s="17"/>
      <c r="G11" s="17"/>
      <c r="H11" s="17"/>
      <c r="I11" s="17">
        <f t="shared" si="1"/>
        <v>0</v>
      </c>
      <c r="J11" s="17"/>
      <c r="K11" s="17"/>
      <c r="L11" s="17">
        <f t="shared" si="2"/>
        <v>0</v>
      </c>
    </row>
    <row r="12" spans="1:12">
      <c r="B12" s="17"/>
      <c r="C12" s="17"/>
      <c r="D12" s="17"/>
      <c r="E12" s="17">
        <f t="shared" si="0"/>
        <v>0</v>
      </c>
      <c r="F12" s="17"/>
      <c r="G12" s="17"/>
      <c r="H12" s="17"/>
      <c r="I12" s="17">
        <f t="shared" si="1"/>
        <v>0</v>
      </c>
      <c r="J12" s="17"/>
      <c r="K12" s="17"/>
      <c r="L12" s="17">
        <f t="shared" si="2"/>
        <v>0</v>
      </c>
    </row>
    <row r="13" spans="1:12">
      <c r="B13" s="17" t="s">
        <v>241</v>
      </c>
      <c r="C13" s="17"/>
      <c r="D13" s="17"/>
      <c r="E13" s="17">
        <f t="shared" si="0"/>
        <v>0</v>
      </c>
      <c r="F13" s="17" t="s">
        <v>238</v>
      </c>
      <c r="G13" s="17"/>
      <c r="H13" s="17"/>
      <c r="I13" s="17">
        <f t="shared" si="1"/>
        <v>0</v>
      </c>
      <c r="J13" s="17"/>
      <c r="K13" s="17"/>
      <c r="L13" s="17">
        <f t="shared" si="2"/>
        <v>0</v>
      </c>
    </row>
    <row r="14" spans="1:12">
      <c r="B14" s="17"/>
      <c r="C14" s="17"/>
      <c r="D14" s="17"/>
      <c r="E14" s="17">
        <f t="shared" si="0"/>
        <v>0</v>
      </c>
      <c r="F14" s="17" t="s">
        <v>239</v>
      </c>
      <c r="G14" s="17"/>
      <c r="H14" s="17"/>
      <c r="I14" s="17">
        <f t="shared" si="1"/>
        <v>0</v>
      </c>
      <c r="J14" s="17"/>
      <c r="K14" s="17"/>
      <c r="L14" s="17">
        <f t="shared" si="2"/>
        <v>0</v>
      </c>
    </row>
    <row r="15" spans="1:12">
      <c r="B15" s="17"/>
      <c r="C15" s="17"/>
      <c r="D15" s="17"/>
      <c r="E15" s="17">
        <f t="shared" si="0"/>
        <v>0</v>
      </c>
      <c r="F15" s="17"/>
      <c r="G15" s="17"/>
      <c r="H15" s="17"/>
      <c r="I15" s="17">
        <f t="shared" si="1"/>
        <v>0</v>
      </c>
      <c r="J15" s="17"/>
      <c r="K15" s="17"/>
      <c r="L15" s="17">
        <f t="shared" si="2"/>
        <v>0</v>
      </c>
    </row>
    <row r="16" spans="1:12">
      <c r="B16" s="17"/>
      <c r="C16" s="17"/>
      <c r="D16" s="17"/>
      <c r="E16" s="17">
        <f t="shared" si="0"/>
        <v>0</v>
      </c>
      <c r="F16" s="17"/>
      <c r="G16" s="17"/>
      <c r="H16" s="17"/>
      <c r="I16" s="17">
        <f t="shared" si="1"/>
        <v>0</v>
      </c>
      <c r="J16" s="17"/>
      <c r="K16" s="17"/>
      <c r="L16" s="17">
        <f t="shared" si="2"/>
        <v>0</v>
      </c>
    </row>
    <row r="17" spans="2:12">
      <c r="B17" s="17" t="s">
        <v>242</v>
      </c>
      <c r="C17" s="17"/>
      <c r="D17" s="17"/>
      <c r="E17" s="17">
        <f t="shared" si="0"/>
        <v>0</v>
      </c>
      <c r="F17" s="17" t="s">
        <v>238</v>
      </c>
      <c r="G17" s="17"/>
      <c r="H17" s="17"/>
      <c r="I17" s="17">
        <f t="shared" si="1"/>
        <v>0</v>
      </c>
      <c r="J17" s="17"/>
      <c r="K17" s="17"/>
      <c r="L17" s="17">
        <f t="shared" si="2"/>
        <v>0</v>
      </c>
    </row>
    <row r="18" spans="2:12">
      <c r="B18" s="17"/>
      <c r="C18" s="17"/>
      <c r="D18" s="17"/>
      <c r="E18" s="17">
        <f t="shared" si="0"/>
        <v>0</v>
      </c>
      <c r="F18" s="17" t="s">
        <v>239</v>
      </c>
      <c r="G18" s="17"/>
      <c r="H18" s="17"/>
      <c r="I18" s="17">
        <f t="shared" si="1"/>
        <v>0</v>
      </c>
      <c r="J18" s="17"/>
      <c r="K18" s="17"/>
      <c r="L18" s="17">
        <f t="shared" si="2"/>
        <v>0</v>
      </c>
    </row>
    <row r="19" spans="2:12">
      <c r="B19" s="17"/>
      <c r="C19" s="17"/>
      <c r="D19" s="17"/>
      <c r="E19" s="17">
        <f t="shared" si="0"/>
        <v>0</v>
      </c>
      <c r="F19" s="17"/>
      <c r="G19" s="17"/>
      <c r="H19" s="17"/>
      <c r="I19" s="17">
        <f t="shared" si="1"/>
        <v>0</v>
      </c>
      <c r="J19" s="17"/>
      <c r="K19" s="17"/>
      <c r="L19" s="17">
        <f t="shared" si="2"/>
        <v>0</v>
      </c>
    </row>
    <row r="20" spans="2:12">
      <c r="B20" s="17" t="s">
        <v>242</v>
      </c>
      <c r="C20" s="17"/>
      <c r="D20" s="17"/>
      <c r="E20" s="17">
        <f t="shared" si="0"/>
        <v>0</v>
      </c>
      <c r="F20" s="17" t="s">
        <v>238</v>
      </c>
      <c r="G20" s="17"/>
      <c r="H20" s="17"/>
      <c r="I20" s="17">
        <f t="shared" si="1"/>
        <v>0</v>
      </c>
      <c r="J20" s="17"/>
      <c r="K20" s="17"/>
      <c r="L20" s="17">
        <f t="shared" si="2"/>
        <v>0</v>
      </c>
    </row>
    <row r="21" spans="2:12">
      <c r="B21" s="17"/>
      <c r="C21" s="17"/>
      <c r="D21" s="17"/>
      <c r="E21" s="17">
        <f t="shared" si="0"/>
        <v>0</v>
      </c>
      <c r="F21" s="17" t="s">
        <v>239</v>
      </c>
      <c r="G21" s="17"/>
      <c r="H21" s="17"/>
      <c r="I21" s="17">
        <f t="shared" si="1"/>
        <v>0</v>
      </c>
      <c r="J21" s="17"/>
      <c r="K21" s="17"/>
      <c r="L21" s="17">
        <f t="shared" si="2"/>
        <v>0</v>
      </c>
    </row>
    <row r="22" spans="2:12">
      <c r="B22" s="17"/>
      <c r="C22" s="17"/>
      <c r="D22" s="17"/>
      <c r="E22" s="17">
        <f t="shared" si="0"/>
        <v>0</v>
      </c>
      <c r="F22" s="17"/>
      <c r="G22" s="17"/>
      <c r="H22" s="17"/>
      <c r="I22" s="17">
        <f t="shared" si="1"/>
        <v>0</v>
      </c>
      <c r="J22" s="17"/>
      <c r="K22" s="17"/>
      <c r="L22" s="17">
        <f t="shared" si="2"/>
        <v>0</v>
      </c>
    </row>
    <row r="23" spans="2:12">
      <c r="B23" s="17" t="s">
        <v>243</v>
      </c>
      <c r="C23" s="17">
        <v>1.9</v>
      </c>
      <c r="D23" s="17">
        <v>1.07</v>
      </c>
      <c r="E23" s="17">
        <f t="shared" si="0"/>
        <v>2.0329999999999999</v>
      </c>
      <c r="F23" s="17" t="s">
        <v>244</v>
      </c>
      <c r="G23" s="17"/>
      <c r="H23" s="17"/>
      <c r="I23" s="17">
        <f t="shared" si="1"/>
        <v>0</v>
      </c>
      <c r="J23" s="17"/>
      <c r="K23" s="17"/>
      <c r="L23" s="17">
        <f t="shared" si="2"/>
        <v>0</v>
      </c>
    </row>
    <row r="24" spans="2:12">
      <c r="B24" s="17" t="s">
        <v>245</v>
      </c>
      <c r="C24" s="17"/>
      <c r="D24" s="17"/>
      <c r="E24" s="17">
        <f t="shared" si="0"/>
        <v>0</v>
      </c>
      <c r="F24" s="17" t="s">
        <v>244</v>
      </c>
      <c r="G24" s="17"/>
      <c r="H24" s="17"/>
      <c r="I24" s="17">
        <f t="shared" si="1"/>
        <v>0</v>
      </c>
      <c r="J24" s="17"/>
      <c r="K24" s="17"/>
      <c r="L24" s="17">
        <f t="shared" si="2"/>
        <v>0</v>
      </c>
    </row>
    <row r="25" spans="2:12">
      <c r="B25" s="17" t="s">
        <v>246</v>
      </c>
      <c r="C25" s="17"/>
      <c r="D25" s="17"/>
      <c r="E25" s="17">
        <f t="shared" si="0"/>
        <v>0</v>
      </c>
      <c r="F25" s="17" t="s">
        <v>244</v>
      </c>
      <c r="G25" s="17"/>
      <c r="H25" s="17"/>
      <c r="I25" s="17">
        <f t="shared" si="1"/>
        <v>0</v>
      </c>
      <c r="J25" s="17"/>
      <c r="K25" s="17"/>
      <c r="L25" s="17">
        <f t="shared" si="2"/>
        <v>0</v>
      </c>
    </row>
    <row r="26" spans="2:12">
      <c r="B26" s="17"/>
      <c r="C26" s="17"/>
      <c r="D26" s="17"/>
      <c r="E26" s="17">
        <f t="shared" si="0"/>
        <v>0</v>
      </c>
      <c r="F26" s="17"/>
      <c r="G26" s="17"/>
      <c r="H26" s="17"/>
      <c r="I26" s="17">
        <f t="shared" si="1"/>
        <v>0</v>
      </c>
      <c r="J26" s="17"/>
      <c r="K26" s="17"/>
      <c r="L26" s="17">
        <f t="shared" si="2"/>
        <v>0</v>
      </c>
    </row>
    <row r="27" spans="2:12">
      <c r="B27" s="17" t="s">
        <v>247</v>
      </c>
      <c r="C27" s="17"/>
      <c r="D27" s="17"/>
      <c r="E27" s="17">
        <f t="shared" si="0"/>
        <v>0</v>
      </c>
      <c r="F27" s="17"/>
      <c r="G27" s="17"/>
      <c r="H27" s="17"/>
      <c r="I27" s="17">
        <f t="shared" si="1"/>
        <v>0</v>
      </c>
      <c r="J27" s="17"/>
      <c r="K27" s="17"/>
      <c r="L27" s="17">
        <f t="shared" si="2"/>
        <v>0</v>
      </c>
    </row>
    <row r="28" spans="2:12">
      <c r="B28" s="17" t="s">
        <v>248</v>
      </c>
      <c r="C28" s="17"/>
      <c r="D28" s="17"/>
      <c r="E28" s="17">
        <f t="shared" si="0"/>
        <v>0</v>
      </c>
      <c r="F28" s="17"/>
      <c r="G28" s="17"/>
      <c r="H28" s="17"/>
      <c r="I28" s="17">
        <f t="shared" si="1"/>
        <v>0</v>
      </c>
      <c r="J28" s="17"/>
      <c r="K28" s="17"/>
      <c r="L28" s="17">
        <f t="shared" si="2"/>
        <v>0</v>
      </c>
    </row>
    <row r="29" spans="2:12">
      <c r="B29" s="17" t="s">
        <v>249</v>
      </c>
      <c r="C29" s="17"/>
      <c r="D29" s="17"/>
      <c r="E29" s="17">
        <f t="shared" si="0"/>
        <v>0</v>
      </c>
      <c r="F29" s="17"/>
      <c r="G29" s="17"/>
      <c r="H29" s="17"/>
      <c r="I29" s="17">
        <f t="shared" si="1"/>
        <v>0</v>
      </c>
      <c r="J29" s="17"/>
      <c r="K29" s="17"/>
      <c r="L29" s="17">
        <f t="shared" si="2"/>
        <v>0</v>
      </c>
    </row>
    <row r="30" spans="2:12">
      <c r="B30" s="17" t="s">
        <v>250</v>
      </c>
      <c r="C30" s="17"/>
      <c r="D30" s="17"/>
      <c r="E30" s="17">
        <f t="shared" si="0"/>
        <v>0</v>
      </c>
      <c r="F30" s="17"/>
      <c r="G30" s="17"/>
      <c r="H30" s="17"/>
      <c r="I30" s="17">
        <f t="shared" si="1"/>
        <v>0</v>
      </c>
      <c r="J30" s="17"/>
      <c r="K30" s="17"/>
      <c r="L30" s="17">
        <f t="shared" si="2"/>
        <v>0</v>
      </c>
    </row>
    <row r="31" spans="2:12">
      <c r="B31" s="17"/>
      <c r="C31" s="17"/>
      <c r="D31" s="17"/>
      <c r="E31" s="17">
        <f t="shared" si="0"/>
        <v>0</v>
      </c>
      <c r="F31" s="17"/>
      <c r="G31" s="17"/>
      <c r="H31" s="17"/>
      <c r="I31" s="17">
        <f t="shared" si="1"/>
        <v>0</v>
      </c>
      <c r="J31" s="17"/>
      <c r="K31" s="17"/>
      <c r="L31" s="17">
        <f t="shared" si="2"/>
        <v>0</v>
      </c>
    </row>
    <row r="32" spans="2:12">
      <c r="B32" s="17"/>
      <c r="C32" s="17"/>
      <c r="D32" s="17"/>
      <c r="E32" s="17">
        <f t="shared" si="0"/>
        <v>0</v>
      </c>
      <c r="F32" s="17"/>
      <c r="G32" s="17"/>
      <c r="H32" s="17"/>
      <c r="I32" s="17">
        <f t="shared" si="1"/>
        <v>0</v>
      </c>
      <c r="J32" s="17"/>
      <c r="K32" s="17"/>
      <c r="L32" s="17">
        <f t="shared" si="2"/>
        <v>0</v>
      </c>
    </row>
    <row r="33" spans="2:12">
      <c r="B33" s="17"/>
      <c r="C33" s="17"/>
      <c r="D33" s="17"/>
      <c r="E33" s="17">
        <f t="shared" si="0"/>
        <v>0</v>
      </c>
      <c r="F33" s="17"/>
      <c r="G33" s="17"/>
      <c r="H33" s="17"/>
      <c r="I33" s="17">
        <f t="shared" si="1"/>
        <v>0</v>
      </c>
      <c r="J33" s="17"/>
      <c r="K33" s="17"/>
      <c r="L33" s="17">
        <f t="shared" si="2"/>
        <v>0</v>
      </c>
    </row>
    <row r="34" spans="2:12">
      <c r="B34" s="17" t="s">
        <v>174</v>
      </c>
      <c r="C34" s="17"/>
      <c r="D34" s="17">
        <f>E34*10.764</f>
        <v>205.45677359999999</v>
      </c>
      <c r="E34" s="17">
        <f>SUM(E6:E33)</f>
        <v>19.087399999999999</v>
      </c>
      <c r="F34" s="17"/>
      <c r="G34" s="17"/>
      <c r="H34" s="17">
        <f>I34*10.764</f>
        <v>0</v>
      </c>
      <c r="I34" s="17">
        <f>SUM(I6:I33)</f>
        <v>0</v>
      </c>
      <c r="J34" s="17"/>
      <c r="K34" s="17">
        <f>L34*10.764</f>
        <v>0</v>
      </c>
      <c r="L34" s="17">
        <f>SUM(L6:L33)</f>
        <v>0</v>
      </c>
    </row>
    <row r="36" spans="2:12">
      <c r="D36">
        <f>D34+H34</f>
        <v>205.45677359999999</v>
      </c>
      <c r="E36">
        <f>E34+I34</f>
        <v>19.087399999999999</v>
      </c>
    </row>
  </sheetData>
  <mergeCells count="4">
    <mergeCell ref="C2:D2"/>
    <mergeCell ref="C4:E4"/>
    <mergeCell ref="G4:I4"/>
    <mergeCell ref="J4:L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C16" sqref="C16"/>
    </sheetView>
  </sheetViews>
  <sheetFormatPr defaultColWidth="9"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6"/>
  <sheetViews>
    <sheetView zoomScale="115" zoomScaleNormal="115" workbookViewId="0">
      <selection sqref="A1:XFD1048576"/>
    </sheetView>
  </sheetViews>
  <sheetFormatPr defaultColWidth="8.7109375" defaultRowHeight="15"/>
  <cols>
    <col min="1" max="1" width="8.7109375" style="1"/>
    <col min="2" max="2" width="22.28515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row r="2" spans="1:9" ht="15" customHeight="1">
      <c r="A2" s="2"/>
      <c r="B2" s="2"/>
      <c r="C2" s="2"/>
      <c r="D2" s="2"/>
      <c r="E2" s="2"/>
      <c r="F2" s="2"/>
      <c r="G2" s="2"/>
      <c r="H2" s="2"/>
    </row>
    <row r="3" spans="1:9" ht="15.75" customHeight="1">
      <c r="A3" s="2"/>
      <c r="B3" s="174" t="s">
        <v>251</v>
      </c>
      <c r="C3" s="174"/>
      <c r="D3" s="174"/>
      <c r="E3" s="174"/>
      <c r="F3" s="174"/>
      <c r="G3" s="174"/>
      <c r="H3" s="174"/>
    </row>
    <row r="4" spans="1:9">
      <c r="A4" s="2"/>
      <c r="B4" s="3" t="s">
        <v>252</v>
      </c>
      <c r="C4" s="3" t="s">
        <v>253</v>
      </c>
      <c r="D4" s="3" t="s">
        <v>229</v>
      </c>
      <c r="E4" s="3" t="s">
        <v>254</v>
      </c>
      <c r="F4" s="3" t="s">
        <v>255</v>
      </c>
      <c r="G4" s="3" t="s">
        <v>256</v>
      </c>
      <c r="H4" s="3" t="s">
        <v>257</v>
      </c>
    </row>
    <row r="5" spans="1:9" ht="15" customHeight="1">
      <c r="A5" s="2"/>
      <c r="B5" s="4" t="s">
        <v>258</v>
      </c>
      <c r="C5" s="5"/>
      <c r="D5" s="4" t="s">
        <v>259</v>
      </c>
      <c r="E5" s="4">
        <v>1106</v>
      </c>
      <c r="F5" s="6">
        <f>E5*1.6</f>
        <v>1769.6</v>
      </c>
      <c r="G5" s="6">
        <f>H5/F5</f>
        <v>31532.549728752299</v>
      </c>
      <c r="H5" s="7">
        <v>55800000</v>
      </c>
    </row>
    <row r="6" spans="1:9">
      <c r="A6" s="2"/>
      <c r="B6" s="4" t="s">
        <v>258</v>
      </c>
      <c r="C6" s="8"/>
      <c r="D6" s="4"/>
      <c r="E6" s="4"/>
      <c r="F6" s="6">
        <f t="shared" ref="F6:F11" si="0">E6*1.6</f>
        <v>0</v>
      </c>
      <c r="G6" s="6" t="e">
        <f t="shared" ref="G6:G11" si="1">H6/F6</f>
        <v>#DIV/0!</v>
      </c>
      <c r="H6" s="7"/>
    </row>
    <row r="7" spans="1:9" ht="15" customHeight="1">
      <c r="A7" s="2"/>
      <c r="B7" s="4" t="s">
        <v>258</v>
      </c>
      <c r="C7" s="5"/>
      <c r="D7" s="4"/>
      <c r="E7" s="4"/>
      <c r="F7" s="6">
        <f t="shared" si="0"/>
        <v>0</v>
      </c>
      <c r="G7" s="6" t="e">
        <f t="shared" si="1"/>
        <v>#DIV/0!</v>
      </c>
      <c r="H7" s="7"/>
    </row>
    <row r="8" spans="1:9">
      <c r="A8" s="2"/>
      <c r="B8" s="4" t="s">
        <v>258</v>
      </c>
      <c r="C8" s="8"/>
      <c r="D8" s="4"/>
      <c r="E8" s="4"/>
      <c r="F8" s="6">
        <f t="shared" si="0"/>
        <v>0</v>
      </c>
      <c r="G8" s="6" t="e">
        <f t="shared" si="1"/>
        <v>#DIV/0!</v>
      </c>
      <c r="H8" s="7"/>
    </row>
    <row r="9" spans="1:9" ht="15" customHeight="1">
      <c r="A9" s="2"/>
      <c r="B9" s="4" t="s">
        <v>258</v>
      </c>
      <c r="C9" s="8"/>
      <c r="D9" s="4"/>
      <c r="E9" s="4"/>
      <c r="F9" s="6">
        <f t="shared" si="0"/>
        <v>0</v>
      </c>
      <c r="G9" s="6" t="e">
        <f t="shared" si="1"/>
        <v>#DIV/0!</v>
      </c>
      <c r="H9" s="7"/>
    </row>
    <row r="10" spans="1:9" ht="15" customHeight="1">
      <c r="A10" s="2"/>
      <c r="B10" s="4" t="s">
        <v>260</v>
      </c>
      <c r="C10" s="5"/>
      <c r="D10" s="4"/>
      <c r="E10" s="4"/>
      <c r="F10" s="6">
        <f t="shared" si="0"/>
        <v>0</v>
      </c>
      <c r="G10" s="6" t="e">
        <f t="shared" si="1"/>
        <v>#DIV/0!</v>
      </c>
      <c r="H10" s="7"/>
    </row>
    <row r="11" spans="1:9" ht="15" customHeight="1">
      <c r="A11" s="2"/>
      <c r="B11" s="4" t="s">
        <v>260</v>
      </c>
      <c r="C11" s="5"/>
      <c r="D11" s="4"/>
      <c r="E11" s="4"/>
      <c r="F11" s="6">
        <f t="shared" si="0"/>
        <v>0</v>
      </c>
      <c r="G11" s="6" t="e">
        <f t="shared" si="1"/>
        <v>#DIV/0!</v>
      </c>
      <c r="H11" s="7"/>
    </row>
    <row r="12" spans="1:9" ht="15" customHeight="1">
      <c r="A12" s="2"/>
      <c r="B12" s="9" t="s">
        <v>261</v>
      </c>
      <c r="C12" s="4"/>
      <c r="D12" s="4"/>
      <c r="E12" s="4"/>
      <c r="F12" s="4"/>
      <c r="G12" s="10" t="e">
        <f>AVERAGE(G5:G11)</f>
        <v>#DIV/0!</v>
      </c>
      <c r="H12" s="4"/>
    </row>
    <row r="13" spans="1:9" ht="15" customHeight="1">
      <c r="B13" s="9" t="s">
        <v>262</v>
      </c>
      <c r="C13" s="4"/>
      <c r="D13" s="4"/>
      <c r="E13" s="4"/>
      <c r="F13" s="11"/>
      <c r="G13" s="9"/>
      <c r="H13" s="9"/>
      <c r="I13" s="12"/>
    </row>
    <row r="14" spans="1:9" ht="15" customHeight="1"/>
    <row r="15" spans="1:9" ht="15" customHeight="1"/>
    <row r="16" spans="1:9" ht="15" customHeight="1"/>
  </sheetData>
  <mergeCells count="1">
    <mergeCell ref="B3:H3"/>
  </mergeCells>
  <pageMargins left="0.7" right="0.7" top="0.75" bottom="0.75" header="0.3" footer="0.3"/>
  <pageSetup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Flat detail</vt:lpstr>
      <vt:lpstr>Note</vt:lpstr>
      <vt:lpstr>valuation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2025-09-18T12:25:51Z</cp:lastPrinted>
  <dcterms:created xsi:type="dcterms:W3CDTF">2019-07-16T09:29:00Z</dcterms:created>
  <dcterms:modified xsi:type="dcterms:W3CDTF">2025-09-18T12:26:51Z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2ACEE0BC2EAC4CF6B3CE2C5FEE30382A_12</vt:lpwstr>
  </property>
  <property fmtid="{D5CDD505-2E9C-101B-9397-08002B2CF9AE}" pid="3" name="KSOProductBuildVer">
    <vt:lpwstr>1033-12.2.0.20326</vt:lpwstr>
  </property>
</Properties>
</file>