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D:\Gaurav\Sep 25\DUMP\"/>
    </mc:Choice>
  </mc:AlternateContent>
  <xr:revisionPtr revIDLastSave="0" documentId="13_ncr:1_{DBDE6F5E-C9A0-4960-BD60-F0675F12DA2D}" xr6:coauthVersionLast="36" xr6:coauthVersionMax="47" xr10:uidLastSave="{00000000-0000-0000-0000-000000000000}"/>
  <bookViews>
    <workbookView xWindow="0" yWindow="0" windowWidth="20490" windowHeight="6825" xr2:uid="{00000000-000D-0000-FFFF-FFFF00000000}"/>
  </bookViews>
  <sheets>
    <sheet name="Report (2)" sheetId="1" r:id="rId1"/>
    <sheet name="C%" sheetId="2" r:id="rId2"/>
    <sheet name="S1%" sheetId="8" r:id="rId3"/>
    <sheet name="Note" sheetId="6" r:id="rId4"/>
    <sheet name="Valuation" sheetId="7" r:id="rId5"/>
    <sheet name="Flat detail" sheetId="3" r:id="rId6"/>
    <sheet name="Sheet1" sheetId="4" r:id="rId7"/>
    <sheet name="Sheet2" sheetId="5" r:id="rId8"/>
  </sheets>
  <definedNames>
    <definedName name="_xlnm.Print_Area" localSheetId="0">'Report (2)'!$A$1:$J$389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4" i="1" l="1"/>
  <c r="L123" i="1"/>
  <c r="L122" i="1"/>
  <c r="L121" i="1"/>
  <c r="I114" i="1"/>
  <c r="L118" i="1" l="1"/>
  <c r="D126" i="1"/>
  <c r="D122" i="1"/>
  <c r="D118" i="1"/>
  <c r="L117" i="1"/>
  <c r="C117" i="1" s="1"/>
  <c r="D117" i="1" s="1"/>
  <c r="D125" i="1"/>
  <c r="D121" i="1"/>
  <c r="F117" i="1"/>
  <c r="D124" i="1"/>
  <c r="L116" i="1"/>
  <c r="D119" i="1"/>
  <c r="L119" i="1"/>
  <c r="L120" i="1" s="1"/>
  <c r="L125" i="1" s="1"/>
  <c r="L126" i="1" s="1"/>
  <c r="D123" i="1"/>
  <c r="D120" i="1"/>
  <c r="F3" i="1"/>
  <c r="L96" i="1"/>
  <c r="L95" i="1"/>
  <c r="L94" i="1"/>
  <c r="L93" i="1"/>
  <c r="L82" i="1"/>
  <c r="L81" i="1"/>
  <c r="L80" i="1"/>
  <c r="L79" i="1"/>
  <c r="L110" i="1"/>
  <c r="L109" i="1"/>
  <c r="L108" i="1"/>
  <c r="L107" i="1"/>
  <c r="L68" i="1"/>
  <c r="L67" i="1"/>
  <c r="L66" i="1"/>
  <c r="L65" i="1"/>
  <c r="I100" i="1"/>
  <c r="I72" i="1"/>
  <c r="I86" i="1"/>
  <c r="I58" i="1"/>
  <c r="H117" i="1" l="1"/>
  <c r="K113" i="1"/>
  <c r="C115" i="1" s="1"/>
  <c r="D91" i="1"/>
  <c r="L89" i="1"/>
  <c r="D93" i="1"/>
  <c r="D98" i="1"/>
  <c r="D96" i="1"/>
  <c r="D94" i="1"/>
  <c r="D92" i="1"/>
  <c r="L90" i="1"/>
  <c r="L88" i="1"/>
  <c r="D95" i="1"/>
  <c r="L91" i="1"/>
  <c r="D97" i="1"/>
  <c r="D77" i="1"/>
  <c r="L75" i="1"/>
  <c r="D84" i="1"/>
  <c r="D82" i="1"/>
  <c r="D80" i="1"/>
  <c r="D78" i="1"/>
  <c r="L76" i="1"/>
  <c r="L74" i="1"/>
  <c r="D83" i="1"/>
  <c r="L77" i="1"/>
  <c r="D81" i="1"/>
  <c r="D79" i="1"/>
  <c r="D105" i="1"/>
  <c r="L103" i="1"/>
  <c r="D112" i="1"/>
  <c r="D110" i="1"/>
  <c r="D108" i="1"/>
  <c r="D106" i="1"/>
  <c r="L104" i="1"/>
  <c r="C103" i="1" s="1"/>
  <c r="D103" i="1" s="1"/>
  <c r="L102" i="1"/>
  <c r="L105" i="1"/>
  <c r="D111" i="1"/>
  <c r="D107" i="1"/>
  <c r="D109" i="1"/>
  <c r="D63" i="1"/>
  <c r="L61" i="1"/>
  <c r="D70" i="1"/>
  <c r="D68" i="1"/>
  <c r="D66" i="1"/>
  <c r="D64" i="1"/>
  <c r="L62" i="1"/>
  <c r="L60" i="1"/>
  <c r="D69" i="1"/>
  <c r="D65" i="1"/>
  <c r="L63" i="1"/>
  <c r="L64" i="1" s="1"/>
  <c r="L69" i="1" s="1"/>
  <c r="L70" i="1" s="1"/>
  <c r="D67" i="1"/>
  <c r="G15" i="8"/>
  <c r="B15" i="8" s="1"/>
  <c r="B7" i="8"/>
  <c r="H16" i="8" s="1"/>
  <c r="C16" i="8" s="1"/>
  <c r="D6" i="8"/>
  <c r="C5" i="8"/>
  <c r="B11" i="8" s="1"/>
  <c r="C75" i="1" l="1"/>
  <c r="D75" i="1" s="1"/>
  <c r="C89" i="1"/>
  <c r="D89" i="1" s="1"/>
  <c r="D7" i="8"/>
  <c r="L92" i="1"/>
  <c r="L78" i="1"/>
  <c r="L106" i="1"/>
  <c r="F61" i="1"/>
  <c r="D62" i="1"/>
  <c r="H61" i="1"/>
  <c r="D61" i="1"/>
  <c r="L16" i="8"/>
  <c r="C20" i="8" s="1"/>
  <c r="D11" i="8"/>
  <c r="L15" i="8"/>
  <c r="B20" i="8" s="1"/>
  <c r="B10" i="8"/>
  <c r="H15" i="8"/>
  <c r="B16" i="8" s="1"/>
  <c r="G16" i="8"/>
  <c r="C15" i="8" s="1"/>
  <c r="B8" i="8"/>
  <c r="B12" i="8"/>
  <c r="B9" i="8"/>
  <c r="G11" i="7"/>
  <c r="G10" i="7"/>
  <c r="G9" i="7"/>
  <c r="G8" i="7"/>
  <c r="G7" i="7"/>
  <c r="G6" i="7"/>
  <c r="G5" i="7"/>
  <c r="G12" i="7" s="1"/>
  <c r="L83" i="1" l="1"/>
  <c r="L84" i="1" s="1"/>
  <c r="C76" i="1" s="1"/>
  <c r="D76" i="1" s="1"/>
  <c r="L111" i="1"/>
  <c r="L97" i="1"/>
  <c r="K57" i="1"/>
  <c r="C59" i="1" s="1"/>
  <c r="M15" i="8"/>
  <c r="B21" i="8" s="1"/>
  <c r="M16" i="8"/>
  <c r="C21" i="8" s="1"/>
  <c r="D12" i="8"/>
  <c r="K15" i="8"/>
  <c r="B19" i="8" s="1"/>
  <c r="K16" i="8"/>
  <c r="C19" i="8" s="1"/>
  <c r="D10" i="8"/>
  <c r="I15" i="8"/>
  <c r="B17" i="8" s="1"/>
  <c r="I16" i="8"/>
  <c r="C17" i="8" s="1"/>
  <c r="D8" i="8"/>
  <c r="J15" i="8"/>
  <c r="B18" i="8" s="1"/>
  <c r="J16" i="8"/>
  <c r="C18" i="8" s="1"/>
  <c r="D9" i="8"/>
  <c r="C13" i="1"/>
  <c r="F75" i="1" l="1"/>
  <c r="K71" i="1" s="1"/>
  <c r="C73" i="1" s="1"/>
  <c r="H75" i="1"/>
  <c r="L98" i="1"/>
  <c r="C90" i="1" s="1"/>
  <c r="D90" i="1" s="1"/>
  <c r="C22" i="8"/>
  <c r="L112" i="1"/>
  <c r="C104" i="1" s="1"/>
  <c r="D104" i="1" s="1"/>
  <c r="B22" i="8"/>
  <c r="D270" i="1"/>
  <c r="G270" i="1" s="1"/>
  <c r="D269" i="1"/>
  <c r="G269" i="1" s="1"/>
  <c r="G264" i="1"/>
  <c r="G263" i="1"/>
  <c r="D293" i="1"/>
  <c r="G293" i="1" s="1"/>
  <c r="D292" i="1"/>
  <c r="G292" i="1" s="1"/>
  <c r="D291" i="1"/>
  <c r="G291" i="1" s="1"/>
  <c r="D290" i="1"/>
  <c r="G290" i="1" s="1"/>
  <c r="D287" i="1"/>
  <c r="G287" i="1" s="1"/>
  <c r="D286" i="1"/>
  <c r="G286" i="1" s="1"/>
  <c r="D283" i="1"/>
  <c r="D282" i="1"/>
  <c r="D281" i="1"/>
  <c r="D280" i="1"/>
  <c r="D279" i="1"/>
  <c r="D278" i="1"/>
  <c r="D277" i="1"/>
  <c r="D276" i="1"/>
  <c r="D260" i="1"/>
  <c r="G260" i="1" s="1"/>
  <c r="D259" i="1"/>
  <c r="D251" i="1"/>
  <c r="D250" i="1"/>
  <c r="D248" i="1"/>
  <c r="D249" i="1"/>
  <c r="D247" i="1"/>
  <c r="D246" i="1"/>
  <c r="D245" i="1"/>
  <c r="D244" i="1"/>
  <c r="D238" i="1"/>
  <c r="D237" i="1"/>
  <c r="D235" i="1"/>
  <c r="D234" i="1"/>
  <c r="D233" i="1"/>
  <c r="D230" i="1"/>
  <c r="D229" i="1"/>
  <c r="D228" i="1"/>
  <c r="D227" i="1"/>
  <c r="D226" i="1"/>
  <c r="D225" i="1"/>
  <c r="D219" i="1"/>
  <c r="G219" i="1" s="1"/>
  <c r="D218" i="1"/>
  <c r="G218" i="1" s="1"/>
  <c r="D213" i="1"/>
  <c r="G213" i="1" s="1"/>
  <c r="D212" i="1"/>
  <c r="G212" i="1" s="1"/>
  <c r="D211" i="1"/>
  <c r="G211" i="1" s="1"/>
  <c r="D210" i="1"/>
  <c r="G210" i="1" s="1"/>
  <c r="D207" i="1"/>
  <c r="G207" i="1" s="1"/>
  <c r="D206" i="1"/>
  <c r="G206" i="1" s="1"/>
  <c r="D205" i="1"/>
  <c r="G205" i="1" s="1"/>
  <c r="D204" i="1"/>
  <c r="G204" i="1" s="1"/>
  <c r="D200" i="1"/>
  <c r="D199" i="1"/>
  <c r="D198" i="1"/>
  <c r="D197" i="1"/>
  <c r="D196" i="1"/>
  <c r="D195" i="1"/>
  <c r="D192" i="1"/>
  <c r="D191" i="1"/>
  <c r="D190" i="1"/>
  <c r="D189" i="1"/>
  <c r="D185" i="1"/>
  <c r="D183" i="1"/>
  <c r="D184" i="1"/>
  <c r="D182" i="1"/>
  <c r="D181" i="1"/>
  <c r="D180" i="1"/>
  <c r="D179" i="1"/>
  <c r="C24" i="5"/>
  <c r="E24" i="5" s="1"/>
  <c r="L24" i="5"/>
  <c r="I24" i="5"/>
  <c r="L23" i="5"/>
  <c r="I23" i="5"/>
  <c r="E23" i="5"/>
  <c r="C18" i="5"/>
  <c r="L35" i="5"/>
  <c r="I35" i="5"/>
  <c r="E35" i="5"/>
  <c r="L34" i="5"/>
  <c r="I34" i="5"/>
  <c r="E34" i="5"/>
  <c r="L33" i="5"/>
  <c r="I33" i="5"/>
  <c r="E33" i="5"/>
  <c r="L32" i="5"/>
  <c r="I32" i="5"/>
  <c r="E32" i="5"/>
  <c r="L31" i="5"/>
  <c r="I31" i="5"/>
  <c r="E31" i="5"/>
  <c r="L30" i="5"/>
  <c r="I30" i="5"/>
  <c r="E30" i="5"/>
  <c r="L29" i="5"/>
  <c r="I29" i="5"/>
  <c r="E29" i="5"/>
  <c r="L28" i="5"/>
  <c r="I28" i="5"/>
  <c r="E28" i="5"/>
  <c r="L27" i="5"/>
  <c r="I27" i="5"/>
  <c r="E27" i="5"/>
  <c r="L26" i="5"/>
  <c r="I26" i="5"/>
  <c r="E26" i="5"/>
  <c r="L25" i="5"/>
  <c r="I25" i="5"/>
  <c r="E25" i="5"/>
  <c r="L22" i="5"/>
  <c r="I22" i="5"/>
  <c r="E22" i="5"/>
  <c r="L21" i="5"/>
  <c r="I21" i="5"/>
  <c r="E21" i="5"/>
  <c r="L20" i="5"/>
  <c r="I20" i="5"/>
  <c r="E20" i="5"/>
  <c r="L19" i="5"/>
  <c r="I19" i="5"/>
  <c r="E19" i="5"/>
  <c r="L18" i="5"/>
  <c r="I18" i="5"/>
  <c r="E18" i="5"/>
  <c r="L17" i="5"/>
  <c r="I17" i="5"/>
  <c r="E17" i="5"/>
  <c r="L16" i="5"/>
  <c r="I16" i="5"/>
  <c r="E16" i="5"/>
  <c r="L15" i="5"/>
  <c r="I15" i="5"/>
  <c r="E15" i="5"/>
  <c r="L14" i="5"/>
  <c r="I14" i="5"/>
  <c r="E14" i="5"/>
  <c r="L13" i="5"/>
  <c r="I13" i="5"/>
  <c r="E13" i="5"/>
  <c r="L12" i="5"/>
  <c r="I12" i="5"/>
  <c r="E12" i="5"/>
  <c r="L11" i="5"/>
  <c r="I11" i="5"/>
  <c r="E11" i="5"/>
  <c r="L10" i="5"/>
  <c r="I10" i="5"/>
  <c r="E10" i="5"/>
  <c r="L9" i="5"/>
  <c r="I9" i="5"/>
  <c r="E9" i="5"/>
  <c r="L8" i="5"/>
  <c r="I8" i="5"/>
  <c r="E8" i="5"/>
  <c r="L7" i="5"/>
  <c r="I7" i="5"/>
  <c r="E7" i="5"/>
  <c r="L6" i="5"/>
  <c r="I6" i="5"/>
  <c r="E6" i="5"/>
  <c r="L33" i="4"/>
  <c r="I33" i="4"/>
  <c r="E33" i="4"/>
  <c r="L32" i="4"/>
  <c r="I32" i="4"/>
  <c r="E32" i="4"/>
  <c r="L31" i="4"/>
  <c r="I31" i="4"/>
  <c r="E31" i="4"/>
  <c r="L30" i="4"/>
  <c r="I30" i="4"/>
  <c r="E30" i="4"/>
  <c r="L29" i="4"/>
  <c r="I29" i="4"/>
  <c r="E29" i="4"/>
  <c r="L28" i="4"/>
  <c r="I28" i="4"/>
  <c r="E28" i="4"/>
  <c r="L27" i="4"/>
  <c r="I27" i="4"/>
  <c r="E27" i="4"/>
  <c r="L26" i="4"/>
  <c r="I26" i="4"/>
  <c r="E26" i="4"/>
  <c r="L25" i="4"/>
  <c r="I25" i="4"/>
  <c r="E25" i="4"/>
  <c r="L24" i="4"/>
  <c r="I24" i="4"/>
  <c r="E24" i="4"/>
  <c r="L23" i="4"/>
  <c r="I23" i="4"/>
  <c r="E23" i="4"/>
  <c r="L22" i="4"/>
  <c r="I22" i="4"/>
  <c r="E22" i="4"/>
  <c r="L21" i="4"/>
  <c r="I21" i="4"/>
  <c r="E21" i="4"/>
  <c r="L20" i="4"/>
  <c r="I20" i="4"/>
  <c r="E20" i="4"/>
  <c r="L19" i="4"/>
  <c r="I19" i="4"/>
  <c r="E19" i="4"/>
  <c r="L18" i="4"/>
  <c r="I18" i="4"/>
  <c r="C18" i="4"/>
  <c r="E18" i="4" s="1"/>
  <c r="L17" i="4"/>
  <c r="I17" i="4"/>
  <c r="E17" i="4"/>
  <c r="L16" i="4"/>
  <c r="I16" i="4"/>
  <c r="E16" i="4"/>
  <c r="L15" i="4"/>
  <c r="I15" i="4"/>
  <c r="E15" i="4"/>
  <c r="L14" i="4"/>
  <c r="I14" i="4"/>
  <c r="E14" i="4"/>
  <c r="L13" i="4"/>
  <c r="I13" i="4"/>
  <c r="E13" i="4"/>
  <c r="L12" i="4"/>
  <c r="I12" i="4"/>
  <c r="E12" i="4"/>
  <c r="L11" i="4"/>
  <c r="I11" i="4"/>
  <c r="E11" i="4"/>
  <c r="L10" i="4"/>
  <c r="I10" i="4"/>
  <c r="E10" i="4"/>
  <c r="L9" i="4"/>
  <c r="I9" i="4"/>
  <c r="E9" i="4"/>
  <c r="L8" i="4"/>
  <c r="I8" i="4"/>
  <c r="C8" i="4"/>
  <c r="E8" i="4" s="1"/>
  <c r="L7" i="4"/>
  <c r="I7" i="4"/>
  <c r="E7" i="4"/>
  <c r="L6" i="4"/>
  <c r="I6" i="4"/>
  <c r="E6" i="4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D28" i="3"/>
  <c r="E28" i="3" s="1"/>
  <c r="L27" i="3"/>
  <c r="I27" i="3"/>
  <c r="C27" i="3"/>
  <c r="E27" i="3" s="1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C18" i="3"/>
  <c r="E18" i="3" s="1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H89" i="1" l="1"/>
  <c r="F89" i="1"/>
  <c r="K85" i="1" s="1"/>
  <c r="C87" i="1" s="1"/>
  <c r="H103" i="1"/>
  <c r="F103" i="1"/>
  <c r="K99" i="1" s="1"/>
  <c r="C101" i="1" s="1"/>
  <c r="L34" i="4"/>
  <c r="K34" i="4" s="1"/>
  <c r="L36" i="5"/>
  <c r="K36" i="5" s="1"/>
  <c r="E34" i="3"/>
  <c r="D34" i="3" s="1"/>
  <c r="I34" i="3"/>
  <c r="H34" i="3" s="1"/>
  <c r="L34" i="3"/>
  <c r="K34" i="3" s="1"/>
  <c r="I34" i="4"/>
  <c r="H34" i="4" s="1"/>
  <c r="D139" i="1"/>
  <c r="C139" i="1"/>
  <c r="D141" i="1"/>
  <c r="C141" i="1"/>
  <c r="C140" i="1"/>
  <c r="D140" i="1"/>
  <c r="I36" i="5"/>
  <c r="H36" i="5" s="1"/>
  <c r="E36" i="5"/>
  <c r="E34" i="4"/>
  <c r="E36" i="3" l="1"/>
  <c r="D36" i="3"/>
  <c r="D152" i="1" s="1"/>
  <c r="E38" i="5"/>
  <c r="D36" i="5"/>
  <c r="D38" i="5" s="1"/>
  <c r="D166" i="1" s="1"/>
  <c r="E36" i="4"/>
  <c r="D34" i="4"/>
  <c r="D36" i="4" s="1"/>
  <c r="D153" i="1" s="1"/>
  <c r="D151" i="1" l="1"/>
  <c r="I286" i="1"/>
  <c r="G283" i="1"/>
  <c r="G282" i="1"/>
  <c r="G281" i="1"/>
  <c r="G280" i="1"/>
  <c r="G279" i="1"/>
  <c r="G278" i="1"/>
  <c r="G277" i="1"/>
  <c r="I276" i="1"/>
  <c r="I263" i="1"/>
  <c r="I253" i="1"/>
  <c r="G259" i="1"/>
  <c r="G256" i="1"/>
  <c r="G255" i="1"/>
  <c r="G254" i="1"/>
  <c r="G253" i="1"/>
  <c r="G251" i="1"/>
  <c r="G250" i="1"/>
  <c r="I244" i="1"/>
  <c r="G249" i="1"/>
  <c r="G248" i="1"/>
  <c r="G247" i="1"/>
  <c r="G246" i="1"/>
  <c r="G245" i="1"/>
  <c r="I233" i="1"/>
  <c r="G238" i="1"/>
  <c r="G237" i="1"/>
  <c r="G235" i="1"/>
  <c r="G234" i="1"/>
  <c r="G233" i="1"/>
  <c r="I225" i="1"/>
  <c r="G230" i="1"/>
  <c r="G229" i="1"/>
  <c r="G228" i="1"/>
  <c r="G227" i="1"/>
  <c r="G226" i="1"/>
  <c r="D216" i="1"/>
  <c r="G216" i="1" s="1"/>
  <c r="D215" i="1"/>
  <c r="G215" i="1" s="1"/>
  <c r="G173" i="1"/>
  <c r="D172" i="1"/>
  <c r="G172" i="1" s="1"/>
  <c r="D171" i="1"/>
  <c r="G171" i="1" s="1"/>
  <c r="G170" i="1"/>
  <c r="I202" i="1"/>
  <c r="I195" i="1"/>
  <c r="G197" i="1"/>
  <c r="G190" i="1"/>
  <c r="G189" i="1"/>
  <c r="G182" i="1"/>
  <c r="G181" i="1"/>
  <c r="G200" i="1"/>
  <c r="G199" i="1"/>
  <c r="G198" i="1"/>
  <c r="G196" i="1"/>
  <c r="G195" i="1"/>
  <c r="I187" i="1"/>
  <c r="D193" i="1"/>
  <c r="G192" i="1"/>
  <c r="G191" i="1"/>
  <c r="I179" i="1"/>
  <c r="G185" i="1"/>
  <c r="G184" i="1"/>
  <c r="G183" i="1"/>
  <c r="G180" i="1"/>
  <c r="G179" i="1"/>
  <c r="G166" i="1"/>
  <c r="D168" i="1"/>
  <c r="G168" i="1" s="1"/>
  <c r="D167" i="1"/>
  <c r="G167" i="1" s="1"/>
  <c r="I158" i="1"/>
  <c r="G163" i="1"/>
  <c r="G162" i="1"/>
  <c r="G161" i="1"/>
  <c r="G159" i="1"/>
  <c r="G158" i="1"/>
  <c r="I151" i="1"/>
  <c r="D154" i="1"/>
  <c r="G153" i="1"/>
  <c r="G156" i="1"/>
  <c r="G155" i="1"/>
  <c r="G152" i="1"/>
  <c r="G193" i="1" l="1"/>
  <c r="G138" i="1" s="1"/>
  <c r="D138" i="1"/>
  <c r="C138" i="1"/>
  <c r="G154" i="1"/>
  <c r="D137" i="1"/>
  <c r="C137" i="1"/>
  <c r="G151" i="1"/>
  <c r="G244" i="1"/>
  <c r="G140" i="1" s="1"/>
  <c r="G225" i="1"/>
  <c r="G139" i="1" s="1"/>
  <c r="G276" i="1"/>
  <c r="G141" i="1" s="1"/>
  <c r="B7" i="2"/>
  <c r="G137" i="1" l="1"/>
  <c r="G142" i="1" s="1"/>
  <c r="C142" i="1"/>
  <c r="D142" i="1"/>
  <c r="G15" i="2"/>
  <c r="G16" i="2" s="1"/>
  <c r="C15" i="2" s="1"/>
  <c r="H15" i="2"/>
  <c r="B16" i="2" s="1"/>
  <c r="D6" i="2"/>
  <c r="C5" i="2"/>
  <c r="B12" i="2" s="1"/>
  <c r="D308" i="1"/>
  <c r="G134" i="1"/>
  <c r="D50" i="1"/>
  <c r="H46" i="1"/>
  <c r="C46" i="1"/>
  <c r="F41" i="1"/>
  <c r="F42" i="1" s="1"/>
  <c r="D52" i="1" s="1"/>
  <c r="F7" i="1"/>
  <c r="B15" i="2" l="1"/>
  <c r="B9" i="2"/>
  <c r="J16" i="2" s="1"/>
  <c r="C18" i="2" s="1"/>
  <c r="B11" i="2"/>
  <c r="L15" i="2" s="1"/>
  <c r="B20" i="2" s="1"/>
  <c r="D12" i="2"/>
  <c r="M16" i="2"/>
  <c r="C21" i="2" s="1"/>
  <c r="M15" i="2"/>
  <c r="B21" i="2" s="1"/>
  <c r="H16" i="2"/>
  <c r="C16" i="2" s="1"/>
  <c r="D7" i="2"/>
  <c r="B8" i="2"/>
  <c r="B10" i="2"/>
  <c r="D11" i="2" l="1"/>
  <c r="D9" i="2"/>
  <c r="J15" i="2"/>
  <c r="B18" i="2" s="1"/>
  <c r="L16" i="2"/>
  <c r="C20" i="2" s="1"/>
  <c r="K16" i="2"/>
  <c r="C19" i="2" s="1"/>
  <c r="D10" i="2"/>
  <c r="K15" i="2"/>
  <c r="B19" i="2" s="1"/>
  <c r="D8" i="2"/>
  <c r="I16" i="2"/>
  <c r="C17" i="2" s="1"/>
  <c r="I15" i="2"/>
  <c r="B17" i="2" s="1"/>
  <c r="C22" i="2" l="1"/>
  <c r="B22" i="2"/>
</calcChain>
</file>

<file path=xl/sharedStrings.xml><?xml version="1.0" encoding="utf-8"?>
<sst xmlns="http://schemas.openxmlformats.org/spreadsheetml/2006/main" count="869" uniqueCount="299">
  <si>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</si>
  <si>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</si>
  <si>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</si>
  <si>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</si>
  <si>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</si>
  <si>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</si>
  <si>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</si>
  <si>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Contect Details ( Name &amp; Contect No.)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</si>
  <si>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</si>
  <si>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</si>
  <si>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</si>
  <si>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</si>
  <si>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</si>
  <si>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</si>
  <si>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</si>
  <si>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</si>
  <si>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</si>
  <si>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</si>
  <si>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</si>
  <si>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</si>
  <si>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</si>
  <si>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</si>
  <si>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Middle Class</t>
  </si>
  <si>
    <t>Nature of land with topographical condtion</t>
  </si>
  <si>
    <t>Plane</t>
  </si>
  <si>
    <t xml:space="preserve">Nature of the locality </t>
  </si>
  <si>
    <t>Developing</t>
  </si>
  <si>
    <t>Quality of infrastructure in vicinity</t>
  </si>
  <si>
    <t>Good</t>
  </si>
  <si>
    <t>Boundaries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</si>
  <si>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</si>
  <si>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</si>
  <si>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</si>
  <si>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</si>
  <si>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</si>
  <si>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</si>
  <si>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</si>
  <si>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</si>
  <si>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Type of Structure : RCC Frame Structure</t>
  </si>
  <si>
    <t xml:space="preserve">Latitude &amp; Longitude </t>
  </si>
  <si>
    <t>Approval details:</t>
  </si>
  <si>
    <t xml:space="preserve">Approved usage of the Property:                                                                                                                                             </t>
  </si>
  <si>
    <t xml:space="preserve">(Restrictive Covenants in regard to Land Use, if any)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</si>
  <si>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</si>
  <si>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</si>
  <si>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</si>
  <si>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</si>
  <si>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</si>
  <si>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</si>
  <si>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in Sq. Mt.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</si>
  <si>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</si>
  <si>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</si>
  <si>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</si>
  <si>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</si>
  <si>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</si>
  <si>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</si>
  <si>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</si>
  <si>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 xml:space="preserve">Commencement date of construction </t>
  </si>
  <si>
    <t>Expected Completion</t>
  </si>
  <si>
    <t>Building wise Construction details</t>
  </si>
  <si>
    <t>Approved area of the building in Sq.Mt</t>
  </si>
  <si>
    <t>Approved no of units</t>
  </si>
  <si>
    <t>Approved no of Floors</t>
  </si>
  <si>
    <t>Projected life of the structure: 60 Years After Completion</t>
  </si>
  <si>
    <t xml:space="preserve">Construction details:                                                                  </t>
  </si>
  <si>
    <t>Type of Work</t>
  </si>
  <si>
    <t>Plinth</t>
  </si>
  <si>
    <t>RCC</t>
  </si>
  <si>
    <t>Plaster</t>
  </si>
  <si>
    <t>Flooring</t>
  </si>
  <si>
    <t>Finishing</t>
  </si>
  <si>
    <t>Violations Observed if any : NA</t>
  </si>
  <si>
    <t>Recommended Rates of the Property :</t>
  </si>
  <si>
    <t xml:space="preserve">Recommended rate of Parking </t>
  </si>
  <si>
    <t>Development charges Per Sq. Ft.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</si>
  <si>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</si>
  <si>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</si>
  <si>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</si>
  <si>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</si>
  <si>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</si>
  <si>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</si>
  <si>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</si>
  <si>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</si>
  <si>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</si>
  <si>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</si>
  <si>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</si>
  <si>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Saleable area</t>
  </si>
  <si>
    <t>PLC Y/N</t>
  </si>
  <si>
    <t>Floor</t>
  </si>
  <si>
    <t>N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</si>
  <si>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</si>
  <si>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</si>
  <si>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</si>
  <si>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</si>
  <si>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</si>
  <si>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</si>
  <si>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</si>
  <si>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</si>
  <si>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</si>
  <si>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</si>
  <si>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>Particulars</t>
  </si>
  <si>
    <t>plinth</t>
  </si>
  <si>
    <t>slab</t>
  </si>
  <si>
    <t>rcc</t>
  </si>
  <si>
    <t>Bricks</t>
  </si>
  <si>
    <t>Wood &amp; painting</t>
  </si>
  <si>
    <t>Progress</t>
  </si>
  <si>
    <t xml:space="preserve">Bricks </t>
  </si>
  <si>
    <t xml:space="preserve">Recommended </t>
  </si>
  <si>
    <t>plaster</t>
  </si>
  <si>
    <t>Recommended</t>
  </si>
  <si>
    <t>total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</si>
  <si>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</si>
  <si>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</si>
  <si>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</si>
  <si>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</si>
  <si>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</si>
  <si>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</si>
  <si>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</si>
  <si>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</si>
  <si>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</si>
  <si>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</si>
  <si>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</si>
  <si>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</si>
  <si>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</si>
  <si>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</si>
  <si>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</si>
  <si>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</si>
  <si>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</si>
  <si>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</si>
  <si>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</si>
  <si>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</si>
  <si>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</si>
  <si>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</si>
  <si>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</si>
  <si>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</si>
  <si>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</si>
  <si>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</si>
  <si>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Upper Floor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</si>
  <si>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</si>
  <si>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</si>
  <si>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</si>
  <si>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</si>
  <si>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</si>
  <si>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</si>
  <si>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</si>
  <si>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</si>
  <si>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</si>
  <si>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NA
Approved upto :</t>
  </si>
  <si>
    <t>Recommended rate of the flat Per Sq. Ft. ( on Saleable area)</t>
  </si>
  <si>
    <t>Flat/Shop No.</t>
  </si>
  <si>
    <t>Accessibility to the Project from the City: (Proximity to civic amenities like school, hospital, market, etc.)</t>
  </si>
  <si>
    <t xml:space="preserve">total floor 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</si>
  <si>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</si>
  <si>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</si>
  <si>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</si>
  <si>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</si>
  <si>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</si>
  <si>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</si>
  <si>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</si>
  <si>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</si>
  <si>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</si>
  <si>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</si>
  <si>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</si>
  <si>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800000/-</t>
  </si>
  <si>
    <t>Mumbai - G + 35</t>
  </si>
  <si>
    <t>1000000/-</t>
  </si>
  <si>
    <t>Thane - G + 7</t>
  </si>
  <si>
    <t>Thane - G + 15</t>
  </si>
  <si>
    <t>400000/-</t>
  </si>
  <si>
    <t>Thane - G + 25</t>
  </si>
  <si>
    <t>600000/-</t>
  </si>
  <si>
    <t>Inspected By :</t>
  </si>
  <si>
    <t>Report Prepared By :</t>
  </si>
  <si>
    <t>Authorized Signatory
Name &amp; Seal of the agency</t>
  </si>
  <si>
    <t>Axis Sanpada</t>
  </si>
  <si>
    <t xml:space="preserve">M/s.Peer Realty Private Limited
</t>
  </si>
  <si>
    <t>Opulus</t>
  </si>
  <si>
    <t>P51700022773</t>
  </si>
  <si>
    <t>Survey No/H No</t>
  </si>
  <si>
    <t>56/5A2 &amp; 56/6B</t>
  </si>
  <si>
    <t>North Ave Road</t>
  </si>
  <si>
    <t>Village</t>
  </si>
  <si>
    <t>Chitalsar-Manpada</t>
  </si>
  <si>
    <t>Thane</t>
  </si>
  <si>
    <t>Meridian CHS Ltd.</t>
  </si>
  <si>
    <t>Open Land</t>
  </si>
  <si>
    <t>Celio Building</t>
  </si>
  <si>
    <t>Hiranandani Meadows</t>
  </si>
  <si>
    <t>VP.S04/0103/17/TMC/TD-DP/TPS/3081/19</t>
  </si>
  <si>
    <t>23/05/2019.</t>
  </si>
  <si>
    <t>Building No. R1</t>
  </si>
  <si>
    <t>Ground Floor is for Parking</t>
  </si>
  <si>
    <t>1st Podium Floor is for Parking</t>
  </si>
  <si>
    <t>2nd Podium (E-DECK) Floor (Fitness Centre)</t>
  </si>
  <si>
    <t>R1</t>
  </si>
  <si>
    <t>R2</t>
  </si>
  <si>
    <t>R3</t>
  </si>
  <si>
    <t>S1</t>
  </si>
  <si>
    <t>S2</t>
  </si>
  <si>
    <t>No. of Flats</t>
  </si>
  <si>
    <t>3rd to 6th &amp; 8th to 10th Floors</t>
  </si>
  <si>
    <t>2 BHK</t>
  </si>
  <si>
    <t>7th Floor</t>
  </si>
  <si>
    <t>Refuge Area</t>
  </si>
  <si>
    <t>23rd Floor (Fire Check)</t>
  </si>
  <si>
    <t>11th, 13th to 16th, 18th to 21st &amp; 24th to 27th Floors</t>
  </si>
  <si>
    <t>Building No. R2</t>
  </si>
  <si>
    <t>3rd to 6th, 8th to 11th, 13th &amp; 14th Floors</t>
  </si>
  <si>
    <t>7th &amp; 12th Floors</t>
  </si>
  <si>
    <t>17th &amp; 22nd Floors</t>
  </si>
  <si>
    <t>Building No. R3</t>
  </si>
  <si>
    <t>26th &amp; 27th Floors</t>
  </si>
  <si>
    <t>Terrace Area</t>
  </si>
  <si>
    <t>28th Floor</t>
  </si>
  <si>
    <t>29th Floor</t>
  </si>
  <si>
    <t>3rd to 6th, 8th to 11th, 13th to 16th, 18th to 21st &amp; 24th to 27th Floors</t>
  </si>
  <si>
    <t>3 BHK</t>
  </si>
  <si>
    <t>7th, 12th, 17th, 22nd &amp; 28th Floors</t>
  </si>
  <si>
    <t>Building No. S1</t>
  </si>
  <si>
    <t>7th, 12th, 17th &amp; 22nd Floors</t>
  </si>
  <si>
    <t>Building No. S2</t>
  </si>
  <si>
    <t>Residential</t>
  </si>
  <si>
    <t>Building No. R1, R2 &amp; R3
Building No. S1 &amp; S2</t>
  </si>
  <si>
    <t>05 Buildings</t>
  </si>
  <si>
    <t>5 BHK</t>
  </si>
  <si>
    <t xml:space="preserve">11th, 13th to 16th, 18th to 21st &amp; 24th to 27th Floors </t>
  </si>
  <si>
    <t>12th, 17th, 22nd &amp; 28th Floors (Part Refuge Area)</t>
  </si>
  <si>
    <t xml:space="preserve">12th, 17th, 22nd &amp; 28th Floors </t>
  </si>
  <si>
    <t>26th &amp; 27th Floors (Part Terrace Area on 26th Floor)</t>
  </si>
  <si>
    <t>28th Floor (Part Refuge Area)</t>
  </si>
  <si>
    <t>29th Floor (Part Terrace Area)</t>
  </si>
  <si>
    <t>15th, 16th, 18th to 21st, 24th &amp; 25th Floor</t>
  </si>
  <si>
    <t>Flats = 793</t>
  </si>
  <si>
    <t>Building No. R1 &amp; R3 = Gr. + 1st to 2nd Floors Podium + 3rd to 28th Floors
Building No. R2 - Gr. + 1st to 2nd Floors Podium + 3rd to 29th Floors
Building No. S1 - Gr. + 1st to 2nd Floors Podium + 3rd to 28th Floors
Building No. S2 - Gr. + 1st to 2nd Floors Podium + 3rd to 27th Floors</t>
  </si>
  <si>
    <t>Gemini A&amp;B CHS Hiranandani Meadows</t>
  </si>
  <si>
    <t>Pratiksha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</si>
  <si>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</si>
  <si>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</si>
  <si>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</si>
  <si>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</si>
  <si>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</si>
  <si>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</si>
  <si>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</si>
  <si>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Housing</t>
  </si>
  <si>
    <t>Proptiger</t>
  </si>
  <si>
    <t>Magic Brick</t>
  </si>
  <si>
    <t>99 Acres</t>
  </si>
  <si>
    <t>Average</t>
  </si>
  <si>
    <t xml:space="preserve">Valuation Adopted </t>
  </si>
  <si>
    <t>Quality of construction: NA</t>
  </si>
  <si>
    <t>Approved Plans, CC, Cost sheet.</t>
  </si>
  <si>
    <t>Wheather the construction is as per approved Building plan : Under Construction</t>
  </si>
  <si>
    <t>Construction details: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</si>
  <si>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</si>
  <si>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</si>
  <si>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</si>
  <si>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</si>
  <si>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</si>
  <si>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</si>
  <si>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</si>
  <si>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</si>
  <si>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</si>
  <si>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</si>
  <si>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</si>
  <si>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</si>
  <si>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</si>
  <si>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</si>
  <si>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</si>
  <si>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</si>
  <si>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</si>
  <si>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</si>
  <si>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</si>
  <si>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</si>
  <si>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</si>
  <si>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</si>
  <si>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</si>
  <si>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Building No. R2 = Gr. + 1st to 2nd Floor Podium + 3rd to 29th Floor</t>
  </si>
  <si>
    <t>Building No. S1 = Gr. + 1st to 2nd Floor Podium + 3rd to 28th Floor</t>
  </si>
  <si>
    <t>Building No.R3 = Gr. + 1st to 2nd Floor Podium + 3rd to 28th Floor</t>
  </si>
  <si>
    <t xml:space="preserve">Location Link </t>
  </si>
  <si>
    <t>https://goo.gl/maps/bFs544to6q7iR9U88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</si>
  <si>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</si>
  <si>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>19.229590,72.972672</t>
  </si>
  <si>
    <t>r2 work resumed</t>
  </si>
  <si>
    <t>Material laying at Site: Steel, Sand, Cement etc.</t>
  </si>
  <si>
    <t>Viraj</t>
  </si>
  <si>
    <t>Cost sheet</t>
  </si>
  <si>
    <t xml:space="preserve">Commencement Certificate No.
Valid Up to: </t>
  </si>
  <si>
    <t>5.3 Km from Thane Railway Station</t>
  </si>
  <si>
    <t>13500 TO 16000</t>
  </si>
  <si>
    <t>Ajay Songare</t>
  </si>
  <si>
    <t>Building No. S2 = Gr. + 1st to 2nd Floor Podium + 3rd to 28th Floor</t>
  </si>
  <si>
    <t>Building No. R1 = Gr. + 1st to 2nd Floor Podium + 3rd to 28th Floor</t>
  </si>
  <si>
    <t>90/403(Old)S04/0103/17/TMCB/TDD/
0070/(P/C)/2024/AutoDCR</t>
  </si>
  <si>
    <t>12/01/2024.</t>
  </si>
  <si>
    <t>Building No. R1 - Gr/Stilt + 1st to 2nd Floor Podium + 3rd to 10th Floor
Building No. R2 - Gr/Stilt + 1st to 2nd Floor Podium + 3rd to 22nd + 23rd(Pt) to 28th(Pt) Floor
Building No. R3 - Gr/Stilt + 1st to 2nd Floor Podium + 3rd to 19th Floor
Building No. S1 - Gr/Stilt + 1st to 2nd Podium + 3rd to 24th Floor
Building No. S2 - Gr/Stilt + 1st to 2nd Podium + 3rd to 12th Floor</t>
  </si>
  <si>
    <t>Gaurav Panchal</t>
  </si>
  <si>
    <t xml:space="preserve">1. Building No. R1 =  Work not yet started.
    Building No. R2, R3 = Construction work is the same as last visit (dtd.04/06/2025). (Slow Speed)
    Building No. S1 = Construction work is the same as last visit (dtd.08/03/2025). (Slow Speed)
    Building No. S2 = Construction work is the same as last visit (dtd.10/12/2024). (Slow Speed)
2. We considered Saleable area as per our calculation.
3. We considered Carpet area as per Approved Plan.
4. We considered Gross carpet area = Net carpet + Enclose balcony + C.B Area + A.P Area.
5. We have given rate as per Market Inquire.
6. Car parking is subjected to authentic documentation.
7. We have updated CC from RERA site on 17/03/2025.
8. Please provide revised approved plans.
8. On site, we meet Mr.Zaid - 7058035869.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</si>
</sst>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(* #,##0_);_(* \(#,##0\);_(* &quot;-&quot;??_);_(@_)"/>
  </numFmts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6" fillId="0" borderId="0"/>
    <xf numFmtId="0" fontId="2" fillId="0" borderId="0"/>
    <xf numFmtId="9" fontId="12" fillId="0" borderId="0" applyFont="0" applyFill="0" applyBorder="0" applyAlignment="0" applyProtection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40">
    <xf numFmtId="0" fontId="0" fillId="0" borderId="0" xfId="0"/>
    <xf numFmtId="0" fontId="8" fillId="0" borderId="0" xfId="0" applyFont="1" applyAlignment="1">
      <alignment horizontal="center" vertical="center"/>
    </xf>
    <xf numFmtId="1" fontId="9" fillId="0" borderId="4" xfId="1" applyNumberFormat="1" applyFont="1" applyBorder="1" applyAlignment="1">
      <alignment horizontal="center" vertical="top" wrapText="1"/>
    </xf>
    <xf numFmtId="0" fontId="8" fillId="0" borderId="0" xfId="1" applyFont="1" applyAlignment="1">
      <alignment horizontal="center" vertical="center"/>
    </xf>
    <xf numFmtId="1" fontId="7" fillId="0" borderId="4" xfId="1" applyNumberFormat="1" applyFont="1" applyBorder="1" applyAlignment="1">
      <alignment horizontal="center" vertical="center" wrapText="1"/>
    </xf>
    <xf numFmtId="0" fontId="0" fillId="3" borderId="4" xfId="0" applyFill="1" applyBorder="1"/>
    <xf numFmtId="0" fontId="0" fillId="0" borderId="9" xfId="0" applyBorder="1"/>
    <xf numFmtId="0" fontId="10" fillId="0" borderId="4" xfId="0" applyFont="1" applyBorder="1"/>
    <xf numFmtId="0" fontId="0" fillId="0" borderId="4" xfId="0" applyBorder="1"/>
    <xf numFmtId="0" fontId="1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1" applyFont="1"/>
    <xf numFmtId="0" fontId="7" fillId="2" borderId="4" xfId="1" applyFont="1" applyFill="1" applyBorder="1" applyAlignment="1">
      <alignment vertical="top"/>
    </xf>
    <xf numFmtId="0" fontId="7" fillId="0" borderId="0" xfId="2" applyFont="1"/>
    <xf numFmtId="1" fontId="4" fillId="0" borderId="4" xfId="1" applyNumberFormat="1" applyFont="1" applyBorder="1" applyAlignment="1">
      <alignment horizontal="center" vertical="top" wrapText="1"/>
    </xf>
    <xf numFmtId="0" fontId="8" fillId="0" borderId="0" xfId="0" applyFont="1"/>
    <xf numFmtId="0" fontId="9" fillId="0" borderId="0" xfId="1" applyFont="1" applyAlignment="1">
      <alignment vertical="top"/>
    </xf>
    <xf numFmtId="0" fontId="9" fillId="0" borderId="0" xfId="1" applyFont="1" applyAlignment="1">
      <alignment vertical="top" wrapText="1"/>
    </xf>
    <xf numFmtId="0" fontId="11" fillId="0" borderId="0" xfId="1" applyFont="1"/>
    <xf numFmtId="0" fontId="7" fillId="2" borderId="4" xfId="1" applyFont="1" applyFill="1" applyBorder="1" applyAlignment="1">
      <alignment horizontal="left" vertical="top"/>
    </xf>
    <xf numFmtId="0" fontId="17" fillId="0" borderId="0" xfId="0" applyFont="1"/>
    <xf numFmtId="0" fontId="17" fillId="0" borderId="4" xfId="0" applyFont="1" applyBorder="1"/>
    <xf numFmtId="0" fontId="18" fillId="0" borderId="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3" borderId="4" xfId="0" applyFont="1" applyFill="1" applyBorder="1"/>
    <xf numFmtId="0" fontId="17" fillId="0" borderId="4" xfId="0" applyFont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9" fontId="17" fillId="0" borderId="0" xfId="4" applyFont="1" applyBorder="1"/>
    <xf numFmtId="0" fontId="16" fillId="0" borderId="4" xfId="0" applyFont="1" applyBorder="1" applyAlignment="1">
      <alignment horizontal="center"/>
    </xf>
    <xf numFmtId="0" fontId="17" fillId="0" borderId="0" xfId="0" applyFont="1" applyAlignment="1">
      <alignment wrapText="1"/>
    </xf>
    <xf numFmtId="0" fontId="17" fillId="0" borderId="13" xfId="0" applyFont="1" applyBorder="1"/>
    <xf numFmtId="0" fontId="17" fillId="0" borderId="4" xfId="0" applyFont="1" applyBorder="1" applyAlignment="1">
      <alignment wrapText="1"/>
    </xf>
    <xf numFmtId="9" fontId="17" fillId="0" borderId="4" xfId="4" applyFont="1" applyBorder="1"/>
    <xf numFmtId="9" fontId="17" fillId="0" borderId="0" xfId="0" applyNumberFormat="1" applyFont="1"/>
    <xf numFmtId="0" fontId="17" fillId="0" borderId="0" xfId="0" applyFont="1" applyAlignment="1">
      <alignment horizontal="right"/>
    </xf>
    <xf numFmtId="0" fontId="10" fillId="0" borderId="4" xfId="0" applyFont="1" applyBorder="1" applyAlignment="1">
      <alignment horizontal="center"/>
    </xf>
    <xf numFmtId="14" fontId="6" fillId="0" borderId="0" xfId="5" applyNumberFormat="1"/>
    <xf numFmtId="0" fontId="6" fillId="0" borderId="0" xfId="5"/>
    <xf numFmtId="0" fontId="1" fillId="0" borderId="0" xfId="6"/>
    <xf numFmtId="0" fontId="10" fillId="0" borderId="4" xfId="6" applyFont="1" applyBorder="1" applyAlignment="1">
      <alignment horizontal="center" vertical="top" wrapText="1"/>
    </xf>
    <xf numFmtId="0" fontId="1" fillId="0" borderId="4" xfId="6" applyBorder="1" applyAlignment="1">
      <alignment horizontal="center" vertical="center"/>
    </xf>
    <xf numFmtId="0" fontId="1" fillId="0" borderId="4" xfId="6" applyBorder="1" applyAlignment="1">
      <alignment horizontal="left" vertical="center"/>
    </xf>
    <xf numFmtId="1" fontId="1" fillId="0" borderId="4" xfId="6" applyNumberFormat="1" applyBorder="1" applyAlignment="1">
      <alignment horizontal="center" vertical="center"/>
    </xf>
    <xf numFmtId="166" fontId="1" fillId="0" borderId="4" xfId="7" applyNumberFormat="1" applyFont="1" applyBorder="1" applyAlignment="1">
      <alignment horizontal="right" vertical="center"/>
    </xf>
    <xf numFmtId="0" fontId="1" fillId="0" borderId="4" xfId="6" applyBorder="1" applyAlignment="1">
      <alignment horizontal="left" vertical="center" wrapText="1"/>
    </xf>
    <xf numFmtId="0" fontId="10" fillId="0" borderId="4" xfId="6" applyFont="1" applyBorder="1" applyAlignment="1">
      <alignment horizontal="center" vertical="center"/>
    </xf>
    <xf numFmtId="1" fontId="20" fillId="0" borderId="4" xfId="6" applyNumberFormat="1" applyFont="1" applyBorder="1" applyAlignment="1">
      <alignment horizontal="center" vertical="center"/>
    </xf>
    <xf numFmtId="0" fontId="6" fillId="0" borderId="4" xfId="5" applyBorder="1" applyAlignment="1">
      <alignment horizontal="center" vertical="center"/>
    </xf>
    <xf numFmtId="0" fontId="21" fillId="0" borderId="0" xfId="5" applyFont="1"/>
    <xf numFmtId="0" fontId="8" fillId="0" borderId="0" xfId="1" applyFont="1" applyProtection="1">
      <protection hidden="1"/>
    </xf>
    <xf numFmtId="0" fontId="14" fillId="0" borderId="18" xfId="1" applyFont="1" applyBorder="1" applyAlignment="1" applyProtection="1">
      <alignment horizontal="center" vertical="top"/>
      <protection locked="0"/>
    </xf>
    <xf numFmtId="0" fontId="14" fillId="0" borderId="4" xfId="1" applyFont="1" applyBorder="1" applyAlignment="1" applyProtection="1">
      <alignment horizontal="center" vertical="top"/>
      <protection locked="0"/>
    </xf>
    <xf numFmtId="0" fontId="17" fillId="0" borderId="0" xfId="0" applyFont="1" applyProtection="1">
      <protection hidden="1"/>
    </xf>
    <xf numFmtId="1" fontId="0" fillId="0" borderId="0" xfId="0" applyNumberFormat="1"/>
    <xf numFmtId="1" fontId="0" fillId="0" borderId="0" xfId="0" applyNumberFormat="1" applyAlignment="1">
      <alignment horizontal="right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4" xfId="1" applyFont="1" applyBorder="1" applyAlignment="1" applyProtection="1">
      <alignment horizontal="center" vertical="top" wrapText="1"/>
      <protection locked="0"/>
    </xf>
    <xf numFmtId="0" fontId="14" fillId="0" borderId="4" xfId="1" applyFont="1" applyBorder="1" applyAlignment="1" applyProtection="1">
      <alignment horizontal="center" wrapText="1"/>
      <protection locked="0"/>
    </xf>
    <xf numFmtId="1" fontId="14" fillId="0" borderId="4" xfId="1" applyNumberFormat="1" applyFont="1" applyBorder="1" applyAlignment="1" applyProtection="1">
      <alignment horizontal="center" wrapText="1"/>
      <protection locked="0"/>
    </xf>
    <xf numFmtId="0" fontId="14" fillId="0" borderId="23" xfId="1" applyFont="1" applyBorder="1" applyAlignment="1" applyProtection="1">
      <alignment horizontal="center" wrapText="1"/>
      <protection locked="0"/>
    </xf>
    <xf numFmtId="0" fontId="8" fillId="3" borderId="0" xfId="1" applyFont="1" applyFill="1"/>
    <xf numFmtId="14" fontId="8" fillId="3" borderId="0" xfId="1" applyNumberFormat="1" applyFont="1" applyFill="1"/>
    <xf numFmtId="0" fontId="14" fillId="0" borderId="18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9" fontId="14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4" fillId="2" borderId="23" xfId="1" applyNumberFormat="1" applyFont="1" applyFill="1" applyBorder="1" applyAlignment="1" applyProtection="1">
      <alignment horizontal="center" vertical="center" wrapText="1"/>
      <protection hidden="1"/>
    </xf>
    <xf numFmtId="9" fontId="14" fillId="2" borderId="19" xfId="1" applyNumberFormat="1" applyFont="1" applyFill="1" applyBorder="1" applyAlignment="1" applyProtection="1">
      <alignment horizontal="center" vertical="center" wrapText="1"/>
      <protection hidden="1"/>
    </xf>
    <xf numFmtId="9" fontId="14" fillId="2" borderId="24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21" xfId="1" applyFont="1" applyBorder="1" applyAlignment="1" applyProtection="1">
      <alignment horizontal="center" vertical="top" wrapText="1"/>
      <protection locked="0"/>
    </xf>
    <xf numFmtId="0" fontId="14" fillId="0" borderId="22" xfId="1" applyFont="1" applyBorder="1" applyAlignment="1" applyProtection="1">
      <alignment horizontal="center" vertical="top" wrapText="1"/>
      <protection locked="0"/>
    </xf>
    <xf numFmtId="0" fontId="15" fillId="0" borderId="14" xfId="1" applyFont="1" applyBorder="1" applyAlignment="1" applyProtection="1">
      <alignment horizontal="center" vertical="top" wrapText="1"/>
      <protection locked="0"/>
    </xf>
    <xf numFmtId="0" fontId="15" fillId="0" borderId="15" xfId="1" applyFont="1" applyBorder="1" applyAlignment="1" applyProtection="1">
      <alignment horizontal="center" vertical="top" wrapText="1"/>
      <protection locked="0"/>
    </xf>
    <xf numFmtId="0" fontId="15" fillId="0" borderId="16" xfId="1" applyFont="1" applyBorder="1" applyAlignment="1" applyProtection="1">
      <alignment horizontal="left" vertical="top" wrapText="1"/>
      <protection locked="0"/>
    </xf>
    <xf numFmtId="0" fontId="15" fillId="0" borderId="17" xfId="1" applyFont="1" applyBorder="1" applyAlignment="1" applyProtection="1">
      <alignment horizontal="left" vertical="top" wrapText="1"/>
      <protection locked="0"/>
    </xf>
    <xf numFmtId="0" fontId="14" fillId="0" borderId="4" xfId="1" applyFont="1" applyBorder="1" applyAlignment="1" applyProtection="1">
      <alignment horizontal="center" vertical="top"/>
      <protection locked="0"/>
    </xf>
    <xf numFmtId="0" fontId="14" fillId="0" borderId="19" xfId="1" applyFont="1" applyBorder="1" applyAlignment="1" applyProtection="1">
      <alignment horizontal="center" vertical="top"/>
      <protection locked="0"/>
    </xf>
    <xf numFmtId="0" fontId="15" fillId="0" borderId="18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15" fillId="0" borderId="4" xfId="1" applyFont="1" applyBorder="1" applyAlignment="1" applyProtection="1">
      <alignment horizontal="left" vertical="top" wrapText="1"/>
      <protection locked="0"/>
    </xf>
    <xf numFmtId="0" fontId="15" fillId="0" borderId="19" xfId="1" applyFont="1" applyBorder="1" applyAlignment="1" applyProtection="1">
      <alignment horizontal="left" vertical="top" wrapText="1"/>
      <protection locked="0"/>
    </xf>
    <xf numFmtId="0" fontId="14" fillId="0" borderId="20" xfId="1" applyFont="1" applyBorder="1" applyAlignment="1" applyProtection="1">
      <alignment horizontal="center" vertical="top" wrapText="1"/>
      <protection locked="0"/>
    </xf>
    <xf numFmtId="0" fontId="14" fillId="0" borderId="2" xfId="1" applyFont="1" applyBorder="1" applyAlignment="1" applyProtection="1">
      <alignment horizontal="center" vertical="top" wrapText="1"/>
      <protection locked="0"/>
    </xf>
    <xf numFmtId="0" fontId="14" fillId="0" borderId="4" xfId="1" applyFont="1" applyBorder="1" applyAlignment="1" applyProtection="1">
      <alignment horizontal="center" vertical="top" wrapText="1"/>
      <protection locked="0"/>
    </xf>
    <xf numFmtId="0" fontId="14" fillId="0" borderId="19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 wrapText="1"/>
    </xf>
    <xf numFmtId="0" fontId="7" fillId="2" borderId="2" xfId="1" applyFont="1" applyFill="1" applyBorder="1" applyAlignment="1">
      <alignment horizontal="left" vertical="top" wrapText="1"/>
    </xf>
    <xf numFmtId="0" fontId="7" fillId="2" borderId="3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0" fontId="7" fillId="2" borderId="2" xfId="1" applyFont="1" applyFill="1" applyBorder="1" applyAlignment="1">
      <alignment horizontal="left" vertical="top"/>
    </xf>
    <xf numFmtId="0" fontId="7" fillId="2" borderId="3" xfId="1" applyFont="1" applyFill="1" applyBorder="1" applyAlignment="1">
      <alignment horizontal="left" vertical="top"/>
    </xf>
    <xf numFmtId="0" fontId="9" fillId="0" borderId="14" xfId="1" applyFont="1" applyBorder="1" applyAlignment="1" applyProtection="1">
      <alignment horizontal="center" vertical="top" wrapText="1"/>
      <protection locked="0"/>
    </xf>
    <xf numFmtId="0" fontId="9" fillId="0" borderId="15" xfId="1" applyFont="1" applyBorder="1" applyAlignment="1" applyProtection="1">
      <alignment horizontal="center" vertical="top" wrapText="1"/>
      <protection locked="0"/>
    </xf>
    <xf numFmtId="0" fontId="9" fillId="0" borderId="16" xfId="1" applyFont="1" applyBorder="1" applyAlignment="1" applyProtection="1">
      <alignment horizontal="left" vertical="top" wrapText="1"/>
      <protection locked="0"/>
    </xf>
    <xf numFmtId="0" fontId="9" fillId="0" borderId="17" xfId="1" applyFont="1" applyBorder="1" applyAlignment="1" applyProtection="1">
      <alignment horizontal="left" vertical="top" wrapText="1"/>
      <protection locked="0"/>
    </xf>
    <xf numFmtId="0" fontId="9" fillId="0" borderId="5" xfId="1" applyFont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top" wrapText="1"/>
    </xf>
    <xf numFmtId="0" fontId="9" fillId="0" borderId="11" xfId="1" applyFont="1" applyBorder="1" applyAlignment="1">
      <alignment horizontal="center" vertical="top" wrapText="1"/>
    </xf>
    <xf numFmtId="0" fontId="9" fillId="0" borderId="0" xfId="1" applyFont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0" fontId="9" fillId="0" borderId="8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19" fillId="0" borderId="4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left" vertical="top"/>
    </xf>
    <xf numFmtId="0" fontId="14" fillId="0" borderId="4" xfId="1" applyFont="1" applyBorder="1" applyAlignment="1">
      <alignment horizontal="left" vertical="top"/>
    </xf>
    <xf numFmtId="0" fontId="14" fillId="0" borderId="4" xfId="1" applyFont="1" applyBorder="1" applyAlignment="1">
      <alignment horizontal="left"/>
    </xf>
    <xf numFmtId="0" fontId="8" fillId="0" borderId="1" xfId="1" applyFont="1" applyBorder="1" applyAlignment="1">
      <alignment horizontal="center" vertical="top"/>
    </xf>
    <xf numFmtId="0" fontId="8" fillId="0" borderId="3" xfId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0" fontId="7" fillId="0" borderId="3" xfId="1" applyFont="1" applyBorder="1" applyAlignment="1">
      <alignment horizontal="center" vertical="top"/>
    </xf>
    <xf numFmtId="0" fontId="7" fillId="0" borderId="1" xfId="1" applyFont="1" applyBorder="1" applyAlignment="1">
      <alignment horizontal="left" vertical="top"/>
    </xf>
    <xf numFmtId="0" fontId="7" fillId="0" borderId="2" xfId="1" applyFont="1" applyBorder="1" applyAlignment="1">
      <alignment horizontal="left" vertical="top"/>
    </xf>
    <xf numFmtId="0" fontId="7" fillId="0" borderId="3" xfId="1" applyFont="1" applyBorder="1" applyAlignment="1">
      <alignment horizontal="left" vertical="top"/>
    </xf>
    <xf numFmtId="164" fontId="7" fillId="0" borderId="1" xfId="1" applyNumberFormat="1" applyFont="1" applyBorder="1" applyAlignment="1">
      <alignment horizontal="left" vertical="top"/>
    </xf>
    <xf numFmtId="164" fontId="7" fillId="0" borderId="2" xfId="1" applyNumberFormat="1" applyFont="1" applyBorder="1" applyAlignment="1">
      <alignment horizontal="left" vertical="top"/>
    </xf>
    <xf numFmtId="164" fontId="7" fillId="0" borderId="3" xfId="1" applyNumberFormat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14" fillId="0" borderId="1" xfId="1" applyFont="1" applyBorder="1" applyAlignment="1" applyProtection="1">
      <alignment horizontal="left" vertical="center" wrapText="1"/>
      <protection locked="0"/>
    </xf>
    <xf numFmtId="0" fontId="14" fillId="0" borderId="2" xfId="1" applyFont="1" applyBorder="1" applyAlignment="1" applyProtection="1">
      <alignment horizontal="left" vertical="center" wrapText="1"/>
      <protection locked="0"/>
    </xf>
    <xf numFmtId="0" fontId="14" fillId="0" borderId="3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>
      <alignment horizontal="center" vertical="top" wrapText="1"/>
    </xf>
    <xf numFmtId="0" fontId="13" fillId="0" borderId="2" xfId="1" applyFont="1" applyBorder="1" applyAlignment="1">
      <alignment horizontal="center" vertical="top" wrapText="1"/>
    </xf>
    <xf numFmtId="0" fontId="13" fillId="0" borderId="3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/>
    </xf>
    <xf numFmtId="0" fontId="9" fillId="0" borderId="2" xfId="1" applyFont="1" applyBorder="1" applyAlignment="1">
      <alignment horizontal="center" vertical="top"/>
    </xf>
    <xf numFmtId="0" fontId="9" fillId="0" borderId="3" xfId="1" applyFont="1" applyBorder="1" applyAlignment="1">
      <alignment horizontal="center" vertical="top"/>
    </xf>
    <xf numFmtId="14" fontId="7" fillId="0" borderId="1" xfId="1" applyNumberFormat="1" applyFont="1" applyBorder="1" applyAlignment="1">
      <alignment horizontal="left" vertical="top"/>
    </xf>
    <xf numFmtId="14" fontId="7" fillId="0" borderId="2" xfId="1" applyNumberFormat="1" applyFont="1" applyBorder="1" applyAlignment="1">
      <alignment horizontal="left" vertical="top"/>
    </xf>
    <xf numFmtId="14" fontId="7" fillId="0" borderId="3" xfId="1" applyNumberFormat="1" applyFont="1" applyBorder="1" applyAlignment="1">
      <alignment horizontal="left" vertical="top"/>
    </xf>
    <xf numFmtId="0" fontId="9" fillId="0" borderId="1" xfId="1" applyFont="1" applyBorder="1" applyAlignment="1">
      <alignment horizontal="left" vertical="top"/>
    </xf>
    <xf numFmtId="0" fontId="9" fillId="0" borderId="2" xfId="1" applyFont="1" applyBorder="1" applyAlignment="1">
      <alignment horizontal="left" vertical="top"/>
    </xf>
    <xf numFmtId="0" fontId="9" fillId="0" borderId="3" xfId="1" applyFont="1" applyBorder="1" applyAlignment="1">
      <alignment horizontal="left" vertical="top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8" fillId="0" borderId="2" xfId="1" applyFont="1" applyBorder="1" applyAlignment="1" applyProtection="1">
      <alignment horizontal="left" vertical="center" wrapText="1"/>
      <protection locked="0"/>
    </xf>
    <xf numFmtId="0" fontId="8" fillId="0" borderId="3" xfId="1" applyFont="1" applyBorder="1" applyAlignment="1" applyProtection="1">
      <alignment horizontal="left" vertical="center" wrapText="1"/>
      <protection locked="0"/>
    </xf>
    <xf numFmtId="0" fontId="14" fillId="0" borderId="1" xfId="1" applyFont="1" applyBorder="1" applyAlignment="1">
      <alignment horizontal="left" vertical="top" wrapText="1"/>
    </xf>
    <xf numFmtId="0" fontId="14" fillId="0" borderId="2" xfId="1" applyFont="1" applyBorder="1" applyAlignment="1">
      <alignment horizontal="left" vertical="top"/>
    </xf>
    <xf numFmtId="0" fontId="14" fillId="0" borderId="3" xfId="1" applyFont="1" applyBorder="1" applyAlignment="1">
      <alignment horizontal="left" vertical="top"/>
    </xf>
    <xf numFmtId="14" fontId="14" fillId="0" borderId="1" xfId="1" applyNumberFormat="1" applyFont="1" applyBorder="1" applyAlignment="1">
      <alignment horizontal="left" vertical="top"/>
    </xf>
    <xf numFmtId="14" fontId="14" fillId="0" borderId="2" xfId="1" applyNumberFormat="1" applyFont="1" applyBorder="1" applyAlignment="1">
      <alignment horizontal="left" vertical="top"/>
    </xf>
    <xf numFmtId="14" fontId="14" fillId="0" borderId="3" xfId="1" applyNumberFormat="1" applyFont="1" applyBorder="1" applyAlignment="1">
      <alignment horizontal="left" vertical="top"/>
    </xf>
    <xf numFmtId="0" fontId="14" fillId="0" borderId="2" xfId="1" applyFont="1" applyBorder="1" applyAlignment="1">
      <alignment horizontal="left" vertical="top" wrapText="1"/>
    </xf>
    <xf numFmtId="0" fontId="14" fillId="0" borderId="3" xfId="1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7" fillId="2" borderId="4" xfId="1" applyFont="1" applyFill="1" applyBorder="1" applyAlignment="1">
      <alignment horizontal="left" vertical="top" wrapText="1"/>
    </xf>
    <xf numFmtId="0" fontId="7" fillId="0" borderId="6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/>
    </xf>
    <xf numFmtId="0" fontId="7" fillId="0" borderId="6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7" fillId="0" borderId="8" xfId="1" applyFont="1" applyBorder="1" applyAlignment="1">
      <alignment horizontal="left" vertical="top"/>
    </xf>
    <xf numFmtId="0" fontId="7" fillId="0" borderId="9" xfId="1" applyFont="1" applyBorder="1" applyAlignment="1">
      <alignment horizontal="left" vertical="top"/>
    </xf>
    <xf numFmtId="0" fontId="7" fillId="0" borderId="10" xfId="1" applyFont="1" applyBorder="1" applyAlignment="1">
      <alignment horizontal="left" vertical="top"/>
    </xf>
    <xf numFmtId="0" fontId="7" fillId="0" borderId="1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22" fillId="0" borderId="1" xfId="8" applyBorder="1" applyAlignment="1">
      <alignment horizontal="left" vertical="top"/>
    </xf>
    <xf numFmtId="0" fontId="7" fillId="0" borderId="4" xfId="1" applyFont="1" applyBorder="1" applyAlignment="1">
      <alignment horizontal="center" vertical="top"/>
    </xf>
    <xf numFmtId="0" fontId="8" fillId="0" borderId="3" xfId="1" applyFont="1" applyBorder="1" applyAlignment="1">
      <alignment horizontal="left"/>
    </xf>
    <xf numFmtId="164" fontId="7" fillId="0" borderId="1" xfId="1" applyNumberFormat="1" applyFont="1" applyBorder="1" applyAlignment="1">
      <alignment horizontal="left" vertical="top" wrapText="1"/>
    </xf>
    <xf numFmtId="164" fontId="7" fillId="0" borderId="2" xfId="1" applyNumberFormat="1" applyFont="1" applyBorder="1" applyAlignment="1">
      <alignment horizontal="left" vertical="top" wrapText="1"/>
    </xf>
    <xf numFmtId="164" fontId="7" fillId="0" borderId="3" xfId="1" applyNumberFormat="1" applyFont="1" applyBorder="1" applyAlignment="1">
      <alignment horizontal="left" vertical="top" wrapText="1"/>
    </xf>
    <xf numFmtId="0" fontId="9" fillId="0" borderId="1" xfId="1" applyFont="1" applyBorder="1" applyAlignment="1">
      <alignment vertical="top"/>
    </xf>
    <xf numFmtId="0" fontId="9" fillId="0" borderId="2" xfId="1" applyFont="1" applyBorder="1" applyAlignment="1">
      <alignment vertical="top"/>
    </xf>
    <xf numFmtId="0" fontId="9" fillId="0" borderId="3" xfId="1" applyFont="1" applyBorder="1" applyAlignment="1">
      <alignment vertical="top"/>
    </xf>
    <xf numFmtId="0" fontId="14" fillId="0" borderId="1" xfId="1" applyFont="1" applyBorder="1" applyAlignment="1">
      <alignment horizontal="center" vertical="top" wrapText="1"/>
    </xf>
    <xf numFmtId="0" fontId="14" fillId="0" borderId="3" xfId="1" applyFont="1" applyBorder="1" applyAlignment="1">
      <alignment horizontal="center" vertical="top" wrapText="1"/>
    </xf>
    <xf numFmtId="0" fontId="14" fillId="0" borderId="2" xfId="1" applyFont="1" applyBorder="1" applyAlignment="1">
      <alignment horizontal="center" vertical="top" wrapText="1"/>
    </xf>
    <xf numFmtId="0" fontId="15" fillId="0" borderId="1" xfId="1" applyFont="1" applyBorder="1" applyAlignment="1">
      <alignment horizontal="left" vertical="top"/>
    </xf>
    <xf numFmtId="0" fontId="15" fillId="0" borderId="3" xfId="1" applyFont="1" applyBorder="1" applyAlignment="1">
      <alignment horizontal="left" vertical="top"/>
    </xf>
    <xf numFmtId="0" fontId="15" fillId="0" borderId="1" xfId="1" applyFont="1" applyBorder="1" applyAlignment="1">
      <alignment horizontal="left" vertical="top" wrapText="1"/>
    </xf>
    <xf numFmtId="0" fontId="15" fillId="0" borderId="2" xfId="1" applyFont="1" applyBorder="1" applyAlignment="1">
      <alignment horizontal="left" vertical="top" wrapText="1"/>
    </xf>
    <xf numFmtId="0" fontId="15" fillId="0" borderId="3" xfId="1" applyFont="1" applyBorder="1" applyAlignment="1">
      <alignment horizontal="left" vertical="top" wrapText="1"/>
    </xf>
    <xf numFmtId="0" fontId="14" fillId="0" borderId="1" xfId="1" applyFont="1" applyBorder="1" applyAlignment="1">
      <alignment horizontal="left" vertical="top"/>
    </xf>
    <xf numFmtId="0" fontId="9" fillId="0" borderId="1" xfId="1" applyFont="1" applyBorder="1" applyAlignment="1">
      <alignment horizontal="left" vertical="top" wrapText="1"/>
    </xf>
    <xf numFmtId="0" fontId="9" fillId="0" borderId="2" xfId="1" applyFont="1" applyBorder="1" applyAlignment="1">
      <alignment horizontal="left" vertical="top" wrapText="1"/>
    </xf>
    <xf numFmtId="0" fontId="9" fillId="0" borderId="3" xfId="1" applyFont="1" applyBorder="1" applyAlignment="1">
      <alignment horizontal="left" vertical="top" wrapText="1"/>
    </xf>
    <xf numFmtId="1" fontId="9" fillId="0" borderId="1" xfId="1" applyNumberFormat="1" applyFont="1" applyBorder="1" applyAlignment="1">
      <alignment horizontal="center" vertical="center" wrapText="1"/>
    </xf>
    <xf numFmtId="1" fontId="9" fillId="0" borderId="2" xfId="1" applyNumberFormat="1" applyFont="1" applyBorder="1" applyAlignment="1">
      <alignment horizontal="center" vertical="center" wrapText="1"/>
    </xf>
    <xf numFmtId="1" fontId="9" fillId="0" borderId="3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1" fontId="7" fillId="0" borderId="11" xfId="1" applyNumberFormat="1" applyFont="1" applyBorder="1" applyAlignment="1">
      <alignment horizontal="center" vertical="center" wrapText="1"/>
    </xf>
    <xf numFmtId="1" fontId="7" fillId="0" borderId="12" xfId="1" applyNumberFormat="1" applyFont="1" applyBorder="1" applyAlignment="1">
      <alignment horizontal="center" vertical="center" wrapText="1"/>
    </xf>
    <xf numFmtId="1" fontId="7" fillId="0" borderId="8" xfId="1" applyNumberFormat="1" applyFont="1" applyBorder="1" applyAlignment="1">
      <alignment horizontal="center" vertical="center" wrapText="1"/>
    </xf>
    <xf numFmtId="1" fontId="7" fillId="0" borderId="10" xfId="1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top" wrapText="1"/>
    </xf>
    <xf numFmtId="1" fontId="8" fillId="0" borderId="2" xfId="0" applyNumberFormat="1" applyFont="1" applyBorder="1" applyAlignment="1">
      <alignment horizontal="center" vertical="top" wrapText="1"/>
    </xf>
    <xf numFmtId="1" fontId="8" fillId="0" borderId="3" xfId="0" applyNumberFormat="1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top" wrapText="1"/>
    </xf>
    <xf numFmtId="1" fontId="7" fillId="0" borderId="3" xfId="0" applyNumberFormat="1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top" wrapText="1"/>
    </xf>
    <xf numFmtId="1" fontId="9" fillId="0" borderId="3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1" fontId="9" fillId="0" borderId="2" xfId="0" applyNumberFormat="1" applyFont="1" applyBorder="1" applyAlignment="1">
      <alignment horizontal="center" vertical="top" wrapText="1"/>
    </xf>
    <xf numFmtId="1" fontId="15" fillId="0" borderId="1" xfId="0" applyNumberFormat="1" applyFont="1" applyBorder="1" applyAlignment="1">
      <alignment horizontal="center" vertical="top" wrapText="1"/>
    </xf>
    <xf numFmtId="1" fontId="15" fillId="0" borderId="2" xfId="0" applyNumberFormat="1" applyFont="1" applyBorder="1" applyAlignment="1">
      <alignment horizontal="center" vertical="top" wrapText="1"/>
    </xf>
    <xf numFmtId="1" fontId="15" fillId="0" borderId="3" xfId="0" applyNumberFormat="1" applyFont="1" applyBorder="1" applyAlignment="1">
      <alignment horizontal="center" vertical="top" wrapText="1"/>
    </xf>
    <xf numFmtId="1" fontId="9" fillId="0" borderId="1" xfId="1" applyNumberFormat="1" applyFont="1" applyBorder="1" applyAlignment="1">
      <alignment horizontal="center" vertical="top" wrapText="1"/>
    </xf>
    <xf numFmtId="1" fontId="9" fillId="0" borderId="3" xfId="1" applyNumberFormat="1" applyFont="1" applyBorder="1" applyAlignment="1">
      <alignment horizontal="center" vertical="top" wrapText="1"/>
    </xf>
    <xf numFmtId="1" fontId="7" fillId="0" borderId="1" xfId="1" applyNumberFormat="1" applyFont="1" applyBorder="1" applyAlignment="1">
      <alignment horizontal="center" vertical="center" wrapText="1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9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top"/>
    </xf>
    <xf numFmtId="0" fontId="7" fillId="0" borderId="2" xfId="1" applyFont="1" applyBorder="1" applyAlignment="1">
      <alignment vertical="top"/>
    </xf>
    <xf numFmtId="0" fontId="7" fillId="0" borderId="3" xfId="1" applyFont="1" applyBorder="1" applyAlignment="1">
      <alignment vertical="top"/>
    </xf>
    <xf numFmtId="1" fontId="9" fillId="0" borderId="4" xfId="0" applyNumberFormat="1" applyFont="1" applyBorder="1" applyAlignment="1">
      <alignment horizontal="left" vertical="top" wrapText="1"/>
    </xf>
    <xf numFmtId="0" fontId="15" fillId="0" borderId="4" xfId="2" applyFont="1" applyBorder="1" applyAlignment="1">
      <alignment horizontal="left" vertical="top" wrapText="1"/>
    </xf>
    <xf numFmtId="1" fontId="9" fillId="0" borderId="5" xfId="1" applyNumberFormat="1" applyFont="1" applyBorder="1" applyAlignment="1">
      <alignment horizontal="center" vertical="center" wrapText="1"/>
    </xf>
    <xf numFmtId="1" fontId="9" fillId="0" borderId="6" xfId="1" applyNumberFormat="1" applyFont="1" applyBorder="1" applyAlignment="1">
      <alignment horizontal="center" vertical="center" wrapText="1"/>
    </xf>
    <xf numFmtId="1" fontId="9" fillId="0" borderId="7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7" fillId="0" borderId="2" xfId="1" applyNumberFormat="1" applyFont="1" applyBorder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4" xfId="0" applyFont="1" applyBorder="1" applyAlignment="1">
      <alignment horizontal="left"/>
    </xf>
    <xf numFmtId="0" fontId="17" fillId="3" borderId="4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0" fillId="0" borderId="4" xfId="6" applyFont="1" applyBorder="1" applyAlignment="1">
      <alignment horizontal="left"/>
    </xf>
    <xf numFmtId="0" fontId="0" fillId="3" borderId="4" xfId="0" applyFill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1" fontId="8" fillId="0" borderId="0" xfId="1" applyNumberFormat="1" applyFont="1"/>
  </cellXfs>
  <cellStyles count="9">
    <cellStyle name="Comma 2" xfId="7" xr:uid="{00000000-0005-0000-0000-000000000000}"/>
    <cellStyle name="Excel Built-in Normal" xfId="2" xr:uid="{00000000-0005-0000-0000-000001000000}"/>
    <cellStyle name="Excel Built-in Normal 2" xfId="5" xr:uid="{00000000-0005-0000-0000-000002000000}"/>
    <cellStyle name="Hyperlink" xfId="8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4" xfId="6" xr:uid="{00000000-0005-0000-0000-000007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jpeg"/><Relationship Id="rId1" Type="http://schemas.openxmlformats.org/officeDocument/2006/relationships/image" Target="../media/image2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jpg"/><Relationship Id="rId1" Type="http://schemas.openxmlformats.org/officeDocument/2006/relationships/image" Target="../media/image25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272359</xdr:colOff>
      <xdr:row>349</xdr:row>
      <xdr:rowOff>168089</xdr:rowOff>
    </xdr:from>
    <xdr:to>
      <xdr:col>9</xdr:col>
      <xdr:colOff>1630</xdr:colOff>
      <xdr:row>366</xdr:row>
      <xdr:rowOff>133972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2359" y="74418265"/>
          <a:ext cx="6081377" cy="339488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272359</xdr:colOff>
      <xdr:row>367</xdr:row>
      <xdr:rowOff>28134</xdr:rowOff>
    </xdr:from>
    <xdr:to>
      <xdr:col>9</xdr:col>
      <xdr:colOff>1630</xdr:colOff>
      <xdr:row>383</xdr:row>
      <xdr:rowOff>194042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2359" y="79914309"/>
          <a:ext cx="5644296" cy="336630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10</xdr:col>
      <xdr:colOff>333375</xdr:colOff>
      <xdr:row>314</xdr:row>
      <xdr:rowOff>163936</xdr:rowOff>
    </xdr:from>
    <xdr:to>
      <xdr:col>10</xdr:col>
      <xdr:colOff>771525</xdr:colOff>
      <xdr:row>316</xdr:row>
      <xdr:rowOff>140225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486525" y="65753086"/>
          <a:ext cx="438150" cy="37633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S1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209550</xdr:colOff>
      <xdr:row>314</xdr:row>
      <xdr:rowOff>123048</xdr:rowOff>
    </xdr:from>
    <xdr:to>
      <xdr:col>15</xdr:col>
      <xdr:colOff>319969</xdr:colOff>
      <xdr:row>316</xdr:row>
      <xdr:rowOff>101535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9791700" y="64997823"/>
          <a:ext cx="720019" cy="37853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S1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228600</xdr:colOff>
      <xdr:row>319</xdr:row>
      <xdr:rowOff>9525</xdr:rowOff>
    </xdr:from>
    <xdr:to>
      <xdr:col>10</xdr:col>
      <xdr:colOff>666750</xdr:colOff>
      <xdr:row>320</xdr:row>
      <xdr:rowOff>185839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591300" y="65884425"/>
          <a:ext cx="438150" cy="37633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S1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575539</xdr:colOff>
      <xdr:row>309</xdr:row>
      <xdr:rowOff>15875</xdr:rowOff>
    </xdr:from>
    <xdr:to>
      <xdr:col>16</xdr:col>
      <xdr:colOff>375514</xdr:colOff>
      <xdr:row>310</xdr:row>
      <xdr:rowOff>196341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0767289" y="66900425"/>
          <a:ext cx="409575" cy="38049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S1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14</xdr:col>
      <xdr:colOff>529591</xdr:colOff>
      <xdr:row>334</xdr:row>
      <xdr:rowOff>36194</xdr:rowOff>
    </xdr:from>
    <xdr:to>
      <xdr:col>17</xdr:col>
      <xdr:colOff>156874</xdr:colOff>
      <xdr:row>343</xdr:row>
      <xdr:rowOff>176894</xdr:rowOff>
    </xdr:to>
    <xdr:pic>
      <xdr:nvPicPr>
        <xdr:cNvPr id="20" name="Picture 19" descr="https://vsjcllp.vsjadon.com/upload/insp-220658-1525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82251" y="72654794"/>
          <a:ext cx="1501803" cy="192378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342901</xdr:colOff>
      <xdr:row>322</xdr:row>
      <xdr:rowOff>188595</xdr:rowOff>
    </xdr:from>
    <xdr:to>
      <xdr:col>21</xdr:col>
      <xdr:colOff>110521</xdr:colOff>
      <xdr:row>333</xdr:row>
      <xdr:rowOff>129270</xdr:rowOff>
    </xdr:to>
    <xdr:pic>
      <xdr:nvPicPr>
        <xdr:cNvPr id="21" name="Picture 20" descr="https://vsjcllp.vsjadon.com/upload/insp-220658-843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94921" y="70429755"/>
          <a:ext cx="1642140" cy="211999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443865</xdr:colOff>
      <xdr:row>322</xdr:row>
      <xdr:rowOff>174535</xdr:rowOff>
    </xdr:from>
    <xdr:to>
      <xdr:col>18</xdr:col>
      <xdr:colOff>261157</xdr:colOff>
      <xdr:row>333</xdr:row>
      <xdr:rowOff>140969</xdr:rowOff>
    </xdr:to>
    <xdr:pic>
      <xdr:nvPicPr>
        <xdr:cNvPr id="23" name="Picture 22" descr="https://vsjcllp.vsjadon.com/upload/insp-220658-845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71685" y="70415695"/>
          <a:ext cx="2941492" cy="214575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434341</xdr:colOff>
      <xdr:row>306</xdr:row>
      <xdr:rowOff>71437</xdr:rowOff>
    </xdr:from>
    <xdr:to>
      <xdr:col>19</xdr:col>
      <xdr:colOff>232411</xdr:colOff>
      <xdr:row>322</xdr:row>
      <xdr:rowOff>34345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8654416" y="67784662"/>
          <a:ext cx="4208145" cy="3144258"/>
          <a:chOff x="1038226" y="66755962"/>
          <a:chExt cx="4191000" cy="3146163"/>
        </a:xfrm>
      </xdr:grpSpPr>
      <xdr:pic>
        <xdr:nvPicPr>
          <xdr:cNvPr id="36" name="Picture 35" descr="https://vsjcllp.vsjadon.com/upload/insp-220658-851.jpg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38226" y="66755962"/>
            <a:ext cx="4191000" cy="31461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37" name="Straight Arrow Connector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CxnSpPr/>
        </xdr:nvCxnSpPr>
        <xdr:spPr>
          <a:xfrm flipH="1">
            <a:off x="2460626" y="67456050"/>
            <a:ext cx="196849" cy="455612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8" name="Straight Arrow Connector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CxnSpPr/>
        </xdr:nvCxnSpPr>
        <xdr:spPr>
          <a:xfrm>
            <a:off x="3810001" y="67441762"/>
            <a:ext cx="107950" cy="422275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9" name="Straight Arrow Connector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CxnSpPr/>
        </xdr:nvCxnSpPr>
        <xdr:spPr>
          <a:xfrm>
            <a:off x="1762125" y="67151250"/>
            <a:ext cx="498476" cy="1874837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1552576" y="66803587"/>
            <a:ext cx="441325" cy="380491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S2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>
            <a:off x="2600326" y="67194112"/>
            <a:ext cx="441325" cy="380491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R3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3409951" y="67156012"/>
            <a:ext cx="441325" cy="380491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R2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11</xdr:col>
      <xdr:colOff>95683</xdr:colOff>
      <xdr:row>322</xdr:row>
      <xdr:rowOff>169815</xdr:rowOff>
    </xdr:from>
    <xdr:to>
      <xdr:col>13</xdr:col>
      <xdr:colOff>346858</xdr:colOff>
      <xdr:row>333</xdr:row>
      <xdr:rowOff>140969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706158" y="71064390"/>
          <a:ext cx="1613250" cy="2171429"/>
          <a:chOff x="95683" y="70037595"/>
          <a:chExt cx="1607535" cy="2171429"/>
        </a:xfrm>
      </xdr:grpSpPr>
      <xdr:pic>
        <xdr:nvPicPr>
          <xdr:cNvPr id="35" name="Picture 34" descr="https://vsjcllp.vsjadon.com/upload/insp-220658-847.jpg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683" y="70037595"/>
            <a:ext cx="1607535" cy="217142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95683" y="70037595"/>
            <a:ext cx="409575" cy="380491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S1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10</xdr:col>
      <xdr:colOff>533400</xdr:colOff>
      <xdr:row>44</xdr:row>
      <xdr:rowOff>287082</xdr:rowOff>
    </xdr:from>
    <xdr:to>
      <xdr:col>15</xdr:col>
      <xdr:colOff>523100</xdr:colOff>
      <xdr:row>46</xdr:row>
      <xdr:rowOff>399867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96100" y="10297857"/>
          <a:ext cx="3818750" cy="903360"/>
        </a:xfrm>
        <a:prstGeom prst="rect">
          <a:avLst/>
        </a:prstGeom>
      </xdr:spPr>
    </xdr:pic>
    <xdr:clientData/>
  </xdr:twoCellAnchor>
  <xdr:twoCellAnchor editAs="oneCell">
    <xdr:from>
      <xdr:col>10</xdr:col>
      <xdr:colOff>485775</xdr:colOff>
      <xdr:row>47</xdr:row>
      <xdr:rowOff>41186</xdr:rowOff>
    </xdr:from>
    <xdr:to>
      <xdr:col>16</xdr:col>
      <xdr:colOff>351705</xdr:colOff>
      <xdr:row>47</xdr:row>
      <xdr:rowOff>838067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48475" y="11261636"/>
          <a:ext cx="4304580" cy="796881"/>
        </a:xfrm>
        <a:prstGeom prst="rect">
          <a:avLst/>
        </a:prstGeom>
      </xdr:spPr>
    </xdr:pic>
    <xdr:clientData/>
  </xdr:twoCellAnchor>
  <xdr:twoCellAnchor>
    <xdr:from>
      <xdr:col>11</xdr:col>
      <xdr:colOff>491490</xdr:colOff>
      <xdr:row>306</xdr:row>
      <xdr:rowOff>57150</xdr:rowOff>
    </xdr:from>
    <xdr:to>
      <xdr:col>21</xdr:col>
      <xdr:colOff>493129</xdr:colOff>
      <xdr:row>332</xdr:row>
      <xdr:rowOff>125770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D100C524-FE0F-3975-7ADD-290482E5AEB2}"/>
            </a:ext>
          </a:extLst>
        </xdr:cNvPr>
        <xdr:cNvGrpSpPr/>
      </xdr:nvGrpSpPr>
      <xdr:grpSpPr>
        <a:xfrm>
          <a:off x="8101965" y="67770375"/>
          <a:ext cx="6240514" cy="5250220"/>
          <a:chOff x="0" y="100214"/>
          <a:chExt cx="6413869" cy="5202595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0EB6A96E-9978-A4A5-3430-7370A46D8528}"/>
              </a:ext>
            </a:extLst>
          </xdr:cNvPr>
          <xdr:cNvGrpSpPr/>
        </xdr:nvGrpSpPr>
        <xdr:grpSpPr>
          <a:xfrm>
            <a:off x="0" y="3142809"/>
            <a:ext cx="6413869" cy="2160000"/>
            <a:chOff x="195945" y="3312000"/>
            <a:chExt cx="6413869" cy="2160000"/>
          </a:xfrm>
        </xdr:grpSpPr>
        <xdr:pic>
          <xdr:nvPicPr>
            <xdr:cNvPr id="47" name="Picture 46">
              <a:extLst>
                <a:ext uri="{FF2B5EF4-FFF2-40B4-BE49-F238E27FC236}">
                  <a16:creationId xmlns:a16="http://schemas.microsoft.com/office/drawing/2014/main" id="{0881A898-20E2-354A-4601-F3AA69E36D4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991502" y="3312000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8" name="Picture 47">
              <a:extLst>
                <a:ext uri="{FF2B5EF4-FFF2-40B4-BE49-F238E27FC236}">
                  <a16:creationId xmlns:a16="http://schemas.microsoft.com/office/drawing/2014/main" id="{F09E62A1-D373-E557-84CB-129B6659340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5945" y="3312000"/>
              <a:ext cx="287733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9" name="Picture 48">
              <a:extLst>
                <a:ext uri="{FF2B5EF4-FFF2-40B4-BE49-F238E27FC236}">
                  <a16:creationId xmlns:a16="http://schemas.microsoft.com/office/drawing/2014/main" id="{F01335D2-247F-E903-632B-EEB6DF3F307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23234" y="3312000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AD655113-1731-2CEB-354F-A22F08E74AFE}"/>
              </a:ext>
            </a:extLst>
          </xdr:cNvPr>
          <xdr:cNvGrpSpPr/>
        </xdr:nvGrpSpPr>
        <xdr:grpSpPr>
          <a:xfrm>
            <a:off x="105268" y="100214"/>
            <a:ext cx="6203333" cy="2880000"/>
            <a:chOff x="195945" y="100214"/>
            <a:chExt cx="6203333" cy="2880000"/>
          </a:xfrm>
        </xdr:grpSpPr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F22067E8-0872-A6E5-6476-C02255983F2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41528" y="100214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66EFF62E-C7FA-343B-8772-A1D99EB562A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5945" y="100214"/>
              <a:ext cx="3836445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cxnSp macro="">
          <xdr:nvCxnSpPr>
            <xdr:cNvPr id="17" name="Straight Arrow Connector 16">
              <a:extLst>
                <a:ext uri="{FF2B5EF4-FFF2-40B4-BE49-F238E27FC236}">
                  <a16:creationId xmlns:a16="http://schemas.microsoft.com/office/drawing/2014/main" id="{D54ED4DC-383B-C5DA-D617-8F2BD052F7CF}"/>
                </a:ext>
              </a:extLst>
            </xdr:cNvPr>
            <xdr:cNvCxnSpPr>
              <a:cxnSpLocks/>
            </xdr:cNvCxnSpPr>
          </xdr:nvCxnSpPr>
          <xdr:spPr>
            <a:xfrm>
              <a:off x="1024890" y="838200"/>
              <a:ext cx="266700" cy="438150"/>
            </a:xfrm>
            <a:prstGeom prst="straightConnector1">
              <a:avLst/>
            </a:prstGeom>
            <a:ln w="19050">
              <a:solidFill>
                <a:srgbClr val="FF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Straight Arrow Connector 17">
              <a:extLst>
                <a:ext uri="{FF2B5EF4-FFF2-40B4-BE49-F238E27FC236}">
                  <a16:creationId xmlns:a16="http://schemas.microsoft.com/office/drawing/2014/main" id="{CC2532FC-75A0-B796-384B-7840DB0E1706}"/>
                </a:ext>
              </a:extLst>
            </xdr:cNvPr>
            <xdr:cNvCxnSpPr>
              <a:cxnSpLocks/>
            </xdr:cNvCxnSpPr>
          </xdr:nvCxnSpPr>
          <xdr:spPr>
            <a:xfrm>
              <a:off x="674370" y="1668780"/>
              <a:ext cx="266700" cy="438150"/>
            </a:xfrm>
            <a:prstGeom prst="straightConnector1">
              <a:avLst/>
            </a:prstGeom>
            <a:ln w="19050">
              <a:solidFill>
                <a:srgbClr val="FFFF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" name="Straight Arrow Connector 18">
              <a:extLst>
                <a:ext uri="{FF2B5EF4-FFF2-40B4-BE49-F238E27FC236}">
                  <a16:creationId xmlns:a16="http://schemas.microsoft.com/office/drawing/2014/main" id="{E71659AC-1C5E-30B4-98A7-A90556325D32}"/>
                </a:ext>
              </a:extLst>
            </xdr:cNvPr>
            <xdr:cNvCxnSpPr>
              <a:cxnSpLocks/>
            </xdr:cNvCxnSpPr>
          </xdr:nvCxnSpPr>
          <xdr:spPr>
            <a:xfrm>
              <a:off x="2625090" y="476250"/>
              <a:ext cx="266700" cy="438150"/>
            </a:xfrm>
            <a:prstGeom prst="straightConnector1">
              <a:avLst/>
            </a:prstGeom>
            <a:ln w="19050">
              <a:solidFill>
                <a:srgbClr val="FF0000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4" name="TextBox 17">
              <a:extLst>
                <a:ext uri="{FF2B5EF4-FFF2-40B4-BE49-F238E27FC236}">
                  <a16:creationId xmlns:a16="http://schemas.microsoft.com/office/drawing/2014/main" id="{D0889819-55E4-FAD4-FD09-CC09D0E684BB}"/>
                </a:ext>
              </a:extLst>
            </xdr:cNvPr>
            <xdr:cNvSpPr txBox="1"/>
          </xdr:nvSpPr>
          <xdr:spPr>
            <a:xfrm>
              <a:off x="792480" y="476250"/>
              <a:ext cx="431528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0000"/>
                  </a:solidFill>
                </a:rPr>
                <a:t>R3</a:t>
              </a:r>
            </a:p>
          </xdr:txBody>
        </xdr:sp>
        <xdr:sp macro="" textlink="">
          <xdr:nvSpPr>
            <xdr:cNvPr id="45" name="TextBox 19">
              <a:extLst>
                <a:ext uri="{FF2B5EF4-FFF2-40B4-BE49-F238E27FC236}">
                  <a16:creationId xmlns:a16="http://schemas.microsoft.com/office/drawing/2014/main" id="{8E5D93F4-9B8C-115C-B0B7-374B241B6B7D}"/>
                </a:ext>
              </a:extLst>
            </xdr:cNvPr>
            <xdr:cNvSpPr txBox="1"/>
          </xdr:nvSpPr>
          <xdr:spPr>
            <a:xfrm>
              <a:off x="2256926" y="125691"/>
              <a:ext cx="431528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0000"/>
                  </a:solidFill>
                </a:rPr>
                <a:t>R2</a:t>
              </a:r>
            </a:p>
          </xdr:txBody>
        </xdr:sp>
        <xdr:sp macro="" textlink="">
          <xdr:nvSpPr>
            <xdr:cNvPr id="46" name="TextBox 20">
              <a:extLst>
                <a:ext uri="{FF2B5EF4-FFF2-40B4-BE49-F238E27FC236}">
                  <a16:creationId xmlns:a16="http://schemas.microsoft.com/office/drawing/2014/main" id="{3ECE2BB6-7B78-4521-06C2-D3B38A4BC841}"/>
                </a:ext>
              </a:extLst>
            </xdr:cNvPr>
            <xdr:cNvSpPr txBox="1"/>
          </xdr:nvSpPr>
          <xdr:spPr>
            <a:xfrm>
              <a:off x="304800" y="1336994"/>
              <a:ext cx="410690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>
                  <a:solidFill>
                    <a:srgbClr val="FFFF00"/>
                  </a:solidFill>
                </a:rPr>
                <a:t>S2</a:t>
              </a:r>
            </a:p>
          </xdr:txBody>
        </xdr:sp>
      </xdr:grpSp>
    </xdr:grpSp>
    <xdr:clientData/>
  </xdr:twoCellAnchor>
  <xdr:twoCellAnchor>
    <xdr:from>
      <xdr:col>0</xdr:col>
      <xdr:colOff>238125</xdr:colOff>
      <xdr:row>309</xdr:row>
      <xdr:rowOff>0</xdr:rowOff>
    </xdr:from>
    <xdr:to>
      <xdr:col>9</xdr:col>
      <xdr:colOff>295275</xdr:colOff>
      <xdr:row>345</xdr:row>
      <xdr:rowOff>182104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AD4575C2-2E53-4430-837B-3566FA8B1066}"/>
            </a:ext>
          </a:extLst>
        </xdr:cNvPr>
        <xdr:cNvGrpSpPr/>
      </xdr:nvGrpSpPr>
      <xdr:grpSpPr>
        <a:xfrm>
          <a:off x="238125" y="68303775"/>
          <a:ext cx="5972175" cy="7373479"/>
          <a:chOff x="238125" y="68303775"/>
          <a:chExt cx="5972175" cy="7373479"/>
        </a:xfrm>
      </xdr:grpSpPr>
      <xdr:grpSp>
        <xdr:nvGrpSpPr>
          <xdr:cNvPr id="50" name="Group 49">
            <a:extLst>
              <a:ext uri="{FF2B5EF4-FFF2-40B4-BE49-F238E27FC236}">
                <a16:creationId xmlns:a16="http://schemas.microsoft.com/office/drawing/2014/main" id="{FD0D0262-2D64-4C6F-970C-E7ACAA04CB55}"/>
              </a:ext>
            </a:extLst>
          </xdr:cNvPr>
          <xdr:cNvGrpSpPr/>
        </xdr:nvGrpSpPr>
        <xdr:grpSpPr>
          <a:xfrm>
            <a:off x="238125" y="68303775"/>
            <a:ext cx="5972175" cy="7373479"/>
            <a:chOff x="159166" y="245266"/>
            <a:chExt cx="6428838" cy="7735429"/>
          </a:xfrm>
        </xdr:grpSpPr>
        <xdr:pic>
          <xdr:nvPicPr>
            <xdr:cNvPr id="51" name="Picture 50">
              <a:extLst>
                <a:ext uri="{FF2B5EF4-FFF2-40B4-BE49-F238E27FC236}">
                  <a16:creationId xmlns:a16="http://schemas.microsoft.com/office/drawing/2014/main" id="{0119F630-2BEB-4046-BD28-4FCECE8C1AD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9166" y="3294016"/>
              <a:ext cx="3117111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2" name="Picture 51">
              <a:extLst>
                <a:ext uri="{FF2B5EF4-FFF2-40B4-BE49-F238E27FC236}">
                  <a16:creationId xmlns:a16="http://schemas.microsoft.com/office/drawing/2014/main" id="{76870437-B764-4889-B1B5-3AE91B2BE72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0882" y="245266"/>
              <a:ext cx="3836445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3" name="Picture 52">
              <a:extLst>
                <a:ext uri="{FF2B5EF4-FFF2-40B4-BE49-F238E27FC236}">
                  <a16:creationId xmlns:a16="http://schemas.microsoft.com/office/drawing/2014/main" id="{E4F17B94-72BC-429D-8004-510A8846997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61943" y="245266"/>
              <a:ext cx="2157749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4" name="Picture 53">
              <a:extLst>
                <a:ext uri="{FF2B5EF4-FFF2-40B4-BE49-F238E27FC236}">
                  <a16:creationId xmlns:a16="http://schemas.microsoft.com/office/drawing/2014/main" id="{5D5178E1-4705-4869-96F2-B6E81569414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994527" y="5820695"/>
              <a:ext cx="161831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5" name="Picture 54">
              <a:extLst>
                <a:ext uri="{FF2B5EF4-FFF2-40B4-BE49-F238E27FC236}">
                  <a16:creationId xmlns:a16="http://schemas.microsoft.com/office/drawing/2014/main" id="{DEB654AE-6A7F-4D8B-B21C-FF54705C380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961445" y="5820695"/>
              <a:ext cx="2877334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6" name="Picture 55">
              <a:extLst>
                <a:ext uri="{FF2B5EF4-FFF2-40B4-BE49-F238E27FC236}">
                  <a16:creationId xmlns:a16="http://schemas.microsoft.com/office/drawing/2014/main" id="{5C0C43B4-A5C9-42A6-88EF-079D38DD261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70893" y="3294016"/>
              <a:ext cx="3117111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57" name="Rectangle 56">
            <a:extLst>
              <a:ext uri="{FF2B5EF4-FFF2-40B4-BE49-F238E27FC236}">
                <a16:creationId xmlns:a16="http://schemas.microsoft.com/office/drawing/2014/main" id="{98C0E5E0-C433-40DF-AD58-1D4AB14438CB}"/>
              </a:ext>
            </a:extLst>
          </xdr:cNvPr>
          <xdr:cNvSpPr/>
        </xdr:nvSpPr>
        <xdr:spPr>
          <a:xfrm>
            <a:off x="2990850" y="68372461"/>
            <a:ext cx="438150" cy="376339"/>
          </a:xfrm>
          <a:prstGeom prst="rect">
            <a:avLst/>
          </a:prstGeom>
          <a:solidFill>
            <a:schemeClr val="bg2"/>
          </a:solidFill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chemeClr val="tx1"/>
                </a:solidFill>
              </a:rPr>
              <a:t>S1</a:t>
            </a:r>
            <a:endParaRPr lang="en-IN" b="1">
              <a:solidFill>
                <a:schemeClr val="tx1"/>
              </a:solidFill>
            </a:endParaRPr>
          </a:p>
        </xdr:txBody>
      </xdr:sp>
      <xdr:sp macro="" textlink="">
        <xdr:nvSpPr>
          <xdr:cNvPr id="58" name="Rectangle 57">
            <a:extLst>
              <a:ext uri="{FF2B5EF4-FFF2-40B4-BE49-F238E27FC236}">
                <a16:creationId xmlns:a16="http://schemas.microsoft.com/office/drawing/2014/main" id="{31C5CF40-7BF7-4A78-BDC8-114F38C4F0E6}"/>
              </a:ext>
            </a:extLst>
          </xdr:cNvPr>
          <xdr:cNvSpPr/>
        </xdr:nvSpPr>
        <xdr:spPr>
          <a:xfrm>
            <a:off x="5038725" y="68534386"/>
            <a:ext cx="438150" cy="376339"/>
          </a:xfrm>
          <a:prstGeom prst="rect">
            <a:avLst/>
          </a:prstGeom>
          <a:solidFill>
            <a:schemeClr val="bg2"/>
          </a:solidFill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chemeClr val="tx1"/>
                </a:solidFill>
              </a:rPr>
              <a:t>R2</a:t>
            </a:r>
            <a:endParaRPr lang="en-IN" b="1">
              <a:solidFill>
                <a:schemeClr val="tx1"/>
              </a:solidFill>
            </a:endParaRPr>
          </a:p>
        </xdr:txBody>
      </xdr:sp>
      <xdr:sp macro="" textlink="">
        <xdr:nvSpPr>
          <xdr:cNvPr id="59" name="Rectangle 58">
            <a:extLst>
              <a:ext uri="{FF2B5EF4-FFF2-40B4-BE49-F238E27FC236}">
                <a16:creationId xmlns:a16="http://schemas.microsoft.com/office/drawing/2014/main" id="{07ACC368-F847-4309-B5B8-1CC260F698DC}"/>
              </a:ext>
            </a:extLst>
          </xdr:cNvPr>
          <xdr:cNvSpPr/>
        </xdr:nvSpPr>
        <xdr:spPr>
          <a:xfrm>
            <a:off x="4286250" y="68591536"/>
            <a:ext cx="438150" cy="376339"/>
          </a:xfrm>
          <a:prstGeom prst="rect">
            <a:avLst/>
          </a:prstGeom>
          <a:solidFill>
            <a:schemeClr val="bg2"/>
          </a:solidFill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chemeClr val="tx1"/>
                </a:solidFill>
              </a:rPr>
              <a:t>R3</a:t>
            </a:r>
            <a:endParaRPr lang="en-IN" b="1">
              <a:solidFill>
                <a:schemeClr val="tx1"/>
              </a:solidFill>
            </a:endParaRPr>
          </a:p>
        </xdr:txBody>
      </xdr:sp>
      <xdr:cxnSp macro="">
        <xdr:nvCxnSpPr>
          <xdr:cNvPr id="60" name="Straight Arrow Connector 59">
            <a:extLst>
              <a:ext uri="{FF2B5EF4-FFF2-40B4-BE49-F238E27FC236}">
                <a16:creationId xmlns:a16="http://schemas.microsoft.com/office/drawing/2014/main" id="{B50FC6BB-D17D-4D6C-BC98-07716EEB0CC5}"/>
              </a:ext>
            </a:extLst>
          </xdr:cNvPr>
          <xdr:cNvCxnSpPr>
            <a:cxnSpLocks/>
          </xdr:cNvCxnSpPr>
        </xdr:nvCxnSpPr>
        <xdr:spPr>
          <a:xfrm>
            <a:off x="4453890" y="69008625"/>
            <a:ext cx="22860" cy="400050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1" name="Straight Arrow Connector 60">
            <a:extLst>
              <a:ext uri="{FF2B5EF4-FFF2-40B4-BE49-F238E27FC236}">
                <a16:creationId xmlns:a16="http://schemas.microsoft.com/office/drawing/2014/main" id="{8228834A-EFA9-4315-AC1F-1A8CD1F29677}"/>
              </a:ext>
            </a:extLst>
          </xdr:cNvPr>
          <xdr:cNvCxnSpPr>
            <a:cxnSpLocks/>
          </xdr:cNvCxnSpPr>
        </xdr:nvCxnSpPr>
        <xdr:spPr>
          <a:xfrm flipH="1">
            <a:off x="5076825" y="68913375"/>
            <a:ext cx="34290" cy="476250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26</xdr:row>
      <xdr:rowOff>0</xdr:rowOff>
    </xdr:from>
    <xdr:to>
      <xdr:col>7</xdr:col>
      <xdr:colOff>294337</xdr:colOff>
      <xdr:row>37</xdr:row>
      <xdr:rowOff>64500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8125" y="3238500"/>
          <a:ext cx="1618312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462209</xdr:colOff>
      <xdr:row>26</xdr:row>
      <xdr:rowOff>19960</xdr:rowOff>
    </xdr:from>
    <xdr:to>
      <xdr:col>9</xdr:col>
      <xdr:colOff>356496</xdr:colOff>
      <xdr:row>37</xdr:row>
      <xdr:rowOff>84460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34309" y="3258460"/>
          <a:ext cx="1618312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555089</xdr:colOff>
      <xdr:row>0</xdr:row>
      <xdr:rowOff>175260</xdr:rowOff>
    </xdr:from>
    <xdr:to>
      <xdr:col>11</xdr:col>
      <xdr:colOff>204276</xdr:colOff>
      <xdr:row>20</xdr:row>
      <xdr:rowOff>117660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1749" y="175260"/>
          <a:ext cx="2697187" cy="36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160020</xdr:colOff>
      <xdr:row>0</xdr:row>
      <xdr:rowOff>175260</xdr:rowOff>
    </xdr:from>
    <xdr:to>
      <xdr:col>6</xdr:col>
      <xdr:colOff>418807</xdr:colOff>
      <xdr:row>20</xdr:row>
      <xdr:rowOff>117660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280" y="175260"/>
          <a:ext cx="2697187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bFs544to6q7iR9U88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9"/>
  <sheetViews>
    <sheetView tabSelected="1" view="pageBreakPreview" topLeftCell="A293" zoomScaleNormal="100" zoomScaleSheetLayoutView="100" workbookViewId="0">
      <selection activeCell="M214" sqref="M214"/>
    </sheetView>
  </sheetViews>
  <sheetFormatPr defaultRowHeight="15.75" x14ac:dyDescent="0.25"/>
  <cols>
    <col min="1" max="1" width="9.28515625" style="11" customWidth="1"/>
    <col min="2" max="2" width="11.28515625" style="11" customWidth="1"/>
    <col min="3" max="3" width="14.7109375" style="11" customWidth="1"/>
    <col min="4" max="4" width="7.28515625" style="11" customWidth="1"/>
    <col min="5" max="5" width="5.5703125" style="11" customWidth="1"/>
    <col min="6" max="6" width="9.85546875" style="11" customWidth="1"/>
    <col min="7" max="7" width="9" style="11" customWidth="1"/>
    <col min="8" max="8" width="10.5703125" style="11" customWidth="1"/>
    <col min="9" max="9" width="11.140625" style="11" customWidth="1"/>
    <col min="10" max="10" width="6.7109375" style="11" customWidth="1"/>
    <col min="11" max="11" width="18.7109375" style="11" customWidth="1"/>
    <col min="12" max="12" width="9.140625" style="11"/>
    <col min="13" max="13" width="11.28515625" style="11" bestFit="1" customWidth="1"/>
    <col min="14" max="256" width="9.140625" style="11"/>
    <col min="257" max="257" width="8.7109375" style="11" customWidth="1"/>
    <col min="258" max="258" width="9.85546875" style="11" customWidth="1"/>
    <col min="259" max="259" width="14.42578125" style="11" customWidth="1"/>
    <col min="260" max="260" width="7.28515625" style="11" customWidth="1"/>
    <col min="261" max="261" width="5.5703125" style="11" customWidth="1"/>
    <col min="262" max="262" width="9" style="11" customWidth="1"/>
    <col min="263" max="264" width="9.85546875" style="11" customWidth="1"/>
    <col min="265" max="265" width="11.140625" style="11" customWidth="1"/>
    <col min="266" max="266" width="2.85546875" style="11" customWidth="1"/>
    <col min="267" max="267" width="3.5703125" style="11" customWidth="1"/>
    <col min="268" max="512" width="9.140625" style="11"/>
    <col min="513" max="513" width="8.7109375" style="11" customWidth="1"/>
    <col min="514" max="514" width="9.85546875" style="11" customWidth="1"/>
    <col min="515" max="515" width="14.42578125" style="11" customWidth="1"/>
    <col min="516" max="516" width="7.28515625" style="11" customWidth="1"/>
    <col min="517" max="517" width="5.5703125" style="11" customWidth="1"/>
    <col min="518" max="518" width="9" style="11" customWidth="1"/>
    <col min="519" max="520" width="9.85546875" style="11" customWidth="1"/>
    <col min="521" max="521" width="11.140625" style="11" customWidth="1"/>
    <col min="522" max="522" width="2.85546875" style="11" customWidth="1"/>
    <col min="523" max="523" width="3.5703125" style="11" customWidth="1"/>
    <col min="524" max="768" width="9.140625" style="11"/>
    <col min="769" max="769" width="8.7109375" style="11" customWidth="1"/>
    <col min="770" max="770" width="9.85546875" style="11" customWidth="1"/>
    <col min="771" max="771" width="14.42578125" style="11" customWidth="1"/>
    <col min="772" max="772" width="7.28515625" style="11" customWidth="1"/>
    <col min="773" max="773" width="5.5703125" style="11" customWidth="1"/>
    <col min="774" max="774" width="9" style="11" customWidth="1"/>
    <col min="775" max="776" width="9.85546875" style="11" customWidth="1"/>
    <col min="777" max="777" width="11.140625" style="11" customWidth="1"/>
    <col min="778" max="778" width="2.85546875" style="11" customWidth="1"/>
    <col min="779" max="779" width="3.5703125" style="11" customWidth="1"/>
    <col min="780" max="1024" width="9.140625" style="11"/>
    <col min="1025" max="1025" width="8.7109375" style="11" customWidth="1"/>
    <col min="1026" max="1026" width="9.85546875" style="11" customWidth="1"/>
    <col min="1027" max="1027" width="14.42578125" style="11" customWidth="1"/>
    <col min="1028" max="1028" width="7.28515625" style="11" customWidth="1"/>
    <col min="1029" max="1029" width="5.5703125" style="11" customWidth="1"/>
    <col min="1030" max="1030" width="9" style="11" customWidth="1"/>
    <col min="1031" max="1032" width="9.85546875" style="11" customWidth="1"/>
    <col min="1033" max="1033" width="11.140625" style="11" customWidth="1"/>
    <col min="1034" max="1034" width="2.85546875" style="11" customWidth="1"/>
    <col min="1035" max="1035" width="3.5703125" style="11" customWidth="1"/>
    <col min="1036" max="1280" width="9.140625" style="11"/>
    <col min="1281" max="1281" width="8.7109375" style="11" customWidth="1"/>
    <col min="1282" max="1282" width="9.85546875" style="11" customWidth="1"/>
    <col min="1283" max="1283" width="14.42578125" style="11" customWidth="1"/>
    <col min="1284" max="1284" width="7.28515625" style="11" customWidth="1"/>
    <col min="1285" max="1285" width="5.5703125" style="11" customWidth="1"/>
    <col min="1286" max="1286" width="9" style="11" customWidth="1"/>
    <col min="1287" max="1288" width="9.85546875" style="11" customWidth="1"/>
    <col min="1289" max="1289" width="11.140625" style="11" customWidth="1"/>
    <col min="1290" max="1290" width="2.85546875" style="11" customWidth="1"/>
    <col min="1291" max="1291" width="3.5703125" style="11" customWidth="1"/>
    <col min="1292" max="1536" width="9.140625" style="11"/>
    <col min="1537" max="1537" width="8.7109375" style="11" customWidth="1"/>
    <col min="1538" max="1538" width="9.85546875" style="11" customWidth="1"/>
    <col min="1539" max="1539" width="14.42578125" style="11" customWidth="1"/>
    <col min="1540" max="1540" width="7.28515625" style="11" customWidth="1"/>
    <col min="1541" max="1541" width="5.5703125" style="11" customWidth="1"/>
    <col min="1542" max="1542" width="9" style="11" customWidth="1"/>
    <col min="1543" max="1544" width="9.85546875" style="11" customWidth="1"/>
    <col min="1545" max="1545" width="11.140625" style="11" customWidth="1"/>
    <col min="1546" max="1546" width="2.85546875" style="11" customWidth="1"/>
    <col min="1547" max="1547" width="3.5703125" style="11" customWidth="1"/>
    <col min="1548" max="1792" width="9.140625" style="11"/>
    <col min="1793" max="1793" width="8.7109375" style="11" customWidth="1"/>
    <col min="1794" max="1794" width="9.85546875" style="11" customWidth="1"/>
    <col min="1795" max="1795" width="14.42578125" style="11" customWidth="1"/>
    <col min="1796" max="1796" width="7.28515625" style="11" customWidth="1"/>
    <col min="1797" max="1797" width="5.5703125" style="11" customWidth="1"/>
    <col min="1798" max="1798" width="9" style="11" customWidth="1"/>
    <col min="1799" max="1800" width="9.85546875" style="11" customWidth="1"/>
    <col min="1801" max="1801" width="11.140625" style="11" customWidth="1"/>
    <col min="1802" max="1802" width="2.85546875" style="11" customWidth="1"/>
    <col min="1803" max="1803" width="3.5703125" style="11" customWidth="1"/>
    <col min="1804" max="2048" width="9.140625" style="11"/>
    <col min="2049" max="2049" width="8.7109375" style="11" customWidth="1"/>
    <col min="2050" max="2050" width="9.85546875" style="11" customWidth="1"/>
    <col min="2051" max="2051" width="14.42578125" style="11" customWidth="1"/>
    <col min="2052" max="2052" width="7.28515625" style="11" customWidth="1"/>
    <col min="2053" max="2053" width="5.5703125" style="11" customWidth="1"/>
    <col min="2054" max="2054" width="9" style="11" customWidth="1"/>
    <col min="2055" max="2056" width="9.85546875" style="11" customWidth="1"/>
    <col min="2057" max="2057" width="11.140625" style="11" customWidth="1"/>
    <col min="2058" max="2058" width="2.85546875" style="11" customWidth="1"/>
    <col min="2059" max="2059" width="3.5703125" style="11" customWidth="1"/>
    <col min="2060" max="2304" width="9.140625" style="11"/>
    <col min="2305" max="2305" width="8.7109375" style="11" customWidth="1"/>
    <col min="2306" max="2306" width="9.85546875" style="11" customWidth="1"/>
    <col min="2307" max="2307" width="14.42578125" style="11" customWidth="1"/>
    <col min="2308" max="2308" width="7.28515625" style="11" customWidth="1"/>
    <col min="2309" max="2309" width="5.5703125" style="11" customWidth="1"/>
    <col min="2310" max="2310" width="9" style="11" customWidth="1"/>
    <col min="2311" max="2312" width="9.85546875" style="11" customWidth="1"/>
    <col min="2313" max="2313" width="11.140625" style="11" customWidth="1"/>
    <col min="2314" max="2314" width="2.85546875" style="11" customWidth="1"/>
    <col min="2315" max="2315" width="3.5703125" style="11" customWidth="1"/>
    <col min="2316" max="2560" width="9.140625" style="11"/>
    <col min="2561" max="2561" width="8.7109375" style="11" customWidth="1"/>
    <col min="2562" max="2562" width="9.85546875" style="11" customWidth="1"/>
    <col min="2563" max="2563" width="14.42578125" style="11" customWidth="1"/>
    <col min="2564" max="2564" width="7.28515625" style="11" customWidth="1"/>
    <col min="2565" max="2565" width="5.5703125" style="11" customWidth="1"/>
    <col min="2566" max="2566" width="9" style="11" customWidth="1"/>
    <col min="2567" max="2568" width="9.85546875" style="11" customWidth="1"/>
    <col min="2569" max="2569" width="11.140625" style="11" customWidth="1"/>
    <col min="2570" max="2570" width="2.85546875" style="11" customWidth="1"/>
    <col min="2571" max="2571" width="3.5703125" style="11" customWidth="1"/>
    <col min="2572" max="2816" width="9.140625" style="11"/>
    <col min="2817" max="2817" width="8.7109375" style="11" customWidth="1"/>
    <col min="2818" max="2818" width="9.85546875" style="11" customWidth="1"/>
    <col min="2819" max="2819" width="14.42578125" style="11" customWidth="1"/>
    <col min="2820" max="2820" width="7.28515625" style="11" customWidth="1"/>
    <col min="2821" max="2821" width="5.5703125" style="11" customWidth="1"/>
    <col min="2822" max="2822" width="9" style="11" customWidth="1"/>
    <col min="2823" max="2824" width="9.85546875" style="11" customWidth="1"/>
    <col min="2825" max="2825" width="11.140625" style="11" customWidth="1"/>
    <col min="2826" max="2826" width="2.85546875" style="11" customWidth="1"/>
    <col min="2827" max="2827" width="3.5703125" style="11" customWidth="1"/>
    <col min="2828" max="3072" width="9.140625" style="11"/>
    <col min="3073" max="3073" width="8.7109375" style="11" customWidth="1"/>
    <col min="3074" max="3074" width="9.85546875" style="11" customWidth="1"/>
    <col min="3075" max="3075" width="14.42578125" style="11" customWidth="1"/>
    <col min="3076" max="3076" width="7.28515625" style="11" customWidth="1"/>
    <col min="3077" max="3077" width="5.5703125" style="11" customWidth="1"/>
    <col min="3078" max="3078" width="9" style="11" customWidth="1"/>
    <col min="3079" max="3080" width="9.85546875" style="11" customWidth="1"/>
    <col min="3081" max="3081" width="11.140625" style="11" customWidth="1"/>
    <col min="3082" max="3082" width="2.85546875" style="11" customWidth="1"/>
    <col min="3083" max="3083" width="3.5703125" style="11" customWidth="1"/>
    <col min="3084" max="3328" width="9.140625" style="11"/>
    <col min="3329" max="3329" width="8.7109375" style="11" customWidth="1"/>
    <col min="3330" max="3330" width="9.85546875" style="11" customWidth="1"/>
    <col min="3331" max="3331" width="14.42578125" style="11" customWidth="1"/>
    <col min="3332" max="3332" width="7.28515625" style="11" customWidth="1"/>
    <col min="3333" max="3333" width="5.5703125" style="11" customWidth="1"/>
    <col min="3334" max="3334" width="9" style="11" customWidth="1"/>
    <col min="3335" max="3336" width="9.85546875" style="11" customWidth="1"/>
    <col min="3337" max="3337" width="11.140625" style="11" customWidth="1"/>
    <col min="3338" max="3338" width="2.85546875" style="11" customWidth="1"/>
    <col min="3339" max="3339" width="3.5703125" style="11" customWidth="1"/>
    <col min="3340" max="3584" width="9.140625" style="11"/>
    <col min="3585" max="3585" width="8.7109375" style="11" customWidth="1"/>
    <col min="3586" max="3586" width="9.85546875" style="11" customWidth="1"/>
    <col min="3587" max="3587" width="14.42578125" style="11" customWidth="1"/>
    <col min="3588" max="3588" width="7.28515625" style="11" customWidth="1"/>
    <col min="3589" max="3589" width="5.5703125" style="11" customWidth="1"/>
    <col min="3590" max="3590" width="9" style="11" customWidth="1"/>
    <col min="3591" max="3592" width="9.85546875" style="11" customWidth="1"/>
    <col min="3593" max="3593" width="11.140625" style="11" customWidth="1"/>
    <col min="3594" max="3594" width="2.85546875" style="11" customWidth="1"/>
    <col min="3595" max="3595" width="3.5703125" style="11" customWidth="1"/>
    <col min="3596" max="3840" width="9.140625" style="11"/>
    <col min="3841" max="3841" width="8.7109375" style="11" customWidth="1"/>
    <col min="3842" max="3842" width="9.85546875" style="11" customWidth="1"/>
    <col min="3843" max="3843" width="14.42578125" style="11" customWidth="1"/>
    <col min="3844" max="3844" width="7.28515625" style="11" customWidth="1"/>
    <col min="3845" max="3845" width="5.5703125" style="11" customWidth="1"/>
    <col min="3846" max="3846" width="9" style="11" customWidth="1"/>
    <col min="3847" max="3848" width="9.85546875" style="11" customWidth="1"/>
    <col min="3849" max="3849" width="11.140625" style="11" customWidth="1"/>
    <col min="3850" max="3850" width="2.85546875" style="11" customWidth="1"/>
    <col min="3851" max="3851" width="3.5703125" style="11" customWidth="1"/>
    <col min="3852" max="4096" width="9.140625" style="11"/>
    <col min="4097" max="4097" width="8.7109375" style="11" customWidth="1"/>
    <col min="4098" max="4098" width="9.85546875" style="11" customWidth="1"/>
    <col min="4099" max="4099" width="14.42578125" style="11" customWidth="1"/>
    <col min="4100" max="4100" width="7.28515625" style="11" customWidth="1"/>
    <col min="4101" max="4101" width="5.5703125" style="11" customWidth="1"/>
    <col min="4102" max="4102" width="9" style="11" customWidth="1"/>
    <col min="4103" max="4104" width="9.85546875" style="11" customWidth="1"/>
    <col min="4105" max="4105" width="11.140625" style="11" customWidth="1"/>
    <col min="4106" max="4106" width="2.85546875" style="11" customWidth="1"/>
    <col min="4107" max="4107" width="3.5703125" style="11" customWidth="1"/>
    <col min="4108" max="4352" width="9.140625" style="11"/>
    <col min="4353" max="4353" width="8.7109375" style="11" customWidth="1"/>
    <col min="4354" max="4354" width="9.85546875" style="11" customWidth="1"/>
    <col min="4355" max="4355" width="14.42578125" style="11" customWidth="1"/>
    <col min="4356" max="4356" width="7.28515625" style="11" customWidth="1"/>
    <col min="4357" max="4357" width="5.5703125" style="11" customWidth="1"/>
    <col min="4358" max="4358" width="9" style="11" customWidth="1"/>
    <col min="4359" max="4360" width="9.85546875" style="11" customWidth="1"/>
    <col min="4361" max="4361" width="11.140625" style="11" customWidth="1"/>
    <col min="4362" max="4362" width="2.85546875" style="11" customWidth="1"/>
    <col min="4363" max="4363" width="3.5703125" style="11" customWidth="1"/>
    <col min="4364" max="4608" width="9.140625" style="11"/>
    <col min="4609" max="4609" width="8.7109375" style="11" customWidth="1"/>
    <col min="4610" max="4610" width="9.85546875" style="11" customWidth="1"/>
    <col min="4611" max="4611" width="14.42578125" style="11" customWidth="1"/>
    <col min="4612" max="4612" width="7.28515625" style="11" customWidth="1"/>
    <col min="4613" max="4613" width="5.5703125" style="11" customWidth="1"/>
    <col min="4614" max="4614" width="9" style="11" customWidth="1"/>
    <col min="4615" max="4616" width="9.85546875" style="11" customWidth="1"/>
    <col min="4617" max="4617" width="11.140625" style="11" customWidth="1"/>
    <col min="4618" max="4618" width="2.85546875" style="11" customWidth="1"/>
    <col min="4619" max="4619" width="3.5703125" style="11" customWidth="1"/>
    <col min="4620" max="4864" width="9.140625" style="11"/>
    <col min="4865" max="4865" width="8.7109375" style="11" customWidth="1"/>
    <col min="4866" max="4866" width="9.85546875" style="11" customWidth="1"/>
    <col min="4867" max="4867" width="14.42578125" style="11" customWidth="1"/>
    <col min="4868" max="4868" width="7.28515625" style="11" customWidth="1"/>
    <col min="4869" max="4869" width="5.5703125" style="11" customWidth="1"/>
    <col min="4870" max="4870" width="9" style="11" customWidth="1"/>
    <col min="4871" max="4872" width="9.85546875" style="11" customWidth="1"/>
    <col min="4873" max="4873" width="11.140625" style="11" customWidth="1"/>
    <col min="4874" max="4874" width="2.85546875" style="11" customWidth="1"/>
    <col min="4875" max="4875" width="3.5703125" style="11" customWidth="1"/>
    <col min="4876" max="5120" width="9.140625" style="11"/>
    <col min="5121" max="5121" width="8.7109375" style="11" customWidth="1"/>
    <col min="5122" max="5122" width="9.85546875" style="11" customWidth="1"/>
    <col min="5123" max="5123" width="14.42578125" style="11" customWidth="1"/>
    <col min="5124" max="5124" width="7.28515625" style="11" customWidth="1"/>
    <col min="5125" max="5125" width="5.5703125" style="11" customWidth="1"/>
    <col min="5126" max="5126" width="9" style="11" customWidth="1"/>
    <col min="5127" max="5128" width="9.85546875" style="11" customWidth="1"/>
    <col min="5129" max="5129" width="11.140625" style="11" customWidth="1"/>
    <col min="5130" max="5130" width="2.85546875" style="11" customWidth="1"/>
    <col min="5131" max="5131" width="3.5703125" style="11" customWidth="1"/>
    <col min="5132" max="5376" width="9.140625" style="11"/>
    <col min="5377" max="5377" width="8.7109375" style="11" customWidth="1"/>
    <col min="5378" max="5378" width="9.85546875" style="11" customWidth="1"/>
    <col min="5379" max="5379" width="14.42578125" style="11" customWidth="1"/>
    <col min="5380" max="5380" width="7.28515625" style="11" customWidth="1"/>
    <col min="5381" max="5381" width="5.5703125" style="11" customWidth="1"/>
    <col min="5382" max="5382" width="9" style="11" customWidth="1"/>
    <col min="5383" max="5384" width="9.85546875" style="11" customWidth="1"/>
    <col min="5385" max="5385" width="11.140625" style="11" customWidth="1"/>
    <col min="5386" max="5386" width="2.85546875" style="11" customWidth="1"/>
    <col min="5387" max="5387" width="3.5703125" style="11" customWidth="1"/>
    <col min="5388" max="5632" width="9.140625" style="11"/>
    <col min="5633" max="5633" width="8.7109375" style="11" customWidth="1"/>
    <col min="5634" max="5634" width="9.85546875" style="11" customWidth="1"/>
    <col min="5635" max="5635" width="14.42578125" style="11" customWidth="1"/>
    <col min="5636" max="5636" width="7.28515625" style="11" customWidth="1"/>
    <col min="5637" max="5637" width="5.5703125" style="11" customWidth="1"/>
    <col min="5638" max="5638" width="9" style="11" customWidth="1"/>
    <col min="5639" max="5640" width="9.85546875" style="11" customWidth="1"/>
    <col min="5641" max="5641" width="11.140625" style="11" customWidth="1"/>
    <col min="5642" max="5642" width="2.85546875" style="11" customWidth="1"/>
    <col min="5643" max="5643" width="3.5703125" style="11" customWidth="1"/>
    <col min="5644" max="5888" width="9.140625" style="11"/>
    <col min="5889" max="5889" width="8.7109375" style="11" customWidth="1"/>
    <col min="5890" max="5890" width="9.85546875" style="11" customWidth="1"/>
    <col min="5891" max="5891" width="14.42578125" style="11" customWidth="1"/>
    <col min="5892" max="5892" width="7.28515625" style="11" customWidth="1"/>
    <col min="5893" max="5893" width="5.5703125" style="11" customWidth="1"/>
    <col min="5894" max="5894" width="9" style="11" customWidth="1"/>
    <col min="5895" max="5896" width="9.85546875" style="11" customWidth="1"/>
    <col min="5897" max="5897" width="11.140625" style="11" customWidth="1"/>
    <col min="5898" max="5898" width="2.85546875" style="11" customWidth="1"/>
    <col min="5899" max="5899" width="3.5703125" style="11" customWidth="1"/>
    <col min="5900" max="6144" width="9.140625" style="11"/>
    <col min="6145" max="6145" width="8.7109375" style="11" customWidth="1"/>
    <col min="6146" max="6146" width="9.85546875" style="11" customWidth="1"/>
    <col min="6147" max="6147" width="14.42578125" style="11" customWidth="1"/>
    <col min="6148" max="6148" width="7.28515625" style="11" customWidth="1"/>
    <col min="6149" max="6149" width="5.5703125" style="11" customWidth="1"/>
    <col min="6150" max="6150" width="9" style="11" customWidth="1"/>
    <col min="6151" max="6152" width="9.85546875" style="11" customWidth="1"/>
    <col min="6153" max="6153" width="11.140625" style="11" customWidth="1"/>
    <col min="6154" max="6154" width="2.85546875" style="11" customWidth="1"/>
    <col min="6155" max="6155" width="3.5703125" style="11" customWidth="1"/>
    <col min="6156" max="6400" width="9.140625" style="11"/>
    <col min="6401" max="6401" width="8.7109375" style="11" customWidth="1"/>
    <col min="6402" max="6402" width="9.85546875" style="11" customWidth="1"/>
    <col min="6403" max="6403" width="14.42578125" style="11" customWidth="1"/>
    <col min="6404" max="6404" width="7.28515625" style="11" customWidth="1"/>
    <col min="6405" max="6405" width="5.5703125" style="11" customWidth="1"/>
    <col min="6406" max="6406" width="9" style="11" customWidth="1"/>
    <col min="6407" max="6408" width="9.85546875" style="11" customWidth="1"/>
    <col min="6409" max="6409" width="11.140625" style="11" customWidth="1"/>
    <col min="6410" max="6410" width="2.85546875" style="11" customWidth="1"/>
    <col min="6411" max="6411" width="3.5703125" style="11" customWidth="1"/>
    <col min="6412" max="6656" width="9.140625" style="11"/>
    <col min="6657" max="6657" width="8.7109375" style="11" customWidth="1"/>
    <col min="6658" max="6658" width="9.85546875" style="11" customWidth="1"/>
    <col min="6659" max="6659" width="14.42578125" style="11" customWidth="1"/>
    <col min="6660" max="6660" width="7.28515625" style="11" customWidth="1"/>
    <col min="6661" max="6661" width="5.5703125" style="11" customWidth="1"/>
    <col min="6662" max="6662" width="9" style="11" customWidth="1"/>
    <col min="6663" max="6664" width="9.85546875" style="11" customWidth="1"/>
    <col min="6665" max="6665" width="11.140625" style="11" customWidth="1"/>
    <col min="6666" max="6666" width="2.85546875" style="11" customWidth="1"/>
    <col min="6667" max="6667" width="3.5703125" style="11" customWidth="1"/>
    <col min="6668" max="6912" width="9.140625" style="11"/>
    <col min="6913" max="6913" width="8.7109375" style="11" customWidth="1"/>
    <col min="6914" max="6914" width="9.85546875" style="11" customWidth="1"/>
    <col min="6915" max="6915" width="14.42578125" style="11" customWidth="1"/>
    <col min="6916" max="6916" width="7.28515625" style="11" customWidth="1"/>
    <col min="6917" max="6917" width="5.5703125" style="11" customWidth="1"/>
    <col min="6918" max="6918" width="9" style="11" customWidth="1"/>
    <col min="6919" max="6920" width="9.85546875" style="11" customWidth="1"/>
    <col min="6921" max="6921" width="11.140625" style="11" customWidth="1"/>
    <col min="6922" max="6922" width="2.85546875" style="11" customWidth="1"/>
    <col min="6923" max="6923" width="3.5703125" style="11" customWidth="1"/>
    <col min="6924" max="7168" width="9.140625" style="11"/>
    <col min="7169" max="7169" width="8.7109375" style="11" customWidth="1"/>
    <col min="7170" max="7170" width="9.85546875" style="11" customWidth="1"/>
    <col min="7171" max="7171" width="14.42578125" style="11" customWidth="1"/>
    <col min="7172" max="7172" width="7.28515625" style="11" customWidth="1"/>
    <col min="7173" max="7173" width="5.5703125" style="11" customWidth="1"/>
    <col min="7174" max="7174" width="9" style="11" customWidth="1"/>
    <col min="7175" max="7176" width="9.85546875" style="11" customWidth="1"/>
    <col min="7177" max="7177" width="11.140625" style="11" customWidth="1"/>
    <col min="7178" max="7178" width="2.85546875" style="11" customWidth="1"/>
    <col min="7179" max="7179" width="3.5703125" style="11" customWidth="1"/>
    <col min="7180" max="7424" width="9.140625" style="11"/>
    <col min="7425" max="7425" width="8.7109375" style="11" customWidth="1"/>
    <col min="7426" max="7426" width="9.85546875" style="11" customWidth="1"/>
    <col min="7427" max="7427" width="14.42578125" style="11" customWidth="1"/>
    <col min="7428" max="7428" width="7.28515625" style="11" customWidth="1"/>
    <col min="7429" max="7429" width="5.5703125" style="11" customWidth="1"/>
    <col min="7430" max="7430" width="9" style="11" customWidth="1"/>
    <col min="7431" max="7432" width="9.85546875" style="11" customWidth="1"/>
    <col min="7433" max="7433" width="11.140625" style="11" customWidth="1"/>
    <col min="7434" max="7434" width="2.85546875" style="11" customWidth="1"/>
    <col min="7435" max="7435" width="3.5703125" style="11" customWidth="1"/>
    <col min="7436" max="7680" width="9.140625" style="11"/>
    <col min="7681" max="7681" width="8.7109375" style="11" customWidth="1"/>
    <col min="7682" max="7682" width="9.85546875" style="11" customWidth="1"/>
    <col min="7683" max="7683" width="14.42578125" style="11" customWidth="1"/>
    <col min="7684" max="7684" width="7.28515625" style="11" customWidth="1"/>
    <col min="7685" max="7685" width="5.5703125" style="11" customWidth="1"/>
    <col min="7686" max="7686" width="9" style="11" customWidth="1"/>
    <col min="7687" max="7688" width="9.85546875" style="11" customWidth="1"/>
    <col min="7689" max="7689" width="11.140625" style="11" customWidth="1"/>
    <col min="7690" max="7690" width="2.85546875" style="11" customWidth="1"/>
    <col min="7691" max="7691" width="3.5703125" style="11" customWidth="1"/>
    <col min="7692" max="7936" width="9.140625" style="11"/>
    <col min="7937" max="7937" width="8.7109375" style="11" customWidth="1"/>
    <col min="7938" max="7938" width="9.85546875" style="11" customWidth="1"/>
    <col min="7939" max="7939" width="14.42578125" style="11" customWidth="1"/>
    <col min="7940" max="7940" width="7.28515625" style="11" customWidth="1"/>
    <col min="7941" max="7941" width="5.5703125" style="11" customWidth="1"/>
    <col min="7942" max="7942" width="9" style="11" customWidth="1"/>
    <col min="7943" max="7944" width="9.85546875" style="11" customWidth="1"/>
    <col min="7945" max="7945" width="11.140625" style="11" customWidth="1"/>
    <col min="7946" max="7946" width="2.85546875" style="11" customWidth="1"/>
    <col min="7947" max="7947" width="3.5703125" style="11" customWidth="1"/>
    <col min="7948" max="8192" width="9.140625" style="11"/>
    <col min="8193" max="8193" width="8.7109375" style="11" customWidth="1"/>
    <col min="8194" max="8194" width="9.85546875" style="11" customWidth="1"/>
    <col min="8195" max="8195" width="14.42578125" style="11" customWidth="1"/>
    <col min="8196" max="8196" width="7.28515625" style="11" customWidth="1"/>
    <col min="8197" max="8197" width="5.5703125" style="11" customWidth="1"/>
    <col min="8198" max="8198" width="9" style="11" customWidth="1"/>
    <col min="8199" max="8200" width="9.85546875" style="11" customWidth="1"/>
    <col min="8201" max="8201" width="11.140625" style="11" customWidth="1"/>
    <col min="8202" max="8202" width="2.85546875" style="11" customWidth="1"/>
    <col min="8203" max="8203" width="3.5703125" style="11" customWidth="1"/>
    <col min="8204" max="8448" width="9.140625" style="11"/>
    <col min="8449" max="8449" width="8.7109375" style="11" customWidth="1"/>
    <col min="8450" max="8450" width="9.85546875" style="11" customWidth="1"/>
    <col min="8451" max="8451" width="14.42578125" style="11" customWidth="1"/>
    <col min="8452" max="8452" width="7.28515625" style="11" customWidth="1"/>
    <col min="8453" max="8453" width="5.5703125" style="11" customWidth="1"/>
    <col min="8454" max="8454" width="9" style="11" customWidth="1"/>
    <col min="8455" max="8456" width="9.85546875" style="11" customWidth="1"/>
    <col min="8457" max="8457" width="11.140625" style="11" customWidth="1"/>
    <col min="8458" max="8458" width="2.85546875" style="11" customWidth="1"/>
    <col min="8459" max="8459" width="3.5703125" style="11" customWidth="1"/>
    <col min="8460" max="8704" width="9.140625" style="11"/>
    <col min="8705" max="8705" width="8.7109375" style="11" customWidth="1"/>
    <col min="8706" max="8706" width="9.85546875" style="11" customWidth="1"/>
    <col min="8707" max="8707" width="14.42578125" style="11" customWidth="1"/>
    <col min="8708" max="8708" width="7.28515625" style="11" customWidth="1"/>
    <col min="8709" max="8709" width="5.5703125" style="11" customWidth="1"/>
    <col min="8710" max="8710" width="9" style="11" customWidth="1"/>
    <col min="8711" max="8712" width="9.85546875" style="11" customWidth="1"/>
    <col min="8713" max="8713" width="11.140625" style="11" customWidth="1"/>
    <col min="8714" max="8714" width="2.85546875" style="11" customWidth="1"/>
    <col min="8715" max="8715" width="3.5703125" style="11" customWidth="1"/>
    <col min="8716" max="8960" width="9.140625" style="11"/>
    <col min="8961" max="8961" width="8.7109375" style="11" customWidth="1"/>
    <col min="8962" max="8962" width="9.85546875" style="11" customWidth="1"/>
    <col min="8963" max="8963" width="14.42578125" style="11" customWidth="1"/>
    <col min="8964" max="8964" width="7.28515625" style="11" customWidth="1"/>
    <col min="8965" max="8965" width="5.5703125" style="11" customWidth="1"/>
    <col min="8966" max="8966" width="9" style="11" customWidth="1"/>
    <col min="8967" max="8968" width="9.85546875" style="11" customWidth="1"/>
    <col min="8969" max="8969" width="11.140625" style="11" customWidth="1"/>
    <col min="8970" max="8970" width="2.85546875" style="11" customWidth="1"/>
    <col min="8971" max="8971" width="3.5703125" style="11" customWidth="1"/>
    <col min="8972" max="9216" width="9.140625" style="11"/>
    <col min="9217" max="9217" width="8.7109375" style="11" customWidth="1"/>
    <col min="9218" max="9218" width="9.85546875" style="11" customWidth="1"/>
    <col min="9219" max="9219" width="14.42578125" style="11" customWidth="1"/>
    <col min="9220" max="9220" width="7.28515625" style="11" customWidth="1"/>
    <col min="9221" max="9221" width="5.5703125" style="11" customWidth="1"/>
    <col min="9222" max="9222" width="9" style="11" customWidth="1"/>
    <col min="9223" max="9224" width="9.85546875" style="11" customWidth="1"/>
    <col min="9225" max="9225" width="11.140625" style="11" customWidth="1"/>
    <col min="9226" max="9226" width="2.85546875" style="11" customWidth="1"/>
    <col min="9227" max="9227" width="3.5703125" style="11" customWidth="1"/>
    <col min="9228" max="9472" width="9.140625" style="11"/>
    <col min="9473" max="9473" width="8.7109375" style="11" customWidth="1"/>
    <col min="9474" max="9474" width="9.85546875" style="11" customWidth="1"/>
    <col min="9475" max="9475" width="14.42578125" style="11" customWidth="1"/>
    <col min="9476" max="9476" width="7.28515625" style="11" customWidth="1"/>
    <col min="9477" max="9477" width="5.5703125" style="11" customWidth="1"/>
    <col min="9478" max="9478" width="9" style="11" customWidth="1"/>
    <col min="9479" max="9480" width="9.85546875" style="11" customWidth="1"/>
    <col min="9481" max="9481" width="11.140625" style="11" customWidth="1"/>
    <col min="9482" max="9482" width="2.85546875" style="11" customWidth="1"/>
    <col min="9483" max="9483" width="3.5703125" style="11" customWidth="1"/>
    <col min="9484" max="9728" width="9.140625" style="11"/>
    <col min="9729" max="9729" width="8.7109375" style="11" customWidth="1"/>
    <col min="9730" max="9730" width="9.85546875" style="11" customWidth="1"/>
    <col min="9731" max="9731" width="14.42578125" style="11" customWidth="1"/>
    <col min="9732" max="9732" width="7.28515625" style="11" customWidth="1"/>
    <col min="9733" max="9733" width="5.5703125" style="11" customWidth="1"/>
    <col min="9734" max="9734" width="9" style="11" customWidth="1"/>
    <col min="9735" max="9736" width="9.85546875" style="11" customWidth="1"/>
    <col min="9737" max="9737" width="11.140625" style="11" customWidth="1"/>
    <col min="9738" max="9738" width="2.85546875" style="11" customWidth="1"/>
    <col min="9739" max="9739" width="3.5703125" style="11" customWidth="1"/>
    <col min="9740" max="9984" width="9.140625" style="11"/>
    <col min="9985" max="9985" width="8.7109375" style="11" customWidth="1"/>
    <col min="9986" max="9986" width="9.85546875" style="11" customWidth="1"/>
    <col min="9987" max="9987" width="14.42578125" style="11" customWidth="1"/>
    <col min="9988" max="9988" width="7.28515625" style="11" customWidth="1"/>
    <col min="9989" max="9989" width="5.5703125" style="11" customWidth="1"/>
    <col min="9990" max="9990" width="9" style="11" customWidth="1"/>
    <col min="9991" max="9992" width="9.85546875" style="11" customWidth="1"/>
    <col min="9993" max="9993" width="11.140625" style="11" customWidth="1"/>
    <col min="9994" max="9994" width="2.85546875" style="11" customWidth="1"/>
    <col min="9995" max="9995" width="3.5703125" style="11" customWidth="1"/>
    <col min="9996" max="10240" width="9.140625" style="11"/>
    <col min="10241" max="10241" width="8.7109375" style="11" customWidth="1"/>
    <col min="10242" max="10242" width="9.85546875" style="11" customWidth="1"/>
    <col min="10243" max="10243" width="14.42578125" style="11" customWidth="1"/>
    <col min="10244" max="10244" width="7.28515625" style="11" customWidth="1"/>
    <col min="10245" max="10245" width="5.5703125" style="11" customWidth="1"/>
    <col min="10246" max="10246" width="9" style="11" customWidth="1"/>
    <col min="10247" max="10248" width="9.85546875" style="11" customWidth="1"/>
    <col min="10249" max="10249" width="11.140625" style="11" customWidth="1"/>
    <col min="10250" max="10250" width="2.85546875" style="11" customWidth="1"/>
    <col min="10251" max="10251" width="3.5703125" style="11" customWidth="1"/>
    <col min="10252" max="10496" width="9.140625" style="11"/>
    <col min="10497" max="10497" width="8.7109375" style="11" customWidth="1"/>
    <col min="10498" max="10498" width="9.85546875" style="11" customWidth="1"/>
    <col min="10499" max="10499" width="14.42578125" style="11" customWidth="1"/>
    <col min="10500" max="10500" width="7.28515625" style="11" customWidth="1"/>
    <col min="10501" max="10501" width="5.5703125" style="11" customWidth="1"/>
    <col min="10502" max="10502" width="9" style="11" customWidth="1"/>
    <col min="10503" max="10504" width="9.85546875" style="11" customWidth="1"/>
    <col min="10505" max="10505" width="11.140625" style="11" customWidth="1"/>
    <col min="10506" max="10506" width="2.85546875" style="11" customWidth="1"/>
    <col min="10507" max="10507" width="3.5703125" style="11" customWidth="1"/>
    <col min="10508" max="10752" width="9.140625" style="11"/>
    <col min="10753" max="10753" width="8.7109375" style="11" customWidth="1"/>
    <col min="10754" max="10754" width="9.85546875" style="11" customWidth="1"/>
    <col min="10755" max="10755" width="14.42578125" style="11" customWidth="1"/>
    <col min="10756" max="10756" width="7.28515625" style="11" customWidth="1"/>
    <col min="10757" max="10757" width="5.5703125" style="11" customWidth="1"/>
    <col min="10758" max="10758" width="9" style="11" customWidth="1"/>
    <col min="10759" max="10760" width="9.85546875" style="11" customWidth="1"/>
    <col min="10761" max="10761" width="11.140625" style="11" customWidth="1"/>
    <col min="10762" max="10762" width="2.85546875" style="11" customWidth="1"/>
    <col min="10763" max="10763" width="3.5703125" style="11" customWidth="1"/>
    <col min="10764" max="11008" width="9.140625" style="11"/>
    <col min="11009" max="11009" width="8.7109375" style="11" customWidth="1"/>
    <col min="11010" max="11010" width="9.85546875" style="11" customWidth="1"/>
    <col min="11011" max="11011" width="14.42578125" style="11" customWidth="1"/>
    <col min="11012" max="11012" width="7.28515625" style="11" customWidth="1"/>
    <col min="11013" max="11013" width="5.5703125" style="11" customWidth="1"/>
    <col min="11014" max="11014" width="9" style="11" customWidth="1"/>
    <col min="11015" max="11016" width="9.85546875" style="11" customWidth="1"/>
    <col min="11017" max="11017" width="11.140625" style="11" customWidth="1"/>
    <col min="11018" max="11018" width="2.85546875" style="11" customWidth="1"/>
    <col min="11019" max="11019" width="3.5703125" style="11" customWidth="1"/>
    <col min="11020" max="11264" width="9.140625" style="11"/>
    <col min="11265" max="11265" width="8.7109375" style="11" customWidth="1"/>
    <col min="11266" max="11266" width="9.85546875" style="11" customWidth="1"/>
    <col min="11267" max="11267" width="14.42578125" style="11" customWidth="1"/>
    <col min="11268" max="11268" width="7.28515625" style="11" customWidth="1"/>
    <col min="11269" max="11269" width="5.5703125" style="11" customWidth="1"/>
    <col min="11270" max="11270" width="9" style="11" customWidth="1"/>
    <col min="11271" max="11272" width="9.85546875" style="11" customWidth="1"/>
    <col min="11273" max="11273" width="11.140625" style="11" customWidth="1"/>
    <col min="11274" max="11274" width="2.85546875" style="11" customWidth="1"/>
    <col min="11275" max="11275" width="3.5703125" style="11" customWidth="1"/>
    <col min="11276" max="11520" width="9.140625" style="11"/>
    <col min="11521" max="11521" width="8.7109375" style="11" customWidth="1"/>
    <col min="11522" max="11522" width="9.85546875" style="11" customWidth="1"/>
    <col min="11523" max="11523" width="14.42578125" style="11" customWidth="1"/>
    <col min="11524" max="11524" width="7.28515625" style="11" customWidth="1"/>
    <col min="11525" max="11525" width="5.5703125" style="11" customWidth="1"/>
    <col min="11526" max="11526" width="9" style="11" customWidth="1"/>
    <col min="11527" max="11528" width="9.85546875" style="11" customWidth="1"/>
    <col min="11529" max="11529" width="11.140625" style="11" customWidth="1"/>
    <col min="11530" max="11530" width="2.85546875" style="11" customWidth="1"/>
    <col min="11531" max="11531" width="3.5703125" style="11" customWidth="1"/>
    <col min="11532" max="11776" width="9.140625" style="11"/>
    <col min="11777" max="11777" width="8.7109375" style="11" customWidth="1"/>
    <col min="11778" max="11778" width="9.85546875" style="11" customWidth="1"/>
    <col min="11779" max="11779" width="14.42578125" style="11" customWidth="1"/>
    <col min="11780" max="11780" width="7.28515625" style="11" customWidth="1"/>
    <col min="11781" max="11781" width="5.5703125" style="11" customWidth="1"/>
    <col min="11782" max="11782" width="9" style="11" customWidth="1"/>
    <col min="11783" max="11784" width="9.85546875" style="11" customWidth="1"/>
    <col min="11785" max="11785" width="11.140625" style="11" customWidth="1"/>
    <col min="11786" max="11786" width="2.85546875" style="11" customWidth="1"/>
    <col min="11787" max="11787" width="3.5703125" style="11" customWidth="1"/>
    <col min="11788" max="12032" width="9.140625" style="11"/>
    <col min="12033" max="12033" width="8.7109375" style="11" customWidth="1"/>
    <col min="12034" max="12034" width="9.85546875" style="11" customWidth="1"/>
    <col min="12035" max="12035" width="14.42578125" style="11" customWidth="1"/>
    <col min="12036" max="12036" width="7.28515625" style="11" customWidth="1"/>
    <col min="12037" max="12037" width="5.5703125" style="11" customWidth="1"/>
    <col min="12038" max="12038" width="9" style="11" customWidth="1"/>
    <col min="12039" max="12040" width="9.85546875" style="11" customWidth="1"/>
    <col min="12041" max="12041" width="11.140625" style="11" customWidth="1"/>
    <col min="12042" max="12042" width="2.85546875" style="11" customWidth="1"/>
    <col min="12043" max="12043" width="3.5703125" style="11" customWidth="1"/>
    <col min="12044" max="12288" width="9.140625" style="11"/>
    <col min="12289" max="12289" width="8.7109375" style="11" customWidth="1"/>
    <col min="12290" max="12290" width="9.85546875" style="11" customWidth="1"/>
    <col min="12291" max="12291" width="14.42578125" style="11" customWidth="1"/>
    <col min="12292" max="12292" width="7.28515625" style="11" customWidth="1"/>
    <col min="12293" max="12293" width="5.5703125" style="11" customWidth="1"/>
    <col min="12294" max="12294" width="9" style="11" customWidth="1"/>
    <col min="12295" max="12296" width="9.85546875" style="11" customWidth="1"/>
    <col min="12297" max="12297" width="11.140625" style="11" customWidth="1"/>
    <col min="12298" max="12298" width="2.85546875" style="11" customWidth="1"/>
    <col min="12299" max="12299" width="3.5703125" style="11" customWidth="1"/>
    <col min="12300" max="12544" width="9.140625" style="11"/>
    <col min="12545" max="12545" width="8.7109375" style="11" customWidth="1"/>
    <col min="12546" max="12546" width="9.85546875" style="11" customWidth="1"/>
    <col min="12547" max="12547" width="14.42578125" style="11" customWidth="1"/>
    <col min="12548" max="12548" width="7.28515625" style="11" customWidth="1"/>
    <col min="12549" max="12549" width="5.5703125" style="11" customWidth="1"/>
    <col min="12550" max="12550" width="9" style="11" customWidth="1"/>
    <col min="12551" max="12552" width="9.85546875" style="11" customWidth="1"/>
    <col min="12553" max="12553" width="11.140625" style="11" customWidth="1"/>
    <col min="12554" max="12554" width="2.85546875" style="11" customWidth="1"/>
    <col min="12555" max="12555" width="3.5703125" style="11" customWidth="1"/>
    <col min="12556" max="12800" width="9.140625" style="11"/>
    <col min="12801" max="12801" width="8.7109375" style="11" customWidth="1"/>
    <col min="12802" max="12802" width="9.85546875" style="11" customWidth="1"/>
    <col min="12803" max="12803" width="14.42578125" style="11" customWidth="1"/>
    <col min="12804" max="12804" width="7.28515625" style="11" customWidth="1"/>
    <col min="12805" max="12805" width="5.5703125" style="11" customWidth="1"/>
    <col min="12806" max="12806" width="9" style="11" customWidth="1"/>
    <col min="12807" max="12808" width="9.85546875" style="11" customWidth="1"/>
    <col min="12809" max="12809" width="11.140625" style="11" customWidth="1"/>
    <col min="12810" max="12810" width="2.85546875" style="11" customWidth="1"/>
    <col min="12811" max="12811" width="3.5703125" style="11" customWidth="1"/>
    <col min="12812" max="13056" width="9.140625" style="11"/>
    <col min="13057" max="13057" width="8.7109375" style="11" customWidth="1"/>
    <col min="13058" max="13058" width="9.85546875" style="11" customWidth="1"/>
    <col min="13059" max="13059" width="14.42578125" style="11" customWidth="1"/>
    <col min="13060" max="13060" width="7.28515625" style="11" customWidth="1"/>
    <col min="13061" max="13061" width="5.5703125" style="11" customWidth="1"/>
    <col min="13062" max="13062" width="9" style="11" customWidth="1"/>
    <col min="13063" max="13064" width="9.85546875" style="11" customWidth="1"/>
    <col min="13065" max="13065" width="11.140625" style="11" customWidth="1"/>
    <col min="13066" max="13066" width="2.85546875" style="11" customWidth="1"/>
    <col min="13067" max="13067" width="3.5703125" style="11" customWidth="1"/>
    <col min="13068" max="13312" width="9.140625" style="11"/>
    <col min="13313" max="13313" width="8.7109375" style="11" customWidth="1"/>
    <col min="13314" max="13314" width="9.85546875" style="11" customWidth="1"/>
    <col min="13315" max="13315" width="14.42578125" style="11" customWidth="1"/>
    <col min="13316" max="13316" width="7.28515625" style="11" customWidth="1"/>
    <col min="13317" max="13317" width="5.5703125" style="11" customWidth="1"/>
    <col min="13318" max="13318" width="9" style="11" customWidth="1"/>
    <col min="13319" max="13320" width="9.85546875" style="11" customWidth="1"/>
    <col min="13321" max="13321" width="11.140625" style="11" customWidth="1"/>
    <col min="13322" max="13322" width="2.85546875" style="11" customWidth="1"/>
    <col min="13323" max="13323" width="3.5703125" style="11" customWidth="1"/>
    <col min="13324" max="13568" width="9.140625" style="11"/>
    <col min="13569" max="13569" width="8.7109375" style="11" customWidth="1"/>
    <col min="13570" max="13570" width="9.85546875" style="11" customWidth="1"/>
    <col min="13571" max="13571" width="14.42578125" style="11" customWidth="1"/>
    <col min="13572" max="13572" width="7.28515625" style="11" customWidth="1"/>
    <col min="13573" max="13573" width="5.5703125" style="11" customWidth="1"/>
    <col min="13574" max="13574" width="9" style="11" customWidth="1"/>
    <col min="13575" max="13576" width="9.85546875" style="11" customWidth="1"/>
    <col min="13577" max="13577" width="11.140625" style="11" customWidth="1"/>
    <col min="13578" max="13578" width="2.85546875" style="11" customWidth="1"/>
    <col min="13579" max="13579" width="3.5703125" style="11" customWidth="1"/>
    <col min="13580" max="13824" width="9.140625" style="11"/>
    <col min="13825" max="13825" width="8.7109375" style="11" customWidth="1"/>
    <col min="13826" max="13826" width="9.85546875" style="11" customWidth="1"/>
    <col min="13827" max="13827" width="14.42578125" style="11" customWidth="1"/>
    <col min="13828" max="13828" width="7.28515625" style="11" customWidth="1"/>
    <col min="13829" max="13829" width="5.5703125" style="11" customWidth="1"/>
    <col min="13830" max="13830" width="9" style="11" customWidth="1"/>
    <col min="13831" max="13832" width="9.85546875" style="11" customWidth="1"/>
    <col min="13833" max="13833" width="11.140625" style="11" customWidth="1"/>
    <col min="13834" max="13834" width="2.85546875" style="11" customWidth="1"/>
    <col min="13835" max="13835" width="3.5703125" style="11" customWidth="1"/>
    <col min="13836" max="14080" width="9.140625" style="11"/>
    <col min="14081" max="14081" width="8.7109375" style="11" customWidth="1"/>
    <col min="14082" max="14082" width="9.85546875" style="11" customWidth="1"/>
    <col min="14083" max="14083" width="14.42578125" style="11" customWidth="1"/>
    <col min="14084" max="14084" width="7.28515625" style="11" customWidth="1"/>
    <col min="14085" max="14085" width="5.5703125" style="11" customWidth="1"/>
    <col min="14086" max="14086" width="9" style="11" customWidth="1"/>
    <col min="14087" max="14088" width="9.85546875" style="11" customWidth="1"/>
    <col min="14089" max="14089" width="11.140625" style="11" customWidth="1"/>
    <col min="14090" max="14090" width="2.85546875" style="11" customWidth="1"/>
    <col min="14091" max="14091" width="3.5703125" style="11" customWidth="1"/>
    <col min="14092" max="14336" width="9.140625" style="11"/>
    <col min="14337" max="14337" width="8.7109375" style="11" customWidth="1"/>
    <col min="14338" max="14338" width="9.85546875" style="11" customWidth="1"/>
    <col min="14339" max="14339" width="14.42578125" style="11" customWidth="1"/>
    <col min="14340" max="14340" width="7.28515625" style="11" customWidth="1"/>
    <col min="14341" max="14341" width="5.5703125" style="11" customWidth="1"/>
    <col min="14342" max="14342" width="9" style="11" customWidth="1"/>
    <col min="14343" max="14344" width="9.85546875" style="11" customWidth="1"/>
    <col min="14345" max="14345" width="11.140625" style="11" customWidth="1"/>
    <col min="14346" max="14346" width="2.85546875" style="11" customWidth="1"/>
    <col min="14347" max="14347" width="3.5703125" style="11" customWidth="1"/>
    <col min="14348" max="14592" width="9.140625" style="11"/>
    <col min="14593" max="14593" width="8.7109375" style="11" customWidth="1"/>
    <col min="14594" max="14594" width="9.85546875" style="11" customWidth="1"/>
    <col min="14595" max="14595" width="14.42578125" style="11" customWidth="1"/>
    <col min="14596" max="14596" width="7.28515625" style="11" customWidth="1"/>
    <col min="14597" max="14597" width="5.5703125" style="11" customWidth="1"/>
    <col min="14598" max="14598" width="9" style="11" customWidth="1"/>
    <col min="14599" max="14600" width="9.85546875" style="11" customWidth="1"/>
    <col min="14601" max="14601" width="11.140625" style="11" customWidth="1"/>
    <col min="14602" max="14602" width="2.85546875" style="11" customWidth="1"/>
    <col min="14603" max="14603" width="3.5703125" style="11" customWidth="1"/>
    <col min="14604" max="14848" width="9.140625" style="11"/>
    <col min="14849" max="14849" width="8.7109375" style="11" customWidth="1"/>
    <col min="14850" max="14850" width="9.85546875" style="11" customWidth="1"/>
    <col min="14851" max="14851" width="14.42578125" style="11" customWidth="1"/>
    <col min="14852" max="14852" width="7.28515625" style="11" customWidth="1"/>
    <col min="14853" max="14853" width="5.5703125" style="11" customWidth="1"/>
    <col min="14854" max="14854" width="9" style="11" customWidth="1"/>
    <col min="14855" max="14856" width="9.85546875" style="11" customWidth="1"/>
    <col min="14857" max="14857" width="11.140625" style="11" customWidth="1"/>
    <col min="14858" max="14858" width="2.85546875" style="11" customWidth="1"/>
    <col min="14859" max="14859" width="3.5703125" style="11" customWidth="1"/>
    <col min="14860" max="15104" width="9.140625" style="11"/>
    <col min="15105" max="15105" width="8.7109375" style="11" customWidth="1"/>
    <col min="15106" max="15106" width="9.85546875" style="11" customWidth="1"/>
    <col min="15107" max="15107" width="14.42578125" style="11" customWidth="1"/>
    <col min="15108" max="15108" width="7.28515625" style="11" customWidth="1"/>
    <col min="15109" max="15109" width="5.5703125" style="11" customWidth="1"/>
    <col min="15110" max="15110" width="9" style="11" customWidth="1"/>
    <col min="15111" max="15112" width="9.85546875" style="11" customWidth="1"/>
    <col min="15113" max="15113" width="11.140625" style="11" customWidth="1"/>
    <col min="15114" max="15114" width="2.85546875" style="11" customWidth="1"/>
    <col min="15115" max="15115" width="3.5703125" style="11" customWidth="1"/>
    <col min="15116" max="15360" width="9.140625" style="11"/>
    <col min="15361" max="15361" width="8.7109375" style="11" customWidth="1"/>
    <col min="15362" max="15362" width="9.85546875" style="11" customWidth="1"/>
    <col min="15363" max="15363" width="14.42578125" style="11" customWidth="1"/>
    <col min="15364" max="15364" width="7.28515625" style="11" customWidth="1"/>
    <col min="15365" max="15365" width="5.5703125" style="11" customWidth="1"/>
    <col min="15366" max="15366" width="9" style="11" customWidth="1"/>
    <col min="15367" max="15368" width="9.85546875" style="11" customWidth="1"/>
    <col min="15369" max="15369" width="11.140625" style="11" customWidth="1"/>
    <col min="15370" max="15370" width="2.85546875" style="11" customWidth="1"/>
    <col min="15371" max="15371" width="3.5703125" style="11" customWidth="1"/>
    <col min="15372" max="15616" width="9.140625" style="11"/>
    <col min="15617" max="15617" width="8.7109375" style="11" customWidth="1"/>
    <col min="15618" max="15618" width="9.85546875" style="11" customWidth="1"/>
    <col min="15619" max="15619" width="14.42578125" style="11" customWidth="1"/>
    <col min="15620" max="15620" width="7.28515625" style="11" customWidth="1"/>
    <col min="15621" max="15621" width="5.5703125" style="11" customWidth="1"/>
    <col min="15622" max="15622" width="9" style="11" customWidth="1"/>
    <col min="15623" max="15624" width="9.85546875" style="11" customWidth="1"/>
    <col min="15625" max="15625" width="11.140625" style="11" customWidth="1"/>
    <col min="15626" max="15626" width="2.85546875" style="11" customWidth="1"/>
    <col min="15627" max="15627" width="3.5703125" style="11" customWidth="1"/>
    <col min="15628" max="15872" width="9.140625" style="11"/>
    <col min="15873" max="15873" width="8.7109375" style="11" customWidth="1"/>
    <col min="15874" max="15874" width="9.85546875" style="11" customWidth="1"/>
    <col min="15875" max="15875" width="14.42578125" style="11" customWidth="1"/>
    <col min="15876" max="15876" width="7.28515625" style="11" customWidth="1"/>
    <col min="15877" max="15877" width="5.5703125" style="11" customWidth="1"/>
    <col min="15878" max="15878" width="9" style="11" customWidth="1"/>
    <col min="15879" max="15880" width="9.85546875" style="11" customWidth="1"/>
    <col min="15881" max="15881" width="11.140625" style="11" customWidth="1"/>
    <col min="15882" max="15882" width="2.85546875" style="11" customWidth="1"/>
    <col min="15883" max="15883" width="3.5703125" style="11" customWidth="1"/>
    <col min="15884" max="16128" width="9.140625" style="11"/>
    <col min="16129" max="16129" width="8.7109375" style="11" customWidth="1"/>
    <col min="16130" max="16130" width="9.85546875" style="11" customWidth="1"/>
    <col min="16131" max="16131" width="14.42578125" style="11" customWidth="1"/>
    <col min="16132" max="16132" width="7.28515625" style="11" customWidth="1"/>
    <col min="16133" max="16133" width="5.5703125" style="11" customWidth="1"/>
    <col min="16134" max="16134" width="9" style="11" customWidth="1"/>
    <col min="16135" max="16136" width="9.85546875" style="11" customWidth="1"/>
    <col min="16137" max="16137" width="11.140625" style="11" customWidth="1"/>
    <col min="16138" max="16138" width="2.85546875" style="11" customWidth="1"/>
    <col min="16139" max="16139" width="3.5703125" style="11" customWidth="1"/>
    <col min="16140" max="16384" width="9.140625" style="11"/>
  </cols>
  <sheetData>
    <row r="1" spans="1:12" ht="46.5" customHeight="1" x14ac:dyDescent="0.25">
      <c r="A1" s="128" t="s">
        <v>282</v>
      </c>
      <c r="B1" s="129"/>
      <c r="C1" s="129"/>
      <c r="D1" s="129"/>
      <c r="E1" s="129"/>
      <c r="F1" s="129"/>
      <c r="G1" s="129"/>
      <c r="H1" s="129"/>
      <c r="I1" s="129"/>
      <c r="J1" s="130"/>
    </row>
    <row r="2" spans="1:12" ht="16.5" customHeight="1" x14ac:dyDescent="0.25">
      <c r="A2" s="131" t="s">
        <v>0</v>
      </c>
      <c r="B2" s="132"/>
      <c r="C2" s="132"/>
      <c r="D2" s="132"/>
      <c r="E2" s="132"/>
      <c r="F2" s="132"/>
      <c r="G2" s="132"/>
      <c r="H2" s="132"/>
      <c r="I2" s="132"/>
      <c r="J2" s="133"/>
    </row>
    <row r="3" spans="1:12" x14ac:dyDescent="0.25">
      <c r="A3" s="116" t="s">
        <v>1</v>
      </c>
      <c r="B3" s="117"/>
      <c r="C3" s="117"/>
      <c r="D3" s="117"/>
      <c r="E3" s="118"/>
      <c r="F3" s="134" t="str">
        <f ca="1">TEXT(TODAY(),"DD/MM/YYYY")</f>
        <v>10/09/2025</v>
      </c>
      <c r="G3" s="135"/>
      <c r="H3" s="135"/>
      <c r="I3" s="135"/>
      <c r="J3" s="136"/>
    </row>
    <row r="4" spans="1:12" ht="15" customHeight="1" x14ac:dyDescent="0.25">
      <c r="A4" s="116" t="s">
        <v>2</v>
      </c>
      <c r="B4" s="117"/>
      <c r="C4" s="117"/>
      <c r="D4" s="117"/>
      <c r="E4" s="118"/>
      <c r="F4" s="140" t="s">
        <v>175</v>
      </c>
      <c r="G4" s="141"/>
      <c r="H4" s="141"/>
      <c r="I4" s="141"/>
      <c r="J4" s="142"/>
    </row>
    <row r="5" spans="1:12" x14ac:dyDescent="0.25">
      <c r="A5" s="116" t="s">
        <v>3</v>
      </c>
      <c r="B5" s="117"/>
      <c r="C5" s="117"/>
      <c r="D5" s="117"/>
      <c r="E5" s="118"/>
      <c r="F5" s="146">
        <v>45906</v>
      </c>
      <c r="G5" s="147"/>
      <c r="H5" s="147"/>
      <c r="I5" s="147"/>
      <c r="J5" s="148"/>
    </row>
    <row r="6" spans="1:12" ht="16.5" customHeight="1" x14ac:dyDescent="0.25">
      <c r="A6" s="116" t="s">
        <v>4</v>
      </c>
      <c r="B6" s="117"/>
      <c r="C6" s="117"/>
      <c r="D6" s="117"/>
      <c r="E6" s="118"/>
      <c r="F6" s="122" t="s">
        <v>176</v>
      </c>
      <c r="G6" s="123"/>
      <c r="H6" s="123"/>
      <c r="I6" s="123"/>
      <c r="J6" s="124"/>
    </row>
    <row r="7" spans="1:12" ht="15" customHeight="1" x14ac:dyDescent="0.25">
      <c r="A7" s="116" t="s">
        <v>5</v>
      </c>
      <c r="B7" s="117"/>
      <c r="C7" s="117"/>
      <c r="D7" s="117"/>
      <c r="E7" s="118"/>
      <c r="F7" s="122" t="str">
        <f>F6</f>
        <v xml:space="preserve">M/s.Peer Realty Private Limited
</v>
      </c>
      <c r="G7" s="123"/>
      <c r="H7" s="123"/>
      <c r="I7" s="123"/>
      <c r="J7" s="124"/>
    </row>
    <row r="8" spans="1:12" x14ac:dyDescent="0.25">
      <c r="A8" s="116" t="s">
        <v>6</v>
      </c>
      <c r="B8" s="117"/>
      <c r="C8" s="117"/>
      <c r="D8" s="117"/>
      <c r="E8" s="118"/>
      <c r="F8" s="137" t="s">
        <v>177</v>
      </c>
      <c r="G8" s="138"/>
      <c r="H8" s="138"/>
      <c r="I8" s="138"/>
      <c r="J8" s="139"/>
    </row>
    <row r="9" spans="1:12" x14ac:dyDescent="0.25">
      <c r="A9" s="116" t="s">
        <v>7</v>
      </c>
      <c r="B9" s="117"/>
      <c r="C9" s="117"/>
      <c r="D9" s="117"/>
      <c r="E9" s="118"/>
      <c r="F9" s="116">
        <v>2226590078</v>
      </c>
      <c r="G9" s="117"/>
      <c r="H9" s="117"/>
      <c r="I9" s="117"/>
      <c r="J9" s="118"/>
    </row>
    <row r="10" spans="1:12" ht="33" customHeight="1" x14ac:dyDescent="0.25">
      <c r="A10" s="116" t="s">
        <v>8</v>
      </c>
      <c r="B10" s="117"/>
      <c r="C10" s="117"/>
      <c r="D10" s="117"/>
      <c r="E10" s="118"/>
      <c r="F10" s="143" t="s">
        <v>223</v>
      </c>
      <c r="G10" s="144"/>
      <c r="H10" s="144"/>
      <c r="I10" s="144"/>
      <c r="J10" s="145"/>
    </row>
    <row r="11" spans="1:12" ht="16.5" customHeight="1" x14ac:dyDescent="0.25">
      <c r="A11" s="116" t="s">
        <v>9</v>
      </c>
      <c r="B11" s="117"/>
      <c r="C11" s="117"/>
      <c r="D11" s="117"/>
      <c r="E11" s="118"/>
      <c r="F11" s="143" t="s">
        <v>251</v>
      </c>
      <c r="G11" s="149"/>
      <c r="H11" s="149"/>
      <c r="I11" s="149"/>
      <c r="J11" s="150"/>
      <c r="L11" s="239"/>
    </row>
    <row r="12" spans="1:12" x14ac:dyDescent="0.25">
      <c r="A12" s="116" t="s">
        <v>10</v>
      </c>
      <c r="B12" s="117"/>
      <c r="C12" s="117"/>
      <c r="D12" s="117"/>
      <c r="E12" s="118"/>
      <c r="F12" s="116" t="s">
        <v>178</v>
      </c>
      <c r="G12" s="117"/>
      <c r="H12" s="117"/>
      <c r="I12" s="117"/>
      <c r="J12" s="118"/>
    </row>
    <row r="13" spans="1:12" ht="31.5" customHeight="1" x14ac:dyDescent="0.25">
      <c r="A13" s="151" t="s">
        <v>11</v>
      </c>
      <c r="B13" s="151"/>
      <c r="C13" s="122" t="str">
        <f>CONCATENATE((IF(OR(F8="",F8="NA"),"",F8)),", ",(IF(OR(A14="",A14="NA"),"",A14)),".",(IF(OR(C14="",C14="NA"),"",C14)),", ",(IF(OR(C15="",C15="NA"),"",C15)),", ",(IF(OR(H15="",H15="NA"),"",H15)),", ",(IF(OR(H16="",H16="NA"),"",H16)),".")</f>
        <v>Opulus, Survey No/H No.56/5A2 &amp; 56/6B, North Ave Road, Chitalsar-Manpada, Thane.</v>
      </c>
      <c r="D13" s="123"/>
      <c r="E13" s="123"/>
      <c r="F13" s="123"/>
      <c r="G13" s="123"/>
      <c r="H13" s="123"/>
      <c r="I13" s="123"/>
      <c r="J13" s="124"/>
    </row>
    <row r="14" spans="1:12" ht="15.75" customHeight="1" x14ac:dyDescent="0.25">
      <c r="A14" s="122" t="s">
        <v>179</v>
      </c>
      <c r="B14" s="124"/>
      <c r="C14" s="143" t="s">
        <v>180</v>
      </c>
      <c r="D14" s="149"/>
      <c r="E14" s="149"/>
      <c r="F14" s="149"/>
      <c r="G14" s="149"/>
      <c r="H14" s="149"/>
      <c r="I14" s="149"/>
      <c r="J14" s="150"/>
    </row>
    <row r="15" spans="1:12" ht="15.75" customHeight="1" x14ac:dyDescent="0.25">
      <c r="A15" s="122" t="s">
        <v>12</v>
      </c>
      <c r="B15" s="124"/>
      <c r="C15" s="110" t="s">
        <v>181</v>
      </c>
      <c r="D15" s="110"/>
      <c r="E15" s="110"/>
      <c r="F15" s="84" t="s">
        <v>182</v>
      </c>
      <c r="G15" s="85"/>
      <c r="H15" s="143" t="s">
        <v>183</v>
      </c>
      <c r="I15" s="149"/>
      <c r="J15" s="150"/>
    </row>
    <row r="16" spans="1:12" x14ac:dyDescent="0.25">
      <c r="A16" s="109" t="s">
        <v>14</v>
      </c>
      <c r="B16" s="109"/>
      <c r="C16" s="110" t="s">
        <v>184</v>
      </c>
      <c r="D16" s="110"/>
      <c r="E16" s="110"/>
      <c r="F16" s="84" t="s">
        <v>13</v>
      </c>
      <c r="G16" s="85"/>
      <c r="H16" s="111" t="s">
        <v>184</v>
      </c>
      <c r="I16" s="111"/>
      <c r="J16" s="111"/>
    </row>
    <row r="17" spans="1:10" x14ac:dyDescent="0.25">
      <c r="A17" s="109" t="s">
        <v>139</v>
      </c>
      <c r="B17" s="109"/>
      <c r="C17" s="143" t="s">
        <v>184</v>
      </c>
      <c r="D17" s="149"/>
      <c r="E17" s="150"/>
      <c r="F17" s="84" t="s">
        <v>15</v>
      </c>
      <c r="G17" s="85"/>
      <c r="H17" s="143">
        <v>400610</v>
      </c>
      <c r="I17" s="149"/>
      <c r="J17" s="150"/>
    </row>
    <row r="18" spans="1:10" ht="32.25" customHeight="1" x14ac:dyDescent="0.25">
      <c r="A18" s="109" t="s">
        <v>16</v>
      </c>
      <c r="B18" s="109"/>
      <c r="C18" s="152" t="s">
        <v>235</v>
      </c>
      <c r="D18" s="152"/>
      <c r="E18" s="152"/>
      <c r="F18" s="151" t="s">
        <v>17</v>
      </c>
      <c r="G18" s="151"/>
      <c r="H18" s="149" t="s">
        <v>289</v>
      </c>
      <c r="I18" s="149"/>
      <c r="J18" s="150"/>
    </row>
    <row r="19" spans="1:10" ht="15" customHeight="1" x14ac:dyDescent="0.25">
      <c r="A19" s="84" t="s">
        <v>151</v>
      </c>
      <c r="B19" s="153"/>
      <c r="C19" s="153"/>
      <c r="D19" s="153"/>
      <c r="E19" s="85"/>
      <c r="F19" s="155" t="s">
        <v>18</v>
      </c>
      <c r="G19" s="156"/>
      <c r="H19" s="156"/>
      <c r="I19" s="156"/>
      <c r="J19" s="157"/>
    </row>
    <row r="20" spans="1:10" ht="18.75" customHeight="1" x14ac:dyDescent="0.25">
      <c r="A20" s="86"/>
      <c r="B20" s="154"/>
      <c r="C20" s="154"/>
      <c r="D20" s="154"/>
      <c r="E20" s="87"/>
      <c r="F20" s="158"/>
      <c r="G20" s="159"/>
      <c r="H20" s="159"/>
      <c r="I20" s="159"/>
      <c r="J20" s="160"/>
    </row>
    <row r="21" spans="1:10" ht="15" customHeight="1" x14ac:dyDescent="0.25">
      <c r="A21" s="84" t="s">
        <v>19</v>
      </c>
      <c r="B21" s="153"/>
      <c r="C21" s="153"/>
      <c r="D21" s="153"/>
      <c r="E21" s="85"/>
      <c r="F21" s="84" t="s">
        <v>20</v>
      </c>
      <c r="G21" s="153"/>
      <c r="H21" s="153"/>
      <c r="I21" s="153"/>
      <c r="J21" s="85"/>
    </row>
    <row r="22" spans="1:10" x14ac:dyDescent="0.25">
      <c r="A22" s="86"/>
      <c r="B22" s="154"/>
      <c r="C22" s="154"/>
      <c r="D22" s="154"/>
      <c r="E22" s="87"/>
      <c r="F22" s="86"/>
      <c r="G22" s="154"/>
      <c r="H22" s="154"/>
      <c r="I22" s="154"/>
      <c r="J22" s="87"/>
    </row>
    <row r="23" spans="1:10" ht="15" customHeight="1" x14ac:dyDescent="0.25">
      <c r="A23" s="116" t="s">
        <v>21</v>
      </c>
      <c r="B23" s="117"/>
      <c r="C23" s="117"/>
      <c r="D23" s="117"/>
      <c r="E23" s="118"/>
      <c r="F23" s="140" t="s">
        <v>22</v>
      </c>
      <c r="G23" s="141"/>
      <c r="H23" s="141"/>
      <c r="I23" s="141"/>
      <c r="J23" s="142"/>
    </row>
    <row r="24" spans="1:10" x14ac:dyDescent="0.25">
      <c r="A24" s="116" t="s">
        <v>23</v>
      </c>
      <c r="B24" s="117"/>
      <c r="C24" s="117"/>
      <c r="D24" s="117"/>
      <c r="E24" s="118"/>
      <c r="F24" s="140" t="s">
        <v>24</v>
      </c>
      <c r="G24" s="141"/>
      <c r="H24" s="141"/>
      <c r="I24" s="141"/>
      <c r="J24" s="142"/>
    </row>
    <row r="25" spans="1:10" ht="15" customHeight="1" x14ac:dyDescent="0.25">
      <c r="A25" s="116" t="s">
        <v>25</v>
      </c>
      <c r="B25" s="117"/>
      <c r="C25" s="117"/>
      <c r="D25" s="117"/>
      <c r="E25" s="118"/>
      <c r="F25" s="140" t="s">
        <v>26</v>
      </c>
      <c r="G25" s="141"/>
      <c r="H25" s="141"/>
      <c r="I25" s="141"/>
      <c r="J25" s="142"/>
    </row>
    <row r="26" spans="1:10" x14ac:dyDescent="0.25">
      <c r="A26" s="116" t="s">
        <v>27</v>
      </c>
      <c r="B26" s="117"/>
      <c r="C26" s="117"/>
      <c r="D26" s="117"/>
      <c r="E26" s="118"/>
      <c r="F26" s="140" t="s">
        <v>28</v>
      </c>
      <c r="G26" s="141"/>
      <c r="H26" s="141"/>
      <c r="I26" s="141"/>
      <c r="J26" s="142"/>
    </row>
    <row r="27" spans="1:10" x14ac:dyDescent="0.25">
      <c r="A27" s="112" t="s">
        <v>29</v>
      </c>
      <c r="B27" s="113"/>
      <c r="C27" s="112" t="s">
        <v>30</v>
      </c>
      <c r="D27" s="113"/>
      <c r="E27" s="112" t="s">
        <v>31</v>
      </c>
      <c r="F27" s="113"/>
      <c r="G27" s="112" t="s">
        <v>33</v>
      </c>
      <c r="H27" s="113"/>
      <c r="I27" s="112" t="s">
        <v>32</v>
      </c>
      <c r="J27" s="113"/>
    </row>
    <row r="28" spans="1:10" x14ac:dyDescent="0.25">
      <c r="A28" s="114" t="s">
        <v>34</v>
      </c>
      <c r="B28" s="115"/>
      <c r="C28" s="114" t="s">
        <v>35</v>
      </c>
      <c r="D28" s="115"/>
      <c r="E28" s="114" t="s">
        <v>35</v>
      </c>
      <c r="F28" s="115"/>
      <c r="G28" s="114" t="s">
        <v>35</v>
      </c>
      <c r="H28" s="115"/>
      <c r="I28" s="114" t="s">
        <v>35</v>
      </c>
      <c r="J28" s="115"/>
    </row>
    <row r="29" spans="1:10" ht="31.5" customHeight="1" x14ac:dyDescent="0.25">
      <c r="A29" s="114" t="s">
        <v>36</v>
      </c>
      <c r="B29" s="115"/>
      <c r="C29" s="161" t="s">
        <v>188</v>
      </c>
      <c r="D29" s="162"/>
      <c r="E29" s="161" t="s">
        <v>185</v>
      </c>
      <c r="F29" s="162"/>
      <c r="G29" s="114" t="s">
        <v>186</v>
      </c>
      <c r="H29" s="115"/>
      <c r="I29" s="114" t="s">
        <v>187</v>
      </c>
      <c r="J29" s="115"/>
    </row>
    <row r="30" spans="1:10" x14ac:dyDescent="0.25">
      <c r="A30" s="116" t="s">
        <v>37</v>
      </c>
      <c r="B30" s="117"/>
      <c r="C30" s="117"/>
      <c r="D30" s="117"/>
      <c r="E30" s="117"/>
      <c r="F30" s="117"/>
      <c r="G30" s="117"/>
      <c r="H30" s="117"/>
      <c r="I30" s="117"/>
      <c r="J30" s="118"/>
    </row>
    <row r="31" spans="1:10" x14ac:dyDescent="0.25">
      <c r="A31" s="116" t="s">
        <v>38</v>
      </c>
      <c r="B31" s="117"/>
      <c r="C31" s="117"/>
      <c r="D31" s="117"/>
      <c r="E31" s="117"/>
      <c r="F31" s="117"/>
      <c r="G31" s="117"/>
      <c r="H31" s="117"/>
      <c r="I31" s="117"/>
      <c r="J31" s="118"/>
    </row>
    <row r="32" spans="1:10" x14ac:dyDescent="0.25">
      <c r="A32" s="116" t="s">
        <v>39</v>
      </c>
      <c r="B32" s="118"/>
      <c r="C32" s="116" t="s">
        <v>283</v>
      </c>
      <c r="D32" s="117"/>
      <c r="E32" s="117"/>
      <c r="F32" s="117"/>
      <c r="G32" s="117"/>
      <c r="H32" s="117"/>
      <c r="I32" s="117"/>
      <c r="J32" s="118"/>
    </row>
    <row r="33" spans="1:10" x14ac:dyDescent="0.25">
      <c r="A33" s="116" t="s">
        <v>280</v>
      </c>
      <c r="B33" s="118"/>
      <c r="C33" s="163" t="s">
        <v>281</v>
      </c>
      <c r="D33" s="117"/>
      <c r="E33" s="117"/>
      <c r="F33" s="117"/>
      <c r="G33" s="117"/>
      <c r="H33" s="117"/>
      <c r="I33" s="117"/>
      <c r="J33" s="118"/>
    </row>
    <row r="34" spans="1:10" x14ac:dyDescent="0.25">
      <c r="A34" s="137" t="s">
        <v>40</v>
      </c>
      <c r="B34" s="138"/>
      <c r="C34" s="138"/>
      <c r="D34" s="138"/>
      <c r="E34" s="138"/>
      <c r="F34" s="138"/>
      <c r="G34" s="138"/>
      <c r="H34" s="138"/>
      <c r="I34" s="138"/>
      <c r="J34" s="139"/>
    </row>
    <row r="35" spans="1:10" ht="15" customHeight="1" x14ac:dyDescent="0.25">
      <c r="A35" s="122" t="s">
        <v>41</v>
      </c>
      <c r="B35" s="123"/>
      <c r="C35" s="123"/>
      <c r="D35" s="123"/>
      <c r="E35" s="124"/>
      <c r="F35" s="125" t="s">
        <v>222</v>
      </c>
      <c r="G35" s="126"/>
      <c r="H35" s="126"/>
      <c r="I35" s="126"/>
      <c r="J35" s="127"/>
    </row>
    <row r="36" spans="1:10" ht="15" customHeight="1" x14ac:dyDescent="0.25">
      <c r="A36" s="86" t="s">
        <v>42</v>
      </c>
      <c r="B36" s="154"/>
      <c r="C36" s="154"/>
      <c r="D36" s="154"/>
      <c r="E36" s="154"/>
      <c r="F36" s="122" t="s">
        <v>43</v>
      </c>
      <c r="G36" s="123"/>
      <c r="H36" s="123"/>
      <c r="I36" s="123"/>
      <c r="J36" s="124"/>
    </row>
    <row r="37" spans="1:10" x14ac:dyDescent="0.25">
      <c r="A37" s="137" t="s">
        <v>44</v>
      </c>
      <c r="B37" s="138"/>
      <c r="C37" s="138"/>
      <c r="D37" s="138"/>
      <c r="E37" s="138"/>
      <c r="F37" s="138"/>
      <c r="G37" s="138"/>
      <c r="H37" s="138"/>
      <c r="I37" s="138"/>
      <c r="J37" s="139"/>
    </row>
    <row r="38" spans="1:10" x14ac:dyDescent="0.25">
      <c r="A38" s="116" t="s">
        <v>45</v>
      </c>
      <c r="B38" s="117"/>
      <c r="C38" s="117"/>
      <c r="D38" s="117"/>
      <c r="E38" s="118"/>
      <c r="F38" s="166">
        <v>19599</v>
      </c>
      <c r="G38" s="167"/>
      <c r="H38" s="167"/>
      <c r="I38" s="167"/>
      <c r="J38" s="168"/>
    </row>
    <row r="39" spans="1:10" x14ac:dyDescent="0.25">
      <c r="A39" s="116" t="s">
        <v>46</v>
      </c>
      <c r="B39" s="117"/>
      <c r="C39" s="117"/>
      <c r="D39" s="117"/>
      <c r="E39" s="118"/>
      <c r="F39" s="119">
        <v>2.5</v>
      </c>
      <c r="G39" s="120"/>
      <c r="H39" s="120"/>
      <c r="I39" s="120"/>
      <c r="J39" s="121"/>
    </row>
    <row r="40" spans="1:10" x14ac:dyDescent="0.25">
      <c r="A40" s="116" t="s">
        <v>47</v>
      </c>
      <c r="B40" s="117"/>
      <c r="C40" s="117"/>
      <c r="D40" s="117"/>
      <c r="E40" s="118"/>
      <c r="F40" s="119">
        <v>0</v>
      </c>
      <c r="G40" s="120"/>
      <c r="H40" s="120"/>
      <c r="I40" s="120"/>
      <c r="J40" s="121"/>
    </row>
    <row r="41" spans="1:10" x14ac:dyDescent="0.25">
      <c r="A41" s="116" t="s">
        <v>48</v>
      </c>
      <c r="B41" s="117"/>
      <c r="C41" s="117"/>
      <c r="D41" s="117"/>
      <c r="E41" s="118"/>
      <c r="F41" s="119">
        <f>F39+F40</f>
        <v>2.5</v>
      </c>
      <c r="G41" s="120"/>
      <c r="H41" s="120"/>
      <c r="I41" s="120"/>
      <c r="J41" s="121"/>
    </row>
    <row r="42" spans="1:10" x14ac:dyDescent="0.25">
      <c r="A42" s="116" t="s">
        <v>49</v>
      </c>
      <c r="B42" s="117"/>
      <c r="C42" s="117"/>
      <c r="D42" s="117"/>
      <c r="E42" s="118"/>
      <c r="F42" s="119">
        <f>F38*F41</f>
        <v>48997.5</v>
      </c>
      <c r="G42" s="120"/>
      <c r="H42" s="120"/>
      <c r="I42" s="120"/>
      <c r="J42" s="121"/>
    </row>
    <row r="43" spans="1:10" x14ac:dyDescent="0.25">
      <c r="A43" s="116" t="s">
        <v>50</v>
      </c>
      <c r="B43" s="117"/>
      <c r="C43" s="117"/>
      <c r="D43" s="117"/>
      <c r="E43" s="118"/>
      <c r="F43" s="180" t="s">
        <v>224</v>
      </c>
      <c r="G43" s="144"/>
      <c r="H43" s="144"/>
      <c r="I43" s="144"/>
      <c r="J43" s="145"/>
    </row>
    <row r="44" spans="1:10" x14ac:dyDescent="0.25">
      <c r="A44" s="137" t="s">
        <v>51</v>
      </c>
      <c r="B44" s="138"/>
      <c r="C44" s="138"/>
      <c r="D44" s="138"/>
      <c r="E44" s="138"/>
      <c r="F44" s="138"/>
      <c r="G44" s="138"/>
      <c r="H44" s="138"/>
      <c r="I44" s="138"/>
      <c r="J44" s="139"/>
    </row>
    <row r="45" spans="1:10" ht="30.75" customHeight="1" x14ac:dyDescent="0.25">
      <c r="A45" s="122" t="s">
        <v>52</v>
      </c>
      <c r="B45" s="124"/>
      <c r="C45" s="88" t="s">
        <v>189</v>
      </c>
      <c r="D45" s="89"/>
      <c r="E45" s="89"/>
      <c r="F45" s="90"/>
      <c r="G45" s="19" t="s">
        <v>53</v>
      </c>
      <c r="H45" s="122" t="s">
        <v>190</v>
      </c>
      <c r="I45" s="123"/>
      <c r="J45" s="124"/>
    </row>
    <row r="46" spans="1:10" ht="31.5" customHeight="1" x14ac:dyDescent="0.25">
      <c r="A46" s="122" t="s">
        <v>54</v>
      </c>
      <c r="B46" s="124"/>
      <c r="C46" s="88" t="str">
        <f>C45</f>
        <v>VP.S04/0103/17/TMC/TD-DP/TPS/3081/19</v>
      </c>
      <c r="D46" s="89"/>
      <c r="E46" s="89"/>
      <c r="F46" s="90"/>
      <c r="G46" s="19" t="s">
        <v>53</v>
      </c>
      <c r="H46" s="122" t="str">
        <f>H45</f>
        <v>23/05/2019.</v>
      </c>
      <c r="I46" s="123"/>
      <c r="J46" s="124"/>
    </row>
    <row r="47" spans="1:10" ht="33" customHeight="1" x14ac:dyDescent="0.25">
      <c r="A47" s="84" t="s">
        <v>288</v>
      </c>
      <c r="B47" s="85"/>
      <c r="C47" s="88" t="s">
        <v>294</v>
      </c>
      <c r="D47" s="92"/>
      <c r="E47" s="92"/>
      <c r="F47" s="93"/>
      <c r="G47" s="12" t="s">
        <v>53</v>
      </c>
      <c r="H47" s="91" t="s">
        <v>295</v>
      </c>
      <c r="I47" s="92"/>
      <c r="J47" s="93"/>
    </row>
    <row r="48" spans="1:10" ht="96" customHeight="1" x14ac:dyDescent="0.25">
      <c r="A48" s="86"/>
      <c r="B48" s="87"/>
      <c r="C48" s="88" t="s">
        <v>296</v>
      </c>
      <c r="D48" s="89"/>
      <c r="E48" s="89"/>
      <c r="F48" s="89"/>
      <c r="G48" s="89"/>
      <c r="H48" s="89"/>
      <c r="I48" s="89"/>
      <c r="J48" s="90"/>
    </row>
    <row r="49" spans="1:12" ht="15" customHeight="1" x14ac:dyDescent="0.25">
      <c r="A49" s="122" t="s">
        <v>55</v>
      </c>
      <c r="B49" s="124"/>
      <c r="C49" s="88" t="s">
        <v>148</v>
      </c>
      <c r="D49" s="92"/>
      <c r="E49" s="92"/>
      <c r="F49" s="93" t="s">
        <v>56</v>
      </c>
      <c r="G49" s="19" t="s">
        <v>53</v>
      </c>
      <c r="H49" s="122" t="s">
        <v>35</v>
      </c>
      <c r="I49" s="123" t="s">
        <v>35</v>
      </c>
      <c r="J49" s="124"/>
    </row>
    <row r="50" spans="1:12" x14ac:dyDescent="0.25">
      <c r="A50" s="109" t="s">
        <v>57</v>
      </c>
      <c r="B50" s="109"/>
      <c r="C50" s="109"/>
      <c r="D50" s="164" t="str">
        <f>H47</f>
        <v>12/01/2024.</v>
      </c>
      <c r="E50" s="164"/>
      <c r="F50" s="116" t="s">
        <v>58</v>
      </c>
      <c r="G50" s="165"/>
      <c r="H50" s="146">
        <v>47026</v>
      </c>
      <c r="I50" s="144"/>
      <c r="J50" s="145"/>
    </row>
    <row r="51" spans="1:12" x14ac:dyDescent="0.25">
      <c r="A51" s="169" t="s">
        <v>59</v>
      </c>
      <c r="B51" s="170"/>
      <c r="C51" s="170"/>
      <c r="D51" s="170"/>
      <c r="E51" s="170"/>
      <c r="F51" s="170"/>
      <c r="G51" s="170"/>
      <c r="H51" s="170"/>
      <c r="I51" s="170"/>
      <c r="J51" s="171"/>
    </row>
    <row r="52" spans="1:12" ht="15.75" customHeight="1" x14ac:dyDescent="0.25">
      <c r="A52" s="116" t="s">
        <v>60</v>
      </c>
      <c r="B52" s="117"/>
      <c r="C52" s="118"/>
      <c r="D52" s="114">
        <f>F42</f>
        <v>48997.5</v>
      </c>
      <c r="E52" s="115"/>
      <c r="F52" s="172" t="s">
        <v>61</v>
      </c>
      <c r="G52" s="173"/>
      <c r="H52" s="172" t="s">
        <v>233</v>
      </c>
      <c r="I52" s="174"/>
      <c r="J52" s="173"/>
    </row>
    <row r="53" spans="1:12" ht="67.5" customHeight="1" x14ac:dyDescent="0.25">
      <c r="A53" s="143" t="s">
        <v>62</v>
      </c>
      <c r="B53" s="149"/>
      <c r="C53" s="143" t="s">
        <v>234</v>
      </c>
      <c r="D53" s="149"/>
      <c r="E53" s="149"/>
      <c r="F53" s="149"/>
      <c r="G53" s="149"/>
      <c r="H53" s="149"/>
      <c r="I53" s="149"/>
      <c r="J53" s="150"/>
    </row>
    <row r="54" spans="1:12" ht="15.75" customHeight="1" x14ac:dyDescent="0.25">
      <c r="A54" s="116" t="s">
        <v>250</v>
      </c>
      <c r="B54" s="117"/>
      <c r="C54" s="117"/>
      <c r="D54" s="122" t="s">
        <v>63</v>
      </c>
      <c r="E54" s="123"/>
      <c r="F54" s="123"/>
      <c r="G54" s="123"/>
      <c r="H54" s="123"/>
      <c r="I54" s="123"/>
      <c r="J54" s="124"/>
    </row>
    <row r="55" spans="1:12" x14ac:dyDescent="0.25">
      <c r="A55" s="180" t="s">
        <v>285</v>
      </c>
      <c r="B55" s="144"/>
      <c r="C55" s="144"/>
      <c r="D55" s="144"/>
      <c r="E55" s="144"/>
      <c r="F55" s="144"/>
      <c r="G55" s="144"/>
      <c r="H55" s="144"/>
      <c r="I55" s="144"/>
      <c r="J55" s="145"/>
    </row>
    <row r="56" spans="1:12" ht="15" customHeight="1" thickBot="1" x14ac:dyDescent="0.3">
      <c r="A56" s="181" t="s">
        <v>64</v>
      </c>
      <c r="B56" s="182"/>
      <c r="C56" s="182"/>
      <c r="D56" s="182"/>
      <c r="E56" s="182"/>
      <c r="F56" s="182"/>
      <c r="G56" s="182"/>
      <c r="H56" s="182"/>
      <c r="I56" s="182"/>
      <c r="J56" s="183"/>
    </row>
    <row r="57" spans="1:12" customFormat="1" x14ac:dyDescent="0.25">
      <c r="A57" s="70" t="s">
        <v>253</v>
      </c>
      <c r="B57" s="71"/>
      <c r="C57" s="72" t="s">
        <v>293</v>
      </c>
      <c r="D57" s="72"/>
      <c r="E57" s="72"/>
      <c r="F57" s="72"/>
      <c r="G57" s="72"/>
      <c r="H57" s="72"/>
      <c r="I57" s="72"/>
      <c r="J57" s="73"/>
      <c r="K57" s="49" t="str">
        <f ca="1">(IF(F61&gt;99%,"All work completed. Please provide OC.",IF(F61&gt;89.8%,"Plinth, RCC, Brick, Plaster, Flooring, Painting work Completed. Finishing work is in process.",IF(F61&lt;94%,(IF(C61=0,"Work not yet Started.",IF(D61=25%,"Piling work in process",IF(D61=50%,"Excavation work in process",IF(D61=100%,"Excavation work Completed. ","0")))&amp;(IF(C62=0%,"",IF(C62=L63,"Footing work is process",IF(C62=L64,"Footing work Completed",IF(C62=L65,"1st Basement Completed",IF(C62=L66,"1st &amp; 2nd Basement Completed",IF(C62=L67,"1st to 3rd Basement Completed",IF(C62=L68,"1st to 4th Basement Completed",IF(C62=L69,"Plinth work is process",IF(C62=L70,"Plinth work completed","0")))))))))))&amp;(IF(C63=(D58+G58+I58),", RCC Slab",IF(C63&gt;0,", RCC upto "&amp;C63&amp;" Slab",""))&amp;(IF(C64=I58,", Brickwork",IF(C64&gt;0,", Brickwork upto "&amp;C64&amp;" Floor",""))&amp;(IF(C65=I58,", Internal Plaster",IF(C65&gt;0,", Internal Plaster upto "&amp;C65&amp;" Floor",""))&amp;(IF(C66=I58,", External Plaster",IF(C66&gt;0,", External Plaster upto "&amp;C66&amp;" Floor",""))&amp;(IF(C67=I58,", Flooring",IF(C67&gt;0,", Flooring upto "&amp;C67&amp;" Floor",""))&amp;(IF(C68=I58,", Painting",IF(C68&gt;0,", Painting upto "&amp;C68&amp;" Floor",""))&amp;(IF(C69&gt;0,", Finishing upto "&amp;C69&amp;" Floor","")&amp;(IF(C63&gt;0.5," Completed",""))))))))))))))</f>
        <v>Work not yet Started.</v>
      </c>
      <c r="L57" s="49"/>
    </row>
    <row r="58" spans="1:12" customFormat="1" x14ac:dyDescent="0.25">
      <c r="A58" s="50" t="s">
        <v>135</v>
      </c>
      <c r="B58" s="55">
        <v>0</v>
      </c>
      <c r="C58" s="51" t="s">
        <v>137</v>
      </c>
      <c r="D58" s="51">
        <v>1</v>
      </c>
      <c r="E58" s="74" t="s">
        <v>136</v>
      </c>
      <c r="F58" s="74"/>
      <c r="G58" s="51">
        <v>0</v>
      </c>
      <c r="H58" s="51" t="s">
        <v>254</v>
      </c>
      <c r="I58" s="74">
        <f ca="1">--TRIM(RIGHT(SUBSTITUTE(LEFT(C57,_xlfn.AGGREGATE(16,6,FIND({0,1,2,3,4,5,6,7,8,9},C57,ROW(INDIRECT("1:"&amp;LEN(C57)))),1))," ",REPT(" ",LEN(C57))),LEN(C57)))</f>
        <v>28</v>
      </c>
      <c r="J58" s="75"/>
      <c r="K58" s="49"/>
      <c r="L58" s="49"/>
    </row>
    <row r="59" spans="1:12" customFormat="1" ht="15.75" customHeight="1" x14ac:dyDescent="0.25">
      <c r="A59" s="76" t="s">
        <v>255</v>
      </c>
      <c r="B59" s="77"/>
      <c r="C59" s="78" t="str">
        <f ca="1">K57</f>
        <v>Work not yet Started.</v>
      </c>
      <c r="D59" s="78"/>
      <c r="E59" s="78"/>
      <c r="F59" s="78"/>
      <c r="G59" s="78"/>
      <c r="H59" s="78"/>
      <c r="I59" s="78"/>
      <c r="J59" s="79"/>
      <c r="K59" s="49" t="s">
        <v>256</v>
      </c>
      <c r="L59" s="49"/>
    </row>
    <row r="60" spans="1:12" customFormat="1" ht="15.75" customHeight="1" x14ac:dyDescent="0.25">
      <c r="A60" s="80" t="s">
        <v>65</v>
      </c>
      <c r="B60" s="81"/>
      <c r="C60" s="56" t="s">
        <v>257</v>
      </c>
      <c r="D60" s="82" t="s">
        <v>258</v>
      </c>
      <c r="E60" s="82"/>
      <c r="F60" s="82" t="s">
        <v>259</v>
      </c>
      <c r="G60" s="82"/>
      <c r="H60" s="82" t="s">
        <v>260</v>
      </c>
      <c r="I60" s="82"/>
      <c r="J60" s="83"/>
      <c r="K60" s="52" t="s">
        <v>261</v>
      </c>
      <c r="L60" s="11">
        <f ca="1">I58*25%</f>
        <v>7</v>
      </c>
    </row>
    <row r="61" spans="1:12" customFormat="1" ht="15.75" customHeight="1" x14ac:dyDescent="0.25">
      <c r="A61" s="62" t="s">
        <v>262</v>
      </c>
      <c r="B61" s="63"/>
      <c r="C61" s="57">
        <v>0</v>
      </c>
      <c r="D61" s="64">
        <f ca="1">((100/I58)*C61)/100</f>
        <v>0</v>
      </c>
      <c r="E61" s="64"/>
      <c r="F61" s="64">
        <f ca="1">(((C62/I58*10)+(40/(D58+G58+I58)*C63)+(7.5/(I58)*C64)+(7.5/(I58)*C65)+(10/I58*C66)+(10/I58*C67)+(5/I58*C68)+(5/I58*C69)+(5/I58*C70))/100)</f>
        <v>0</v>
      </c>
      <c r="G61" s="64"/>
      <c r="H61" s="64">
        <f ca="1">((((C61/I58)*20)+((C62/I58)*25)+(30/(I58+G58+D58)*C63)+(5/I58*C64)+(5/I58*C65)+(5/I58*C66)+(5/I58*C67)+(0/I58*C68)+(0/I58*C69)+(5/I58*C70))/100)</f>
        <v>0</v>
      </c>
      <c r="I61" s="64"/>
      <c r="J61" s="66"/>
      <c r="K61" s="52" t="s">
        <v>142</v>
      </c>
      <c r="L61" s="52">
        <f ca="1">I58*50%</f>
        <v>14</v>
      </c>
    </row>
    <row r="62" spans="1:12" customFormat="1" x14ac:dyDescent="0.25">
      <c r="A62" s="62" t="s">
        <v>66</v>
      </c>
      <c r="B62" s="63"/>
      <c r="C62" s="58">
        <v>0</v>
      </c>
      <c r="D62" s="64">
        <f ca="1">((100/I58)*C62)/100</f>
        <v>0</v>
      </c>
      <c r="E62" s="64"/>
      <c r="F62" s="64"/>
      <c r="G62" s="64"/>
      <c r="H62" s="64"/>
      <c r="I62" s="64"/>
      <c r="J62" s="66"/>
      <c r="K62" s="52" t="s">
        <v>143</v>
      </c>
      <c r="L62" s="52">
        <f ca="1">I58</f>
        <v>28</v>
      </c>
    </row>
    <row r="63" spans="1:12" customFormat="1" ht="15.75" customHeight="1" x14ac:dyDescent="0.25">
      <c r="A63" s="62" t="s">
        <v>263</v>
      </c>
      <c r="B63" s="63"/>
      <c r="C63" s="58">
        <v>0</v>
      </c>
      <c r="D63" s="64">
        <f ca="1">((100/(D58+G58+I58))*C63)/100</f>
        <v>0</v>
      </c>
      <c r="E63" s="64"/>
      <c r="F63" s="64"/>
      <c r="G63" s="64"/>
      <c r="H63" s="64"/>
      <c r="I63" s="64"/>
      <c r="J63" s="66"/>
      <c r="K63" s="52" t="s">
        <v>144</v>
      </c>
      <c r="L63" s="53">
        <f ca="1">(IF(B58&gt;1,(I58/(B58+2)),I58/4))</f>
        <v>7</v>
      </c>
    </row>
    <row r="64" spans="1:12" customFormat="1" ht="15.75" customHeight="1" x14ac:dyDescent="0.25">
      <c r="A64" s="62" t="s">
        <v>264</v>
      </c>
      <c r="B64" s="63" t="s">
        <v>265</v>
      </c>
      <c r="C64" s="57">
        <v>0</v>
      </c>
      <c r="D64" s="64">
        <f ca="1">((100/I58)*C64)/100</f>
        <v>0</v>
      </c>
      <c r="E64" s="64"/>
      <c r="F64" s="64"/>
      <c r="G64" s="64"/>
      <c r="H64" s="64"/>
      <c r="I64" s="64"/>
      <c r="J64" s="66"/>
      <c r="K64" s="52" t="s">
        <v>145</v>
      </c>
      <c r="L64" s="53">
        <f ca="1">(IF(B58&gt;1,(I58/(B58+2)+L63),I58/4+L63))</f>
        <v>14</v>
      </c>
    </row>
    <row r="65" spans="1:12" customFormat="1" ht="15.75" customHeight="1" x14ac:dyDescent="0.25">
      <c r="A65" s="62" t="s">
        <v>266</v>
      </c>
      <c r="B65" s="63" t="s">
        <v>265</v>
      </c>
      <c r="C65" s="57">
        <v>0</v>
      </c>
      <c r="D65" s="64">
        <f ca="1">((100/I58)*C65)/100</f>
        <v>0</v>
      </c>
      <c r="E65" s="64"/>
      <c r="F65" s="64"/>
      <c r="G65" s="64"/>
      <c r="H65" s="64"/>
      <c r="I65" s="64"/>
      <c r="J65" s="66"/>
      <c r="K65" s="52" t="s">
        <v>267</v>
      </c>
      <c r="L65" s="53">
        <f>(IF(B58&gt;1,(I58/(B58+2)+L64),0))</f>
        <v>0</v>
      </c>
    </row>
    <row r="66" spans="1:12" customFormat="1" ht="15.75" customHeight="1" x14ac:dyDescent="0.25">
      <c r="A66" s="62" t="s">
        <v>268</v>
      </c>
      <c r="B66" s="63" t="s">
        <v>269</v>
      </c>
      <c r="C66" s="57">
        <v>0</v>
      </c>
      <c r="D66" s="64">
        <f ca="1">((100/(I58))*C66)/100</f>
        <v>0</v>
      </c>
      <c r="E66" s="64"/>
      <c r="F66" s="64"/>
      <c r="G66" s="64"/>
      <c r="H66" s="64"/>
      <c r="I66" s="64"/>
      <c r="J66" s="66"/>
      <c r="K66" s="52" t="s">
        <v>270</v>
      </c>
      <c r="L66" s="53">
        <f>(IF(B58&gt;2,(I58/(B58+2)+L65),0))</f>
        <v>0</v>
      </c>
    </row>
    <row r="67" spans="1:12" customFormat="1" ht="15.75" customHeight="1" x14ac:dyDescent="0.25">
      <c r="A67" s="62" t="s">
        <v>271</v>
      </c>
      <c r="B67" s="63" t="s">
        <v>271</v>
      </c>
      <c r="C67" s="57">
        <v>0</v>
      </c>
      <c r="D67" s="64">
        <f ca="1">((100/I58)*C67)/100</f>
        <v>0</v>
      </c>
      <c r="E67" s="64"/>
      <c r="F67" s="64"/>
      <c r="G67" s="64"/>
      <c r="H67" s="64"/>
      <c r="I67" s="64"/>
      <c r="J67" s="66"/>
      <c r="K67" s="52" t="s">
        <v>272</v>
      </c>
      <c r="L67" s="54">
        <f>(IF(B58&gt;3,(I58/(B58+2)+L66),0))</f>
        <v>0</v>
      </c>
    </row>
    <row r="68" spans="1:12" customFormat="1" ht="15.75" customHeight="1" x14ac:dyDescent="0.25">
      <c r="A68" s="62" t="s">
        <v>273</v>
      </c>
      <c r="B68" s="63"/>
      <c r="C68" s="57">
        <v>0</v>
      </c>
      <c r="D68" s="64">
        <f ca="1">((100/I58)*C68)/100</f>
        <v>0</v>
      </c>
      <c r="E68" s="64"/>
      <c r="F68" s="64"/>
      <c r="G68" s="64"/>
      <c r="H68" s="64"/>
      <c r="I68" s="64"/>
      <c r="J68" s="66"/>
      <c r="K68" s="52" t="s">
        <v>274</v>
      </c>
      <c r="L68" s="53">
        <f>(IF(B58&gt;4,(I58/(B58+2)+L67),0))</f>
        <v>0</v>
      </c>
    </row>
    <row r="69" spans="1:12" customFormat="1" ht="15.75" customHeight="1" x14ac:dyDescent="0.25">
      <c r="A69" s="62" t="s">
        <v>275</v>
      </c>
      <c r="B69" s="63" t="s">
        <v>275</v>
      </c>
      <c r="C69" s="57">
        <v>0</v>
      </c>
      <c r="D69" s="64">
        <f ca="1">((100/(I58))*C69)/100</f>
        <v>0</v>
      </c>
      <c r="E69" s="64"/>
      <c r="F69" s="64"/>
      <c r="G69" s="64"/>
      <c r="H69" s="64"/>
      <c r="I69" s="64"/>
      <c r="J69" s="66"/>
      <c r="K69" s="52" t="s">
        <v>146</v>
      </c>
      <c r="L69" s="53">
        <f ca="1">(IF(B58=1,(I58/(B58+3)+L64),IF(B58=0,(I58/4+L64),IF(B58&gt;1,0))))</f>
        <v>21</v>
      </c>
    </row>
    <row r="70" spans="1:12" customFormat="1" ht="16.5" customHeight="1" thickBot="1" x14ac:dyDescent="0.3">
      <c r="A70" s="68" t="s">
        <v>276</v>
      </c>
      <c r="B70" s="69"/>
      <c r="C70" s="59">
        <v>0</v>
      </c>
      <c r="D70" s="65">
        <f ca="1">((100/(I58))*C70)/100</f>
        <v>0</v>
      </c>
      <c r="E70" s="65"/>
      <c r="F70" s="65"/>
      <c r="G70" s="65"/>
      <c r="H70" s="65"/>
      <c r="I70" s="65"/>
      <c r="J70" s="67"/>
      <c r="K70" s="52" t="s">
        <v>147</v>
      </c>
      <c r="L70" s="53">
        <f ca="1">(IF(B58&gt;1.5,(I58/(B58+2)+L64+MAX(0,L65-L64)+MAX(0,L66-L65)+MAX(0,L67-L66)+MAX(0,L68-L67)+MAX(0,L69-L68)),IF(B58=1,(I58/(B58+3)+L69),IF(B58=0,I58/4+L69))))</f>
        <v>28</v>
      </c>
    </row>
    <row r="71" spans="1:12" customFormat="1" x14ac:dyDescent="0.25">
      <c r="A71" s="94" t="s">
        <v>253</v>
      </c>
      <c r="B71" s="95"/>
      <c r="C71" s="96" t="s">
        <v>277</v>
      </c>
      <c r="D71" s="96"/>
      <c r="E71" s="96"/>
      <c r="F71" s="96"/>
      <c r="G71" s="96"/>
      <c r="H71" s="96"/>
      <c r="I71" s="96"/>
      <c r="J71" s="97"/>
      <c r="K71" s="49" t="str">
        <f ca="1">(IF(F75&gt;99%,"All work completed. Please provide OC.",IF(F75&gt;89.8%,"Plinth, RCC, Brick, Plaster, Flooring, Painting work Completed. Finishing work is in process.",IF(F75&lt;94%,(IF(C75=0,"Work not yet Started.",IF(D75=25%,"Piling work in process",IF(D75=50%,"Excavation work in process",IF(D75=100%,"Excavation work Completed. ","0")))&amp;(IF(C76=0%,"",IF(C76=L77,"Footing work is process",IF(C76=L78,"Footing work Completed",IF(C76=L79,"1st Basement Completed",IF(C76=L80,"1st &amp; 2nd Basement Completed",IF(C76=L81,"1st to 3rd Basement Completed",IF(C76=L82,"1st to 4th Basement Completed",IF(C76=L83,"Plinth work is process",IF(C76=L84,"Plinth work completed","0")))))))))))&amp;(IF(C77=(D72+G72+I72),", RCC Slab",IF(C77&gt;0,", RCC upto "&amp;C77&amp;" Slab",""))&amp;(IF(C78=I72,", Brickwork",IF(C78&gt;0,", Brickwork upto "&amp;C78&amp;" Floor",""))&amp;(IF(C79=I72,", Internal Plaster",IF(C79&gt;0,", Internal Plaster upto "&amp;C79&amp;" Floor",""))&amp;(IF(C80=I72,", External Plaster",IF(C80&gt;0,", External Plaster upto "&amp;C80&amp;" Floor",""))&amp;(IF(C81=I72,", Flooring",IF(C81&gt;0,", Flooring upto "&amp;C81&amp;" Floor",""))&amp;(IF(C82=I72,", Painting",IF(C82&gt;0,", Painting upto "&amp;C82&amp;" Floor",""))&amp;(IF(C83&gt;0,", Finishing upto "&amp;C83&amp;" Floor","")&amp;(IF(C77&gt;0.5," Completed",""))))))))))))))</f>
        <v>Excavation work Completed. Plinth work completed, RCC upto 5 Slab Completed</v>
      </c>
      <c r="L71" s="49"/>
    </row>
    <row r="72" spans="1:12" customFormat="1" x14ac:dyDescent="0.25">
      <c r="A72" s="50" t="s">
        <v>135</v>
      </c>
      <c r="B72" s="55">
        <v>0</v>
      </c>
      <c r="C72" s="51" t="s">
        <v>137</v>
      </c>
      <c r="D72" s="51">
        <v>1</v>
      </c>
      <c r="E72" s="74" t="s">
        <v>136</v>
      </c>
      <c r="F72" s="74"/>
      <c r="G72" s="51">
        <v>0</v>
      </c>
      <c r="H72" s="51" t="s">
        <v>254</v>
      </c>
      <c r="I72" s="74">
        <f ca="1">--TRIM(RIGHT(SUBSTITUTE(LEFT(C71,_xlfn.AGGREGATE(16,6,FIND({0,1,2,3,4,5,6,7,8,9},C71,ROW(INDIRECT("1:"&amp;LEN(C71)))),1))," ",REPT(" ",LEN(C71))),LEN(C71)))</f>
        <v>29</v>
      </c>
      <c r="J72" s="75"/>
      <c r="K72" s="49"/>
      <c r="L72" s="49"/>
    </row>
    <row r="73" spans="1:12" customFormat="1" ht="30.6" customHeight="1" x14ac:dyDescent="0.25">
      <c r="A73" s="76" t="s">
        <v>255</v>
      </c>
      <c r="B73" s="77"/>
      <c r="C73" s="78" t="str">
        <f ca="1">K71</f>
        <v>Excavation work Completed. Plinth work completed, RCC upto 5 Slab Completed</v>
      </c>
      <c r="D73" s="78"/>
      <c r="E73" s="78"/>
      <c r="F73" s="78"/>
      <c r="G73" s="78"/>
      <c r="H73" s="78"/>
      <c r="I73" s="78"/>
      <c r="J73" s="79"/>
      <c r="K73" s="49" t="s">
        <v>256</v>
      </c>
      <c r="L73" s="49"/>
    </row>
    <row r="74" spans="1:12" customFormat="1" ht="15.75" customHeight="1" x14ac:dyDescent="0.25">
      <c r="A74" s="80" t="s">
        <v>65</v>
      </c>
      <c r="B74" s="81"/>
      <c r="C74" s="56" t="s">
        <v>257</v>
      </c>
      <c r="D74" s="82" t="s">
        <v>258</v>
      </c>
      <c r="E74" s="82"/>
      <c r="F74" s="82" t="s">
        <v>259</v>
      </c>
      <c r="G74" s="82"/>
      <c r="H74" s="82" t="s">
        <v>260</v>
      </c>
      <c r="I74" s="82"/>
      <c r="J74" s="83"/>
      <c r="K74" s="52" t="s">
        <v>261</v>
      </c>
      <c r="L74" s="11">
        <f ca="1">I72*25%</f>
        <v>7.25</v>
      </c>
    </row>
    <row r="75" spans="1:12" customFormat="1" ht="15.75" customHeight="1" x14ac:dyDescent="0.25">
      <c r="A75" s="62" t="s">
        <v>262</v>
      </c>
      <c r="B75" s="63"/>
      <c r="C75" s="57">
        <f ca="1">L76</f>
        <v>29</v>
      </c>
      <c r="D75" s="64">
        <f ca="1">((100/I72)*C75)/100</f>
        <v>1</v>
      </c>
      <c r="E75" s="64"/>
      <c r="F75" s="64">
        <f ca="1">(((C76/I72*10)+(40/(D72+G72+I72)*C77)+(7.5/(I72)*C78)+(7.5/(I72)*C79)+(10/I72*C80)+(10/I72*C81)+(5/I72*C82)+(5/I72*C83)+(5/I72*C84))/100)</f>
        <v>0.16666666666666663</v>
      </c>
      <c r="G75" s="64"/>
      <c r="H75" s="64">
        <f ca="1">((((C75/I72)*20)+((C76/I72)*25)+(30/(I72+G72+D72)*C77)+(5/I72*C78)+(5/I72*C79)+(5/I72*C80)+(5/I72*C81)+(0/I72*C82)+(0/I72*C83)+(5/I72*C84))/100)</f>
        <v>0.5</v>
      </c>
      <c r="I75" s="64"/>
      <c r="J75" s="66"/>
      <c r="K75" s="52" t="s">
        <v>142</v>
      </c>
      <c r="L75" s="52">
        <f ca="1">I72*50%</f>
        <v>14.5</v>
      </c>
    </row>
    <row r="76" spans="1:12" customFormat="1" x14ac:dyDescent="0.25">
      <c r="A76" s="62" t="s">
        <v>66</v>
      </c>
      <c r="B76" s="63"/>
      <c r="C76" s="58">
        <f ca="1">L84</f>
        <v>29</v>
      </c>
      <c r="D76" s="64">
        <f ca="1">((100/I72)*C76)/100</f>
        <v>1</v>
      </c>
      <c r="E76" s="64"/>
      <c r="F76" s="64"/>
      <c r="G76" s="64"/>
      <c r="H76" s="64"/>
      <c r="I76" s="64"/>
      <c r="J76" s="66"/>
      <c r="K76" s="52" t="s">
        <v>143</v>
      </c>
      <c r="L76" s="52">
        <f ca="1">I72</f>
        <v>29</v>
      </c>
    </row>
    <row r="77" spans="1:12" customFormat="1" ht="15.75" customHeight="1" x14ac:dyDescent="0.25">
      <c r="A77" s="62" t="s">
        <v>263</v>
      </c>
      <c r="B77" s="63"/>
      <c r="C77" s="58">
        <v>5</v>
      </c>
      <c r="D77" s="64">
        <f ca="1">((100/(D72+G72+I72))*C77)/100</f>
        <v>0.16666666666666669</v>
      </c>
      <c r="E77" s="64"/>
      <c r="F77" s="64"/>
      <c r="G77" s="64"/>
      <c r="H77" s="64"/>
      <c r="I77" s="64"/>
      <c r="J77" s="66"/>
      <c r="K77" s="52" t="s">
        <v>144</v>
      </c>
      <c r="L77" s="53">
        <f ca="1">(IF(B72&gt;1,(I72/(B72+2)),I72/4))</f>
        <v>7.25</v>
      </c>
    </row>
    <row r="78" spans="1:12" customFormat="1" ht="15.75" customHeight="1" x14ac:dyDescent="0.25">
      <c r="A78" s="62" t="s">
        <v>264</v>
      </c>
      <c r="B78" s="63" t="s">
        <v>265</v>
      </c>
      <c r="C78" s="57">
        <v>0</v>
      </c>
      <c r="D78" s="64">
        <f ca="1">((100/I72)*C78)/100</f>
        <v>0</v>
      </c>
      <c r="E78" s="64"/>
      <c r="F78" s="64"/>
      <c r="G78" s="64"/>
      <c r="H78" s="64"/>
      <c r="I78" s="64"/>
      <c r="J78" s="66"/>
      <c r="K78" s="52" t="s">
        <v>145</v>
      </c>
      <c r="L78" s="53">
        <f ca="1">(IF(B72&gt;1,(I72/(B72+2)+L77),I72/4+L77))</f>
        <v>14.5</v>
      </c>
    </row>
    <row r="79" spans="1:12" customFormat="1" ht="15.75" customHeight="1" x14ac:dyDescent="0.25">
      <c r="A79" s="62" t="s">
        <v>266</v>
      </c>
      <c r="B79" s="63" t="s">
        <v>265</v>
      </c>
      <c r="C79" s="57">
        <v>0</v>
      </c>
      <c r="D79" s="64">
        <f ca="1">((100/I72)*C79)/100</f>
        <v>0</v>
      </c>
      <c r="E79" s="64"/>
      <c r="F79" s="64"/>
      <c r="G79" s="64"/>
      <c r="H79" s="64"/>
      <c r="I79" s="64"/>
      <c r="J79" s="66"/>
      <c r="K79" s="52" t="s">
        <v>267</v>
      </c>
      <c r="L79" s="53">
        <f>(IF(B72&gt;1,(I72/(B72+2)+L78),0))</f>
        <v>0</v>
      </c>
    </row>
    <row r="80" spans="1:12" customFormat="1" ht="15.75" customHeight="1" x14ac:dyDescent="0.25">
      <c r="A80" s="62" t="s">
        <v>268</v>
      </c>
      <c r="B80" s="63" t="s">
        <v>269</v>
      </c>
      <c r="C80" s="57">
        <v>0</v>
      </c>
      <c r="D80" s="64">
        <f ca="1">((100/(I72))*C80)/100</f>
        <v>0</v>
      </c>
      <c r="E80" s="64"/>
      <c r="F80" s="64"/>
      <c r="G80" s="64"/>
      <c r="H80" s="64"/>
      <c r="I80" s="64"/>
      <c r="J80" s="66"/>
      <c r="K80" s="52" t="s">
        <v>270</v>
      </c>
      <c r="L80" s="53">
        <f>(IF(B72&gt;2,(I72/(B72+2)+L79),0))</f>
        <v>0</v>
      </c>
    </row>
    <row r="81" spans="1:12" customFormat="1" ht="15.75" customHeight="1" x14ac:dyDescent="0.25">
      <c r="A81" s="62" t="s">
        <v>271</v>
      </c>
      <c r="B81" s="63" t="s">
        <v>271</v>
      </c>
      <c r="C81" s="57">
        <v>0</v>
      </c>
      <c r="D81" s="64">
        <f ca="1">((100/I72)*C81)/100</f>
        <v>0</v>
      </c>
      <c r="E81" s="64"/>
      <c r="F81" s="64"/>
      <c r="G81" s="64"/>
      <c r="H81" s="64"/>
      <c r="I81" s="64"/>
      <c r="J81" s="66"/>
      <c r="K81" s="52" t="s">
        <v>272</v>
      </c>
      <c r="L81" s="54">
        <f>(IF(B72&gt;3,(I72/(B72+2)+L80),0))</f>
        <v>0</v>
      </c>
    </row>
    <row r="82" spans="1:12" customFormat="1" ht="15.75" customHeight="1" x14ac:dyDescent="0.25">
      <c r="A82" s="62" t="s">
        <v>273</v>
      </c>
      <c r="B82" s="63"/>
      <c r="C82" s="57">
        <v>0</v>
      </c>
      <c r="D82" s="64">
        <f ca="1">((100/I72)*C82)/100</f>
        <v>0</v>
      </c>
      <c r="E82" s="64"/>
      <c r="F82" s="64"/>
      <c r="G82" s="64"/>
      <c r="H82" s="64"/>
      <c r="I82" s="64"/>
      <c r="J82" s="66"/>
      <c r="K82" s="52" t="s">
        <v>274</v>
      </c>
      <c r="L82" s="53">
        <f>(IF(B72&gt;4,(I72/(B72+2)+L81),0))</f>
        <v>0</v>
      </c>
    </row>
    <row r="83" spans="1:12" customFormat="1" ht="15.75" customHeight="1" x14ac:dyDescent="0.25">
      <c r="A83" s="62" t="s">
        <v>275</v>
      </c>
      <c r="B83" s="63" t="s">
        <v>275</v>
      </c>
      <c r="C83" s="57">
        <v>0</v>
      </c>
      <c r="D83" s="64">
        <f ca="1">((100/(I72))*C83)/100</f>
        <v>0</v>
      </c>
      <c r="E83" s="64"/>
      <c r="F83" s="64"/>
      <c r="G83" s="64"/>
      <c r="H83" s="64"/>
      <c r="I83" s="64"/>
      <c r="J83" s="66"/>
      <c r="K83" s="52" t="s">
        <v>146</v>
      </c>
      <c r="L83" s="53">
        <f ca="1">(IF(B72=1,(I72/(B72+3)+L78),IF(B72=0,(I72/4+L78),IF(B72&gt;1,0))))</f>
        <v>21.75</v>
      </c>
    </row>
    <row r="84" spans="1:12" customFormat="1" ht="16.5" customHeight="1" thickBot="1" x14ac:dyDescent="0.3">
      <c r="A84" s="68" t="s">
        <v>276</v>
      </c>
      <c r="B84" s="69"/>
      <c r="C84" s="59">
        <v>0</v>
      </c>
      <c r="D84" s="65">
        <f ca="1">((100/(I72))*C84)/100</f>
        <v>0</v>
      </c>
      <c r="E84" s="65"/>
      <c r="F84" s="65"/>
      <c r="G84" s="65"/>
      <c r="H84" s="65"/>
      <c r="I84" s="65"/>
      <c r="J84" s="67"/>
      <c r="K84" s="52" t="s">
        <v>147</v>
      </c>
      <c r="L84" s="53">
        <f ca="1">(IF(B72&gt;1.5,(I72/(B72+2)+L78+MAX(0,L79-L78)+MAX(0,L80-L79)+MAX(0,L81-L80)+MAX(0,L82-L81)+MAX(0,L83-L82)),IF(B72=1,(I72/(B72+3)+L83),IF(B72=0,I72/4+L83))))</f>
        <v>29</v>
      </c>
    </row>
    <row r="85" spans="1:12" customFormat="1" x14ac:dyDescent="0.25">
      <c r="A85" s="70" t="s">
        <v>253</v>
      </c>
      <c r="B85" s="71"/>
      <c r="C85" s="72" t="s">
        <v>279</v>
      </c>
      <c r="D85" s="72"/>
      <c r="E85" s="72"/>
      <c r="F85" s="72"/>
      <c r="G85" s="72"/>
      <c r="H85" s="72"/>
      <c r="I85" s="72"/>
      <c r="J85" s="73"/>
      <c r="K85" s="49" t="str">
        <f ca="1">(IF(F89&gt;99%,"All work completed. Please provide OC.",IF(F89&gt;89.8%,"Plinth, RCC, Brick, Plaster, Flooring, Painting work Completed. Finishing work is in process.",IF(F89&lt;94%,(IF(C89=0,"Work not yet Started.",IF(D89=25%,"Piling work in process",IF(D89=50%,"Excavation work in process",IF(D89=100%,"Excavation work Completed. ","0")))&amp;(IF(C90=0%,"",IF(C90=L91,"Footing work is process",IF(C90=L92,"Footing work Completed",IF(C90=L93,"1st Basement Completed",IF(C90=L94,"1st &amp; 2nd Basement Completed",IF(C90=L95,"1st to 3rd Basement Completed",IF(C90=L96,"1st to 4th Basement Completed",IF(C90=L97,"Plinth work is process",IF(C90=L98,"Plinth work completed","0")))))))))))&amp;(IF(C91=(D86+G86+I86),", RCC Slab",IF(C91&gt;0,", RCC upto "&amp;C91&amp;" Slab",""))&amp;(IF(C92=I86,", Brickwork",IF(C92&gt;0,", Brickwork upto "&amp;C92&amp;" Floor",""))&amp;(IF(C93=I86,", Internal Plaster",IF(C93&gt;0,", Internal Plaster upto "&amp;C93&amp;" Floor",""))&amp;(IF(C94=I86,", External Plaster",IF(C94&gt;0,", External Plaster upto "&amp;C94&amp;" Floor",""))&amp;(IF(C95=I86,", Flooring",IF(C95&gt;0,", Flooring upto "&amp;C95&amp;" Floor",""))&amp;(IF(C96=I86,", Painting",IF(C96&gt;0,", Painting upto "&amp;C96&amp;" Floor",""))&amp;(IF(C97&gt;0,", Finishing upto "&amp;C97&amp;" Floor","")&amp;(IF(C91&gt;0.5," Completed",""))))))))))))))</f>
        <v>Excavation work Completed. Plinth work completed, RCC upto 3 Slab Completed</v>
      </c>
      <c r="L85" s="49"/>
    </row>
    <row r="86" spans="1:12" customFormat="1" x14ac:dyDescent="0.25">
      <c r="A86" s="50" t="s">
        <v>135</v>
      </c>
      <c r="B86" s="55">
        <v>0</v>
      </c>
      <c r="C86" s="51" t="s">
        <v>137</v>
      </c>
      <c r="D86" s="51">
        <v>1</v>
      </c>
      <c r="E86" s="74" t="s">
        <v>136</v>
      </c>
      <c r="F86" s="74"/>
      <c r="G86" s="51">
        <v>0</v>
      </c>
      <c r="H86" s="51" t="s">
        <v>254</v>
      </c>
      <c r="I86" s="74">
        <f ca="1">--TRIM(RIGHT(SUBSTITUTE(LEFT(C85,_xlfn.AGGREGATE(16,6,FIND({0,1,2,3,4,5,6,7,8,9},C85,ROW(INDIRECT("1:"&amp;LEN(C85)))),1))," ",REPT(" ",LEN(C85))),LEN(C85)))</f>
        <v>28</v>
      </c>
      <c r="J86" s="75"/>
      <c r="K86" s="49"/>
      <c r="L86" s="49"/>
    </row>
    <row r="87" spans="1:12" customFormat="1" ht="15.75" customHeight="1" x14ac:dyDescent="0.25">
      <c r="A87" s="76" t="s">
        <v>255</v>
      </c>
      <c r="B87" s="77"/>
      <c r="C87" s="78" t="str">
        <f ca="1">K85</f>
        <v>Excavation work Completed. Plinth work completed, RCC upto 3 Slab Completed</v>
      </c>
      <c r="D87" s="78"/>
      <c r="E87" s="78"/>
      <c r="F87" s="78"/>
      <c r="G87" s="78"/>
      <c r="H87" s="78"/>
      <c r="I87" s="78"/>
      <c r="J87" s="79"/>
      <c r="K87" s="49" t="s">
        <v>256</v>
      </c>
      <c r="L87" s="49"/>
    </row>
    <row r="88" spans="1:12" customFormat="1" ht="15.75" customHeight="1" x14ac:dyDescent="0.25">
      <c r="A88" s="80" t="s">
        <v>65</v>
      </c>
      <c r="B88" s="81"/>
      <c r="C88" s="56" t="s">
        <v>257</v>
      </c>
      <c r="D88" s="82" t="s">
        <v>258</v>
      </c>
      <c r="E88" s="82"/>
      <c r="F88" s="82" t="s">
        <v>259</v>
      </c>
      <c r="G88" s="82"/>
      <c r="H88" s="82" t="s">
        <v>260</v>
      </c>
      <c r="I88" s="82"/>
      <c r="J88" s="83"/>
      <c r="K88" s="52" t="s">
        <v>261</v>
      </c>
      <c r="L88" s="11">
        <f ca="1">I86*25%</f>
        <v>7</v>
      </c>
    </row>
    <row r="89" spans="1:12" customFormat="1" ht="15.75" customHeight="1" x14ac:dyDescent="0.25">
      <c r="A89" s="62" t="s">
        <v>262</v>
      </c>
      <c r="B89" s="63"/>
      <c r="C89" s="57">
        <f ca="1">L90</f>
        <v>28</v>
      </c>
      <c r="D89" s="64">
        <f ca="1">((100/I86)*C89)/100</f>
        <v>1</v>
      </c>
      <c r="E89" s="64"/>
      <c r="F89" s="64">
        <f ca="1">(((C90/I86*10)+(40/(D86+G86+I86)*C91)+(7.5/(I86)*C92)+(7.5/(I86)*C93)+(10/I86*C94)+(10/I86*C95)+(5/I86*C96)+(5/I86*C97)+(5/I86*C98))/100)</f>
        <v>0.14137931034482759</v>
      </c>
      <c r="G89" s="64"/>
      <c r="H89" s="64">
        <f ca="1">((((C89/I86)*20)+((C90/I86)*25)+(30/(I86+G86+D86)*C91)+(5/I86*C92)+(5/I86*C93)+(5/I86*C94)+(5/I86*C95)+(0/I86*C96)+(0/I86*C97)+(5/I86*C98))/100)</f>
        <v>0.48103448275862071</v>
      </c>
      <c r="I89" s="64"/>
      <c r="J89" s="66"/>
      <c r="K89" s="52" t="s">
        <v>142</v>
      </c>
      <c r="L89" s="52">
        <f ca="1">I86*50%</f>
        <v>14</v>
      </c>
    </row>
    <row r="90" spans="1:12" customFormat="1" x14ac:dyDescent="0.25">
      <c r="A90" s="62" t="s">
        <v>66</v>
      </c>
      <c r="B90" s="63"/>
      <c r="C90" s="58">
        <f ca="1">L98</f>
        <v>28</v>
      </c>
      <c r="D90" s="64">
        <f ca="1">((100/I86)*C90)/100</f>
        <v>1</v>
      </c>
      <c r="E90" s="64"/>
      <c r="F90" s="64"/>
      <c r="G90" s="64"/>
      <c r="H90" s="64"/>
      <c r="I90" s="64"/>
      <c r="J90" s="66"/>
      <c r="K90" s="52" t="s">
        <v>143</v>
      </c>
      <c r="L90" s="52">
        <f ca="1">I86</f>
        <v>28</v>
      </c>
    </row>
    <row r="91" spans="1:12" customFormat="1" ht="15.75" customHeight="1" x14ac:dyDescent="0.25">
      <c r="A91" s="62" t="s">
        <v>263</v>
      </c>
      <c r="B91" s="63"/>
      <c r="C91" s="58">
        <v>3</v>
      </c>
      <c r="D91" s="64">
        <f ca="1">((100/(D86+G86+I86))*C91)/100</f>
        <v>0.10344827586206896</v>
      </c>
      <c r="E91" s="64"/>
      <c r="F91" s="64"/>
      <c r="G91" s="64"/>
      <c r="H91" s="64"/>
      <c r="I91" s="64"/>
      <c r="J91" s="66"/>
      <c r="K91" s="52" t="s">
        <v>144</v>
      </c>
      <c r="L91" s="53">
        <f ca="1">(IF(B86&gt;1,(I86/(B86+2)),I86/4))</f>
        <v>7</v>
      </c>
    </row>
    <row r="92" spans="1:12" customFormat="1" ht="15.75" customHeight="1" x14ac:dyDescent="0.25">
      <c r="A92" s="62" t="s">
        <v>264</v>
      </c>
      <c r="B92" s="63" t="s">
        <v>265</v>
      </c>
      <c r="C92" s="57">
        <v>0</v>
      </c>
      <c r="D92" s="64">
        <f ca="1">((100/I86)*C92)/100</f>
        <v>0</v>
      </c>
      <c r="E92" s="64"/>
      <c r="F92" s="64"/>
      <c r="G92" s="64"/>
      <c r="H92" s="64"/>
      <c r="I92" s="64"/>
      <c r="J92" s="66"/>
      <c r="K92" s="52" t="s">
        <v>145</v>
      </c>
      <c r="L92" s="53">
        <f ca="1">(IF(B86&gt;1,(I86/(B86+2)+L91),I86/4+L91))</f>
        <v>14</v>
      </c>
    </row>
    <row r="93" spans="1:12" customFormat="1" ht="15.75" customHeight="1" x14ac:dyDescent="0.25">
      <c r="A93" s="62" t="s">
        <v>266</v>
      </c>
      <c r="B93" s="63" t="s">
        <v>265</v>
      </c>
      <c r="C93" s="57">
        <v>0</v>
      </c>
      <c r="D93" s="64">
        <f ca="1">((100/I86)*C93)/100</f>
        <v>0</v>
      </c>
      <c r="E93" s="64"/>
      <c r="F93" s="64"/>
      <c r="G93" s="64"/>
      <c r="H93" s="64"/>
      <c r="I93" s="64"/>
      <c r="J93" s="66"/>
      <c r="K93" s="52" t="s">
        <v>267</v>
      </c>
      <c r="L93" s="53">
        <f>(IF(B86&gt;1,(I86/(B86+2)+L92),0))</f>
        <v>0</v>
      </c>
    </row>
    <row r="94" spans="1:12" customFormat="1" ht="15.75" customHeight="1" x14ac:dyDescent="0.25">
      <c r="A94" s="62" t="s">
        <v>268</v>
      </c>
      <c r="B94" s="63" t="s">
        <v>269</v>
      </c>
      <c r="C94" s="57">
        <v>0</v>
      </c>
      <c r="D94" s="64">
        <f ca="1">((100/(I86))*C94)/100</f>
        <v>0</v>
      </c>
      <c r="E94" s="64"/>
      <c r="F94" s="64"/>
      <c r="G94" s="64"/>
      <c r="H94" s="64"/>
      <c r="I94" s="64"/>
      <c r="J94" s="66"/>
      <c r="K94" s="52" t="s">
        <v>270</v>
      </c>
      <c r="L94" s="53">
        <f>(IF(B86&gt;2,(I86/(B86+2)+L93),0))</f>
        <v>0</v>
      </c>
    </row>
    <row r="95" spans="1:12" customFormat="1" ht="15.75" customHeight="1" x14ac:dyDescent="0.25">
      <c r="A95" s="62" t="s">
        <v>271</v>
      </c>
      <c r="B95" s="63" t="s">
        <v>271</v>
      </c>
      <c r="C95" s="57">
        <v>0</v>
      </c>
      <c r="D95" s="64">
        <f ca="1">((100/I86)*C95)/100</f>
        <v>0</v>
      </c>
      <c r="E95" s="64"/>
      <c r="F95" s="64"/>
      <c r="G95" s="64"/>
      <c r="H95" s="64"/>
      <c r="I95" s="64"/>
      <c r="J95" s="66"/>
      <c r="K95" s="52" t="s">
        <v>272</v>
      </c>
      <c r="L95" s="54">
        <f>(IF(B86&gt;3,(I86/(B86+2)+L94),0))</f>
        <v>0</v>
      </c>
    </row>
    <row r="96" spans="1:12" customFormat="1" ht="15.75" customHeight="1" x14ac:dyDescent="0.25">
      <c r="A96" s="62" t="s">
        <v>273</v>
      </c>
      <c r="B96" s="63"/>
      <c r="C96" s="57">
        <v>0</v>
      </c>
      <c r="D96" s="64">
        <f ca="1">((100/I86)*C96)/100</f>
        <v>0</v>
      </c>
      <c r="E96" s="64"/>
      <c r="F96" s="64"/>
      <c r="G96" s="64"/>
      <c r="H96" s="64"/>
      <c r="I96" s="64"/>
      <c r="J96" s="66"/>
      <c r="K96" s="52" t="s">
        <v>274</v>
      </c>
      <c r="L96" s="53">
        <f>(IF(B86&gt;4,(I86/(B86+2)+L95),0))</f>
        <v>0</v>
      </c>
    </row>
    <row r="97" spans="1:12" customFormat="1" ht="15.75" customHeight="1" x14ac:dyDescent="0.25">
      <c r="A97" s="62" t="s">
        <v>275</v>
      </c>
      <c r="B97" s="63" t="s">
        <v>275</v>
      </c>
      <c r="C97" s="57">
        <v>0</v>
      </c>
      <c r="D97" s="64">
        <f ca="1">((100/(I86))*C97)/100</f>
        <v>0</v>
      </c>
      <c r="E97" s="64"/>
      <c r="F97" s="64"/>
      <c r="G97" s="64"/>
      <c r="H97" s="64"/>
      <c r="I97" s="64"/>
      <c r="J97" s="66"/>
      <c r="K97" s="52" t="s">
        <v>146</v>
      </c>
      <c r="L97" s="53">
        <f ca="1">(IF(B86=1,(I86/(B86+3)+L92),IF(B86=0,(I86/4+L92),IF(B86&gt;1,0))))</f>
        <v>21</v>
      </c>
    </row>
    <row r="98" spans="1:12" customFormat="1" ht="16.5" customHeight="1" thickBot="1" x14ac:dyDescent="0.3">
      <c r="A98" s="68" t="s">
        <v>276</v>
      </c>
      <c r="B98" s="69"/>
      <c r="C98" s="59">
        <v>0</v>
      </c>
      <c r="D98" s="65">
        <f ca="1">((100/(I86))*C98)/100</f>
        <v>0</v>
      </c>
      <c r="E98" s="65"/>
      <c r="F98" s="65"/>
      <c r="G98" s="65"/>
      <c r="H98" s="65"/>
      <c r="I98" s="65"/>
      <c r="J98" s="67"/>
      <c r="K98" s="52" t="s">
        <v>147</v>
      </c>
      <c r="L98" s="53">
        <f ca="1">(IF(B86&gt;1.5,(I86/(B86+2)+L92+MAX(0,L93-L92)+MAX(0,L94-L93)+MAX(0,L95-L94)+MAX(0,L96-L95)+MAX(0,L97-L96)),IF(B86=1,(I86/(B86+3)+L97),IF(B86=0,I86/4+L97))))</f>
        <v>28</v>
      </c>
    </row>
    <row r="99" spans="1:12" customFormat="1" ht="15.75" customHeight="1" x14ac:dyDescent="0.25">
      <c r="A99" s="70" t="s">
        <v>253</v>
      </c>
      <c r="B99" s="71"/>
      <c r="C99" s="72" t="s">
        <v>278</v>
      </c>
      <c r="D99" s="72"/>
      <c r="E99" s="72"/>
      <c r="F99" s="72"/>
      <c r="G99" s="72"/>
      <c r="H99" s="72"/>
      <c r="I99" s="72"/>
      <c r="J99" s="73"/>
      <c r="K99" s="49" t="str">
        <f ca="1">(IF(F103&gt;99%,"All work completed. Please provide OC.",IF(F103&gt;89.8%,"Plinth, RCC, Brick, Plaster, Flooring, Painting work Completed. Finishing work is in process.",IF(F103&lt;94%,(IF(C103=0,"Work not yet Started.",IF(D103=25%,"Piling work in process",IF(D103=50%,"Excavation work in process",IF(D103=100%,"Excavation work Completed. ","0")))&amp;(IF(C104=0%,"",IF(C104=L105,"Footing work is process",IF(C104=L106,"Footing work Completed",IF(C104=L107,"1st Basement Completed",IF(C104=L108,"1st &amp; 2nd Basement Completed",IF(C104=L109,"1st to 3rd Basement Completed",IF(C104=L110,"1st to 4th Basement Completed",IF(C104=L111,"Plinth work is process",IF(C104=L112,"Plinth work completed","0")))))))))))&amp;(IF(C105=(D100+G100+I100),", RCC Slab",IF(C105&gt;0,", RCC upto "&amp;C105&amp;" Slab",""))&amp;(IF(C106=I100,", Brickwork",IF(C106&gt;0,", Brickwork upto "&amp;C106&amp;" Floor",""))&amp;(IF(C107=I100,", Internal Plaster",IF(C107&gt;0,", Internal Plaster upto "&amp;C107&amp;" Floor",""))&amp;(IF(C108=I100,", External Plaster",IF(C108&gt;0,", External Plaster upto "&amp;C108&amp;" Floor",""))&amp;(IF(C109=I100,", Flooring",IF(C109&gt;0,", Flooring upto "&amp;C109&amp;" Floor",""))&amp;(IF(C110=I100,", Painting",IF(C110&gt;0,", Painting upto "&amp;C110&amp;" Floor",""))&amp;(IF(C111&gt;0,", Finishing upto "&amp;C111&amp;" Floor","")&amp;(IF(C105&gt;0.5," Completed",""))))))))))))))</f>
        <v>Excavation work Completed. Plinth work completed, RCC upto 3 Slab Completed</v>
      </c>
      <c r="L99" s="49"/>
    </row>
    <row r="100" spans="1:12" customFormat="1" x14ac:dyDescent="0.25">
      <c r="A100" s="50" t="s">
        <v>135</v>
      </c>
      <c r="B100" s="55">
        <v>0</v>
      </c>
      <c r="C100" s="51" t="s">
        <v>137</v>
      </c>
      <c r="D100" s="51">
        <v>1</v>
      </c>
      <c r="E100" s="74" t="s">
        <v>136</v>
      </c>
      <c r="F100" s="74"/>
      <c r="G100" s="51">
        <v>0</v>
      </c>
      <c r="H100" s="51" t="s">
        <v>254</v>
      </c>
      <c r="I100" s="74">
        <f ca="1">--TRIM(RIGHT(SUBSTITUTE(LEFT(C99,_xlfn.AGGREGATE(16,6,FIND({0,1,2,3,4,5,6,7,8,9},C99,ROW(INDIRECT("1:"&amp;LEN(C99)))),1))," ",REPT(" ",LEN(C99))),LEN(C99)))</f>
        <v>28</v>
      </c>
      <c r="J100" s="75"/>
      <c r="K100" s="49"/>
      <c r="L100" s="49"/>
    </row>
    <row r="101" spans="1:12" customFormat="1" ht="30.95" customHeight="1" x14ac:dyDescent="0.25">
      <c r="A101" s="76" t="s">
        <v>255</v>
      </c>
      <c r="B101" s="77"/>
      <c r="C101" s="78" t="str">
        <f ca="1">K99</f>
        <v>Excavation work Completed. Plinth work completed, RCC upto 3 Slab Completed</v>
      </c>
      <c r="D101" s="78"/>
      <c r="E101" s="78"/>
      <c r="F101" s="78"/>
      <c r="G101" s="78"/>
      <c r="H101" s="78"/>
      <c r="I101" s="78"/>
      <c r="J101" s="79"/>
      <c r="K101" s="49" t="s">
        <v>256</v>
      </c>
      <c r="L101" s="49"/>
    </row>
    <row r="102" spans="1:12" customFormat="1" ht="15.75" customHeight="1" x14ac:dyDescent="0.25">
      <c r="A102" s="80" t="s">
        <v>65</v>
      </c>
      <c r="B102" s="81"/>
      <c r="C102" s="56" t="s">
        <v>257</v>
      </c>
      <c r="D102" s="82" t="s">
        <v>258</v>
      </c>
      <c r="E102" s="82"/>
      <c r="F102" s="82" t="s">
        <v>259</v>
      </c>
      <c r="G102" s="82"/>
      <c r="H102" s="82" t="s">
        <v>260</v>
      </c>
      <c r="I102" s="82"/>
      <c r="J102" s="83"/>
      <c r="K102" s="52" t="s">
        <v>261</v>
      </c>
      <c r="L102" s="11">
        <f ca="1">I100*25%</f>
        <v>7</v>
      </c>
    </row>
    <row r="103" spans="1:12" customFormat="1" ht="15.75" customHeight="1" x14ac:dyDescent="0.25">
      <c r="A103" s="62" t="s">
        <v>262</v>
      </c>
      <c r="B103" s="63"/>
      <c r="C103" s="57">
        <f ca="1">L104</f>
        <v>28</v>
      </c>
      <c r="D103" s="64">
        <f ca="1">((100/I100)*C103)/100</f>
        <v>1</v>
      </c>
      <c r="E103" s="64"/>
      <c r="F103" s="64">
        <f ca="1">(((C104/I100*10)+(40/(D100+G100+I100)*C105)+(7.5/(I100)*C106)+(7.5/(I100)*C107)+(10/I100*C108)+(10/I100*C109)+(5/I100*C110)+(5/I100*C111)+(5/I100*C112))/100)</f>
        <v>0.14137931034482759</v>
      </c>
      <c r="G103" s="64"/>
      <c r="H103" s="64">
        <f ca="1">((((C103/I100)*20)+((C104/I100)*25)+(30/(I100+G100+D100)*C105)+(5/I100*C106)+(5/I100*C107)+(5/I100*C108)+(5/I100*C109)+(0/I100*C110)+(0/I100*C111)+(5/I100*C112))/100)</f>
        <v>0.48103448275862071</v>
      </c>
      <c r="I103" s="64"/>
      <c r="J103" s="66"/>
      <c r="K103" s="52" t="s">
        <v>142</v>
      </c>
      <c r="L103" s="52">
        <f ca="1">I100*50%</f>
        <v>14</v>
      </c>
    </row>
    <row r="104" spans="1:12" customFormat="1" x14ac:dyDescent="0.25">
      <c r="A104" s="62" t="s">
        <v>66</v>
      </c>
      <c r="B104" s="63"/>
      <c r="C104" s="58">
        <f ca="1">L112</f>
        <v>28</v>
      </c>
      <c r="D104" s="64">
        <f ca="1">((100/I100)*C104)/100</f>
        <v>1</v>
      </c>
      <c r="E104" s="64"/>
      <c r="F104" s="64"/>
      <c r="G104" s="64"/>
      <c r="H104" s="64"/>
      <c r="I104" s="64"/>
      <c r="J104" s="66"/>
      <c r="K104" s="52" t="s">
        <v>143</v>
      </c>
      <c r="L104" s="52">
        <f ca="1">I100</f>
        <v>28</v>
      </c>
    </row>
    <row r="105" spans="1:12" customFormat="1" ht="15.75" customHeight="1" x14ac:dyDescent="0.25">
      <c r="A105" s="62" t="s">
        <v>263</v>
      </c>
      <c r="B105" s="63"/>
      <c r="C105" s="58">
        <v>3</v>
      </c>
      <c r="D105" s="64">
        <f ca="1">((100/(D100+G100+I100))*C105)/100</f>
        <v>0.10344827586206896</v>
      </c>
      <c r="E105" s="64"/>
      <c r="F105" s="64"/>
      <c r="G105" s="64"/>
      <c r="H105" s="64"/>
      <c r="I105" s="64"/>
      <c r="J105" s="66"/>
      <c r="K105" s="52" t="s">
        <v>144</v>
      </c>
      <c r="L105" s="53">
        <f ca="1">(IF(B100&gt;1,(I100/(B100+2)),I100/4))</f>
        <v>7</v>
      </c>
    </row>
    <row r="106" spans="1:12" customFormat="1" ht="15.75" customHeight="1" x14ac:dyDescent="0.25">
      <c r="A106" s="62" t="s">
        <v>264</v>
      </c>
      <c r="B106" s="63" t="s">
        <v>265</v>
      </c>
      <c r="C106" s="57">
        <v>0</v>
      </c>
      <c r="D106" s="64">
        <f ca="1">((100/I100)*C106)/100</f>
        <v>0</v>
      </c>
      <c r="E106" s="64"/>
      <c r="F106" s="64"/>
      <c r="G106" s="64"/>
      <c r="H106" s="64"/>
      <c r="I106" s="64"/>
      <c r="J106" s="66"/>
      <c r="K106" s="52" t="s">
        <v>145</v>
      </c>
      <c r="L106" s="53">
        <f ca="1">(IF(B100&gt;1,(I100/(B100+2)+L105),I100/4+L105))</f>
        <v>14</v>
      </c>
    </row>
    <row r="107" spans="1:12" customFormat="1" ht="15.75" customHeight="1" x14ac:dyDescent="0.25">
      <c r="A107" s="62" t="s">
        <v>266</v>
      </c>
      <c r="B107" s="63" t="s">
        <v>265</v>
      </c>
      <c r="C107" s="57">
        <v>0</v>
      </c>
      <c r="D107" s="64">
        <f ca="1">((100/I100)*C107)/100</f>
        <v>0</v>
      </c>
      <c r="E107" s="64"/>
      <c r="F107" s="64"/>
      <c r="G107" s="64"/>
      <c r="H107" s="64"/>
      <c r="I107" s="64"/>
      <c r="J107" s="66"/>
      <c r="K107" s="52" t="s">
        <v>267</v>
      </c>
      <c r="L107" s="53">
        <f>(IF(B100&gt;1,(I100/(B100+2)+L106),0))</f>
        <v>0</v>
      </c>
    </row>
    <row r="108" spans="1:12" customFormat="1" ht="15.75" customHeight="1" x14ac:dyDescent="0.25">
      <c r="A108" s="62" t="s">
        <v>268</v>
      </c>
      <c r="B108" s="63" t="s">
        <v>269</v>
      </c>
      <c r="C108" s="57">
        <v>0</v>
      </c>
      <c r="D108" s="64">
        <f ca="1">((100/(I100))*C108)/100</f>
        <v>0</v>
      </c>
      <c r="E108" s="64"/>
      <c r="F108" s="64"/>
      <c r="G108" s="64"/>
      <c r="H108" s="64"/>
      <c r="I108" s="64"/>
      <c r="J108" s="66"/>
      <c r="K108" s="52" t="s">
        <v>270</v>
      </c>
      <c r="L108" s="53">
        <f>(IF(B100&gt;2,(I100/(B100+2)+L107),0))</f>
        <v>0</v>
      </c>
    </row>
    <row r="109" spans="1:12" customFormat="1" ht="15.75" customHeight="1" x14ac:dyDescent="0.25">
      <c r="A109" s="62" t="s">
        <v>271</v>
      </c>
      <c r="B109" s="63" t="s">
        <v>271</v>
      </c>
      <c r="C109" s="57">
        <v>0</v>
      </c>
      <c r="D109" s="64">
        <f ca="1">((100/I100)*C109)/100</f>
        <v>0</v>
      </c>
      <c r="E109" s="64"/>
      <c r="F109" s="64"/>
      <c r="G109" s="64"/>
      <c r="H109" s="64"/>
      <c r="I109" s="64"/>
      <c r="J109" s="66"/>
      <c r="K109" s="52" t="s">
        <v>272</v>
      </c>
      <c r="L109" s="54">
        <f>(IF(B100&gt;3,(I100/(B100+2)+L108),0))</f>
        <v>0</v>
      </c>
    </row>
    <row r="110" spans="1:12" customFormat="1" ht="15.75" customHeight="1" x14ac:dyDescent="0.25">
      <c r="A110" s="62" t="s">
        <v>273</v>
      </c>
      <c r="B110" s="63"/>
      <c r="C110" s="57">
        <v>0</v>
      </c>
      <c r="D110" s="64">
        <f ca="1">((100/I100)*C110)/100</f>
        <v>0</v>
      </c>
      <c r="E110" s="64"/>
      <c r="F110" s="64"/>
      <c r="G110" s="64"/>
      <c r="H110" s="64"/>
      <c r="I110" s="64"/>
      <c r="J110" s="66"/>
      <c r="K110" s="52" t="s">
        <v>274</v>
      </c>
      <c r="L110" s="53">
        <f>(IF(B100&gt;4,(I100/(B100+2)+L109),0))</f>
        <v>0</v>
      </c>
    </row>
    <row r="111" spans="1:12" customFormat="1" ht="15.75" customHeight="1" x14ac:dyDescent="0.25">
      <c r="A111" s="62" t="s">
        <v>275</v>
      </c>
      <c r="B111" s="63" t="s">
        <v>275</v>
      </c>
      <c r="C111" s="57">
        <v>0</v>
      </c>
      <c r="D111" s="64">
        <f ca="1">((100/(I100))*C111)/100</f>
        <v>0</v>
      </c>
      <c r="E111" s="64"/>
      <c r="F111" s="64"/>
      <c r="G111" s="64"/>
      <c r="H111" s="64"/>
      <c r="I111" s="64"/>
      <c r="J111" s="66"/>
      <c r="K111" s="52" t="s">
        <v>146</v>
      </c>
      <c r="L111" s="53">
        <f ca="1">(IF(B100=1,(I100/(B100+3)+L106),IF(B100=0,(I100/4+L106),IF(B100&gt;1,0))))</f>
        <v>21</v>
      </c>
    </row>
    <row r="112" spans="1:12" customFormat="1" ht="16.5" customHeight="1" thickBot="1" x14ac:dyDescent="0.3">
      <c r="A112" s="68" t="s">
        <v>276</v>
      </c>
      <c r="B112" s="69"/>
      <c r="C112" s="59">
        <v>0</v>
      </c>
      <c r="D112" s="65">
        <f ca="1">((100/(I100))*C112)/100</f>
        <v>0</v>
      </c>
      <c r="E112" s="65"/>
      <c r="F112" s="65"/>
      <c r="G112" s="65"/>
      <c r="H112" s="65"/>
      <c r="I112" s="65"/>
      <c r="J112" s="67"/>
      <c r="K112" s="52" t="s">
        <v>147</v>
      </c>
      <c r="L112" s="53">
        <f ca="1">(IF(B100&gt;1.5,(I100/(B100+2)+L106+MAX(0,L107-L106)+MAX(0,L108-L107)+MAX(0,L109-L108)+MAX(0,L110-L109)+MAX(0,L111-L110)),IF(B100=1,(I100/(B100+3)+L111),IF(B100=0,I100/4+L111))))</f>
        <v>28</v>
      </c>
    </row>
    <row r="113" spans="1:12" customFormat="1" x14ac:dyDescent="0.25">
      <c r="A113" s="70" t="s">
        <v>253</v>
      </c>
      <c r="B113" s="71"/>
      <c r="C113" s="72" t="s">
        <v>292</v>
      </c>
      <c r="D113" s="72"/>
      <c r="E113" s="72"/>
      <c r="F113" s="72"/>
      <c r="G113" s="72"/>
      <c r="H113" s="72"/>
      <c r="I113" s="72"/>
      <c r="J113" s="73"/>
      <c r="K113" s="49" t="str">
        <f ca="1">(IF(F117&gt;99%,"All work completed. Please provide OC.",IF(F117&gt;89.8%,"Plinth, RCC, Brick, Plaster, Flooring, Painting work Completed. Finishing work is in process.",IF(F117&lt;94%,(IF(C117=0,"Work not yet Started.",IF(D117=25%,"Piling work in process",IF(D117=50%,"Excavation work in process",IF(D117=100%,"Excavation work Completed. ","0")))&amp;(IF(C118=0%,"",IF(C118=L119,"Footing work is process",IF(C118=L120,"Footing work Completed",IF(C118=L121,"1st Basement Completed",IF(C118=L122,"1st &amp; 2nd Basement Completed",IF(C118=L123,"1st to 3rd Basement Completed",IF(C118=L124,"1st to 4th Basement Completed",IF(C118=L125,"Plinth work is process",IF(C118=L126,"Plinth work completed","0")))))))))))&amp;(IF(C119=(D114+G114+I114),", RCC Slab",IF(C119&gt;0,", RCC upto "&amp;C119&amp;" Slab",""))&amp;(IF(C120=I114,", Brickwork",IF(C120&gt;0,", Brickwork upto "&amp;C120&amp;" Floor",""))&amp;(IF(C121=I114,", Internal Plaster",IF(C121&gt;0,", Internal Plaster upto "&amp;C121&amp;" Floor",""))&amp;(IF(C122=I114,", External Plaster",IF(C122&gt;0,", External Plaster upto "&amp;C122&amp;" Floor",""))&amp;(IF(C123=I114,", Flooring",IF(C123&gt;0,", Flooring upto "&amp;C123&amp;" Floor",""))&amp;(IF(C124=I114,", Painting",IF(C124&gt;0,", Painting upto "&amp;C124&amp;" Floor",""))&amp;(IF(C125&gt;0,", Finishing upto "&amp;C125&amp;" Floor","")&amp;(IF(C119&gt;0.5," Completed",""))))))))))))))</f>
        <v>Excavation work in process</v>
      </c>
      <c r="L113" s="49"/>
    </row>
    <row r="114" spans="1:12" customFormat="1" x14ac:dyDescent="0.25">
      <c r="A114" s="50" t="s">
        <v>135</v>
      </c>
      <c r="B114" s="55">
        <v>0</v>
      </c>
      <c r="C114" s="51" t="s">
        <v>137</v>
      </c>
      <c r="D114" s="51">
        <v>1</v>
      </c>
      <c r="E114" s="74" t="s">
        <v>136</v>
      </c>
      <c r="F114" s="74"/>
      <c r="G114" s="51">
        <v>0</v>
      </c>
      <c r="H114" s="51" t="s">
        <v>254</v>
      </c>
      <c r="I114" s="74">
        <f ca="1">--TRIM(RIGHT(SUBSTITUTE(LEFT(C113,_xlfn.AGGREGATE(16,6,FIND({0,1,2,3,4,5,6,7,8,9},C113,ROW(INDIRECT("1:"&amp;LEN(C113)))),1))," ",REPT(" ",LEN(C113))),LEN(C113)))</f>
        <v>28</v>
      </c>
      <c r="J114" s="75"/>
      <c r="K114" s="49"/>
      <c r="L114" s="49"/>
    </row>
    <row r="115" spans="1:12" customFormat="1" ht="15.75" customHeight="1" x14ac:dyDescent="0.25">
      <c r="A115" s="76" t="s">
        <v>255</v>
      </c>
      <c r="B115" s="77"/>
      <c r="C115" s="78" t="str">
        <f ca="1">K113</f>
        <v>Excavation work in process</v>
      </c>
      <c r="D115" s="78"/>
      <c r="E115" s="78"/>
      <c r="F115" s="78"/>
      <c r="G115" s="78"/>
      <c r="H115" s="78"/>
      <c r="I115" s="78"/>
      <c r="J115" s="79"/>
      <c r="K115" s="49" t="s">
        <v>256</v>
      </c>
      <c r="L115" s="49"/>
    </row>
    <row r="116" spans="1:12" customFormat="1" ht="15.75" customHeight="1" x14ac:dyDescent="0.25">
      <c r="A116" s="80" t="s">
        <v>65</v>
      </c>
      <c r="B116" s="81"/>
      <c r="C116" s="56" t="s">
        <v>257</v>
      </c>
      <c r="D116" s="82" t="s">
        <v>258</v>
      </c>
      <c r="E116" s="82"/>
      <c r="F116" s="82" t="s">
        <v>259</v>
      </c>
      <c r="G116" s="82"/>
      <c r="H116" s="82" t="s">
        <v>260</v>
      </c>
      <c r="I116" s="82"/>
      <c r="J116" s="83"/>
      <c r="K116" s="52" t="s">
        <v>261</v>
      </c>
      <c r="L116" s="11">
        <f ca="1">I114*25%</f>
        <v>7</v>
      </c>
    </row>
    <row r="117" spans="1:12" customFormat="1" ht="15.75" customHeight="1" x14ac:dyDescent="0.25">
      <c r="A117" s="62" t="s">
        <v>262</v>
      </c>
      <c r="B117" s="63"/>
      <c r="C117" s="57">
        <f ca="1">L117</f>
        <v>14</v>
      </c>
      <c r="D117" s="64">
        <f ca="1">((100/I114)*C117)/100</f>
        <v>0.5</v>
      </c>
      <c r="E117" s="64"/>
      <c r="F117" s="64">
        <f ca="1">(((C118/I114*10)+(40/(D114+G114+I114)*C119)+(7.5/(I114)*C120)+(7.5/(I114)*C121)+(10/I114*C122)+(10/I114*C123)+(5/I114*C124)+(5/I114*C125)+(5/I114*C126))/100)</f>
        <v>0</v>
      </c>
      <c r="G117" s="64"/>
      <c r="H117" s="64">
        <f ca="1">((((C117/I114)*20)+((C118/I114)*25)+(30/(I114+G114+D114)*C119)+(5/I114*C120)+(5/I114*C121)+(5/I114*C122)+(5/I114*C123)+(0/I114*C124)+(0/I114*C125)+(5/I114*C126))/100)</f>
        <v>0.1</v>
      </c>
      <c r="I117" s="64"/>
      <c r="J117" s="66"/>
      <c r="K117" s="52" t="s">
        <v>142</v>
      </c>
      <c r="L117" s="52">
        <f ca="1">I114*50%</f>
        <v>14</v>
      </c>
    </row>
    <row r="118" spans="1:12" customFormat="1" x14ac:dyDescent="0.25">
      <c r="A118" s="62" t="s">
        <v>66</v>
      </c>
      <c r="B118" s="63"/>
      <c r="C118" s="58">
        <v>0</v>
      </c>
      <c r="D118" s="64">
        <f ca="1">((100/I114)*C118)/100</f>
        <v>0</v>
      </c>
      <c r="E118" s="64"/>
      <c r="F118" s="64"/>
      <c r="G118" s="64"/>
      <c r="H118" s="64"/>
      <c r="I118" s="64"/>
      <c r="J118" s="66"/>
      <c r="K118" s="52" t="s">
        <v>143</v>
      </c>
      <c r="L118" s="52">
        <f ca="1">I114</f>
        <v>28</v>
      </c>
    </row>
    <row r="119" spans="1:12" customFormat="1" ht="15.75" customHeight="1" x14ac:dyDescent="0.25">
      <c r="A119" s="62" t="s">
        <v>263</v>
      </c>
      <c r="B119" s="63"/>
      <c r="C119" s="58">
        <v>0</v>
      </c>
      <c r="D119" s="64">
        <f ca="1">((100/(D114+G114+I114))*C119)/100</f>
        <v>0</v>
      </c>
      <c r="E119" s="64"/>
      <c r="F119" s="64"/>
      <c r="G119" s="64"/>
      <c r="H119" s="64"/>
      <c r="I119" s="64"/>
      <c r="J119" s="66"/>
      <c r="K119" s="52" t="s">
        <v>144</v>
      </c>
      <c r="L119" s="53">
        <f ca="1">(IF(B114&gt;1,(I114/(B114+2)),I114/4))</f>
        <v>7</v>
      </c>
    </row>
    <row r="120" spans="1:12" customFormat="1" ht="15.75" customHeight="1" x14ac:dyDescent="0.25">
      <c r="A120" s="62" t="s">
        <v>264</v>
      </c>
      <c r="B120" s="63" t="s">
        <v>265</v>
      </c>
      <c r="C120" s="57">
        <v>0</v>
      </c>
      <c r="D120" s="64">
        <f ca="1">((100/I114)*C120)/100</f>
        <v>0</v>
      </c>
      <c r="E120" s="64"/>
      <c r="F120" s="64"/>
      <c r="G120" s="64"/>
      <c r="H120" s="64"/>
      <c r="I120" s="64"/>
      <c r="J120" s="66"/>
      <c r="K120" s="52" t="s">
        <v>145</v>
      </c>
      <c r="L120" s="53">
        <f ca="1">(IF(B114&gt;1,(I114/(B114+2)+L119),I114/4+L119))</f>
        <v>14</v>
      </c>
    </row>
    <row r="121" spans="1:12" customFormat="1" ht="15.75" customHeight="1" x14ac:dyDescent="0.25">
      <c r="A121" s="62" t="s">
        <v>266</v>
      </c>
      <c r="B121" s="63" t="s">
        <v>265</v>
      </c>
      <c r="C121" s="57">
        <v>0</v>
      </c>
      <c r="D121" s="64">
        <f ca="1">((100/I114)*C121)/100</f>
        <v>0</v>
      </c>
      <c r="E121" s="64"/>
      <c r="F121" s="64"/>
      <c r="G121" s="64"/>
      <c r="H121" s="64"/>
      <c r="I121" s="64"/>
      <c r="J121" s="66"/>
      <c r="K121" s="52" t="s">
        <v>267</v>
      </c>
      <c r="L121" s="53">
        <f>(IF(B114&gt;1,(I114/(B114+2)+L120),0))</f>
        <v>0</v>
      </c>
    </row>
    <row r="122" spans="1:12" customFormat="1" ht="15.75" customHeight="1" x14ac:dyDescent="0.25">
      <c r="A122" s="62" t="s">
        <v>268</v>
      </c>
      <c r="B122" s="63" t="s">
        <v>269</v>
      </c>
      <c r="C122" s="57">
        <v>0</v>
      </c>
      <c r="D122" s="64">
        <f ca="1">((100/(I114))*C122)/100</f>
        <v>0</v>
      </c>
      <c r="E122" s="64"/>
      <c r="F122" s="64"/>
      <c r="G122" s="64"/>
      <c r="H122" s="64"/>
      <c r="I122" s="64"/>
      <c r="J122" s="66"/>
      <c r="K122" s="52" t="s">
        <v>270</v>
      </c>
      <c r="L122" s="53">
        <f>(IF(B114&gt;2,(I114/(B114+2)+L121),0))</f>
        <v>0</v>
      </c>
    </row>
    <row r="123" spans="1:12" customFormat="1" ht="15.75" customHeight="1" x14ac:dyDescent="0.25">
      <c r="A123" s="62" t="s">
        <v>271</v>
      </c>
      <c r="B123" s="63" t="s">
        <v>271</v>
      </c>
      <c r="C123" s="57">
        <v>0</v>
      </c>
      <c r="D123" s="64">
        <f ca="1">((100/I114)*C123)/100</f>
        <v>0</v>
      </c>
      <c r="E123" s="64"/>
      <c r="F123" s="64"/>
      <c r="G123" s="64"/>
      <c r="H123" s="64"/>
      <c r="I123" s="64"/>
      <c r="J123" s="66"/>
      <c r="K123" s="52" t="s">
        <v>272</v>
      </c>
      <c r="L123" s="54">
        <f>(IF(B114&gt;3,(I114/(B114+2)+L122),0))</f>
        <v>0</v>
      </c>
    </row>
    <row r="124" spans="1:12" customFormat="1" ht="15.75" customHeight="1" x14ac:dyDescent="0.25">
      <c r="A124" s="62" t="s">
        <v>273</v>
      </c>
      <c r="B124" s="63"/>
      <c r="C124" s="57">
        <v>0</v>
      </c>
      <c r="D124" s="64">
        <f ca="1">((100/I114)*C124)/100</f>
        <v>0</v>
      </c>
      <c r="E124" s="64"/>
      <c r="F124" s="64"/>
      <c r="G124" s="64"/>
      <c r="H124" s="64"/>
      <c r="I124" s="64"/>
      <c r="J124" s="66"/>
      <c r="K124" s="52" t="s">
        <v>274</v>
      </c>
      <c r="L124" s="53">
        <f>(IF(B114&gt;4,(I114/(B114+2)+L123),0))</f>
        <v>0</v>
      </c>
    </row>
    <row r="125" spans="1:12" customFormat="1" ht="15.75" customHeight="1" x14ac:dyDescent="0.25">
      <c r="A125" s="62" t="s">
        <v>275</v>
      </c>
      <c r="B125" s="63" t="s">
        <v>275</v>
      </c>
      <c r="C125" s="57">
        <v>0</v>
      </c>
      <c r="D125" s="64">
        <f ca="1">((100/(I114))*C125)/100</f>
        <v>0</v>
      </c>
      <c r="E125" s="64"/>
      <c r="F125" s="64"/>
      <c r="G125" s="64"/>
      <c r="H125" s="64"/>
      <c r="I125" s="64"/>
      <c r="J125" s="66"/>
      <c r="K125" s="52" t="s">
        <v>146</v>
      </c>
      <c r="L125" s="53">
        <f ca="1">(IF(B114=1,(I114/(B114+3)+L120),IF(B114=0,(I114/4+L120),IF(B114&gt;1,0))))</f>
        <v>21</v>
      </c>
    </row>
    <row r="126" spans="1:12" customFormat="1" ht="16.5" customHeight="1" thickBot="1" x14ac:dyDescent="0.3">
      <c r="A126" s="68" t="s">
        <v>276</v>
      </c>
      <c r="B126" s="69"/>
      <c r="C126" s="59">
        <v>0</v>
      </c>
      <c r="D126" s="65">
        <f ca="1">((100/(I114))*C126)/100</f>
        <v>0</v>
      </c>
      <c r="E126" s="65"/>
      <c r="F126" s="65"/>
      <c r="G126" s="65"/>
      <c r="H126" s="65"/>
      <c r="I126" s="65"/>
      <c r="J126" s="67"/>
      <c r="K126" s="52" t="s">
        <v>147</v>
      </c>
      <c r="L126" s="53">
        <f ca="1">(IF(B114&gt;1.5,(I114/(B114+2)+L120+MAX(0,L121-L120)+MAX(0,L122-L121)+MAX(0,L123-L122)+MAX(0,L124-L123)+MAX(0,L125-L124)),IF(B114=1,(I114/(B114+3)+L125),IF(B114=0,I114/4+L125))))</f>
        <v>28</v>
      </c>
    </row>
    <row r="127" spans="1:12" x14ac:dyDescent="0.25">
      <c r="A127" s="180" t="s">
        <v>252</v>
      </c>
      <c r="B127" s="144"/>
      <c r="C127" s="144"/>
      <c r="D127" s="144"/>
      <c r="E127" s="144"/>
      <c r="F127" s="144"/>
      <c r="G127" s="144"/>
      <c r="H127" s="144"/>
      <c r="I127" s="144"/>
      <c r="J127" s="145"/>
    </row>
    <row r="128" spans="1:12" x14ac:dyDescent="0.25">
      <c r="A128" s="116" t="s">
        <v>71</v>
      </c>
      <c r="B128" s="117"/>
      <c r="C128" s="117"/>
      <c r="D128" s="117"/>
      <c r="E128" s="117"/>
      <c r="F128" s="117"/>
      <c r="G128" s="117"/>
      <c r="H128" s="117"/>
      <c r="I128" s="117"/>
      <c r="J128" s="118"/>
    </row>
    <row r="129" spans="1:15" ht="15" customHeight="1" x14ac:dyDescent="0.25">
      <c r="A129" s="175" t="s">
        <v>140</v>
      </c>
      <c r="B129" s="176"/>
      <c r="C129" s="177" t="s">
        <v>141</v>
      </c>
      <c r="D129" s="178"/>
      <c r="E129" s="178"/>
      <c r="F129" s="178"/>
      <c r="G129" s="178"/>
      <c r="H129" s="178"/>
      <c r="I129" s="178"/>
      <c r="J129" s="179"/>
    </row>
    <row r="130" spans="1:15" x14ac:dyDescent="0.25">
      <c r="A130" s="137" t="s">
        <v>72</v>
      </c>
      <c r="B130" s="138"/>
      <c r="C130" s="138"/>
      <c r="D130" s="138"/>
      <c r="E130" s="138"/>
      <c r="F130" s="138"/>
      <c r="G130" s="138"/>
      <c r="H130" s="138"/>
      <c r="I130" s="138"/>
      <c r="J130" s="139"/>
    </row>
    <row r="131" spans="1:15" x14ac:dyDescent="0.25">
      <c r="A131" s="116" t="s">
        <v>149</v>
      </c>
      <c r="B131" s="117"/>
      <c r="C131" s="117"/>
      <c r="D131" s="117"/>
      <c r="E131" s="117"/>
      <c r="F131" s="118"/>
      <c r="G131" s="91">
        <v>16000</v>
      </c>
      <c r="H131" s="92"/>
      <c r="I131" s="92"/>
      <c r="J131" s="93"/>
      <c r="K131" s="60" t="s">
        <v>290</v>
      </c>
      <c r="L131" s="60" t="s">
        <v>286</v>
      </c>
      <c r="M131" s="61">
        <v>45388</v>
      </c>
      <c r="N131" s="60" t="s">
        <v>287</v>
      </c>
      <c r="O131" s="60"/>
    </row>
    <row r="132" spans="1:15" x14ac:dyDescent="0.25">
      <c r="A132" s="116" t="s">
        <v>73</v>
      </c>
      <c r="B132" s="117"/>
      <c r="C132" s="117"/>
      <c r="D132" s="117"/>
      <c r="E132" s="117"/>
      <c r="F132" s="118"/>
      <c r="G132" s="88" t="s">
        <v>164</v>
      </c>
      <c r="H132" s="89"/>
      <c r="I132" s="89"/>
      <c r="J132" s="90"/>
    </row>
    <row r="133" spans="1:15" hidden="1" x14ac:dyDescent="0.25">
      <c r="A133" s="116" t="s">
        <v>74</v>
      </c>
      <c r="B133" s="117"/>
      <c r="C133" s="117"/>
      <c r="D133" s="117"/>
      <c r="E133" s="117"/>
      <c r="F133" s="118"/>
      <c r="G133" s="88" t="s">
        <v>35</v>
      </c>
      <c r="H133" s="89"/>
      <c r="I133" s="89"/>
      <c r="J133" s="90"/>
    </row>
    <row r="134" spans="1:15" s="13" customFormat="1" ht="14.45" customHeight="1" x14ac:dyDescent="0.25">
      <c r="A134" s="137" t="s">
        <v>75</v>
      </c>
      <c r="B134" s="138"/>
      <c r="C134" s="138"/>
      <c r="D134" s="138"/>
      <c r="E134" s="138"/>
      <c r="F134" s="139"/>
      <c r="G134" s="91">
        <f>G131*0.8</f>
        <v>12800</v>
      </c>
      <c r="H134" s="92"/>
      <c r="I134" s="92"/>
      <c r="J134" s="93"/>
    </row>
    <row r="135" spans="1:15" s="1" customFormat="1" x14ac:dyDescent="0.25">
      <c r="A135" s="201" t="s">
        <v>134</v>
      </c>
      <c r="B135" s="202"/>
      <c r="C135" s="202"/>
      <c r="D135" s="202"/>
      <c r="E135" s="202"/>
      <c r="F135" s="202"/>
      <c r="G135" s="202"/>
      <c r="H135" s="202"/>
      <c r="I135" s="202"/>
      <c r="J135" s="203"/>
    </row>
    <row r="136" spans="1:15" s="1" customFormat="1" x14ac:dyDescent="0.25">
      <c r="A136" s="204" t="s">
        <v>76</v>
      </c>
      <c r="B136" s="205"/>
      <c r="C136" s="9" t="s">
        <v>200</v>
      </c>
      <c r="D136" s="206" t="s">
        <v>77</v>
      </c>
      <c r="E136" s="207"/>
      <c r="F136" s="208"/>
      <c r="G136" s="204" t="s">
        <v>78</v>
      </c>
      <c r="H136" s="209"/>
      <c r="I136" s="209"/>
      <c r="J136" s="205"/>
    </row>
    <row r="137" spans="1:15" s="1" customFormat="1" x14ac:dyDescent="0.25">
      <c r="A137" s="193" t="s">
        <v>195</v>
      </c>
      <c r="B137" s="194"/>
      <c r="C137" s="10">
        <f>COUNT(D151:E156)*9+COUNT(D158:E159)+COUNT(D161:E163)+COUNT(D166:E168)*13+COUNT(D170:E173)*4</f>
        <v>114</v>
      </c>
      <c r="D137" s="195">
        <f>SUM(D151:E156)*9+SUM(D158:E159)+SUM(D161:E163)+SUM(D166:E168)*13+SUM(D170:E173)*4</f>
        <v>93155.982051600004</v>
      </c>
      <c r="E137" s="196"/>
      <c r="F137" s="197"/>
      <c r="G137" s="198">
        <f>SUM(G151:G156)*9+SUM(G158:G159)+SUM(G161:G163)+SUM(G166:G168)*13+SUM(G170:G173)*4</f>
        <v>139733.97307740001</v>
      </c>
      <c r="H137" s="199"/>
      <c r="I137" s="199"/>
      <c r="J137" s="200"/>
    </row>
    <row r="138" spans="1:15" s="1" customFormat="1" x14ac:dyDescent="0.25">
      <c r="A138" s="193" t="s">
        <v>196</v>
      </c>
      <c r="B138" s="194"/>
      <c r="C138" s="10">
        <f>COUNT(D179:E185)*12+COUNT(D189:E193)*2+COUNT(D195:E200)*8+COUNT(D204:E207)*2+COUNT(D210:E213)*2+COUNT(D215:E216)+COUNT(D218:E219)</f>
        <v>162</v>
      </c>
      <c r="D138" s="195">
        <f>SUM(D179:E185)*12+SUM(D189:E193)*2+SUM(D195:E200)*8+SUM(D204:E207)*2+SUM(D210:E213)*2+SUM(D215:E216)+SUM(D218:E219)</f>
        <v>109340.90417760001</v>
      </c>
      <c r="E138" s="196"/>
      <c r="F138" s="197"/>
      <c r="G138" s="198">
        <f>SUM(G179:G185)*12+SUM(G189:G193)*2+SUM(G195:G200)*8+SUM(G204:G207)*2+SUM(G210:G213)*2+SUM(G215:G216)+SUM(G218:G219)</f>
        <v>164011.35626639993</v>
      </c>
      <c r="H138" s="199"/>
      <c r="I138" s="199"/>
      <c r="J138" s="200"/>
    </row>
    <row r="139" spans="1:15" s="1" customFormat="1" x14ac:dyDescent="0.25">
      <c r="A139" s="193" t="s">
        <v>197</v>
      </c>
      <c r="B139" s="194"/>
      <c r="C139" s="10">
        <f>COUNT(D225:E230)*20+COUNT(D233:E235)*5+COUNT(D237:E238)*5</f>
        <v>145</v>
      </c>
      <c r="D139" s="195">
        <f>SUM(D225:E230)*20+SUM(D233:E235)*5+SUM(D237:E238)*5</f>
        <v>91948.305383999977</v>
      </c>
      <c r="E139" s="196"/>
      <c r="F139" s="197"/>
      <c r="G139" s="198">
        <f>SUM(G225:G230)*20+SUM(G233:G235)*5+SUM(G237:G238)*5</f>
        <v>137922.45807599998</v>
      </c>
      <c r="H139" s="199"/>
      <c r="I139" s="199"/>
      <c r="J139" s="200"/>
    </row>
    <row r="140" spans="1:15" s="1" customFormat="1" x14ac:dyDescent="0.25">
      <c r="A140" s="193" t="s">
        <v>198</v>
      </c>
      <c r="B140" s="194"/>
      <c r="C140" s="10">
        <f>COUNT(D244:E251)*20+COUNT(D253:E256)*4+COUNT(D259:E260)*4+COUNT(D263:E264)+COUNT(D269:E270)</f>
        <v>188</v>
      </c>
      <c r="D140" s="195">
        <f>SUM(D244:E251)*20+SUM(D253:E256)*4+SUM(D259:E260)*4+SUM(D263:E264)+SUM(D269:E270)</f>
        <v>132812.83571400002</v>
      </c>
      <c r="E140" s="196"/>
      <c r="F140" s="197"/>
      <c r="G140" s="198">
        <f>SUM(G244:G251)*20+SUM(G253:G256)*4+SUM(G259:G260)*4+SUM(G263:G264)+SUM(G269:G270)</f>
        <v>199219.25357099995</v>
      </c>
      <c r="H140" s="199"/>
      <c r="I140" s="199"/>
      <c r="J140" s="200"/>
    </row>
    <row r="141" spans="1:15" s="1" customFormat="1" x14ac:dyDescent="0.25">
      <c r="A141" s="193" t="s">
        <v>199</v>
      </c>
      <c r="B141" s="194"/>
      <c r="C141" s="10">
        <f>COUNT(D276:E283)*20+COUNT(D286:E287)*4+COUNT(D290:E293)*4</f>
        <v>184</v>
      </c>
      <c r="D141" s="195">
        <f>SUM(D276:E283)*20+SUM(D286:E287)*4+SUM(D290:E293)*4</f>
        <v>129714.26869439999</v>
      </c>
      <c r="E141" s="196"/>
      <c r="F141" s="197"/>
      <c r="G141" s="198">
        <f>SUM(G276:G283)*20+SUM(G286:G287)*4+SUM(G290:G293)*4</f>
        <v>194571.40304159999</v>
      </c>
      <c r="H141" s="199"/>
      <c r="I141" s="199"/>
      <c r="J141" s="200"/>
    </row>
    <row r="142" spans="1:15" s="1" customFormat="1" x14ac:dyDescent="0.25">
      <c r="A142" s="201" t="s">
        <v>80</v>
      </c>
      <c r="B142" s="202"/>
      <c r="C142" s="9">
        <f>SUM(C137:C141)</f>
        <v>793</v>
      </c>
      <c r="D142" s="210">
        <f>SUM(D137:F141)</f>
        <v>556972.29602160002</v>
      </c>
      <c r="E142" s="211"/>
      <c r="F142" s="212"/>
      <c r="G142" s="204">
        <f>SUM(G137:J141)</f>
        <v>835458.44403239992</v>
      </c>
      <c r="H142" s="209"/>
      <c r="I142" s="209"/>
      <c r="J142" s="205"/>
    </row>
    <row r="143" spans="1:15" s="13" customFormat="1" x14ac:dyDescent="0.25">
      <c r="A143" s="131" t="s">
        <v>81</v>
      </c>
      <c r="B143" s="132"/>
      <c r="C143" s="132"/>
      <c r="D143" s="132"/>
      <c r="E143" s="132"/>
      <c r="F143" s="132"/>
      <c r="G143" s="132"/>
      <c r="H143" s="132"/>
      <c r="I143" s="132"/>
      <c r="J143" s="133"/>
    </row>
    <row r="144" spans="1:15" x14ac:dyDescent="0.25">
      <c r="A144" s="131" t="s">
        <v>82</v>
      </c>
      <c r="B144" s="132"/>
      <c r="C144" s="132"/>
      <c r="D144" s="132"/>
      <c r="E144" s="132"/>
      <c r="F144" s="132"/>
      <c r="G144" s="132"/>
      <c r="H144" s="132"/>
      <c r="I144" s="132"/>
      <c r="J144" s="133"/>
    </row>
    <row r="145" spans="1:10" ht="42.75" x14ac:dyDescent="0.25">
      <c r="A145" s="213" t="s">
        <v>150</v>
      </c>
      <c r="B145" s="214"/>
      <c r="C145" s="2" t="s">
        <v>83</v>
      </c>
      <c r="D145" s="213" t="s">
        <v>84</v>
      </c>
      <c r="E145" s="214"/>
      <c r="F145" s="14" t="s">
        <v>85</v>
      </c>
      <c r="G145" s="2" t="s">
        <v>86</v>
      </c>
      <c r="H145" s="2" t="s">
        <v>87</v>
      </c>
      <c r="I145" s="213" t="s">
        <v>88</v>
      </c>
      <c r="J145" s="214"/>
    </row>
    <row r="146" spans="1:10" s="3" customFormat="1" x14ac:dyDescent="0.25">
      <c r="A146" s="184" t="s">
        <v>191</v>
      </c>
      <c r="B146" s="185"/>
      <c r="C146" s="185"/>
      <c r="D146" s="185"/>
      <c r="E146" s="185"/>
      <c r="F146" s="185"/>
      <c r="G146" s="185"/>
      <c r="H146" s="185"/>
      <c r="I146" s="185"/>
      <c r="J146" s="186"/>
    </row>
    <row r="147" spans="1:10" s="3" customFormat="1" x14ac:dyDescent="0.25">
      <c r="A147" s="184" t="s">
        <v>192</v>
      </c>
      <c r="B147" s="185"/>
      <c r="C147" s="185"/>
      <c r="D147" s="185"/>
      <c r="E147" s="185"/>
      <c r="F147" s="185"/>
      <c r="G147" s="185"/>
      <c r="H147" s="185"/>
      <c r="I147" s="185"/>
      <c r="J147" s="186"/>
    </row>
    <row r="148" spans="1:10" s="3" customFormat="1" x14ac:dyDescent="0.25">
      <c r="A148" s="184" t="s">
        <v>193</v>
      </c>
      <c r="B148" s="185"/>
      <c r="C148" s="185"/>
      <c r="D148" s="185"/>
      <c r="E148" s="185"/>
      <c r="F148" s="185"/>
      <c r="G148" s="185"/>
      <c r="H148" s="185"/>
      <c r="I148" s="185"/>
      <c r="J148" s="186"/>
    </row>
    <row r="149" spans="1:10" s="3" customFormat="1" x14ac:dyDescent="0.25">
      <c r="A149" s="184" t="s">
        <v>194</v>
      </c>
      <c r="B149" s="185"/>
      <c r="C149" s="185"/>
      <c r="D149" s="185"/>
      <c r="E149" s="185"/>
      <c r="F149" s="185"/>
      <c r="G149" s="185"/>
      <c r="H149" s="185"/>
      <c r="I149" s="185"/>
      <c r="J149" s="186"/>
    </row>
    <row r="150" spans="1:10" s="3" customFormat="1" x14ac:dyDescent="0.25">
      <c r="A150" s="184" t="s">
        <v>201</v>
      </c>
      <c r="B150" s="185"/>
      <c r="C150" s="185"/>
      <c r="D150" s="185"/>
      <c r="E150" s="185"/>
      <c r="F150" s="185"/>
      <c r="G150" s="185"/>
      <c r="H150" s="185"/>
      <c r="I150" s="185"/>
      <c r="J150" s="186"/>
    </row>
    <row r="151" spans="1:10" s="3" customFormat="1" x14ac:dyDescent="0.25">
      <c r="A151" s="215">
        <v>1</v>
      </c>
      <c r="B151" s="216"/>
      <c r="C151" s="4" t="s">
        <v>202</v>
      </c>
      <c r="D151" s="215">
        <f>'Flat detail'!D36</f>
        <v>763.97490000000005</v>
      </c>
      <c r="E151" s="216"/>
      <c r="F151" s="4">
        <v>0</v>
      </c>
      <c r="G151" s="4">
        <f>D151*1.5+F151</f>
        <v>1145.96235</v>
      </c>
      <c r="H151" s="4" t="s">
        <v>89</v>
      </c>
      <c r="I151" s="187" t="str">
        <f>A150</f>
        <v>3rd to 6th &amp; 8th to 10th Floors</v>
      </c>
      <c r="J151" s="188"/>
    </row>
    <row r="152" spans="1:10" s="3" customFormat="1" x14ac:dyDescent="0.25">
      <c r="A152" s="215">
        <v>2</v>
      </c>
      <c r="B152" s="216"/>
      <c r="C152" s="4" t="s">
        <v>202</v>
      </c>
      <c r="D152" s="215">
        <f>'Flat detail'!D36</f>
        <v>763.97490000000005</v>
      </c>
      <c r="E152" s="216"/>
      <c r="F152" s="4">
        <v>0</v>
      </c>
      <c r="G152" s="4">
        <f t="shared" ref="G152:G156" si="0">D152*1.5+F152</f>
        <v>1145.96235</v>
      </c>
      <c r="H152" s="4" t="s">
        <v>89</v>
      </c>
      <c r="I152" s="189"/>
      <c r="J152" s="190"/>
    </row>
    <row r="153" spans="1:10" s="3" customFormat="1" x14ac:dyDescent="0.25">
      <c r="A153" s="215">
        <v>3</v>
      </c>
      <c r="B153" s="216"/>
      <c r="C153" s="4" t="s">
        <v>202</v>
      </c>
      <c r="D153" s="215">
        <f>Sheet1!D36</f>
        <v>715.02345720000017</v>
      </c>
      <c r="E153" s="216"/>
      <c r="F153" s="4">
        <v>0</v>
      </c>
      <c r="G153" s="4">
        <f t="shared" si="0"/>
        <v>1072.5351858000004</v>
      </c>
      <c r="H153" s="4" t="s">
        <v>89</v>
      </c>
      <c r="I153" s="189"/>
      <c r="J153" s="190"/>
    </row>
    <row r="154" spans="1:10" s="3" customFormat="1" x14ac:dyDescent="0.25">
      <c r="A154" s="215">
        <v>4</v>
      </c>
      <c r="B154" s="216"/>
      <c r="C154" s="4" t="s">
        <v>202</v>
      </c>
      <c r="D154" s="215">
        <f>(2.45*2.4+2.5*0.6+3.05*3.69+1.71*2.43+2.45*2.15+2.15*0.6+2.15*1.3+1.35*2.15+2.9*2.16+2.45*2.4+2.4*0.6+2.9*3.43+1.6*1+2.45*0.75+2.9*0.75+3*0.75)*10.764</f>
        <v>715.14186119999988</v>
      </c>
      <c r="E154" s="216"/>
      <c r="F154" s="4">
        <v>0</v>
      </c>
      <c r="G154" s="4">
        <f t="shared" si="0"/>
        <v>1072.7127917999999</v>
      </c>
      <c r="H154" s="4" t="s">
        <v>89</v>
      </c>
      <c r="I154" s="189"/>
      <c r="J154" s="190"/>
    </row>
    <row r="155" spans="1:10" s="3" customFormat="1" x14ac:dyDescent="0.25">
      <c r="A155" s="215">
        <v>5</v>
      </c>
      <c r="B155" s="216"/>
      <c r="C155" s="4" t="s">
        <v>202</v>
      </c>
      <c r="D155" s="215">
        <v>763.97490000000005</v>
      </c>
      <c r="E155" s="216"/>
      <c r="F155" s="4">
        <v>0</v>
      </c>
      <c r="G155" s="4">
        <f t="shared" si="0"/>
        <v>1145.96235</v>
      </c>
      <c r="H155" s="4" t="s">
        <v>89</v>
      </c>
      <c r="I155" s="189"/>
      <c r="J155" s="190"/>
    </row>
    <row r="156" spans="1:10" s="3" customFormat="1" x14ac:dyDescent="0.25">
      <c r="A156" s="215">
        <v>6</v>
      </c>
      <c r="B156" s="216"/>
      <c r="C156" s="4" t="s">
        <v>202</v>
      </c>
      <c r="D156" s="215">
        <v>763.97490000000005</v>
      </c>
      <c r="E156" s="216"/>
      <c r="F156" s="4">
        <v>0</v>
      </c>
      <c r="G156" s="4">
        <f t="shared" si="0"/>
        <v>1145.96235</v>
      </c>
      <c r="H156" s="4" t="s">
        <v>89</v>
      </c>
      <c r="I156" s="191"/>
      <c r="J156" s="192"/>
    </row>
    <row r="157" spans="1:10" s="3" customFormat="1" x14ac:dyDescent="0.25">
      <c r="A157" s="184" t="s">
        <v>203</v>
      </c>
      <c r="B157" s="185"/>
      <c r="C157" s="185"/>
      <c r="D157" s="185"/>
      <c r="E157" s="185"/>
      <c r="F157" s="185"/>
      <c r="G157" s="185"/>
      <c r="H157" s="185"/>
      <c r="I157" s="185"/>
      <c r="J157" s="186"/>
    </row>
    <row r="158" spans="1:10" s="3" customFormat="1" x14ac:dyDescent="0.25">
      <c r="A158" s="215">
        <v>1</v>
      </c>
      <c r="B158" s="216"/>
      <c r="C158" s="4" t="s">
        <v>202</v>
      </c>
      <c r="D158" s="215">
        <v>763.97490000000005</v>
      </c>
      <c r="E158" s="216"/>
      <c r="F158" s="4">
        <v>0</v>
      </c>
      <c r="G158" s="4">
        <f>D158*1.5+F158</f>
        <v>1145.96235</v>
      </c>
      <c r="H158" s="4" t="s">
        <v>89</v>
      </c>
      <c r="I158" s="187" t="str">
        <f>A157</f>
        <v>7th Floor</v>
      </c>
      <c r="J158" s="188"/>
    </row>
    <row r="159" spans="1:10" s="3" customFormat="1" x14ac:dyDescent="0.25">
      <c r="A159" s="215">
        <v>2</v>
      </c>
      <c r="B159" s="216"/>
      <c r="C159" s="4" t="s">
        <v>202</v>
      </c>
      <c r="D159" s="215">
        <v>763.97490000000005</v>
      </c>
      <c r="E159" s="216"/>
      <c r="F159" s="4">
        <v>0</v>
      </c>
      <c r="G159" s="4">
        <f>D159*1.5+F159</f>
        <v>1145.96235</v>
      </c>
      <c r="H159" s="4" t="s">
        <v>89</v>
      </c>
      <c r="I159" s="189"/>
      <c r="J159" s="190"/>
    </row>
    <row r="160" spans="1:10" s="3" customFormat="1" x14ac:dyDescent="0.25">
      <c r="A160" s="215">
        <v>3</v>
      </c>
      <c r="B160" s="216"/>
      <c r="C160" s="184" t="s">
        <v>204</v>
      </c>
      <c r="D160" s="185"/>
      <c r="E160" s="185"/>
      <c r="F160" s="185"/>
      <c r="G160" s="186"/>
      <c r="H160" s="4" t="s">
        <v>89</v>
      </c>
      <c r="I160" s="189"/>
      <c r="J160" s="190"/>
    </row>
    <row r="161" spans="1:10" s="3" customFormat="1" x14ac:dyDescent="0.25">
      <c r="A161" s="215">
        <v>4</v>
      </c>
      <c r="B161" s="216"/>
      <c r="C161" s="4" t="s">
        <v>202</v>
      </c>
      <c r="D161" s="215">
        <v>715.14186119999988</v>
      </c>
      <c r="E161" s="216"/>
      <c r="F161" s="4">
        <v>0</v>
      </c>
      <c r="G161" s="4">
        <f>D161*1.5+F161</f>
        <v>1072.7127917999999</v>
      </c>
      <c r="H161" s="4" t="s">
        <v>89</v>
      </c>
      <c r="I161" s="189"/>
      <c r="J161" s="190"/>
    </row>
    <row r="162" spans="1:10" s="3" customFormat="1" x14ac:dyDescent="0.25">
      <c r="A162" s="215">
        <v>5</v>
      </c>
      <c r="B162" s="216"/>
      <c r="C162" s="4" t="s">
        <v>202</v>
      </c>
      <c r="D162" s="215">
        <v>763.97490000000005</v>
      </c>
      <c r="E162" s="216"/>
      <c r="F162" s="4">
        <v>0</v>
      </c>
      <c r="G162" s="4">
        <f t="shared" ref="G162:G163" si="1">D162*1.5+F162</f>
        <v>1145.96235</v>
      </c>
      <c r="H162" s="4" t="s">
        <v>89</v>
      </c>
      <c r="I162" s="189"/>
      <c r="J162" s="190"/>
    </row>
    <row r="163" spans="1:10" s="3" customFormat="1" x14ac:dyDescent="0.25">
      <c r="A163" s="215">
        <v>6</v>
      </c>
      <c r="B163" s="216"/>
      <c r="C163" s="4" t="s">
        <v>202</v>
      </c>
      <c r="D163" s="215">
        <v>763.97490000000005</v>
      </c>
      <c r="E163" s="216"/>
      <c r="F163" s="4">
        <v>0</v>
      </c>
      <c r="G163" s="4">
        <f t="shared" si="1"/>
        <v>1145.96235</v>
      </c>
      <c r="H163" s="4" t="s">
        <v>89</v>
      </c>
      <c r="I163" s="191"/>
      <c r="J163" s="192"/>
    </row>
    <row r="164" spans="1:10" s="3" customFormat="1" x14ac:dyDescent="0.25">
      <c r="A164" s="184" t="s">
        <v>205</v>
      </c>
      <c r="B164" s="185"/>
      <c r="C164" s="185"/>
      <c r="D164" s="185"/>
      <c r="E164" s="185"/>
      <c r="F164" s="185"/>
      <c r="G164" s="185"/>
      <c r="H164" s="185"/>
      <c r="I164" s="185"/>
      <c r="J164" s="186"/>
    </row>
    <row r="165" spans="1:10" s="3" customFormat="1" x14ac:dyDescent="0.25">
      <c r="A165" s="184" t="s">
        <v>226</v>
      </c>
      <c r="B165" s="185"/>
      <c r="C165" s="185"/>
      <c r="D165" s="185"/>
      <c r="E165" s="185"/>
      <c r="F165" s="185"/>
      <c r="G165" s="185"/>
      <c r="H165" s="185"/>
      <c r="I165" s="185"/>
      <c r="J165" s="186"/>
    </row>
    <row r="166" spans="1:10" s="3" customFormat="1" x14ac:dyDescent="0.25">
      <c r="A166" s="215">
        <v>1</v>
      </c>
      <c r="B166" s="216"/>
      <c r="C166" s="4" t="s">
        <v>225</v>
      </c>
      <c r="D166" s="215">
        <f>Sheet2!D38</f>
        <v>1175.977764</v>
      </c>
      <c r="E166" s="216"/>
      <c r="F166" s="4">
        <v>0</v>
      </c>
      <c r="G166" s="4">
        <f>D166*1.5+F166</f>
        <v>1763.9666459999999</v>
      </c>
      <c r="H166" s="4" t="s">
        <v>89</v>
      </c>
      <c r="I166" s="187" t="s">
        <v>206</v>
      </c>
      <c r="J166" s="188"/>
    </row>
    <row r="167" spans="1:10" s="3" customFormat="1" x14ac:dyDescent="0.25">
      <c r="A167" s="215">
        <v>4</v>
      </c>
      <c r="B167" s="216"/>
      <c r="C167" s="4" t="s">
        <v>202</v>
      </c>
      <c r="D167" s="215">
        <f>(2.45*2.4+2.5*0.6+3.05*3.69+1.71*2.43+2.45*2.15+2.15*0.6+2.15*1.3+1.35*2.15+2.9*2.16+2.45*2.4+2.4*0.6+2.9*3.43+1.6*1+2.45*0.75+2.9*0.75+3*0.75)*10.764</f>
        <v>715.14186119999988</v>
      </c>
      <c r="E167" s="216"/>
      <c r="F167" s="4">
        <v>0</v>
      </c>
      <c r="G167" s="4">
        <f>D167*1.5+F167</f>
        <v>1072.7127917999999</v>
      </c>
      <c r="H167" s="4" t="s">
        <v>89</v>
      </c>
      <c r="I167" s="189"/>
      <c r="J167" s="190"/>
    </row>
    <row r="168" spans="1:10" s="3" customFormat="1" x14ac:dyDescent="0.25">
      <c r="A168" s="215">
        <v>5</v>
      </c>
      <c r="B168" s="216"/>
      <c r="C168" s="4" t="s">
        <v>202</v>
      </c>
      <c r="D168" s="215">
        <f>(2.45*2.4+2.5*0.6+3.05*3.69+1.71*2.43+2.45*2.15+2.15*0.6+2.15*1.3+1.35*2.15+2.9*2.16+2.45*2.4+2.4*0.6+2.9*3.43+1.6*1+2.45*0.75+2.9*0.75+3*0.75)*10.764</f>
        <v>715.14186119999988</v>
      </c>
      <c r="E168" s="216"/>
      <c r="F168" s="4">
        <v>0</v>
      </c>
      <c r="G168" s="4">
        <f>D168*1.5+F168</f>
        <v>1072.7127917999999</v>
      </c>
      <c r="H168" s="4" t="s">
        <v>89</v>
      </c>
      <c r="I168" s="191"/>
      <c r="J168" s="192"/>
    </row>
    <row r="169" spans="1:10" s="3" customFormat="1" x14ac:dyDescent="0.25">
      <c r="A169" s="184" t="s">
        <v>227</v>
      </c>
      <c r="B169" s="185"/>
      <c r="C169" s="185"/>
      <c r="D169" s="185"/>
      <c r="E169" s="185"/>
      <c r="F169" s="185"/>
      <c r="G169" s="185"/>
      <c r="H169" s="185"/>
      <c r="I169" s="185"/>
      <c r="J169" s="186"/>
    </row>
    <row r="170" spans="1:10" s="3" customFormat="1" x14ac:dyDescent="0.25">
      <c r="A170" s="215">
        <v>1</v>
      </c>
      <c r="B170" s="216"/>
      <c r="C170" s="4" t="s">
        <v>225</v>
      </c>
      <c r="D170" s="215">
        <v>1175.977764</v>
      </c>
      <c r="E170" s="216"/>
      <c r="F170" s="4">
        <v>0</v>
      </c>
      <c r="G170" s="4">
        <f>D170*1.5+F170</f>
        <v>1763.9666459999999</v>
      </c>
      <c r="H170" s="4" t="s">
        <v>89</v>
      </c>
      <c r="I170" s="187" t="s">
        <v>228</v>
      </c>
      <c r="J170" s="188"/>
    </row>
    <row r="171" spans="1:10" s="3" customFormat="1" x14ac:dyDescent="0.25">
      <c r="A171" s="215">
        <v>3</v>
      </c>
      <c r="B171" s="216"/>
      <c r="C171" s="4" t="s">
        <v>202</v>
      </c>
      <c r="D171" s="215">
        <f>(2.45*2.4+2.5*0.6+3.05*3.69+1.71*2.43+2.45*2.15+2.15*0.6+2.15*1.3+1.35*2.15+2.9*2.16+2.45*2.4+2.4*0.6+2.9*3.43+1.6*1+2.45*0.75+2.9*0.75+3*0.75)*10.764</f>
        <v>715.14186119999988</v>
      </c>
      <c r="E171" s="216"/>
      <c r="F171" s="4">
        <v>0</v>
      </c>
      <c r="G171" s="4">
        <f t="shared" ref="G171:G173" si="2">D171*1.5+F171</f>
        <v>1072.7127917999999</v>
      </c>
      <c r="H171" s="4" t="s">
        <v>89</v>
      </c>
      <c r="I171" s="189"/>
      <c r="J171" s="190"/>
    </row>
    <row r="172" spans="1:10" s="3" customFormat="1" x14ac:dyDescent="0.25">
      <c r="A172" s="215">
        <v>4</v>
      </c>
      <c r="B172" s="216"/>
      <c r="C172" s="4" t="s">
        <v>202</v>
      </c>
      <c r="D172" s="215">
        <f>(2.45*2.4+2.5*0.6+3.05*3.69+1.71*2.43+2.45*2.15+2.15*0.6+2.15*1.3+1.35*2.15+2.9*2.16+2.45*2.4+2.4*0.6+2.9*3.43+1.6*1+2.45*0.75+2.9*0.75+3*0.75)*10.764</f>
        <v>715.14186119999988</v>
      </c>
      <c r="E172" s="216"/>
      <c r="F172" s="4">
        <v>0</v>
      </c>
      <c r="G172" s="4">
        <f t="shared" si="2"/>
        <v>1072.7127917999999</v>
      </c>
      <c r="H172" s="4" t="s">
        <v>89</v>
      </c>
      <c r="I172" s="189"/>
      <c r="J172" s="190"/>
    </row>
    <row r="173" spans="1:10" s="3" customFormat="1" x14ac:dyDescent="0.25">
      <c r="A173" s="215">
        <v>5</v>
      </c>
      <c r="B173" s="216"/>
      <c r="C173" s="4" t="s">
        <v>225</v>
      </c>
      <c r="D173" s="215">
        <v>1175.977764</v>
      </c>
      <c r="E173" s="216"/>
      <c r="F173" s="4">
        <v>0</v>
      </c>
      <c r="G173" s="4">
        <f t="shared" si="2"/>
        <v>1763.9666459999999</v>
      </c>
      <c r="H173" s="4" t="s">
        <v>89</v>
      </c>
      <c r="I173" s="191"/>
      <c r="J173" s="192"/>
    </row>
    <row r="174" spans="1:10" s="3" customFormat="1" x14ac:dyDescent="0.25">
      <c r="A174" s="184" t="s">
        <v>207</v>
      </c>
      <c r="B174" s="185"/>
      <c r="C174" s="185"/>
      <c r="D174" s="185"/>
      <c r="E174" s="185"/>
      <c r="F174" s="185"/>
      <c r="G174" s="185"/>
      <c r="H174" s="185"/>
      <c r="I174" s="185"/>
      <c r="J174" s="186"/>
    </row>
    <row r="175" spans="1:10" s="3" customFormat="1" x14ac:dyDescent="0.25">
      <c r="A175" s="184" t="s">
        <v>192</v>
      </c>
      <c r="B175" s="185"/>
      <c r="C175" s="185"/>
      <c r="D175" s="185"/>
      <c r="E175" s="185"/>
      <c r="F175" s="185"/>
      <c r="G175" s="185"/>
      <c r="H175" s="185"/>
      <c r="I175" s="185"/>
      <c r="J175" s="186"/>
    </row>
    <row r="176" spans="1:10" s="3" customFormat="1" x14ac:dyDescent="0.25">
      <c r="A176" s="184" t="s">
        <v>193</v>
      </c>
      <c r="B176" s="185"/>
      <c r="C176" s="185"/>
      <c r="D176" s="185"/>
      <c r="E176" s="185"/>
      <c r="F176" s="185"/>
      <c r="G176" s="185"/>
      <c r="H176" s="185"/>
      <c r="I176" s="185"/>
      <c r="J176" s="186"/>
    </row>
    <row r="177" spans="1:10" s="3" customFormat="1" x14ac:dyDescent="0.25">
      <c r="A177" s="184" t="s">
        <v>194</v>
      </c>
      <c r="B177" s="185"/>
      <c r="C177" s="185"/>
      <c r="D177" s="185"/>
      <c r="E177" s="185"/>
      <c r="F177" s="185"/>
      <c r="G177" s="185"/>
      <c r="H177" s="185"/>
      <c r="I177" s="185"/>
      <c r="J177" s="186"/>
    </row>
    <row r="178" spans="1:10" s="3" customFormat="1" x14ac:dyDescent="0.25">
      <c r="A178" s="184" t="s">
        <v>208</v>
      </c>
      <c r="B178" s="185"/>
      <c r="C178" s="185"/>
      <c r="D178" s="185"/>
      <c r="E178" s="185"/>
      <c r="F178" s="185"/>
      <c r="G178" s="185"/>
      <c r="H178" s="185"/>
      <c r="I178" s="185"/>
      <c r="J178" s="186"/>
    </row>
    <row r="179" spans="1:10" s="3" customFormat="1" x14ac:dyDescent="0.25">
      <c r="A179" s="215">
        <v>1</v>
      </c>
      <c r="B179" s="216"/>
      <c r="C179" s="4" t="s">
        <v>202</v>
      </c>
      <c r="D179" s="215">
        <f>(2.9*4.6+2.9*0.75+2.45*0.6+2.75*2.15+2.15*3.2+1.4*0.6+1.5*0.75+3.03*3.45+3.03*0.75+1.35*2.25+2.15*1.35+0.6*2.45+2.45*1+1.8*0.88)*10.764</f>
        <v>601.84214999999995</v>
      </c>
      <c r="E179" s="216"/>
      <c r="F179" s="4">
        <v>0</v>
      </c>
      <c r="G179" s="4">
        <f>D179*1.5+F179</f>
        <v>902.76322499999992</v>
      </c>
      <c r="H179" s="4" t="s">
        <v>89</v>
      </c>
      <c r="I179" s="187" t="str">
        <f>A178</f>
        <v>3rd to 6th, 8th to 11th, 13th &amp; 14th Floors</v>
      </c>
      <c r="J179" s="188"/>
    </row>
    <row r="180" spans="1:10" s="3" customFormat="1" x14ac:dyDescent="0.25">
      <c r="A180" s="215">
        <v>2</v>
      </c>
      <c r="B180" s="216"/>
      <c r="C180" s="4" t="s">
        <v>202</v>
      </c>
      <c r="D180" s="215">
        <f>(2.9*4.6+2.9*0.75+2.45*0.6+2.75*2.15+2.15*3.2+1.4*0.6+1.5*0.75+3.03*3.45+3.03*0.75+1.35*2.25+2.15*1.35+0.6*2.45+2.45*1+1.8*0.88)*10.764</f>
        <v>601.84214999999995</v>
      </c>
      <c r="E180" s="216"/>
      <c r="F180" s="4">
        <v>0</v>
      </c>
      <c r="G180" s="4">
        <f t="shared" ref="G180:G185" si="3">D180*1.5+F180</f>
        <v>902.76322499999992</v>
      </c>
      <c r="H180" s="4" t="s">
        <v>89</v>
      </c>
      <c r="I180" s="189"/>
      <c r="J180" s="190"/>
    </row>
    <row r="181" spans="1:10" s="3" customFormat="1" x14ac:dyDescent="0.25">
      <c r="A181" s="215">
        <v>3</v>
      </c>
      <c r="B181" s="216"/>
      <c r="C181" s="4" t="s">
        <v>202</v>
      </c>
      <c r="D181" s="215">
        <f>(2.3*1.18+2.9*3.91+2.9*0.75+0.6*1.3+2.75*3.2+1.4*0.6+1.5*0.75+3.03*3.45+3.03*0.75+1.35*2.25+2.15*1.35+1.51*0.88+2.45*1+2.75*2.15)*10.764</f>
        <v>604.18654920000006</v>
      </c>
      <c r="E181" s="216"/>
      <c r="F181" s="4">
        <v>0</v>
      </c>
      <c r="G181" s="4">
        <f t="shared" si="3"/>
        <v>906.27982380000003</v>
      </c>
      <c r="H181" s="4" t="s">
        <v>89</v>
      </c>
      <c r="I181" s="189"/>
      <c r="J181" s="190"/>
    </row>
    <row r="182" spans="1:10" s="3" customFormat="1" x14ac:dyDescent="0.25">
      <c r="A182" s="215">
        <v>4</v>
      </c>
      <c r="B182" s="216"/>
      <c r="C182" s="4" t="s">
        <v>202</v>
      </c>
      <c r="D182" s="215">
        <f>(2.3*1.18+2.9*3.91+2.9*0.75+0.6*1.3+2.75*3.2+1.4*0.6+1.5*0.75+3.03*3.45+3.03*0.75+1.35*2.25+2.15*1.35+1.51*0.88+2.45*1+2.75*2.15)*10.764</f>
        <v>604.18654920000006</v>
      </c>
      <c r="E182" s="216"/>
      <c r="F182" s="4">
        <v>0</v>
      </c>
      <c r="G182" s="4">
        <f t="shared" si="3"/>
        <v>906.27982380000003</v>
      </c>
      <c r="H182" s="4" t="s">
        <v>89</v>
      </c>
      <c r="I182" s="189"/>
      <c r="J182" s="190"/>
    </row>
    <row r="183" spans="1:10" s="3" customFormat="1" x14ac:dyDescent="0.25">
      <c r="A183" s="215">
        <v>5</v>
      </c>
      <c r="B183" s="216"/>
      <c r="C183" s="4" t="s">
        <v>202</v>
      </c>
      <c r="D183" s="215">
        <f>(6*3.65+3.65*0.75+2.15*3.05+3.45*2.8+1.4*0.6+1.5*0.75+4.56*3.03+3.03*0.75+2.3*1.65+1.3*2.15+1*1.4+2.43*1.74)*10.764</f>
        <v>765.61641000000009</v>
      </c>
      <c r="E183" s="216"/>
      <c r="F183" s="4">
        <v>0</v>
      </c>
      <c r="G183" s="4">
        <f t="shared" si="3"/>
        <v>1148.4246150000001</v>
      </c>
      <c r="H183" s="4" t="s">
        <v>89</v>
      </c>
      <c r="I183" s="189"/>
      <c r="J183" s="190"/>
    </row>
    <row r="184" spans="1:10" s="3" customFormat="1" x14ac:dyDescent="0.25">
      <c r="A184" s="215">
        <v>6</v>
      </c>
      <c r="B184" s="216"/>
      <c r="C184" s="4" t="s">
        <v>202</v>
      </c>
      <c r="D184" s="215">
        <f>(4.6*2.9+2.9*0.75+2.79*2.15+2.79*0.75+3.22*2.75+1.4*0.6+1.5*0.75+2.3*3.3+1.79*0.75+2.15*1.85+2.15*1.35+1*3.15+2.45*0.87)*10.764</f>
        <v>597.61728000000005</v>
      </c>
      <c r="E184" s="216"/>
      <c r="F184" s="4">
        <v>0</v>
      </c>
      <c r="G184" s="4">
        <f t="shared" si="3"/>
        <v>896.42592000000013</v>
      </c>
      <c r="H184" s="4" t="s">
        <v>89</v>
      </c>
      <c r="I184" s="189"/>
      <c r="J184" s="190"/>
    </row>
    <row r="185" spans="1:10" s="3" customFormat="1" x14ac:dyDescent="0.25">
      <c r="A185" s="215">
        <v>7</v>
      </c>
      <c r="B185" s="216"/>
      <c r="C185" s="4" t="s">
        <v>202</v>
      </c>
      <c r="D185" s="215">
        <f>(4.6*2.9+2.9*0.75+2.1*2.75+3.2*2.75+1.7*0.6+1.4*0.75+3.45*3.03+3.03*0.75+2.25*1.35+1.35*2.15+0.88*1.8+1*2.45+2.48*0.6)*10.764</f>
        <v>606.52987199999995</v>
      </c>
      <c r="E185" s="216"/>
      <c r="F185" s="4">
        <v>0</v>
      </c>
      <c r="G185" s="4">
        <f t="shared" si="3"/>
        <v>909.79480799999988</v>
      </c>
      <c r="H185" s="4" t="s">
        <v>89</v>
      </c>
      <c r="I185" s="191"/>
      <c r="J185" s="192"/>
    </row>
    <row r="186" spans="1:10" s="3" customFormat="1" x14ac:dyDescent="0.25">
      <c r="A186" s="184" t="s">
        <v>209</v>
      </c>
      <c r="B186" s="185"/>
      <c r="C186" s="185"/>
      <c r="D186" s="185"/>
      <c r="E186" s="185"/>
      <c r="F186" s="185"/>
      <c r="G186" s="185"/>
      <c r="H186" s="185"/>
      <c r="I186" s="185"/>
      <c r="J186" s="186"/>
    </row>
    <row r="187" spans="1:10" s="3" customFormat="1" x14ac:dyDescent="0.25">
      <c r="A187" s="215">
        <v>1</v>
      </c>
      <c r="B187" s="216"/>
      <c r="C187" s="187" t="s">
        <v>204</v>
      </c>
      <c r="D187" s="217"/>
      <c r="E187" s="217"/>
      <c r="F187" s="217"/>
      <c r="G187" s="188"/>
      <c r="H187" s="4" t="s">
        <v>89</v>
      </c>
      <c r="I187" s="187" t="str">
        <f>A186</f>
        <v>7th &amp; 12th Floors</v>
      </c>
      <c r="J187" s="188"/>
    </row>
    <row r="188" spans="1:10" s="3" customFormat="1" x14ac:dyDescent="0.25">
      <c r="A188" s="215">
        <v>2</v>
      </c>
      <c r="B188" s="216"/>
      <c r="C188" s="191"/>
      <c r="D188" s="218"/>
      <c r="E188" s="218"/>
      <c r="F188" s="218"/>
      <c r="G188" s="192"/>
      <c r="H188" s="4" t="s">
        <v>89</v>
      </c>
      <c r="I188" s="189"/>
      <c r="J188" s="190"/>
    </row>
    <row r="189" spans="1:10" s="3" customFormat="1" x14ac:dyDescent="0.25">
      <c r="A189" s="215">
        <v>3</v>
      </c>
      <c r="B189" s="216"/>
      <c r="C189" s="4" t="s">
        <v>202</v>
      </c>
      <c r="D189" s="215">
        <f>(2.3*1.18+2.9*3.91+2.9*0.75+0.6*1.3+2.75*3.2+1.4*0.6+1.5*0.75+3.03*3.45+3.03*0.75+1.35*2.25+2.15*1.35+1.51*0.88+2.45*1+2.75*2.15)*10.764</f>
        <v>604.18654920000006</v>
      </c>
      <c r="E189" s="216"/>
      <c r="F189" s="4">
        <v>0</v>
      </c>
      <c r="G189" s="4">
        <f>D189*1.5+F189</f>
        <v>906.27982380000003</v>
      </c>
      <c r="H189" s="4" t="s">
        <v>89</v>
      </c>
      <c r="I189" s="189"/>
      <c r="J189" s="190"/>
    </row>
    <row r="190" spans="1:10" s="3" customFormat="1" x14ac:dyDescent="0.25">
      <c r="A190" s="215">
        <v>4</v>
      </c>
      <c r="B190" s="216"/>
      <c r="C190" s="4" t="s">
        <v>202</v>
      </c>
      <c r="D190" s="215">
        <f>(6*3.65+3.65*0.75+2.15*3.05+3.45*2.8+1.4*0.6+1.5*0.75+4.56*3.03+3.03*0.75+2.3*1.65+1.3*2.15+1*1.4+2.43*1.74)*10.764</f>
        <v>765.61641000000009</v>
      </c>
      <c r="E190" s="216"/>
      <c r="F190" s="4">
        <v>0</v>
      </c>
      <c r="G190" s="4">
        <f t="shared" ref="G190:G193" si="4">D190*1.5+F190</f>
        <v>1148.4246150000001</v>
      </c>
      <c r="H190" s="4" t="s">
        <v>89</v>
      </c>
      <c r="I190" s="189"/>
      <c r="J190" s="190"/>
    </row>
    <row r="191" spans="1:10" s="3" customFormat="1" x14ac:dyDescent="0.25">
      <c r="A191" s="215">
        <v>5</v>
      </c>
      <c r="B191" s="216"/>
      <c r="C191" s="4" t="s">
        <v>202</v>
      </c>
      <c r="D191" s="215">
        <f>(4.6*2.9+2.9*0.75+2.79*2.15+2.79*0.75+3.22*2.75+1.4*0.6+1.5*0.75+2.3*3.3+1.79*0.75+2.15*1.85+2.15*1.35+1*3.15+2.45*0.87)*10.764</f>
        <v>597.61728000000005</v>
      </c>
      <c r="E191" s="216"/>
      <c r="F191" s="4">
        <v>0</v>
      </c>
      <c r="G191" s="4">
        <f t="shared" si="4"/>
        <v>896.42592000000013</v>
      </c>
      <c r="H191" s="4" t="s">
        <v>89</v>
      </c>
      <c r="I191" s="189"/>
      <c r="J191" s="190"/>
    </row>
    <row r="192" spans="1:10" s="3" customFormat="1" x14ac:dyDescent="0.25">
      <c r="A192" s="215">
        <v>6</v>
      </c>
      <c r="B192" s="216"/>
      <c r="C192" s="4" t="s">
        <v>202</v>
      </c>
      <c r="D192" s="215">
        <f>(4.6*2.9+2.9*0.75+2.1*2.75+3.2*2.75+1.7*0.6+1.4*0.75+3.45*3.03+3.03*0.75+2.25*1.35+1.35*2.15+0.88*1.8+1*2.45+2.48*0.6)*10.764</f>
        <v>606.52987199999995</v>
      </c>
      <c r="E192" s="216"/>
      <c r="F192" s="4">
        <v>0</v>
      </c>
      <c r="G192" s="4">
        <f t="shared" si="4"/>
        <v>909.79480799999988</v>
      </c>
      <c r="H192" s="4" t="s">
        <v>89</v>
      </c>
      <c r="I192" s="189"/>
      <c r="J192" s="190"/>
    </row>
    <row r="193" spans="1:10" s="3" customFormat="1" x14ac:dyDescent="0.25">
      <c r="A193" s="215">
        <v>7</v>
      </c>
      <c r="B193" s="216"/>
      <c r="C193" s="4" t="s">
        <v>202</v>
      </c>
      <c r="D193" s="215">
        <f>(4.6*2.9+2.15*2.75+2.45*0.69+3.2*2.75+1*2.45+1.35*2.18+0.88*1.5+2.25*1.35+3.45*3.03+3.03*0.75+1.4*0.75+1.3*0.6+2.9*0.75)*10.764</f>
        <v>605.20051799999987</v>
      </c>
      <c r="E193" s="216"/>
      <c r="F193" s="4">
        <v>0</v>
      </c>
      <c r="G193" s="4">
        <f t="shared" si="4"/>
        <v>907.80077699999981</v>
      </c>
      <c r="H193" s="4" t="s">
        <v>89</v>
      </c>
      <c r="I193" s="191"/>
      <c r="J193" s="192"/>
    </row>
    <row r="194" spans="1:10" s="3" customFormat="1" x14ac:dyDescent="0.25">
      <c r="A194" s="184" t="s">
        <v>232</v>
      </c>
      <c r="B194" s="185"/>
      <c r="C194" s="185"/>
      <c r="D194" s="185"/>
      <c r="E194" s="185"/>
      <c r="F194" s="185"/>
      <c r="G194" s="185"/>
      <c r="H194" s="185"/>
      <c r="I194" s="185"/>
      <c r="J194" s="186"/>
    </row>
    <row r="195" spans="1:10" s="3" customFormat="1" x14ac:dyDescent="0.25">
      <c r="A195" s="215">
        <v>1</v>
      </c>
      <c r="B195" s="216"/>
      <c r="C195" s="4" t="s">
        <v>202</v>
      </c>
      <c r="D195" s="215">
        <f>(2.9*4.6+2.9*0.75+0.6*2.46+2.75*3.2+1.7*0.6+1.4*0.75+3.03*3.45+3.03*0.75+2.15*1.35+1.35*2.28+2.45*1+1.9*0.88+2.75*2.15)*10.764</f>
        <v>609.26392799999996</v>
      </c>
      <c r="E195" s="216"/>
      <c r="F195" s="4">
        <v>0</v>
      </c>
      <c r="G195" s="4">
        <f>D195*1.5+F195</f>
        <v>913.895892</v>
      </c>
      <c r="H195" s="4" t="s">
        <v>89</v>
      </c>
      <c r="I195" s="187" t="str">
        <f>A194</f>
        <v>15th, 16th, 18th to 21st, 24th &amp; 25th Floor</v>
      </c>
      <c r="J195" s="188"/>
    </row>
    <row r="196" spans="1:10" s="3" customFormat="1" x14ac:dyDescent="0.25">
      <c r="A196" s="215">
        <v>2</v>
      </c>
      <c r="B196" s="216"/>
      <c r="C196" s="4" t="s">
        <v>202</v>
      </c>
      <c r="D196" s="215">
        <f>(2.9*4.6+2.9*0.75+0.6*2.46+2.75*3.2+1.7*0.6+1.4*0.75+3.03*3.45+3.03*0.75+2.15*1.35+1.35*2.28+2.45*1+1.9*0.88+2.75*2.15)*10.764</f>
        <v>609.26392799999996</v>
      </c>
      <c r="E196" s="216"/>
      <c r="F196" s="4">
        <v>0</v>
      </c>
      <c r="G196" s="4">
        <f t="shared" ref="G196:G200" si="5">D196*1.5+F196</f>
        <v>913.895892</v>
      </c>
      <c r="H196" s="4" t="s">
        <v>89</v>
      </c>
      <c r="I196" s="189"/>
      <c r="J196" s="190"/>
    </row>
    <row r="197" spans="1:10" s="3" customFormat="1" x14ac:dyDescent="0.25">
      <c r="A197" s="215">
        <v>3</v>
      </c>
      <c r="B197" s="216"/>
      <c r="C197" s="4" t="s">
        <v>225</v>
      </c>
      <c r="D197" s="215">
        <f>(5.93*4.2+5.93*0.75+2.75*2.15+2.75*3.2+1.7*0.6+1.4*0.75+3.03*3.45+3.03*0.75+2.75*3.2+1.7*0.6+1.4*0.75+3.03*3.45+3.03*0.75+1.35*2.25+2.15*1.35+2.15*1.35+1.35*2.35+1.51*0.85+2.45*1+0.8*1.3+2.3*1.18+2.3*1.18+0.8*1.3+2.45*1+1.51*0.86)*10.764</f>
        <v>1178.2608084000001</v>
      </c>
      <c r="E197" s="216"/>
      <c r="F197" s="4">
        <v>0</v>
      </c>
      <c r="G197" s="4">
        <f t="shared" si="5"/>
        <v>1767.3912126</v>
      </c>
      <c r="H197" s="4" t="s">
        <v>89</v>
      </c>
      <c r="I197" s="189"/>
      <c r="J197" s="190"/>
    </row>
    <row r="198" spans="1:10" s="3" customFormat="1" x14ac:dyDescent="0.25">
      <c r="A198" s="215">
        <v>5</v>
      </c>
      <c r="B198" s="216"/>
      <c r="C198" s="4" t="s">
        <v>202</v>
      </c>
      <c r="D198" s="215">
        <f>(5.06*3.05+3.05*0.75+2.15*3.05+3.45*2.8+1.63*0.6+1.4*0.75+4.58*3.01+3.01*0.75+2.3*1.35+1.3*2.15+1*1.4+2.43*1.71)*10.764</f>
        <v>683.13295440000002</v>
      </c>
      <c r="E198" s="216"/>
      <c r="F198" s="4">
        <v>0</v>
      </c>
      <c r="G198" s="4">
        <f t="shared" si="5"/>
        <v>1024.6994316</v>
      </c>
      <c r="H198" s="4" t="s">
        <v>89</v>
      </c>
      <c r="I198" s="189"/>
      <c r="J198" s="190"/>
    </row>
    <row r="199" spans="1:10" s="3" customFormat="1" x14ac:dyDescent="0.25">
      <c r="A199" s="215">
        <v>6</v>
      </c>
      <c r="B199" s="216"/>
      <c r="C199" s="4" t="s">
        <v>202</v>
      </c>
      <c r="D199" s="215">
        <f>(4.6*2.9+2.9*0.75+2.75*2.16+2.16*0.75+3.22*2.75+1.53*0.75+1.58*0.6+3.3*3.3+1.79*0.75+2.15*1.35+2.15*1.25+1*3.15+2.45*0.67)*10.764</f>
        <v>609.66757799999993</v>
      </c>
      <c r="E199" s="216"/>
      <c r="F199" s="4">
        <v>0</v>
      </c>
      <c r="G199" s="4">
        <f t="shared" si="5"/>
        <v>914.50136699999985</v>
      </c>
      <c r="H199" s="4" t="s">
        <v>89</v>
      </c>
      <c r="I199" s="189"/>
      <c r="J199" s="190"/>
    </row>
    <row r="200" spans="1:10" s="3" customFormat="1" x14ac:dyDescent="0.25">
      <c r="A200" s="215">
        <v>7</v>
      </c>
      <c r="B200" s="216"/>
      <c r="C200" s="4" t="s">
        <v>202</v>
      </c>
      <c r="D200" s="215">
        <f>(4.6*2.9+2.9*0.75+2.15*2.75+3.2*2.75+1.7*0.6+1.58*0.75+3.45*3.03+3.45*0.75+2.25*1.35+1.35*2.15+1.6*0.55+1*2.4+2.46*0.6)*10.764</f>
        <v>604.60849799999994</v>
      </c>
      <c r="E200" s="216"/>
      <c r="F200" s="4">
        <v>0</v>
      </c>
      <c r="G200" s="4">
        <f t="shared" si="5"/>
        <v>906.91274699999985</v>
      </c>
      <c r="H200" s="4" t="s">
        <v>89</v>
      </c>
      <c r="I200" s="191"/>
      <c r="J200" s="192"/>
    </row>
    <row r="201" spans="1:10" s="3" customFormat="1" x14ac:dyDescent="0.25">
      <c r="A201" s="184" t="s">
        <v>210</v>
      </c>
      <c r="B201" s="185"/>
      <c r="C201" s="185"/>
      <c r="D201" s="185"/>
      <c r="E201" s="185"/>
      <c r="F201" s="185"/>
      <c r="G201" s="185"/>
      <c r="H201" s="185"/>
      <c r="I201" s="185"/>
      <c r="J201" s="186"/>
    </row>
    <row r="202" spans="1:10" s="3" customFormat="1" x14ac:dyDescent="0.25">
      <c r="A202" s="215">
        <v>1</v>
      </c>
      <c r="B202" s="216"/>
      <c r="C202" s="224" t="s">
        <v>204</v>
      </c>
      <c r="D202" s="225"/>
      <c r="E202" s="225"/>
      <c r="F202" s="225"/>
      <c r="G202" s="226"/>
      <c r="H202" s="4" t="s">
        <v>89</v>
      </c>
      <c r="I202" s="187" t="str">
        <f>A201</f>
        <v>17th &amp; 22nd Floors</v>
      </c>
      <c r="J202" s="188"/>
    </row>
    <row r="203" spans="1:10" s="3" customFormat="1" x14ac:dyDescent="0.25">
      <c r="A203" s="215">
        <v>2</v>
      </c>
      <c r="B203" s="216"/>
      <c r="C203" s="227"/>
      <c r="D203" s="228"/>
      <c r="E203" s="228"/>
      <c r="F203" s="228"/>
      <c r="G203" s="229"/>
      <c r="H203" s="4" t="s">
        <v>89</v>
      </c>
      <c r="I203" s="189"/>
      <c r="J203" s="190"/>
    </row>
    <row r="204" spans="1:10" s="3" customFormat="1" x14ac:dyDescent="0.25">
      <c r="A204" s="215">
        <v>3</v>
      </c>
      <c r="B204" s="216"/>
      <c r="C204" s="4" t="s">
        <v>225</v>
      </c>
      <c r="D204" s="215">
        <f>(5.93*4.2+5.93*0.75+2.75*2.15+2.75*3.2+1.7*0.6+1.4*0.75+3.03*3.45+3.03*0.75+2.75*3.2+1.7*0.6+1.4*0.75+3.03*3.45+3.03*0.75+1.35*2.25+2.15*1.35+2.15*1.35+1.35*2.35+1.51*0.85+2.45*1+0.8*1.3+2.3*1.18+2.3*1.18+0.8*1.3+2.45*1+1.51*0.86)*10.764</f>
        <v>1178.2608084000001</v>
      </c>
      <c r="E204" s="216"/>
      <c r="F204" s="4">
        <v>0</v>
      </c>
      <c r="G204" s="4">
        <f t="shared" ref="G204:G207" si="6">D204*1.5+F204</f>
        <v>1767.3912126</v>
      </c>
      <c r="H204" s="4" t="s">
        <v>89</v>
      </c>
      <c r="I204" s="189"/>
      <c r="J204" s="190"/>
    </row>
    <row r="205" spans="1:10" s="3" customFormat="1" x14ac:dyDescent="0.25">
      <c r="A205" s="215">
        <v>5</v>
      </c>
      <c r="B205" s="216"/>
      <c r="C205" s="4" t="s">
        <v>202</v>
      </c>
      <c r="D205" s="215">
        <f>(5.06*3.05+3.05*0.75+2.15*3.05+3.45*2.8+1.63*0.6+1.4*0.75+4.58*3.01+3.01*0.75+2.3*1.35+1.3*2.15+1*1.4+2.43*1.71)*10.764</f>
        <v>683.13295440000002</v>
      </c>
      <c r="E205" s="216"/>
      <c r="F205" s="4">
        <v>0</v>
      </c>
      <c r="G205" s="4">
        <f t="shared" si="6"/>
        <v>1024.6994316</v>
      </c>
      <c r="H205" s="4" t="s">
        <v>89</v>
      </c>
      <c r="I205" s="189"/>
      <c r="J205" s="190"/>
    </row>
    <row r="206" spans="1:10" s="3" customFormat="1" x14ac:dyDescent="0.25">
      <c r="A206" s="215">
        <v>6</v>
      </c>
      <c r="B206" s="216"/>
      <c r="C206" s="4" t="s">
        <v>202</v>
      </c>
      <c r="D206" s="215">
        <f>(4.6*2.9+2.9*0.75+2.75*2.16+2.16*0.75+3.22*2.75+1.53*0.75+1.58*0.6+3.3*3.3+1.79*0.75+2.15*1.35+2.15*1.25+1*3.15+2.45*0.67)*10.764</f>
        <v>609.66757799999993</v>
      </c>
      <c r="E206" s="216"/>
      <c r="F206" s="4">
        <v>0</v>
      </c>
      <c r="G206" s="4">
        <f t="shared" si="6"/>
        <v>914.50136699999985</v>
      </c>
      <c r="H206" s="4" t="s">
        <v>89</v>
      </c>
      <c r="I206" s="189"/>
      <c r="J206" s="190"/>
    </row>
    <row r="207" spans="1:10" s="3" customFormat="1" x14ac:dyDescent="0.25">
      <c r="A207" s="215">
        <v>7</v>
      </c>
      <c r="B207" s="216"/>
      <c r="C207" s="4" t="s">
        <v>202</v>
      </c>
      <c r="D207" s="215">
        <f>(4.6*2.9+2.9*0.75+2.15*2.75+3.2*2.75+1.7*0.6+1.58*0.75+3.45*3.03+3.45*0.75+2.25*1.35+1.35*2.15+1.6*0.55+1*2.4+2.46*0.6)*10.764</f>
        <v>604.60849799999994</v>
      </c>
      <c r="E207" s="216"/>
      <c r="F207" s="4">
        <v>0</v>
      </c>
      <c r="G207" s="4">
        <f t="shared" si="6"/>
        <v>906.91274699999985</v>
      </c>
      <c r="H207" s="4" t="s">
        <v>89</v>
      </c>
      <c r="I207" s="191"/>
      <c r="J207" s="192"/>
    </row>
    <row r="208" spans="1:10" s="3" customFormat="1" x14ac:dyDescent="0.25">
      <c r="A208" s="184" t="s">
        <v>205</v>
      </c>
      <c r="B208" s="185"/>
      <c r="C208" s="185"/>
      <c r="D208" s="185"/>
      <c r="E208" s="185"/>
      <c r="F208" s="185"/>
      <c r="G208" s="185"/>
      <c r="H208" s="185"/>
      <c r="I208" s="185"/>
      <c r="J208" s="186"/>
    </row>
    <row r="209" spans="1:10" s="3" customFormat="1" x14ac:dyDescent="0.25">
      <c r="A209" s="184" t="s">
        <v>229</v>
      </c>
      <c r="B209" s="185"/>
      <c r="C209" s="185"/>
      <c r="D209" s="185"/>
      <c r="E209" s="185"/>
      <c r="F209" s="185"/>
      <c r="G209" s="185"/>
      <c r="H209" s="185"/>
      <c r="I209" s="185"/>
      <c r="J209" s="186"/>
    </row>
    <row r="210" spans="1:10" s="3" customFormat="1" x14ac:dyDescent="0.25">
      <c r="A210" s="215">
        <v>1</v>
      </c>
      <c r="B210" s="216"/>
      <c r="C210" s="4" t="s">
        <v>202</v>
      </c>
      <c r="D210" s="215">
        <f>(2.9*4.6+2.9*0.75+0.6*2.46+2.75*3.2+1.7*0.6+1.4*0.75+3.03*3.45+3.03*0.75+2.15*1.35+1.35*2.28+2.45*1+1.9*0.88+2.75*2.15)*10.764</f>
        <v>609.26392799999996</v>
      </c>
      <c r="E210" s="216"/>
      <c r="F210" s="4">
        <v>0</v>
      </c>
      <c r="G210" s="4">
        <f>D210*1.5+F210</f>
        <v>913.895892</v>
      </c>
      <c r="H210" s="4" t="s">
        <v>89</v>
      </c>
      <c r="I210" s="187" t="s">
        <v>212</v>
      </c>
      <c r="J210" s="188"/>
    </row>
    <row r="211" spans="1:10" s="3" customFormat="1" x14ac:dyDescent="0.25">
      <c r="A211" s="215">
        <v>2</v>
      </c>
      <c r="B211" s="216"/>
      <c r="C211" s="4" t="s">
        <v>202</v>
      </c>
      <c r="D211" s="215">
        <f>(2.9*4.6+2.9*0.75+0.6*2.46+2.75*3.2+1.7*0.6+1.4*0.75+3.03*3.45+3.03*0.75+2.15*1.35+1.35*2.28+2.45*1+1.9*0.88+2.75*2.15)*10.764</f>
        <v>609.26392799999996</v>
      </c>
      <c r="E211" s="216"/>
      <c r="F211" s="4">
        <v>0</v>
      </c>
      <c r="G211" s="4">
        <f t="shared" ref="G211:G213" si="7">D211*1.5+F211</f>
        <v>913.895892</v>
      </c>
      <c r="H211" s="4" t="s">
        <v>89</v>
      </c>
      <c r="I211" s="189"/>
      <c r="J211" s="190"/>
    </row>
    <row r="212" spans="1:10" s="3" customFormat="1" x14ac:dyDescent="0.25">
      <c r="A212" s="215">
        <v>3</v>
      </c>
      <c r="B212" s="216"/>
      <c r="C212" s="4" t="s">
        <v>225</v>
      </c>
      <c r="D212" s="215">
        <f>(5.93*4.2+5.93*0.75+2.75*2.15+2.75*3.2+1.7*0.6+1.4*0.75+3.03*3.45+3.03*0.75+2.75*3.2+1.7*0.6+1.4*0.75+3.03*3.45+3.03*0.75+1.35*2.25+2.15*1.35+2.15*1.35+1.35*2.35+1.51*0.85+2.45*1+0.8*1.3+2.3*1.18+2.3*1.18+0.8*1.3+2.45*1+1.51*0.86)*10.764</f>
        <v>1178.2608084000001</v>
      </c>
      <c r="E212" s="216"/>
      <c r="F212" s="4">
        <v>0</v>
      </c>
      <c r="G212" s="4">
        <f t="shared" si="7"/>
        <v>1767.3912126</v>
      </c>
      <c r="H212" s="4" t="s">
        <v>89</v>
      </c>
      <c r="I212" s="189"/>
      <c r="J212" s="190"/>
    </row>
    <row r="213" spans="1:10" s="3" customFormat="1" x14ac:dyDescent="0.25">
      <c r="A213" s="215">
        <v>6</v>
      </c>
      <c r="B213" s="216"/>
      <c r="C213" s="4" t="s">
        <v>202</v>
      </c>
      <c r="D213" s="215">
        <f>(5.06*3.05+3.05*0.75+2.15*3.05+3.45*2.8+1.63*0.6+1.4*0.75+4.58*3.01+3.01*0.75+2.3*1.35+1.3*2.15+1*1.4+2.43*1.71)*10.764</f>
        <v>683.13295440000002</v>
      </c>
      <c r="E213" s="216"/>
      <c r="F213" s="4">
        <v>0</v>
      </c>
      <c r="G213" s="4">
        <f t="shared" si="7"/>
        <v>1024.6994316</v>
      </c>
      <c r="H213" s="4" t="s">
        <v>89</v>
      </c>
      <c r="I213" s="189"/>
      <c r="J213" s="190"/>
    </row>
    <row r="214" spans="1:10" s="3" customFormat="1" x14ac:dyDescent="0.25">
      <c r="A214" s="184" t="s">
        <v>230</v>
      </c>
      <c r="B214" s="185"/>
      <c r="C214" s="185"/>
      <c r="D214" s="185"/>
      <c r="E214" s="185"/>
      <c r="F214" s="185"/>
      <c r="G214" s="185"/>
      <c r="H214" s="185"/>
      <c r="I214" s="185"/>
      <c r="J214" s="186"/>
    </row>
    <row r="215" spans="1:10" s="3" customFormat="1" x14ac:dyDescent="0.25">
      <c r="A215" s="215">
        <v>3</v>
      </c>
      <c r="B215" s="216"/>
      <c r="C215" s="4" t="s">
        <v>202</v>
      </c>
      <c r="D215" s="215">
        <f>(5.93*4.2+0.6*2.48+2.75*2.15+2.15*1.35+2.45*1+1.51*0.68+1.25*2.25+3.03*3.45+2.75*3.2+2.9*0.75+1.3*0.75+1.4*0.6+3.03*0.75)*10.764+453</f>
        <v>1174.3419251999999</v>
      </c>
      <c r="E215" s="216"/>
      <c r="F215" s="4">
        <v>0</v>
      </c>
      <c r="G215" s="4">
        <f>D215*1.5+F215</f>
        <v>1761.5128877999998</v>
      </c>
      <c r="H215" s="4" t="s">
        <v>89</v>
      </c>
      <c r="I215" s="189" t="s">
        <v>214</v>
      </c>
      <c r="J215" s="190"/>
    </row>
    <row r="216" spans="1:10" s="3" customFormat="1" x14ac:dyDescent="0.25">
      <c r="A216" s="215">
        <v>5</v>
      </c>
      <c r="B216" s="216"/>
      <c r="C216" s="4" t="s">
        <v>202</v>
      </c>
      <c r="D216" s="215">
        <f>(6*2.65+2.43*1.71+2.15*3.05+3.45*2.8+4.58*3.05+2.9*1.35+1.3*2.15+1*1.4+2.65*0.75+1.3*0.6+1.4*0.75+3.03*0.75)*10.764</f>
        <v>693.65153520000001</v>
      </c>
      <c r="E216" s="216"/>
      <c r="F216" s="4">
        <v>0</v>
      </c>
      <c r="G216" s="4">
        <f>D216*1.5+F216</f>
        <v>1040.4773028</v>
      </c>
      <c r="H216" s="4" t="s">
        <v>89</v>
      </c>
      <c r="I216" s="189"/>
      <c r="J216" s="190"/>
    </row>
    <row r="217" spans="1:10" s="3" customFormat="1" ht="15.75" customHeight="1" x14ac:dyDescent="0.25">
      <c r="A217" s="184" t="s">
        <v>231</v>
      </c>
      <c r="B217" s="185"/>
      <c r="C217" s="185"/>
      <c r="D217" s="185"/>
      <c r="E217" s="185"/>
      <c r="F217" s="185"/>
      <c r="G217" s="185"/>
      <c r="H217" s="185"/>
      <c r="I217" s="185"/>
      <c r="J217" s="186"/>
    </row>
    <row r="218" spans="1:10" s="3" customFormat="1" x14ac:dyDescent="0.25">
      <c r="A218" s="215">
        <v>3</v>
      </c>
      <c r="B218" s="216"/>
      <c r="C218" s="4" t="s">
        <v>202</v>
      </c>
      <c r="D218" s="215">
        <f>(5.93*4.2+0.6*2.48+2.75*2.15+2.15*1.35+2.45*1+1.51*0.68+1.25*2.25+3.03*3.45+2.75*3.2+2.9*0.75+1.3*0.75+1.4*0.6+3.03*0.75)*10.764+453</f>
        <v>1174.3419251999999</v>
      </c>
      <c r="E218" s="216"/>
      <c r="F218" s="4">
        <v>0</v>
      </c>
      <c r="G218" s="4">
        <f>D218*1.5+F218</f>
        <v>1761.5128877999998</v>
      </c>
      <c r="H218" s="4" t="s">
        <v>89</v>
      </c>
      <c r="I218" s="189" t="s">
        <v>215</v>
      </c>
      <c r="J218" s="190"/>
    </row>
    <row r="219" spans="1:10" s="3" customFormat="1" x14ac:dyDescent="0.25">
      <c r="A219" s="215">
        <v>5</v>
      </c>
      <c r="B219" s="216"/>
      <c r="C219" s="4" t="s">
        <v>202</v>
      </c>
      <c r="D219" s="215">
        <f>(6*2.65+2.43*1.71+2.15*3.05+3.45*2.8+4.58*3.05+2.9*1.35+1.3*2.15+1*1.4+2.65*0.75+1.3*0.6+1.4*0.75+3.03*0.75)*10.764</f>
        <v>693.65153520000001</v>
      </c>
      <c r="E219" s="216"/>
      <c r="F219" s="4">
        <v>0</v>
      </c>
      <c r="G219" s="4">
        <f>D219*1.5+F219</f>
        <v>1040.4773028</v>
      </c>
      <c r="H219" s="4" t="s">
        <v>89</v>
      </c>
      <c r="I219" s="189"/>
      <c r="J219" s="190"/>
    </row>
    <row r="220" spans="1:10" s="3" customFormat="1" x14ac:dyDescent="0.25">
      <c r="A220" s="184" t="s">
        <v>211</v>
      </c>
      <c r="B220" s="185"/>
      <c r="C220" s="185"/>
      <c r="D220" s="185"/>
      <c r="E220" s="185"/>
      <c r="F220" s="185"/>
      <c r="G220" s="185"/>
      <c r="H220" s="185"/>
      <c r="I220" s="185"/>
      <c r="J220" s="186"/>
    </row>
    <row r="221" spans="1:10" s="3" customFormat="1" x14ac:dyDescent="0.25">
      <c r="A221" s="184" t="s">
        <v>192</v>
      </c>
      <c r="B221" s="185"/>
      <c r="C221" s="185"/>
      <c r="D221" s="185"/>
      <c r="E221" s="185"/>
      <c r="F221" s="185"/>
      <c r="G221" s="185"/>
      <c r="H221" s="185"/>
      <c r="I221" s="185"/>
      <c r="J221" s="186"/>
    </row>
    <row r="222" spans="1:10" s="3" customFormat="1" x14ac:dyDescent="0.25">
      <c r="A222" s="184" t="s">
        <v>193</v>
      </c>
      <c r="B222" s="185"/>
      <c r="C222" s="185"/>
      <c r="D222" s="185"/>
      <c r="E222" s="185"/>
      <c r="F222" s="185"/>
      <c r="G222" s="185"/>
      <c r="H222" s="185"/>
      <c r="I222" s="185"/>
      <c r="J222" s="186"/>
    </row>
    <row r="223" spans="1:10" s="3" customFormat="1" x14ac:dyDescent="0.25">
      <c r="A223" s="184" t="s">
        <v>194</v>
      </c>
      <c r="B223" s="185"/>
      <c r="C223" s="185"/>
      <c r="D223" s="185"/>
      <c r="E223" s="185"/>
      <c r="F223" s="185"/>
      <c r="G223" s="185"/>
      <c r="H223" s="185"/>
      <c r="I223" s="185"/>
      <c r="J223" s="186"/>
    </row>
    <row r="224" spans="1:10" s="3" customFormat="1" x14ac:dyDescent="0.25">
      <c r="A224" s="184" t="s">
        <v>216</v>
      </c>
      <c r="B224" s="185"/>
      <c r="C224" s="185"/>
      <c r="D224" s="185"/>
      <c r="E224" s="185"/>
      <c r="F224" s="185"/>
      <c r="G224" s="185"/>
      <c r="H224" s="185"/>
      <c r="I224" s="185"/>
      <c r="J224" s="186"/>
    </row>
    <row r="225" spans="1:10" s="3" customFormat="1" x14ac:dyDescent="0.25">
      <c r="A225" s="215">
        <v>1</v>
      </c>
      <c r="B225" s="216"/>
      <c r="C225" s="4" t="s">
        <v>202</v>
      </c>
      <c r="D225" s="215">
        <f>(2.9*3.6+2.9*0.75+1.8*0.6+2.45*2.15+2.15*0.6+2.75*1.75+2.16*1.31+1.31*0.6+2.76*0.75+2.43*3.1+3.15*0.75+2.4*0.6+2.15*1.35+2.15*1.3+2.45*1+0.7*2.63)*10.764</f>
        <v>560.53099439999994</v>
      </c>
      <c r="E225" s="216"/>
      <c r="F225" s="4">
        <v>0</v>
      </c>
      <c r="G225" s="4">
        <f>D225*1.5+F225</f>
        <v>840.79649159999985</v>
      </c>
      <c r="H225" s="4" t="s">
        <v>89</v>
      </c>
      <c r="I225" s="187" t="str">
        <f>A224</f>
        <v>3rd to 6th, 8th to 11th, 13th to 16th, 18th to 21st &amp; 24th to 27th Floors</v>
      </c>
      <c r="J225" s="188"/>
    </row>
    <row r="226" spans="1:10" s="3" customFormat="1" x14ac:dyDescent="0.25">
      <c r="A226" s="215">
        <v>2</v>
      </c>
      <c r="B226" s="216"/>
      <c r="C226" s="4" t="s">
        <v>202</v>
      </c>
      <c r="D226" s="215">
        <f>(2.9*3.6+2.9*0.75+1.8*0.6+2.45*2.15+2.15*0.6+2.75*1.75+2.16*1.31+1.31*0.6+2.76*0.75+2.43*3.1+3.15*0.75+2.4*0.6+2.15*1.35+2.15*1.3+2.45*1+0.7*2.63)*10.764</f>
        <v>560.53099439999994</v>
      </c>
      <c r="E226" s="216"/>
      <c r="F226" s="4">
        <v>0</v>
      </c>
      <c r="G226" s="4">
        <f t="shared" ref="G226:G230" si="8">D226*1.5+F226</f>
        <v>840.79649159999985</v>
      </c>
      <c r="H226" s="4" t="s">
        <v>89</v>
      </c>
      <c r="I226" s="189"/>
      <c r="J226" s="190"/>
    </row>
    <row r="227" spans="1:10" s="3" customFormat="1" x14ac:dyDescent="0.25">
      <c r="A227" s="215">
        <v>3</v>
      </c>
      <c r="B227" s="216"/>
      <c r="C227" s="4" t="s">
        <v>202</v>
      </c>
      <c r="D227" s="215">
        <f>(3.05*3.6+2.63*2.4+2.4*0.6+3.4*0.75+1.71*2.43+2.45*2.15+2.9*3.39+2.9*0.75+2.9*2.12+2.41*2.4+2.4*0.6+2.9*0.75+1.35*2.3+2.15*1.3+1*1.5)*10.764</f>
        <v>706.74055919999989</v>
      </c>
      <c r="E227" s="216"/>
      <c r="F227" s="4">
        <v>0</v>
      </c>
      <c r="G227" s="4">
        <f t="shared" si="8"/>
        <v>1060.1108387999998</v>
      </c>
      <c r="H227" s="4" t="s">
        <v>89</v>
      </c>
      <c r="I227" s="189"/>
      <c r="J227" s="190"/>
    </row>
    <row r="228" spans="1:10" s="3" customFormat="1" x14ac:dyDescent="0.25">
      <c r="A228" s="215">
        <v>4</v>
      </c>
      <c r="B228" s="216"/>
      <c r="C228" s="4" t="s">
        <v>202</v>
      </c>
      <c r="D228" s="215">
        <f>(3.05*3.6+2.63*2.4+2.4*0.6+3.4*0.75+1.71*2.43+2.45*2.15+2.9*3.39+2.9*0.75+2.9*2.12+2.41*2.4+2.4*0.6+2.9*0.75+1.35*2.3+2.15*1.3+1*1.5)*10.764</f>
        <v>706.74055919999989</v>
      </c>
      <c r="E228" s="216"/>
      <c r="F228" s="4">
        <v>0</v>
      </c>
      <c r="G228" s="4">
        <f t="shared" si="8"/>
        <v>1060.1108387999998</v>
      </c>
      <c r="H228" s="4" t="s">
        <v>89</v>
      </c>
      <c r="I228" s="189"/>
      <c r="J228" s="190"/>
    </row>
    <row r="229" spans="1:10" s="3" customFormat="1" x14ac:dyDescent="0.25">
      <c r="A229" s="215">
        <v>5</v>
      </c>
      <c r="B229" s="216"/>
      <c r="C229" s="4" t="s">
        <v>202</v>
      </c>
      <c r="D229" s="215">
        <f>(2.9*3.78+2.9*0.75+2.45*2.15+2.15*0.6+2.75*3.05+2.75*0.75+2.43*3.95+3.15*0.75+2.4*0.75+2.15*1.35+2.15*1.3+1.9*2.15+0.7*1.36+2.25*1.15+1*2.45)*10.764</f>
        <v>642.36860999999988</v>
      </c>
      <c r="E229" s="216"/>
      <c r="F229" s="4">
        <v>0</v>
      </c>
      <c r="G229" s="4">
        <f t="shared" si="8"/>
        <v>963.55291499999976</v>
      </c>
      <c r="H229" s="4" t="s">
        <v>89</v>
      </c>
      <c r="I229" s="189"/>
      <c r="J229" s="190"/>
    </row>
    <row r="230" spans="1:10" s="3" customFormat="1" x14ac:dyDescent="0.25">
      <c r="A230" s="215">
        <v>6</v>
      </c>
      <c r="B230" s="216"/>
      <c r="C230" s="4" t="s">
        <v>202</v>
      </c>
      <c r="D230" s="215">
        <f>(2.9*3.78+2.9*0.75+2.45*2.15+2.15*0.6+2.75*3.05+2.75*0.75+2.43*3.95+3.15*0.75+2.4*0.75+2.15*1.35+2.15*1.3+1.9*2.15+0.7*1.36+2.25*1.15+1*2.45)*10.764</f>
        <v>642.36860999999988</v>
      </c>
      <c r="E230" s="216"/>
      <c r="F230" s="4">
        <v>0</v>
      </c>
      <c r="G230" s="4">
        <f t="shared" si="8"/>
        <v>963.55291499999976</v>
      </c>
      <c r="H230" s="4" t="s">
        <v>89</v>
      </c>
      <c r="I230" s="191"/>
      <c r="J230" s="192"/>
    </row>
    <row r="231" spans="1:10" s="3" customFormat="1" x14ac:dyDescent="0.25">
      <c r="A231" s="184" t="s">
        <v>205</v>
      </c>
      <c r="B231" s="185"/>
      <c r="C231" s="185"/>
      <c r="D231" s="185"/>
      <c r="E231" s="185"/>
      <c r="F231" s="185"/>
      <c r="G231" s="185"/>
      <c r="H231" s="185"/>
      <c r="I231" s="185"/>
      <c r="J231" s="186"/>
    </row>
    <row r="232" spans="1:10" s="3" customFormat="1" x14ac:dyDescent="0.25">
      <c r="A232" s="184" t="s">
        <v>218</v>
      </c>
      <c r="B232" s="185"/>
      <c r="C232" s="185"/>
      <c r="D232" s="185"/>
      <c r="E232" s="185"/>
      <c r="F232" s="185"/>
      <c r="G232" s="185"/>
      <c r="H232" s="185"/>
      <c r="I232" s="185"/>
      <c r="J232" s="186"/>
    </row>
    <row r="233" spans="1:10" s="3" customFormat="1" x14ac:dyDescent="0.25">
      <c r="A233" s="215">
        <v>1</v>
      </c>
      <c r="B233" s="216"/>
      <c r="C233" s="4" t="s">
        <v>202</v>
      </c>
      <c r="D233" s="215">
        <f>(2.9*3.6+2.9*0.75+1.8*0.6+2.45*2.15+2.15*0.6+2.75*1.75+2.16*1.31+1.31*0.6+2.76*0.75+2.43*3.1+3.15*0.75+2.4*0.6+2.15*1.35+2.15*1.3+2.45*1+0.7*2.63)*10.764</f>
        <v>560.53099439999994</v>
      </c>
      <c r="E233" s="216"/>
      <c r="F233" s="4">
        <v>0</v>
      </c>
      <c r="G233" s="4">
        <f>D233*1.5+F233</f>
        <v>840.79649159999985</v>
      </c>
      <c r="H233" s="4" t="s">
        <v>89</v>
      </c>
      <c r="I233" s="187" t="str">
        <f>A232</f>
        <v>7th, 12th, 17th, 22nd &amp; 28th Floors</v>
      </c>
      <c r="J233" s="188"/>
    </row>
    <row r="234" spans="1:10" s="3" customFormat="1" x14ac:dyDescent="0.25">
      <c r="A234" s="215">
        <v>2</v>
      </c>
      <c r="B234" s="216"/>
      <c r="C234" s="4" t="s">
        <v>202</v>
      </c>
      <c r="D234" s="215">
        <f>(2.9*3.6+2.9*0.75+1.8*0.6+2.45*2.15+2.15*0.6+2.75*1.75+2.16*1.31+1.31*0.6+2.76*0.75+2.43*3.1+3.15*0.75+2.4*0.6+2.15*1.35+2.15*1.3+2.45*1+0.7*2.63)*10.764</f>
        <v>560.53099439999994</v>
      </c>
      <c r="E234" s="216"/>
      <c r="F234" s="4">
        <v>0</v>
      </c>
      <c r="G234" s="4">
        <f t="shared" ref="G234:G235" si="9">D234*1.5+F234</f>
        <v>840.79649159999985</v>
      </c>
      <c r="H234" s="4" t="s">
        <v>89</v>
      </c>
      <c r="I234" s="189"/>
      <c r="J234" s="190"/>
    </row>
    <row r="235" spans="1:10" s="3" customFormat="1" x14ac:dyDescent="0.25">
      <c r="A235" s="215">
        <v>3</v>
      </c>
      <c r="B235" s="216"/>
      <c r="C235" s="4" t="s">
        <v>202</v>
      </c>
      <c r="D235" s="215">
        <f>(3.05*3.6+2.63*2.4+2.4*0.6+3.4*0.75+1.71*2.43+2.45*2.15+2.9*3.39+2.9*0.75+2.9*2.12+2.41*2.4+2.4*0.6+2.9*0.75+1.35*2.3+2.15*1.3+1*1.5)*10.764</f>
        <v>706.74055919999989</v>
      </c>
      <c r="E235" s="216"/>
      <c r="F235" s="4">
        <v>0</v>
      </c>
      <c r="G235" s="4">
        <f t="shared" si="9"/>
        <v>1060.1108387999998</v>
      </c>
      <c r="H235" s="4" t="s">
        <v>89</v>
      </c>
      <c r="I235" s="189"/>
      <c r="J235" s="190"/>
    </row>
    <row r="236" spans="1:10" s="3" customFormat="1" x14ac:dyDescent="0.25">
      <c r="A236" s="215">
        <v>4</v>
      </c>
      <c r="B236" s="216"/>
      <c r="C236" s="215" t="s">
        <v>204</v>
      </c>
      <c r="D236" s="230"/>
      <c r="E236" s="230"/>
      <c r="F236" s="230"/>
      <c r="G236" s="216"/>
      <c r="H236" s="4" t="s">
        <v>89</v>
      </c>
      <c r="I236" s="189"/>
      <c r="J236" s="190"/>
    </row>
    <row r="237" spans="1:10" s="3" customFormat="1" x14ac:dyDescent="0.25">
      <c r="A237" s="215">
        <v>5</v>
      </c>
      <c r="B237" s="216"/>
      <c r="C237" s="4" t="s">
        <v>202</v>
      </c>
      <c r="D237" s="215">
        <f>(2.9*3.78+2.9*0.75+2.45*2.15+2.15*0.6+2.75*3.05+2.75*0.75+2.43*3.95+3.15*0.75+2.4*0.75+2.15*1.35+2.15*1.3+1.9*2.15+0.7*1.36+2.25*1.15+1*2.45)*10.764</f>
        <v>642.36860999999988</v>
      </c>
      <c r="E237" s="216"/>
      <c r="F237" s="4">
        <v>0</v>
      </c>
      <c r="G237" s="4">
        <f>D237*1.5+F237</f>
        <v>963.55291499999976</v>
      </c>
      <c r="H237" s="4" t="s">
        <v>89</v>
      </c>
      <c r="I237" s="189"/>
      <c r="J237" s="190"/>
    </row>
    <row r="238" spans="1:10" s="3" customFormat="1" x14ac:dyDescent="0.25">
      <c r="A238" s="215">
        <v>6</v>
      </c>
      <c r="B238" s="216"/>
      <c r="C238" s="4" t="s">
        <v>202</v>
      </c>
      <c r="D238" s="215">
        <f>(2.9*3.78+2.9*0.75+2.45*2.15+2.15*0.6+2.75*3.05+2.75*0.75+2.43*3.95+3.15*0.75+2.4*0.75+2.15*1.35+2.15*1.3+1.9*2.15+0.7*1.36+2.25*1.15+1*2.45)*10.764</f>
        <v>642.36860999999988</v>
      </c>
      <c r="E238" s="216"/>
      <c r="F238" s="4">
        <v>0</v>
      </c>
      <c r="G238" s="4">
        <f>D238*1.5+F238</f>
        <v>963.55291499999976</v>
      </c>
      <c r="H238" s="4" t="s">
        <v>89</v>
      </c>
      <c r="I238" s="191"/>
      <c r="J238" s="192"/>
    </row>
    <row r="239" spans="1:10" s="3" customFormat="1" x14ac:dyDescent="0.25">
      <c r="A239" s="184" t="s">
        <v>219</v>
      </c>
      <c r="B239" s="185"/>
      <c r="C239" s="185"/>
      <c r="D239" s="185"/>
      <c r="E239" s="185"/>
      <c r="F239" s="185"/>
      <c r="G239" s="185"/>
      <c r="H239" s="185"/>
      <c r="I239" s="185"/>
      <c r="J239" s="186"/>
    </row>
    <row r="240" spans="1:10" s="3" customFormat="1" x14ac:dyDescent="0.25">
      <c r="A240" s="184" t="s">
        <v>192</v>
      </c>
      <c r="B240" s="185"/>
      <c r="C240" s="185"/>
      <c r="D240" s="185"/>
      <c r="E240" s="185"/>
      <c r="F240" s="185"/>
      <c r="G240" s="185"/>
      <c r="H240" s="185"/>
      <c r="I240" s="185"/>
      <c r="J240" s="186"/>
    </row>
    <row r="241" spans="1:10" s="3" customFormat="1" x14ac:dyDescent="0.25">
      <c r="A241" s="184" t="s">
        <v>193</v>
      </c>
      <c r="B241" s="185"/>
      <c r="C241" s="185"/>
      <c r="D241" s="185"/>
      <c r="E241" s="185"/>
      <c r="F241" s="185"/>
      <c r="G241" s="185"/>
      <c r="H241" s="185"/>
      <c r="I241" s="185"/>
      <c r="J241" s="186"/>
    </row>
    <row r="242" spans="1:10" s="3" customFormat="1" x14ac:dyDescent="0.25">
      <c r="A242" s="184" t="s">
        <v>194</v>
      </c>
      <c r="B242" s="185"/>
      <c r="C242" s="185"/>
      <c r="D242" s="185"/>
      <c r="E242" s="185"/>
      <c r="F242" s="185"/>
      <c r="G242" s="185"/>
      <c r="H242" s="185"/>
      <c r="I242" s="185"/>
      <c r="J242" s="186"/>
    </row>
    <row r="243" spans="1:10" s="3" customFormat="1" x14ac:dyDescent="0.25">
      <c r="A243" s="184" t="s">
        <v>216</v>
      </c>
      <c r="B243" s="185"/>
      <c r="C243" s="185"/>
      <c r="D243" s="185"/>
      <c r="E243" s="185"/>
      <c r="F243" s="185"/>
      <c r="G243" s="185"/>
      <c r="H243" s="185"/>
      <c r="I243" s="185"/>
      <c r="J243" s="186"/>
    </row>
    <row r="244" spans="1:10" s="3" customFormat="1" ht="20.25" customHeight="1" x14ac:dyDescent="0.25">
      <c r="A244" s="215">
        <v>1</v>
      </c>
      <c r="B244" s="216"/>
      <c r="C244" s="4" t="s">
        <v>217</v>
      </c>
      <c r="D244" s="215">
        <f>(3.05*4.5+3.05*0.75+1.8*1.18+1.39*3.25+2.4*2+2*0.6+2.95*3.2+1.4*0.6+1.5*0.75+3.18*3.2+1.4*0.75+1.4*0.6+1.5*2+3.46*3+2.4*0.6+3*0.75+1.6*2.1+1.35*2.1+1*(1.8+1.35))*10.764</f>
        <v>845.40455999999983</v>
      </c>
      <c r="E244" s="216"/>
      <c r="F244" s="4">
        <v>0</v>
      </c>
      <c r="G244" s="4">
        <f>D244*1.5+F244</f>
        <v>1268.1068399999997</v>
      </c>
      <c r="H244" s="4" t="s">
        <v>89</v>
      </c>
      <c r="I244" s="187" t="str">
        <f>A243</f>
        <v>3rd to 6th, 8th to 11th, 13th to 16th, 18th to 21st &amp; 24th to 27th Floors</v>
      </c>
      <c r="J244" s="188"/>
    </row>
    <row r="245" spans="1:10" s="3" customFormat="1" ht="20.25" customHeight="1" x14ac:dyDescent="0.25">
      <c r="A245" s="215">
        <v>2</v>
      </c>
      <c r="B245" s="216"/>
      <c r="C245" s="4" t="s">
        <v>202</v>
      </c>
      <c r="D245" s="215">
        <f>(3.05*4.5+3.05*0.75+1.8*1.18+1.32*3.83+3*1.55+3*0.6+2.95*3.2+1.6*0.6+1.4*0.75+3.05*3.35+3.05*0.75+2.4*0.75+2.25*1.6+2.25*1.46+1*2.75)*10.764</f>
        <v>700.0055243999999</v>
      </c>
      <c r="E245" s="216"/>
      <c r="F245" s="4">
        <v>0</v>
      </c>
      <c r="G245" s="4">
        <f t="shared" ref="G245:G251" si="10">D245*1.5+F245</f>
        <v>1050.0082865999998</v>
      </c>
      <c r="H245" s="4" t="s">
        <v>89</v>
      </c>
      <c r="I245" s="189"/>
      <c r="J245" s="190"/>
    </row>
    <row r="246" spans="1:10" s="3" customFormat="1" ht="20.25" customHeight="1" x14ac:dyDescent="0.25">
      <c r="A246" s="215">
        <v>3</v>
      </c>
      <c r="B246" s="216"/>
      <c r="C246" s="4" t="s">
        <v>202</v>
      </c>
      <c r="D246" s="215">
        <f>(4.25*3.05+3.05*0.75+1.4*2.15+1.55*1.66+1.55*0.6+2.95*2.25+2.28*0.75+2.4*0.6+3.05*3.25+2.4*0.6+2.4*0.75+2.15*1.35+2.15*1.35+1*4.3+2.73*0.8+2.4*0.6)*10.764</f>
        <v>628.96204799999987</v>
      </c>
      <c r="E246" s="216"/>
      <c r="F246" s="4">
        <v>0</v>
      </c>
      <c r="G246" s="4">
        <f t="shared" si="10"/>
        <v>943.4430719999998</v>
      </c>
      <c r="H246" s="4" t="s">
        <v>89</v>
      </c>
      <c r="I246" s="189"/>
      <c r="J246" s="190"/>
    </row>
    <row r="247" spans="1:10" s="3" customFormat="1" ht="20.25" customHeight="1" x14ac:dyDescent="0.25">
      <c r="A247" s="215">
        <v>4</v>
      </c>
      <c r="B247" s="216"/>
      <c r="C247" s="4" t="s">
        <v>202</v>
      </c>
      <c r="D247" s="215">
        <f>(4.25*3.05+3.05*0.75+1.4*2.15+1.55*1.66+1.55*0.6+2.95*2.25+2.28*0.75+2.4*0.6+3.05*3.25+2.4*0.6+2.4*0.75+2.15*1.35+2.15*1.35+1*4.3+2.73*0.8+2.4*0.6)*10.764</f>
        <v>628.96204799999987</v>
      </c>
      <c r="E247" s="216"/>
      <c r="F247" s="4">
        <v>0</v>
      </c>
      <c r="G247" s="4">
        <f t="shared" si="10"/>
        <v>943.4430719999998</v>
      </c>
      <c r="H247" s="4" t="s">
        <v>89</v>
      </c>
      <c r="I247" s="189"/>
      <c r="J247" s="190"/>
    </row>
    <row r="248" spans="1:10" s="3" customFormat="1" ht="20.25" customHeight="1" x14ac:dyDescent="0.25">
      <c r="A248" s="215">
        <v>5</v>
      </c>
      <c r="B248" s="216"/>
      <c r="C248" s="4" t="s">
        <v>202</v>
      </c>
      <c r="D248" s="215">
        <f>(4.25*3.05+3.05*0.75+1.4*2.15+1.55*1.66+1.55*0.6+2.95*2.25+2.28*0.75+2.4*0.6+3.05*3.25+2.4*0.6+2.4*0.75+2.15*1.35+2.15*1.35+1*4.3+2.73*0.8+2.4*0.6)*10.764</f>
        <v>628.96204799999987</v>
      </c>
      <c r="E248" s="216"/>
      <c r="F248" s="4">
        <v>0</v>
      </c>
      <c r="G248" s="4">
        <f t="shared" si="10"/>
        <v>943.4430719999998</v>
      </c>
      <c r="H248" s="4" t="s">
        <v>89</v>
      </c>
      <c r="I248" s="189"/>
      <c r="J248" s="190"/>
    </row>
    <row r="249" spans="1:10" s="3" customFormat="1" ht="20.25" customHeight="1" x14ac:dyDescent="0.25">
      <c r="A249" s="215">
        <v>6</v>
      </c>
      <c r="B249" s="216"/>
      <c r="C249" s="4" t="s">
        <v>202</v>
      </c>
      <c r="D249" s="215">
        <f>(4.25*3.05+3.05*0.75+1.4*2.15+1.55*1.66+1.55*0.6+2.95*2.25+2.28*0.75+2.4*0.6+3.05*3.25+2.4*0.6+2.4*0.75+2.15*1.35+2.15*1.35+1*4.3+2.73*0.8+2.4*0.6)*10.764</f>
        <v>628.96204799999987</v>
      </c>
      <c r="E249" s="216"/>
      <c r="F249" s="4">
        <v>0</v>
      </c>
      <c r="G249" s="4">
        <f t="shared" si="10"/>
        <v>943.4430719999998</v>
      </c>
      <c r="H249" s="4" t="s">
        <v>89</v>
      </c>
      <c r="I249" s="189"/>
      <c r="J249" s="190"/>
    </row>
    <row r="250" spans="1:10" s="3" customFormat="1" ht="20.25" customHeight="1" x14ac:dyDescent="0.25">
      <c r="A250" s="215">
        <v>7</v>
      </c>
      <c r="B250" s="216"/>
      <c r="C250" s="4" t="s">
        <v>202</v>
      </c>
      <c r="D250" s="215">
        <f>(3.05*4.7+2*0.6+3.05*0.75+2*1.55+1.85*1.45+1.45*0.6+3.2*2.95+1.4*0.75+0.7*0.6+3.35*3.05+3.35*0.75+2.4*0.75+1.5*2.29+1.45*2.25+0.58*1.1+1*1.5+3.83*1.27)*10.764</f>
        <v>684.74755440000001</v>
      </c>
      <c r="E250" s="216"/>
      <c r="F250" s="4">
        <v>0</v>
      </c>
      <c r="G250" s="4">
        <f t="shared" si="10"/>
        <v>1027.1213316000001</v>
      </c>
      <c r="H250" s="4" t="s">
        <v>89</v>
      </c>
      <c r="I250" s="189"/>
      <c r="J250" s="190"/>
    </row>
    <row r="251" spans="1:10" s="3" customFormat="1" ht="20.25" customHeight="1" x14ac:dyDescent="0.25">
      <c r="A251" s="215">
        <v>8</v>
      </c>
      <c r="B251" s="216"/>
      <c r="C251" s="4" t="s">
        <v>217</v>
      </c>
      <c r="D251" s="215">
        <f>(3.05*4.7+4.7*0.75+2*2.42+2*0.6+3.18*1.39+3.25*2.95+1.7*0.75+1.4*0.6+3.25*3.18+1.4*0.6+1.4*0.75+3.15*3.48+2.4*0.6+3.15*0.75+1.4*0.6+1*0.6+2.1*1.9+2.1*1.35+2*1.5+1*2.4)*10.764</f>
        <v>868.40938079999978</v>
      </c>
      <c r="E251" s="216"/>
      <c r="F251" s="4">
        <v>0</v>
      </c>
      <c r="G251" s="4">
        <f t="shared" si="10"/>
        <v>1302.6140711999997</v>
      </c>
      <c r="H251" s="4" t="s">
        <v>89</v>
      </c>
      <c r="I251" s="191"/>
      <c r="J251" s="192"/>
    </row>
    <row r="252" spans="1:10" s="3" customFormat="1" x14ac:dyDescent="0.25">
      <c r="A252" s="184" t="s">
        <v>220</v>
      </c>
      <c r="B252" s="185"/>
      <c r="C252" s="185"/>
      <c r="D252" s="185"/>
      <c r="E252" s="185"/>
      <c r="F252" s="185"/>
      <c r="G252" s="185"/>
      <c r="H252" s="185"/>
      <c r="I252" s="185"/>
      <c r="J252" s="186"/>
    </row>
    <row r="253" spans="1:10" s="3" customFormat="1" x14ac:dyDescent="0.25">
      <c r="A253" s="215">
        <v>1</v>
      </c>
      <c r="B253" s="216"/>
      <c r="C253" s="4" t="s">
        <v>217</v>
      </c>
      <c r="D253" s="215">
        <v>845.40455999999983</v>
      </c>
      <c r="E253" s="216"/>
      <c r="F253" s="4">
        <v>0</v>
      </c>
      <c r="G253" s="4">
        <f>D253*1.5+F253</f>
        <v>1268.1068399999997</v>
      </c>
      <c r="H253" s="4" t="s">
        <v>89</v>
      </c>
      <c r="I253" s="187" t="str">
        <f>A252</f>
        <v>7th, 12th, 17th &amp; 22nd Floors</v>
      </c>
      <c r="J253" s="188"/>
    </row>
    <row r="254" spans="1:10" s="3" customFormat="1" x14ac:dyDescent="0.25">
      <c r="A254" s="215">
        <v>2</v>
      </c>
      <c r="B254" s="216"/>
      <c r="C254" s="4" t="s">
        <v>202</v>
      </c>
      <c r="D254" s="215">
        <v>700.0055243999999</v>
      </c>
      <c r="E254" s="216"/>
      <c r="F254" s="4">
        <v>0</v>
      </c>
      <c r="G254" s="4">
        <f t="shared" ref="G254:G256" si="11">D254*1.5+F254</f>
        <v>1050.0082865999998</v>
      </c>
      <c r="H254" s="4" t="s">
        <v>89</v>
      </c>
      <c r="I254" s="189"/>
      <c r="J254" s="190"/>
    </row>
    <row r="255" spans="1:10" s="3" customFormat="1" x14ac:dyDescent="0.25">
      <c r="A255" s="215">
        <v>3</v>
      </c>
      <c r="B255" s="216"/>
      <c r="C255" s="4" t="s">
        <v>202</v>
      </c>
      <c r="D255" s="215">
        <v>628.96204799999987</v>
      </c>
      <c r="E255" s="216"/>
      <c r="F255" s="4">
        <v>0</v>
      </c>
      <c r="G255" s="4">
        <f t="shared" si="11"/>
        <v>943.4430719999998</v>
      </c>
      <c r="H255" s="4" t="s">
        <v>89</v>
      </c>
      <c r="I255" s="189"/>
      <c r="J255" s="190"/>
    </row>
    <row r="256" spans="1:10" s="3" customFormat="1" x14ac:dyDescent="0.25">
      <c r="A256" s="215">
        <v>4</v>
      </c>
      <c r="B256" s="216"/>
      <c r="C256" s="4" t="s">
        <v>202</v>
      </c>
      <c r="D256" s="215">
        <v>628.96204799999987</v>
      </c>
      <c r="E256" s="216"/>
      <c r="F256" s="4">
        <v>0</v>
      </c>
      <c r="G256" s="4">
        <f t="shared" si="11"/>
        <v>943.4430719999998</v>
      </c>
      <c r="H256" s="4" t="s">
        <v>89</v>
      </c>
      <c r="I256" s="189"/>
      <c r="J256" s="190"/>
    </row>
    <row r="257" spans="1:10" s="3" customFormat="1" x14ac:dyDescent="0.25">
      <c r="A257" s="215">
        <v>5</v>
      </c>
      <c r="B257" s="216"/>
      <c r="C257" s="187" t="s">
        <v>204</v>
      </c>
      <c r="D257" s="217"/>
      <c r="E257" s="217"/>
      <c r="F257" s="217"/>
      <c r="G257" s="188"/>
      <c r="H257" s="4" t="s">
        <v>89</v>
      </c>
      <c r="I257" s="189"/>
      <c r="J257" s="190"/>
    </row>
    <row r="258" spans="1:10" s="3" customFormat="1" x14ac:dyDescent="0.25">
      <c r="A258" s="215">
        <v>6</v>
      </c>
      <c r="B258" s="216"/>
      <c r="C258" s="191"/>
      <c r="D258" s="218"/>
      <c r="E258" s="218"/>
      <c r="F258" s="218"/>
      <c r="G258" s="192"/>
      <c r="H258" s="4" t="s">
        <v>89</v>
      </c>
      <c r="I258" s="189"/>
      <c r="J258" s="190"/>
    </row>
    <row r="259" spans="1:10" s="3" customFormat="1" x14ac:dyDescent="0.25">
      <c r="A259" s="215">
        <v>7</v>
      </c>
      <c r="B259" s="216"/>
      <c r="C259" s="4" t="s">
        <v>202</v>
      </c>
      <c r="D259" s="215">
        <f>(3.05*4.7+2*0.6+3.05*0.75+2*1.55+1.85*1.45+1.45*0.6+3.2*2.95+1.4*0.75+0.7*0.6+3.35*3.05+3.35*0.75+2.4*0.75+1.5*2.29+1.45*2.25+0.58*1.1+1*1.5+3.83*1.27)*10.764</f>
        <v>684.74755440000001</v>
      </c>
      <c r="E259" s="216"/>
      <c r="F259" s="4">
        <v>0</v>
      </c>
      <c r="G259" s="4">
        <f>D259*1.5+F259</f>
        <v>1027.1213316000001</v>
      </c>
      <c r="H259" s="4" t="s">
        <v>89</v>
      </c>
      <c r="I259" s="189"/>
      <c r="J259" s="190"/>
    </row>
    <row r="260" spans="1:10" s="3" customFormat="1" x14ac:dyDescent="0.25">
      <c r="A260" s="215">
        <v>8</v>
      </c>
      <c r="B260" s="216"/>
      <c r="C260" s="4" t="s">
        <v>217</v>
      </c>
      <c r="D260" s="215">
        <f>(3.05*4.7+4.7*0.75+2*2.42+2*0.6+3.18*1.39+3.25*2.95+1.7*0.75+1.4*0.6+3.25*3.18+1.4*0.6+1.4*0.75+3.15*3.48+2.4*0.6+3.15*0.75+1.4*0.6+1*0.6+2.1*1.9+2.1*1.35+2*1.5+1*2.4)*10.764</f>
        <v>868.40938079999978</v>
      </c>
      <c r="E260" s="216"/>
      <c r="F260" s="4">
        <v>0</v>
      </c>
      <c r="G260" s="4">
        <f>D260*1.5+F260</f>
        <v>1302.6140711999997</v>
      </c>
      <c r="H260" s="4" t="s">
        <v>89</v>
      </c>
      <c r="I260" s="191"/>
      <c r="J260" s="192"/>
    </row>
    <row r="261" spans="1:10" s="3" customFormat="1" x14ac:dyDescent="0.25">
      <c r="A261" s="184" t="s">
        <v>205</v>
      </c>
      <c r="B261" s="185"/>
      <c r="C261" s="185"/>
      <c r="D261" s="185"/>
      <c r="E261" s="185"/>
      <c r="F261" s="185"/>
      <c r="G261" s="185"/>
      <c r="H261" s="185"/>
      <c r="I261" s="185"/>
      <c r="J261" s="186"/>
    </row>
    <row r="262" spans="1:10" s="3" customFormat="1" x14ac:dyDescent="0.25">
      <c r="A262" s="184" t="s">
        <v>214</v>
      </c>
      <c r="B262" s="185"/>
      <c r="C262" s="185"/>
      <c r="D262" s="185"/>
      <c r="E262" s="185"/>
      <c r="F262" s="185"/>
      <c r="G262" s="185"/>
      <c r="H262" s="185"/>
      <c r="I262" s="185"/>
      <c r="J262" s="186"/>
    </row>
    <row r="263" spans="1:10" s="3" customFormat="1" x14ac:dyDescent="0.25">
      <c r="A263" s="215">
        <v>1</v>
      </c>
      <c r="B263" s="216"/>
      <c r="C263" s="4" t="s">
        <v>217</v>
      </c>
      <c r="D263" s="215">
        <v>845.40455999999983</v>
      </c>
      <c r="E263" s="216"/>
      <c r="F263" s="4">
        <v>0</v>
      </c>
      <c r="G263" s="4">
        <f>D263*1.5+F263</f>
        <v>1268.1068399999997</v>
      </c>
      <c r="H263" s="4" t="s">
        <v>89</v>
      </c>
      <c r="I263" s="187" t="str">
        <f>A262</f>
        <v>28th Floor</v>
      </c>
      <c r="J263" s="188"/>
    </row>
    <row r="264" spans="1:10" s="3" customFormat="1" x14ac:dyDescent="0.25">
      <c r="A264" s="215">
        <v>2</v>
      </c>
      <c r="B264" s="216"/>
      <c r="C264" s="4" t="s">
        <v>202</v>
      </c>
      <c r="D264" s="215">
        <v>700.0055243999999</v>
      </c>
      <c r="E264" s="216"/>
      <c r="F264" s="4">
        <v>0</v>
      </c>
      <c r="G264" s="4">
        <f t="shared" ref="G264" si="12">D264*1.5+F264</f>
        <v>1050.0082865999998</v>
      </c>
      <c r="H264" s="4" t="s">
        <v>89</v>
      </c>
      <c r="I264" s="189"/>
      <c r="J264" s="190"/>
    </row>
    <row r="265" spans="1:10" s="3" customFormat="1" x14ac:dyDescent="0.25">
      <c r="A265" s="215">
        <v>3</v>
      </c>
      <c r="B265" s="216"/>
      <c r="C265" s="187" t="s">
        <v>213</v>
      </c>
      <c r="D265" s="217"/>
      <c r="E265" s="217"/>
      <c r="F265" s="217"/>
      <c r="G265" s="188"/>
      <c r="H265" s="4" t="s">
        <v>89</v>
      </c>
      <c r="I265" s="189"/>
      <c r="J265" s="190"/>
    </row>
    <row r="266" spans="1:10" s="3" customFormat="1" x14ac:dyDescent="0.25">
      <c r="A266" s="215">
        <v>4</v>
      </c>
      <c r="B266" s="216"/>
      <c r="C266" s="189"/>
      <c r="D266" s="231"/>
      <c r="E266" s="231"/>
      <c r="F266" s="231"/>
      <c r="G266" s="190"/>
      <c r="H266" s="4" t="s">
        <v>89</v>
      </c>
      <c r="I266" s="189"/>
      <c r="J266" s="190"/>
    </row>
    <row r="267" spans="1:10" s="3" customFormat="1" x14ac:dyDescent="0.25">
      <c r="A267" s="215">
        <v>5</v>
      </c>
      <c r="B267" s="216"/>
      <c r="C267" s="189"/>
      <c r="D267" s="231"/>
      <c r="E267" s="231"/>
      <c r="F267" s="231"/>
      <c r="G267" s="190"/>
      <c r="H267" s="4" t="s">
        <v>89</v>
      </c>
      <c r="I267" s="189"/>
      <c r="J267" s="190"/>
    </row>
    <row r="268" spans="1:10" s="3" customFormat="1" x14ac:dyDescent="0.25">
      <c r="A268" s="215">
        <v>6</v>
      </c>
      <c r="B268" s="216"/>
      <c r="C268" s="191"/>
      <c r="D268" s="218"/>
      <c r="E268" s="218"/>
      <c r="F268" s="218"/>
      <c r="G268" s="192"/>
      <c r="H268" s="4" t="s">
        <v>89</v>
      </c>
      <c r="I268" s="189"/>
      <c r="J268" s="190"/>
    </row>
    <row r="269" spans="1:10" s="3" customFormat="1" x14ac:dyDescent="0.25">
      <c r="A269" s="215">
        <v>7</v>
      </c>
      <c r="B269" s="216"/>
      <c r="C269" s="4" t="s">
        <v>202</v>
      </c>
      <c r="D269" s="215">
        <f>(3.05*4.7+2*0.6+3.05*0.75+2*1.55+1.85*1.45+1.45*0.6+3.2*2.95+1.4*0.75+0.7*0.6+3.35*3.05+3.35*0.75+2.4*0.75+1.5*2.29+1.45*2.25+0.58*1.1+1*1.5+3.83*1.27)*10.764</f>
        <v>684.74755440000001</v>
      </c>
      <c r="E269" s="216"/>
      <c r="F269" s="4">
        <v>0</v>
      </c>
      <c r="G269" s="4">
        <f>D269*1.5+F269</f>
        <v>1027.1213316000001</v>
      </c>
      <c r="H269" s="4" t="s">
        <v>89</v>
      </c>
      <c r="I269" s="189"/>
      <c r="J269" s="190"/>
    </row>
    <row r="270" spans="1:10" s="3" customFormat="1" x14ac:dyDescent="0.25">
      <c r="A270" s="215">
        <v>8</v>
      </c>
      <c r="B270" s="216"/>
      <c r="C270" s="4" t="s">
        <v>217</v>
      </c>
      <c r="D270" s="215">
        <f>(3.05*4.7+4.7*0.75+2*2.42+2*0.6+3.18*1.39+3.25*2.95+1.7*0.75+1.4*0.6+3.25*3.18+1.4*0.6+1.4*0.75+3.15*3.48+2.4*0.6+3.15*0.75+1.4*0.6+1*0.6+2.1*1.9+2.1*1.35+2*1.5+1*2.4)*10.764</f>
        <v>868.40938079999978</v>
      </c>
      <c r="E270" s="216"/>
      <c r="F270" s="4">
        <v>0</v>
      </c>
      <c r="G270" s="4">
        <f>D270*1.5+F270</f>
        <v>1302.6140711999997</v>
      </c>
      <c r="H270" s="4" t="s">
        <v>89</v>
      </c>
      <c r="I270" s="191"/>
      <c r="J270" s="192"/>
    </row>
    <row r="271" spans="1:10" s="3" customFormat="1" x14ac:dyDescent="0.25">
      <c r="A271" s="184" t="s">
        <v>221</v>
      </c>
      <c r="B271" s="185"/>
      <c r="C271" s="185"/>
      <c r="D271" s="185"/>
      <c r="E271" s="185"/>
      <c r="F271" s="185"/>
      <c r="G271" s="185"/>
      <c r="H271" s="185"/>
      <c r="I271" s="185"/>
      <c r="J271" s="186"/>
    </row>
    <row r="272" spans="1:10" s="3" customFormat="1" x14ac:dyDescent="0.25">
      <c r="A272" s="184" t="s">
        <v>192</v>
      </c>
      <c r="B272" s="185"/>
      <c r="C272" s="185"/>
      <c r="D272" s="185"/>
      <c r="E272" s="185"/>
      <c r="F272" s="185"/>
      <c r="G272" s="185"/>
      <c r="H272" s="185"/>
      <c r="I272" s="185"/>
      <c r="J272" s="186"/>
    </row>
    <row r="273" spans="1:10" s="3" customFormat="1" x14ac:dyDescent="0.25">
      <c r="A273" s="184" t="s">
        <v>193</v>
      </c>
      <c r="B273" s="185"/>
      <c r="C273" s="185"/>
      <c r="D273" s="185"/>
      <c r="E273" s="185"/>
      <c r="F273" s="185"/>
      <c r="G273" s="185"/>
      <c r="H273" s="185"/>
      <c r="I273" s="185"/>
      <c r="J273" s="186"/>
    </row>
    <row r="274" spans="1:10" s="3" customFormat="1" x14ac:dyDescent="0.25">
      <c r="A274" s="184" t="s">
        <v>194</v>
      </c>
      <c r="B274" s="185"/>
      <c r="C274" s="185"/>
      <c r="D274" s="185"/>
      <c r="E274" s="185"/>
      <c r="F274" s="185"/>
      <c r="G274" s="185"/>
      <c r="H274" s="185"/>
      <c r="I274" s="185"/>
      <c r="J274" s="186"/>
    </row>
    <row r="275" spans="1:10" s="3" customFormat="1" x14ac:dyDescent="0.25">
      <c r="A275" s="184" t="s">
        <v>216</v>
      </c>
      <c r="B275" s="185"/>
      <c r="C275" s="185"/>
      <c r="D275" s="185"/>
      <c r="E275" s="185"/>
      <c r="F275" s="185"/>
      <c r="G275" s="185"/>
      <c r="H275" s="185"/>
      <c r="I275" s="185"/>
      <c r="J275" s="186"/>
    </row>
    <row r="276" spans="1:10" s="3" customFormat="1" x14ac:dyDescent="0.25">
      <c r="A276" s="215">
        <v>1</v>
      </c>
      <c r="B276" s="216"/>
      <c r="C276" s="4" t="s">
        <v>217</v>
      </c>
      <c r="D276" s="215">
        <f>(3.05*4.5+3.05*0.75+1.8*1.18+1.39*3.25+2.4*2+2*0.6+2.95*3.2+1.4*0.6+1.5*0.75+3.18*3.2+1.4*0.75+1.4*0.6+1.5*2+3.46*3+2.4*0.6+3*0.75+1.6*2.1+1.35*2.1+1*(1.8+1.35))*10.764</f>
        <v>845.40455999999983</v>
      </c>
      <c r="E276" s="216"/>
      <c r="F276" s="4">
        <v>0</v>
      </c>
      <c r="G276" s="4">
        <f>D276*1.5+F276</f>
        <v>1268.1068399999997</v>
      </c>
      <c r="H276" s="4" t="s">
        <v>89</v>
      </c>
      <c r="I276" s="187" t="str">
        <f>A275</f>
        <v>3rd to 6th, 8th to 11th, 13th to 16th, 18th to 21st &amp; 24th to 27th Floors</v>
      </c>
      <c r="J276" s="188"/>
    </row>
    <row r="277" spans="1:10" s="3" customFormat="1" x14ac:dyDescent="0.25">
      <c r="A277" s="215">
        <v>2</v>
      </c>
      <c r="B277" s="216"/>
      <c r="C277" s="4" t="s">
        <v>202</v>
      </c>
      <c r="D277" s="215">
        <f>(3.05*4.5+3.05*0.75+1.8*1.18+1.32*3.83+3*1.55+3*0.6+2.95*3.2+1.6*0.6+1.4*0.75+3.05*3.35+3.05*0.75+2.4*0.75+2.25*1.6+2.25*1.46+1*2.75)*10.764</f>
        <v>700.0055243999999</v>
      </c>
      <c r="E277" s="216"/>
      <c r="F277" s="4">
        <v>0</v>
      </c>
      <c r="G277" s="4">
        <f t="shared" ref="G277:G283" si="13">D277*1.5+F277</f>
        <v>1050.0082865999998</v>
      </c>
      <c r="H277" s="4" t="s">
        <v>89</v>
      </c>
      <c r="I277" s="189"/>
      <c r="J277" s="190"/>
    </row>
    <row r="278" spans="1:10" s="3" customFormat="1" x14ac:dyDescent="0.25">
      <c r="A278" s="215">
        <v>3</v>
      </c>
      <c r="B278" s="216"/>
      <c r="C278" s="4" t="s">
        <v>202</v>
      </c>
      <c r="D278" s="215">
        <f>(4.25*3.05+3.05*0.75+1.4*2.15+1.55*1.66+1.55*0.6+2.95*2.25+2.28*0.75+2.4*0.6+3.05*3.25+2.4*0.6+2.4*0.75+2.15*1.35+2.15*1.35+1*4.3+2.73*0.8+2.4*0.6)*10.764</f>
        <v>628.96204799999987</v>
      </c>
      <c r="E278" s="216"/>
      <c r="F278" s="4">
        <v>0</v>
      </c>
      <c r="G278" s="4">
        <f t="shared" si="13"/>
        <v>943.4430719999998</v>
      </c>
      <c r="H278" s="4" t="s">
        <v>89</v>
      </c>
      <c r="I278" s="189"/>
      <c r="J278" s="190"/>
    </row>
    <row r="279" spans="1:10" s="3" customFormat="1" x14ac:dyDescent="0.25">
      <c r="A279" s="215">
        <v>4</v>
      </c>
      <c r="B279" s="216"/>
      <c r="C279" s="4" t="s">
        <v>202</v>
      </c>
      <c r="D279" s="215">
        <f>(4.25*3.05+3.05*0.75+1.4*2.15+1.55*1.66+1.55*0.6+2.95*2.25+2.28*0.75+2.4*0.6+3.05*3.25+2.4*0.6+2.4*0.75+2.15*1.35+2.15*1.35+1*4.3+2.73*0.8+2.4*0.6)*10.764</f>
        <v>628.96204799999987</v>
      </c>
      <c r="E279" s="216"/>
      <c r="F279" s="4">
        <v>0</v>
      </c>
      <c r="G279" s="4">
        <f t="shared" si="13"/>
        <v>943.4430719999998</v>
      </c>
      <c r="H279" s="4" t="s">
        <v>89</v>
      </c>
      <c r="I279" s="189"/>
      <c r="J279" s="190"/>
    </row>
    <row r="280" spans="1:10" s="3" customFormat="1" x14ac:dyDescent="0.25">
      <c r="A280" s="215">
        <v>5</v>
      </c>
      <c r="B280" s="216"/>
      <c r="C280" s="4" t="s">
        <v>202</v>
      </c>
      <c r="D280" s="215">
        <f>(4.25*3.05+3.05*0.75+1.4*2.15+1.55*1.66+1.55*0.6+2.95*2.25+2.28*0.75+2.4*0.6+3.05*3.25+2.4*0.6+2.4*0.75+2.15*1.35+2.15*1.35+1*4.3+2.73*0.8+2.4*0.6)*10.764</f>
        <v>628.96204799999987</v>
      </c>
      <c r="E280" s="216"/>
      <c r="F280" s="4">
        <v>0</v>
      </c>
      <c r="G280" s="4">
        <f t="shared" si="13"/>
        <v>943.4430719999998</v>
      </c>
      <c r="H280" s="4" t="s">
        <v>89</v>
      </c>
      <c r="I280" s="189"/>
      <c r="J280" s="190"/>
    </row>
    <row r="281" spans="1:10" s="3" customFormat="1" x14ac:dyDescent="0.25">
      <c r="A281" s="215">
        <v>6</v>
      </c>
      <c r="B281" s="216"/>
      <c r="C281" s="4" t="s">
        <v>202</v>
      </c>
      <c r="D281" s="215">
        <f>(4.25*3.05+3.05*0.75+1.4*2.15+1.55*1.66+1.55*0.6+2.95*2.25+2.28*0.75+2.4*0.6+3.05*3.25+2.4*0.6+2.4*0.75+2.15*1.35+2.15*1.35+1*4.3+2.73*0.8+2.4*0.6)*10.764</f>
        <v>628.96204799999987</v>
      </c>
      <c r="E281" s="216"/>
      <c r="F281" s="4">
        <v>0</v>
      </c>
      <c r="G281" s="4">
        <f t="shared" si="13"/>
        <v>943.4430719999998</v>
      </c>
      <c r="H281" s="4" t="s">
        <v>89</v>
      </c>
      <c r="I281" s="189"/>
      <c r="J281" s="190"/>
    </row>
    <row r="282" spans="1:10" s="3" customFormat="1" x14ac:dyDescent="0.25">
      <c r="A282" s="215">
        <v>7</v>
      </c>
      <c r="B282" s="216"/>
      <c r="C282" s="4" t="s">
        <v>202</v>
      </c>
      <c r="D282" s="215">
        <f>(3.05*4.7+2*0.6+3.05*0.75+2*1.55+1.85*1.45+1.45*0.6+3.2*2.95+1.4*0.75+0.7*0.6+3.35*3.05+3.35*0.75+2.4*0.75+1.5*2.29+1.45*2.25+0.58*1.1+1*1.5+3.83*1.27)*10.764</f>
        <v>684.74755440000001</v>
      </c>
      <c r="E282" s="216"/>
      <c r="F282" s="4">
        <v>0</v>
      </c>
      <c r="G282" s="4">
        <f t="shared" si="13"/>
        <v>1027.1213316000001</v>
      </c>
      <c r="H282" s="4" t="s">
        <v>89</v>
      </c>
      <c r="I282" s="189"/>
      <c r="J282" s="190"/>
    </row>
    <row r="283" spans="1:10" s="3" customFormat="1" x14ac:dyDescent="0.25">
      <c r="A283" s="215">
        <v>8</v>
      </c>
      <c r="B283" s="216"/>
      <c r="C283" s="4" t="s">
        <v>217</v>
      </c>
      <c r="D283" s="215">
        <f>(3.05*4.7+4.7*0.75+2*2.42+2*0.6+3.18*1.39+3.25*2.95+1.7*0.75+1.4*0.6+3.25*3.18+1.4*0.6+1.4*0.75+3.15*3.48+2.4*0.6+3.15*0.75+1.4*0.6+1*0.6+2.1*1.9+2.1*1.35+2*1.5+1*2.4)*10.764</f>
        <v>868.40938079999978</v>
      </c>
      <c r="E283" s="216"/>
      <c r="F283" s="4">
        <v>0</v>
      </c>
      <c r="G283" s="4">
        <f t="shared" si="13"/>
        <v>1302.6140711999997</v>
      </c>
      <c r="H283" s="4" t="s">
        <v>89</v>
      </c>
      <c r="I283" s="191"/>
      <c r="J283" s="192"/>
    </row>
    <row r="284" spans="1:10" s="3" customFormat="1" x14ac:dyDescent="0.25">
      <c r="A284" s="184" t="s">
        <v>205</v>
      </c>
      <c r="B284" s="185"/>
      <c r="C284" s="185"/>
      <c r="D284" s="185"/>
      <c r="E284" s="185"/>
      <c r="F284" s="185"/>
      <c r="G284" s="185"/>
      <c r="H284" s="185"/>
      <c r="I284" s="185"/>
      <c r="J284" s="186"/>
    </row>
    <row r="285" spans="1:10" s="3" customFormat="1" x14ac:dyDescent="0.25">
      <c r="A285" s="184" t="s">
        <v>220</v>
      </c>
      <c r="B285" s="185"/>
      <c r="C285" s="185"/>
      <c r="D285" s="185"/>
      <c r="E285" s="185"/>
      <c r="F285" s="185"/>
      <c r="G285" s="185"/>
      <c r="H285" s="185"/>
      <c r="I285" s="185"/>
      <c r="J285" s="186"/>
    </row>
    <row r="286" spans="1:10" s="3" customFormat="1" x14ac:dyDescent="0.25">
      <c r="A286" s="215">
        <v>1</v>
      </c>
      <c r="B286" s="216"/>
      <c r="C286" s="4" t="s">
        <v>217</v>
      </c>
      <c r="D286" s="215">
        <f>(3.05*4.5+3.05*0.75+1.8*1.18+1.39*3.25+2.4*2+2*0.6+2.95*3.2+1.4*0.6+1.5*0.75+3.18*3.2+1.4*0.75+1.4*0.6+1.5*2+3.46*3+2.4*0.6+3*0.75+1.6*2.1+1.35*2.1+1*(1.8+1.35))*10.764</f>
        <v>845.40455999999983</v>
      </c>
      <c r="E286" s="216"/>
      <c r="F286" s="4">
        <v>0</v>
      </c>
      <c r="G286" s="4">
        <f>D286*1.5+F286</f>
        <v>1268.1068399999997</v>
      </c>
      <c r="H286" s="4" t="s">
        <v>89</v>
      </c>
      <c r="I286" s="187" t="str">
        <f>A285</f>
        <v>7th, 12th, 17th &amp; 22nd Floors</v>
      </c>
      <c r="J286" s="188"/>
    </row>
    <row r="287" spans="1:10" s="3" customFormat="1" x14ac:dyDescent="0.25">
      <c r="A287" s="215">
        <v>2</v>
      </c>
      <c r="B287" s="216"/>
      <c r="C287" s="4" t="s">
        <v>202</v>
      </c>
      <c r="D287" s="215">
        <f>(3.05*4.5+3.05*0.75+1.8*1.18+1.32*3.83+3*1.55+3*0.6+2.95*3.2+1.6*0.6+1.4*0.75+3.05*3.35+3.05*0.75+2.4*0.75+2.25*1.6+2.25*1.46+1*2.75)*10.764</f>
        <v>700.0055243999999</v>
      </c>
      <c r="E287" s="216"/>
      <c r="F287" s="4">
        <v>0</v>
      </c>
      <c r="G287" s="4">
        <f t="shared" ref="G287:G293" si="14">D287*1.5+F287</f>
        <v>1050.0082865999998</v>
      </c>
      <c r="H287" s="4" t="s">
        <v>89</v>
      </c>
      <c r="I287" s="189"/>
      <c r="J287" s="190"/>
    </row>
    <row r="288" spans="1:10" s="3" customFormat="1" x14ac:dyDescent="0.25">
      <c r="A288" s="215">
        <v>3</v>
      </c>
      <c r="B288" s="216"/>
      <c r="C288" s="187" t="s">
        <v>204</v>
      </c>
      <c r="D288" s="217"/>
      <c r="E288" s="217"/>
      <c r="F288" s="217"/>
      <c r="G288" s="188"/>
      <c r="H288" s="4" t="s">
        <v>89</v>
      </c>
      <c r="I288" s="189"/>
      <c r="J288" s="190"/>
    </row>
    <row r="289" spans="1:11" s="3" customFormat="1" x14ac:dyDescent="0.25">
      <c r="A289" s="215">
        <v>4</v>
      </c>
      <c r="B289" s="216"/>
      <c r="C289" s="191"/>
      <c r="D289" s="218"/>
      <c r="E289" s="218"/>
      <c r="F289" s="218"/>
      <c r="G289" s="192"/>
      <c r="H289" s="4" t="s">
        <v>89</v>
      </c>
      <c r="I289" s="189"/>
      <c r="J289" s="190"/>
    </row>
    <row r="290" spans="1:11" s="3" customFormat="1" x14ac:dyDescent="0.25">
      <c r="A290" s="215">
        <v>5</v>
      </c>
      <c r="B290" s="216"/>
      <c r="C290" s="4" t="s">
        <v>202</v>
      </c>
      <c r="D290" s="215">
        <f>(4.25*3.05+3.05*0.75+1.4*2.15+1.55*1.66+1.55*0.6+2.95*2.25+2.28*0.75+2.4*0.6+3.05*3.25+2.4*0.6+2.4*0.75+2.15*1.35+2.15*1.35+1*4.3+2.73*0.8+2.4*0.6)*10.764</f>
        <v>628.96204799999987</v>
      </c>
      <c r="E290" s="216"/>
      <c r="F290" s="4">
        <v>0</v>
      </c>
      <c r="G290" s="4">
        <f t="shared" si="14"/>
        <v>943.4430719999998</v>
      </c>
      <c r="H290" s="4" t="s">
        <v>89</v>
      </c>
      <c r="I290" s="189"/>
      <c r="J290" s="190"/>
    </row>
    <row r="291" spans="1:11" s="3" customFormat="1" x14ac:dyDescent="0.25">
      <c r="A291" s="215">
        <v>6</v>
      </c>
      <c r="B291" s="216"/>
      <c r="C291" s="4" t="s">
        <v>202</v>
      </c>
      <c r="D291" s="215">
        <f>(4.25*3.05+3.05*0.75+1.4*2.15+1.55*1.66+1.55*0.6+2.95*2.25+2.28*0.75+2.4*0.6+3.05*3.25+2.4*0.6+2.4*0.75+2.15*1.35+2.15*1.35+1*4.3+2.73*0.8+2.4*0.6)*10.764</f>
        <v>628.96204799999987</v>
      </c>
      <c r="E291" s="216"/>
      <c r="F291" s="4">
        <v>0</v>
      </c>
      <c r="G291" s="4">
        <f t="shared" si="14"/>
        <v>943.4430719999998</v>
      </c>
      <c r="H291" s="4" t="s">
        <v>89</v>
      </c>
      <c r="I291" s="189"/>
      <c r="J291" s="190"/>
    </row>
    <row r="292" spans="1:11" s="3" customFormat="1" x14ac:dyDescent="0.25">
      <c r="A292" s="215">
        <v>7</v>
      </c>
      <c r="B292" s="216"/>
      <c r="C292" s="4" t="s">
        <v>202</v>
      </c>
      <c r="D292" s="215">
        <f>(3.05*4.7+2*0.6+3.05*0.75+2*1.55+1.85*1.45+1.45*0.6+3.2*2.95+1.4*0.75+0.7*0.6+3.35*3.05+3.35*0.75+2.4*0.75+1.5*2.29+1.45*2.25+0.58*1.1+1*1.5+3.83*1.27)*10.764</f>
        <v>684.74755440000001</v>
      </c>
      <c r="E292" s="216"/>
      <c r="F292" s="4">
        <v>0</v>
      </c>
      <c r="G292" s="4">
        <f t="shared" si="14"/>
        <v>1027.1213316000001</v>
      </c>
      <c r="H292" s="4" t="s">
        <v>89</v>
      </c>
      <c r="I292" s="189"/>
      <c r="J292" s="190"/>
    </row>
    <row r="293" spans="1:11" s="3" customFormat="1" x14ac:dyDescent="0.25">
      <c r="A293" s="215">
        <v>8</v>
      </c>
      <c r="B293" s="216"/>
      <c r="C293" s="4" t="s">
        <v>217</v>
      </c>
      <c r="D293" s="215">
        <f>(3.05*4.7+4.7*0.75+2*2.42+2*0.6+3.18*1.39+3.25*2.95+1.7*0.75+1.4*0.6+3.25*3.18+1.4*0.6+1.4*0.75+3.15*3.48+2.4*0.6+3.15*0.75+1.4*0.6+1*0.6+2.1*1.9+2.1*1.35+2*1.5+1*2.4)*10.764</f>
        <v>868.40938079999978</v>
      </c>
      <c r="E293" s="216"/>
      <c r="F293" s="4">
        <v>0</v>
      </c>
      <c r="G293" s="4">
        <f t="shared" si="14"/>
        <v>1302.6140711999997</v>
      </c>
      <c r="H293" s="4" t="s">
        <v>89</v>
      </c>
      <c r="I293" s="191"/>
      <c r="J293" s="192"/>
    </row>
    <row r="294" spans="1:11" s="1" customFormat="1" x14ac:dyDescent="0.25">
      <c r="A294" s="222" t="s">
        <v>99</v>
      </c>
      <c r="B294" s="222"/>
      <c r="C294" s="222"/>
      <c r="D294" s="222"/>
      <c r="E294" s="222"/>
      <c r="F294" s="222"/>
      <c r="G294" s="222"/>
      <c r="H294" s="222"/>
      <c r="I294" s="222"/>
      <c r="J294" s="222"/>
    </row>
    <row r="295" spans="1:11" s="15" customFormat="1" ht="176.25" customHeight="1" x14ac:dyDescent="0.25">
      <c r="A295" s="223" t="s">
        <v>298</v>
      </c>
      <c r="B295" s="223"/>
      <c r="C295" s="223"/>
      <c r="D295" s="223"/>
      <c r="E295" s="223"/>
      <c r="F295" s="223"/>
      <c r="G295" s="223"/>
      <c r="H295" s="223"/>
      <c r="I295" s="223"/>
      <c r="J295" s="223"/>
      <c r="K295" s="15" t="s">
        <v>284</v>
      </c>
    </row>
    <row r="296" spans="1:11" x14ac:dyDescent="0.25">
      <c r="A296" s="219" t="s">
        <v>90</v>
      </c>
      <c r="B296" s="220"/>
      <c r="C296" s="220"/>
      <c r="D296" s="220"/>
      <c r="E296" s="220"/>
      <c r="F296" s="220"/>
      <c r="G296" s="220"/>
      <c r="H296" s="220"/>
      <c r="I296" s="220"/>
      <c r="J296" s="221"/>
    </row>
    <row r="297" spans="1:11" x14ac:dyDescent="0.25">
      <c r="A297" s="116" t="s">
        <v>91</v>
      </c>
      <c r="B297" s="117"/>
      <c r="C297" s="117"/>
      <c r="D297" s="117"/>
      <c r="E297" s="117"/>
      <c r="F297" s="117"/>
      <c r="G297" s="117"/>
      <c r="H297" s="117"/>
      <c r="I297" s="117"/>
      <c r="J297" s="118"/>
    </row>
    <row r="298" spans="1:11" ht="15.75" customHeight="1" x14ac:dyDescent="0.25">
      <c r="A298" s="219" t="s">
        <v>92</v>
      </c>
      <c r="B298" s="220"/>
      <c r="C298" s="220"/>
      <c r="D298" s="220"/>
      <c r="E298" s="220"/>
      <c r="F298" s="220"/>
      <c r="G298" s="220"/>
      <c r="H298" s="220"/>
      <c r="I298" s="220"/>
      <c r="J298" s="221"/>
    </row>
    <row r="299" spans="1:11" x14ac:dyDescent="0.25">
      <c r="A299" s="116" t="s">
        <v>93</v>
      </c>
      <c r="B299" s="117"/>
      <c r="C299" s="117"/>
      <c r="D299" s="117"/>
      <c r="E299" s="117"/>
      <c r="F299" s="117"/>
      <c r="G299" s="117"/>
      <c r="H299" s="117"/>
      <c r="I299" s="117"/>
      <c r="J299" s="118"/>
    </row>
    <row r="300" spans="1:11" x14ac:dyDescent="0.25">
      <c r="A300" s="116" t="s">
        <v>94</v>
      </c>
      <c r="B300" s="117"/>
      <c r="C300" s="117"/>
      <c r="D300" s="117"/>
      <c r="E300" s="117"/>
      <c r="F300" s="117"/>
      <c r="G300" s="117"/>
      <c r="H300" s="117"/>
      <c r="I300" s="117"/>
      <c r="J300" s="118"/>
    </row>
    <row r="301" spans="1:11" x14ac:dyDescent="0.25">
      <c r="A301" s="116" t="s">
        <v>95</v>
      </c>
      <c r="B301" s="117"/>
      <c r="C301" s="117"/>
      <c r="D301" s="117"/>
      <c r="E301" s="117"/>
      <c r="F301" s="117"/>
      <c r="G301" s="117"/>
      <c r="H301" s="117"/>
      <c r="I301" s="117"/>
      <c r="J301" s="118"/>
    </row>
    <row r="302" spans="1:11" x14ac:dyDescent="0.25">
      <c r="A302" s="122" t="s">
        <v>96</v>
      </c>
      <c r="B302" s="123"/>
      <c r="C302" s="123"/>
      <c r="D302" s="123"/>
      <c r="E302" s="123"/>
      <c r="F302" s="123"/>
      <c r="G302" s="123"/>
      <c r="H302" s="123"/>
      <c r="I302" s="123"/>
      <c r="J302" s="124"/>
    </row>
    <row r="303" spans="1:11" x14ac:dyDescent="0.25">
      <c r="A303" s="107" t="s">
        <v>172</v>
      </c>
      <c r="B303" s="107"/>
      <c r="C303" s="107" t="s">
        <v>291</v>
      </c>
      <c r="D303" s="107"/>
      <c r="E303" s="108" t="s">
        <v>173</v>
      </c>
      <c r="F303" s="108"/>
      <c r="G303" s="108"/>
      <c r="H303" s="107" t="s">
        <v>297</v>
      </c>
      <c r="I303" s="107"/>
      <c r="J303" s="107"/>
    </row>
    <row r="304" spans="1:11" x14ac:dyDescent="0.25">
      <c r="A304" s="98" t="s">
        <v>174</v>
      </c>
      <c r="B304" s="99"/>
      <c r="C304" s="99"/>
      <c r="D304" s="99"/>
      <c r="E304" s="99"/>
      <c r="F304" s="99"/>
      <c r="G304" s="99"/>
      <c r="H304" s="99"/>
      <c r="I304" s="99"/>
      <c r="J304" s="100"/>
    </row>
    <row r="305" spans="1:10" x14ac:dyDescent="0.25">
      <c r="A305" s="101"/>
      <c r="B305" s="102"/>
      <c r="C305" s="102"/>
      <c r="D305" s="102"/>
      <c r="E305" s="102"/>
      <c r="F305" s="102"/>
      <c r="G305" s="102"/>
      <c r="H305" s="102"/>
      <c r="I305" s="102"/>
      <c r="J305" s="103"/>
    </row>
    <row r="306" spans="1:10" x14ac:dyDescent="0.25">
      <c r="A306" s="101"/>
      <c r="B306" s="102"/>
      <c r="C306" s="102"/>
      <c r="D306" s="102"/>
      <c r="E306" s="102"/>
      <c r="F306" s="102"/>
      <c r="G306" s="102"/>
      <c r="H306" s="102"/>
      <c r="I306" s="102"/>
      <c r="J306" s="103"/>
    </row>
    <row r="307" spans="1:10" x14ac:dyDescent="0.25">
      <c r="A307" s="104"/>
      <c r="B307" s="105"/>
      <c r="C307" s="105"/>
      <c r="D307" s="105"/>
      <c r="E307" s="105"/>
      <c r="F307" s="105"/>
      <c r="G307" s="105"/>
      <c r="H307" s="105"/>
      <c r="I307" s="105"/>
      <c r="J307" s="106"/>
    </row>
    <row r="308" spans="1:10" ht="15" customHeight="1" x14ac:dyDescent="0.25">
      <c r="A308" s="16" t="s">
        <v>97</v>
      </c>
      <c r="B308" s="17"/>
      <c r="C308" s="17"/>
      <c r="D308" s="16" t="str">
        <f>F8</f>
        <v>Opulus</v>
      </c>
      <c r="E308" s="17"/>
      <c r="F308" s="17"/>
      <c r="G308" s="17"/>
      <c r="H308" s="17"/>
      <c r="I308" s="17"/>
      <c r="J308" s="17"/>
    </row>
    <row r="309" spans="1:10" x14ac:dyDescent="0.25">
      <c r="G309" s="17"/>
      <c r="H309" s="17"/>
      <c r="I309" s="17"/>
      <c r="J309" s="17"/>
    </row>
    <row r="310" spans="1:10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</row>
    <row r="311" spans="1:10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</row>
    <row r="312" spans="1:10" ht="15" customHeight="1" x14ac:dyDescent="0.25"/>
    <row r="349" spans="1:1" x14ac:dyDescent="0.25">
      <c r="A349" s="18" t="s">
        <v>98</v>
      </c>
    </row>
  </sheetData>
  <mergeCells count="600">
    <mergeCell ref="D287:E287"/>
    <mergeCell ref="C288:G289"/>
    <mergeCell ref="C14:J14"/>
    <mergeCell ref="A261:J261"/>
    <mergeCell ref="A284:J284"/>
    <mergeCell ref="D283:E283"/>
    <mergeCell ref="A285:J285"/>
    <mergeCell ref="A286:B286"/>
    <mergeCell ref="D286:E286"/>
    <mergeCell ref="I286:J293"/>
    <mergeCell ref="A287:B287"/>
    <mergeCell ref="A288:B288"/>
    <mergeCell ref="A289:B289"/>
    <mergeCell ref="A290:B290"/>
    <mergeCell ref="D290:E290"/>
    <mergeCell ref="A291:B291"/>
    <mergeCell ref="D291:E291"/>
    <mergeCell ref="A292:B292"/>
    <mergeCell ref="D292:E292"/>
    <mergeCell ref="A293:B293"/>
    <mergeCell ref="D293:E293"/>
    <mergeCell ref="A262:J262"/>
    <mergeCell ref="C265:G268"/>
    <mergeCell ref="I263:J270"/>
    <mergeCell ref="A271:J271"/>
    <mergeCell ref="A272:J272"/>
    <mergeCell ref="A273:J273"/>
    <mergeCell ref="A274:J274"/>
    <mergeCell ref="A275:J275"/>
    <mergeCell ref="A276:B276"/>
    <mergeCell ref="D276:E276"/>
    <mergeCell ref="I276:J283"/>
    <mergeCell ref="A277:B277"/>
    <mergeCell ref="D277:E277"/>
    <mergeCell ref="A278:B278"/>
    <mergeCell ref="D278:E278"/>
    <mergeCell ref="A279:B279"/>
    <mergeCell ref="D279:E279"/>
    <mergeCell ref="A280:B280"/>
    <mergeCell ref="D280:E280"/>
    <mergeCell ref="A281:B281"/>
    <mergeCell ref="D281:E281"/>
    <mergeCell ref="A282:B282"/>
    <mergeCell ref="D282:E282"/>
    <mergeCell ref="A283:B283"/>
    <mergeCell ref="A232:J232"/>
    <mergeCell ref="C236:G236"/>
    <mergeCell ref="I233:J238"/>
    <mergeCell ref="A208:J208"/>
    <mergeCell ref="A231:J231"/>
    <mergeCell ref="A239:J239"/>
    <mergeCell ref="A240:J240"/>
    <mergeCell ref="A241:J241"/>
    <mergeCell ref="A242:J242"/>
    <mergeCell ref="A229:B229"/>
    <mergeCell ref="D229:E229"/>
    <mergeCell ref="A214:J214"/>
    <mergeCell ref="I215:J216"/>
    <mergeCell ref="A220:J220"/>
    <mergeCell ref="A221:J221"/>
    <mergeCell ref="A222:J222"/>
    <mergeCell ref="A223:J223"/>
    <mergeCell ref="A224:J224"/>
    <mergeCell ref="A217:J217"/>
    <mergeCell ref="I225:J230"/>
    <mergeCell ref="D219:E219"/>
    <mergeCell ref="A238:B238"/>
    <mergeCell ref="D238:E238"/>
    <mergeCell ref="A230:B230"/>
    <mergeCell ref="A174:J174"/>
    <mergeCell ref="A175:J175"/>
    <mergeCell ref="A158:B158"/>
    <mergeCell ref="D158:E158"/>
    <mergeCell ref="A163:B163"/>
    <mergeCell ref="D163:E163"/>
    <mergeCell ref="A161:B161"/>
    <mergeCell ref="D161:E161"/>
    <mergeCell ref="A162:B162"/>
    <mergeCell ref="D162:E162"/>
    <mergeCell ref="A159:B159"/>
    <mergeCell ref="D159:E159"/>
    <mergeCell ref="A160:B160"/>
    <mergeCell ref="A173:B173"/>
    <mergeCell ref="D173:E173"/>
    <mergeCell ref="A169:J169"/>
    <mergeCell ref="I166:J168"/>
    <mergeCell ref="I170:J173"/>
    <mergeCell ref="A167:B167"/>
    <mergeCell ref="D167:E167"/>
    <mergeCell ref="A168:B168"/>
    <mergeCell ref="D168:E168"/>
    <mergeCell ref="A166:B166"/>
    <mergeCell ref="D166:E166"/>
    <mergeCell ref="A207:B207"/>
    <mergeCell ref="D207:E207"/>
    <mergeCell ref="I202:J207"/>
    <mergeCell ref="A209:J209"/>
    <mergeCell ref="A205:B205"/>
    <mergeCell ref="D205:E205"/>
    <mergeCell ref="A206:B206"/>
    <mergeCell ref="D206:E206"/>
    <mergeCell ref="A203:B203"/>
    <mergeCell ref="A204:B204"/>
    <mergeCell ref="D204:E204"/>
    <mergeCell ref="C202:G203"/>
    <mergeCell ref="A202:B202"/>
    <mergeCell ref="A300:J300"/>
    <mergeCell ref="A301:J301"/>
    <mergeCell ref="A302:J302"/>
    <mergeCell ref="A53:B53"/>
    <mergeCell ref="A54:C54"/>
    <mergeCell ref="D54:J54"/>
    <mergeCell ref="A294:J294"/>
    <mergeCell ref="A295:J295"/>
    <mergeCell ref="A296:J296"/>
    <mergeCell ref="A297:J297"/>
    <mergeCell ref="A259:B259"/>
    <mergeCell ref="D259:E259"/>
    <mergeCell ref="C257:G258"/>
    <mergeCell ref="I253:J260"/>
    <mergeCell ref="A256:B256"/>
    <mergeCell ref="D256:E256"/>
    <mergeCell ref="A257:B257"/>
    <mergeCell ref="A254:B254"/>
    <mergeCell ref="D254:E254"/>
    <mergeCell ref="A176:J176"/>
    <mergeCell ref="A177:J177"/>
    <mergeCell ref="A178:J178"/>
    <mergeCell ref="A170:B170"/>
    <mergeCell ref="D170:E170"/>
    <mergeCell ref="F42:J42"/>
    <mergeCell ref="A43:E43"/>
    <mergeCell ref="F43:J43"/>
    <mergeCell ref="A44:J44"/>
    <mergeCell ref="A298:J298"/>
    <mergeCell ref="A299:J299"/>
    <mergeCell ref="A269:B269"/>
    <mergeCell ref="D269:E269"/>
    <mergeCell ref="A270:B270"/>
    <mergeCell ref="D270:E270"/>
    <mergeCell ref="A267:B267"/>
    <mergeCell ref="A268:B268"/>
    <mergeCell ref="A266:B266"/>
    <mergeCell ref="A263:B263"/>
    <mergeCell ref="D263:E263"/>
    <mergeCell ref="A264:B264"/>
    <mergeCell ref="D264:E264"/>
    <mergeCell ref="A265:B265"/>
    <mergeCell ref="A260:B260"/>
    <mergeCell ref="D260:E260"/>
    <mergeCell ref="A258:B258"/>
    <mergeCell ref="A171:B171"/>
    <mergeCell ref="I218:J219"/>
    <mergeCell ref="A219:B219"/>
    <mergeCell ref="A255:B255"/>
    <mergeCell ref="D255:E255"/>
    <mergeCell ref="A253:B253"/>
    <mergeCell ref="D253:E253"/>
    <mergeCell ref="A250:B250"/>
    <mergeCell ref="D250:E250"/>
    <mergeCell ref="A251:B251"/>
    <mergeCell ref="D251:E251"/>
    <mergeCell ref="I244:J251"/>
    <mergeCell ref="A252:J252"/>
    <mergeCell ref="A248:B248"/>
    <mergeCell ref="D248:E248"/>
    <mergeCell ref="A249:B249"/>
    <mergeCell ref="D249:E249"/>
    <mergeCell ref="A246:B246"/>
    <mergeCell ref="D246:E246"/>
    <mergeCell ref="A247:B247"/>
    <mergeCell ref="D247:E247"/>
    <mergeCell ref="A244:B244"/>
    <mergeCell ref="D244:E244"/>
    <mergeCell ref="A245:B245"/>
    <mergeCell ref="D245:E245"/>
    <mergeCell ref="A243:J243"/>
    <mergeCell ref="A236:B236"/>
    <mergeCell ref="A237:B237"/>
    <mergeCell ref="D237:E237"/>
    <mergeCell ref="A234:B234"/>
    <mergeCell ref="D234:E234"/>
    <mergeCell ref="A235:B235"/>
    <mergeCell ref="D235:E235"/>
    <mergeCell ref="A233:B233"/>
    <mergeCell ref="D233:E233"/>
    <mergeCell ref="D230:E230"/>
    <mergeCell ref="I210:J213"/>
    <mergeCell ref="A225:B225"/>
    <mergeCell ref="D225:E225"/>
    <mergeCell ref="A226:B226"/>
    <mergeCell ref="D226:E226"/>
    <mergeCell ref="A227:B227"/>
    <mergeCell ref="D227:E227"/>
    <mergeCell ref="A228:B228"/>
    <mergeCell ref="D228:E228"/>
    <mergeCell ref="A213:B213"/>
    <mergeCell ref="D213:E213"/>
    <mergeCell ref="A211:B211"/>
    <mergeCell ref="D211:E211"/>
    <mergeCell ref="A212:B212"/>
    <mergeCell ref="D212:E212"/>
    <mergeCell ref="A218:B218"/>
    <mergeCell ref="A210:B210"/>
    <mergeCell ref="D210:E210"/>
    <mergeCell ref="A216:B216"/>
    <mergeCell ref="D216:E216"/>
    <mergeCell ref="A215:B215"/>
    <mergeCell ref="D215:E215"/>
    <mergeCell ref="D218:E218"/>
    <mergeCell ref="A199:B199"/>
    <mergeCell ref="D199:E199"/>
    <mergeCell ref="A200:B200"/>
    <mergeCell ref="D200:E200"/>
    <mergeCell ref="I195:J200"/>
    <mergeCell ref="A201:J201"/>
    <mergeCell ref="A198:B198"/>
    <mergeCell ref="D198:E198"/>
    <mergeCell ref="A196:B196"/>
    <mergeCell ref="D196:E196"/>
    <mergeCell ref="A197:B197"/>
    <mergeCell ref="D197:E197"/>
    <mergeCell ref="A195:B195"/>
    <mergeCell ref="D195:E195"/>
    <mergeCell ref="A192:B192"/>
    <mergeCell ref="D192:E192"/>
    <mergeCell ref="A193:B193"/>
    <mergeCell ref="D193:E193"/>
    <mergeCell ref="I187:J193"/>
    <mergeCell ref="A194:J194"/>
    <mergeCell ref="A190:B190"/>
    <mergeCell ref="D190:E190"/>
    <mergeCell ref="A191:B191"/>
    <mergeCell ref="D191:E191"/>
    <mergeCell ref="A188:B188"/>
    <mergeCell ref="A189:B189"/>
    <mergeCell ref="D189:E189"/>
    <mergeCell ref="C187:G188"/>
    <mergeCell ref="A187:B187"/>
    <mergeCell ref="A184:B184"/>
    <mergeCell ref="D184:E184"/>
    <mergeCell ref="A185:B185"/>
    <mergeCell ref="D185:E185"/>
    <mergeCell ref="I179:J185"/>
    <mergeCell ref="A186:J186"/>
    <mergeCell ref="A182:B182"/>
    <mergeCell ref="D182:E182"/>
    <mergeCell ref="A183:B183"/>
    <mergeCell ref="D183:E183"/>
    <mergeCell ref="A180:B180"/>
    <mergeCell ref="D180:E180"/>
    <mergeCell ref="A181:B181"/>
    <mergeCell ref="D181:E181"/>
    <mergeCell ref="A179:B179"/>
    <mergeCell ref="D179:E179"/>
    <mergeCell ref="D172:E172"/>
    <mergeCell ref="D155:E155"/>
    <mergeCell ref="A156:B156"/>
    <mergeCell ref="D156:E156"/>
    <mergeCell ref="A157:J157"/>
    <mergeCell ref="C160:G160"/>
    <mergeCell ref="I158:J163"/>
    <mergeCell ref="A165:J165"/>
    <mergeCell ref="A164:J164"/>
    <mergeCell ref="D171:E171"/>
    <mergeCell ref="A172:B172"/>
    <mergeCell ref="A153:B153"/>
    <mergeCell ref="D153:E153"/>
    <mergeCell ref="A154:B154"/>
    <mergeCell ref="D154:E154"/>
    <mergeCell ref="A152:B152"/>
    <mergeCell ref="D152:E152"/>
    <mergeCell ref="A155:B155"/>
    <mergeCell ref="A151:B151"/>
    <mergeCell ref="D151:E151"/>
    <mergeCell ref="A142:B142"/>
    <mergeCell ref="D142:F142"/>
    <mergeCell ref="G142:J142"/>
    <mergeCell ref="A143:J143"/>
    <mergeCell ref="A144:J144"/>
    <mergeCell ref="A139:B139"/>
    <mergeCell ref="A145:B145"/>
    <mergeCell ref="D145:E145"/>
    <mergeCell ref="I145:J145"/>
    <mergeCell ref="A150:J150"/>
    <mergeCell ref="I151:J156"/>
    <mergeCell ref="A138:B138"/>
    <mergeCell ref="D138:F138"/>
    <mergeCell ref="G138:J138"/>
    <mergeCell ref="D139:F139"/>
    <mergeCell ref="G139:J139"/>
    <mergeCell ref="A135:J135"/>
    <mergeCell ref="A137:B137"/>
    <mergeCell ref="A136:B136"/>
    <mergeCell ref="D136:F136"/>
    <mergeCell ref="G136:J136"/>
    <mergeCell ref="D137:F137"/>
    <mergeCell ref="G137:J137"/>
    <mergeCell ref="A146:J146"/>
    <mergeCell ref="A147:J147"/>
    <mergeCell ref="A148:J148"/>
    <mergeCell ref="A149:J149"/>
    <mergeCell ref="A140:B140"/>
    <mergeCell ref="D140:F140"/>
    <mergeCell ref="G140:J140"/>
    <mergeCell ref="A141:B141"/>
    <mergeCell ref="D141:F141"/>
    <mergeCell ref="G141:J141"/>
    <mergeCell ref="A133:F133"/>
    <mergeCell ref="G133:J133"/>
    <mergeCell ref="A132:F132"/>
    <mergeCell ref="G132:J132"/>
    <mergeCell ref="A134:F134"/>
    <mergeCell ref="G134:J134"/>
    <mergeCell ref="A130:J130"/>
    <mergeCell ref="A131:F131"/>
    <mergeCell ref="G131:J131"/>
    <mergeCell ref="A51:J51"/>
    <mergeCell ref="A52:C52"/>
    <mergeCell ref="D52:E52"/>
    <mergeCell ref="F52:G52"/>
    <mergeCell ref="H52:J52"/>
    <mergeCell ref="C53:J53"/>
    <mergeCell ref="A128:J128"/>
    <mergeCell ref="A129:B129"/>
    <mergeCell ref="C129:J129"/>
    <mergeCell ref="A55:J55"/>
    <mergeCell ref="A56:J56"/>
    <mergeCell ref="A127:J127"/>
    <mergeCell ref="A57:B57"/>
    <mergeCell ref="C57:J57"/>
    <mergeCell ref="E58:F58"/>
    <mergeCell ref="I58:J58"/>
    <mergeCell ref="A59:B59"/>
    <mergeCell ref="C59:J59"/>
    <mergeCell ref="A60:B60"/>
    <mergeCell ref="D60:E60"/>
    <mergeCell ref="F60:G60"/>
    <mergeCell ref="H60:J60"/>
    <mergeCell ref="A61:B61"/>
    <mergeCell ref="D61:E61"/>
    <mergeCell ref="A36:E36"/>
    <mergeCell ref="F36:J36"/>
    <mergeCell ref="A37:J37"/>
    <mergeCell ref="H49:J49"/>
    <mergeCell ref="A49:B49"/>
    <mergeCell ref="C49:F49"/>
    <mergeCell ref="A50:C50"/>
    <mergeCell ref="D50:E50"/>
    <mergeCell ref="F50:G50"/>
    <mergeCell ref="H50:J50"/>
    <mergeCell ref="A38:E38"/>
    <mergeCell ref="F38:J38"/>
    <mergeCell ref="H45:J45"/>
    <mergeCell ref="H46:J46"/>
    <mergeCell ref="A46:B46"/>
    <mergeCell ref="C46:F46"/>
    <mergeCell ref="C47:F47"/>
    <mergeCell ref="A45:B45"/>
    <mergeCell ref="C45:F45"/>
    <mergeCell ref="A40:E40"/>
    <mergeCell ref="F40:J40"/>
    <mergeCell ref="A41:E41"/>
    <mergeCell ref="F41:J41"/>
    <mergeCell ref="A42:E42"/>
    <mergeCell ref="A29:B29"/>
    <mergeCell ref="C29:D29"/>
    <mergeCell ref="E29:F29"/>
    <mergeCell ref="G29:H29"/>
    <mergeCell ref="I29:J29"/>
    <mergeCell ref="A31:J31"/>
    <mergeCell ref="A32:B32"/>
    <mergeCell ref="C32:J32"/>
    <mergeCell ref="A34:J34"/>
    <mergeCell ref="A33:B33"/>
    <mergeCell ref="C33:J33"/>
    <mergeCell ref="A15:B15"/>
    <mergeCell ref="C15:E15"/>
    <mergeCell ref="F15:G15"/>
    <mergeCell ref="H15:J15"/>
    <mergeCell ref="A24:E24"/>
    <mergeCell ref="A25:E25"/>
    <mergeCell ref="F25:J25"/>
    <mergeCell ref="F24:J24"/>
    <mergeCell ref="A26:E26"/>
    <mergeCell ref="F26:J26"/>
    <mergeCell ref="A23:E23"/>
    <mergeCell ref="F23:J23"/>
    <mergeCell ref="A17:B17"/>
    <mergeCell ref="C17:E17"/>
    <mergeCell ref="F17:G17"/>
    <mergeCell ref="H17:J17"/>
    <mergeCell ref="A18:B18"/>
    <mergeCell ref="C18:E18"/>
    <mergeCell ref="F18:G18"/>
    <mergeCell ref="H18:J18"/>
    <mergeCell ref="A19:E20"/>
    <mergeCell ref="F19:J20"/>
    <mergeCell ref="A21:E22"/>
    <mergeCell ref="F21:J22"/>
    <mergeCell ref="A10:E10"/>
    <mergeCell ref="F10:J10"/>
    <mergeCell ref="A5:E5"/>
    <mergeCell ref="F5:J5"/>
    <mergeCell ref="A6:E6"/>
    <mergeCell ref="F6:J6"/>
    <mergeCell ref="A7:E7"/>
    <mergeCell ref="F7:J7"/>
    <mergeCell ref="A14:B14"/>
    <mergeCell ref="A11:E11"/>
    <mergeCell ref="F11:J11"/>
    <mergeCell ref="A12:E12"/>
    <mergeCell ref="F12:J12"/>
    <mergeCell ref="A13:B13"/>
    <mergeCell ref="C13:J13"/>
    <mergeCell ref="A1:J1"/>
    <mergeCell ref="A2:J2"/>
    <mergeCell ref="A3:E3"/>
    <mergeCell ref="F3:J3"/>
    <mergeCell ref="A4:E4"/>
    <mergeCell ref="A8:E8"/>
    <mergeCell ref="F8:J8"/>
    <mergeCell ref="A9:E9"/>
    <mergeCell ref="F9:J9"/>
    <mergeCell ref="F4:J4"/>
    <mergeCell ref="A304:J307"/>
    <mergeCell ref="A303:B303"/>
    <mergeCell ref="E303:G303"/>
    <mergeCell ref="C303:D303"/>
    <mergeCell ref="H303:J303"/>
    <mergeCell ref="A16:B16"/>
    <mergeCell ref="C16:E16"/>
    <mergeCell ref="F16:G16"/>
    <mergeCell ref="H16:J16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39:E39"/>
    <mergeCell ref="F39:J39"/>
    <mergeCell ref="A35:E35"/>
    <mergeCell ref="F35:J35"/>
    <mergeCell ref="A30:J30"/>
    <mergeCell ref="F61:G70"/>
    <mergeCell ref="H61:J70"/>
    <mergeCell ref="A62:B62"/>
    <mergeCell ref="D62:E62"/>
    <mergeCell ref="A63:B63"/>
    <mergeCell ref="D63:E63"/>
    <mergeCell ref="A64:B64"/>
    <mergeCell ref="D64:E64"/>
    <mergeCell ref="A65:B65"/>
    <mergeCell ref="D65:E65"/>
    <mergeCell ref="A66:B66"/>
    <mergeCell ref="D66:E66"/>
    <mergeCell ref="A67:B67"/>
    <mergeCell ref="D67:E67"/>
    <mergeCell ref="A68:B68"/>
    <mergeCell ref="D68:E68"/>
    <mergeCell ref="A69:B69"/>
    <mergeCell ref="D69:E69"/>
    <mergeCell ref="A70:B70"/>
    <mergeCell ref="D70:E70"/>
    <mergeCell ref="A99:B99"/>
    <mergeCell ref="C99:J99"/>
    <mergeCell ref="E100:F100"/>
    <mergeCell ref="I100:J100"/>
    <mergeCell ref="A101:B101"/>
    <mergeCell ref="C101:J101"/>
    <mergeCell ref="A102:B102"/>
    <mergeCell ref="D102:E102"/>
    <mergeCell ref="F102:G102"/>
    <mergeCell ref="H102:J102"/>
    <mergeCell ref="A103:B103"/>
    <mergeCell ref="D103:E103"/>
    <mergeCell ref="F103:G112"/>
    <mergeCell ref="H103:J112"/>
    <mergeCell ref="A104:B104"/>
    <mergeCell ref="D104:E104"/>
    <mergeCell ref="A105:B105"/>
    <mergeCell ref="D105:E105"/>
    <mergeCell ref="A106:B106"/>
    <mergeCell ref="D106:E106"/>
    <mergeCell ref="A107:B107"/>
    <mergeCell ref="D107:E107"/>
    <mergeCell ref="A108:B108"/>
    <mergeCell ref="D108:E108"/>
    <mergeCell ref="A109:B109"/>
    <mergeCell ref="D109:E109"/>
    <mergeCell ref="A110:B110"/>
    <mergeCell ref="D110:E110"/>
    <mergeCell ref="A111:B111"/>
    <mergeCell ref="D111:E111"/>
    <mergeCell ref="A112:B112"/>
    <mergeCell ref="D112:E112"/>
    <mergeCell ref="A71:B71"/>
    <mergeCell ref="C71:J71"/>
    <mergeCell ref="E72:F72"/>
    <mergeCell ref="I72:J72"/>
    <mergeCell ref="A73:B73"/>
    <mergeCell ref="C73:J73"/>
    <mergeCell ref="A74:B74"/>
    <mergeCell ref="D74:E74"/>
    <mergeCell ref="F74:G74"/>
    <mergeCell ref="H74:J74"/>
    <mergeCell ref="A75:B75"/>
    <mergeCell ref="D75:E75"/>
    <mergeCell ref="F75:G84"/>
    <mergeCell ref="H75:J84"/>
    <mergeCell ref="A76:B76"/>
    <mergeCell ref="D76:E76"/>
    <mergeCell ref="A77:B77"/>
    <mergeCell ref="D77:E77"/>
    <mergeCell ref="A78:B78"/>
    <mergeCell ref="D78:E78"/>
    <mergeCell ref="A79:B79"/>
    <mergeCell ref="D79:E79"/>
    <mergeCell ref="A80:B80"/>
    <mergeCell ref="D80:E80"/>
    <mergeCell ref="A81:B81"/>
    <mergeCell ref="D81:E81"/>
    <mergeCell ref="A82:B82"/>
    <mergeCell ref="D82:E82"/>
    <mergeCell ref="A83:B83"/>
    <mergeCell ref="D83:E83"/>
    <mergeCell ref="A84:B84"/>
    <mergeCell ref="D84:E84"/>
    <mergeCell ref="D98:E98"/>
    <mergeCell ref="A85:B85"/>
    <mergeCell ref="C85:J85"/>
    <mergeCell ref="E86:F86"/>
    <mergeCell ref="I86:J86"/>
    <mergeCell ref="A87:B87"/>
    <mergeCell ref="C87:J87"/>
    <mergeCell ref="A88:B88"/>
    <mergeCell ref="D88:E88"/>
    <mergeCell ref="F88:G88"/>
    <mergeCell ref="H88:J88"/>
    <mergeCell ref="A47:B48"/>
    <mergeCell ref="C48:J48"/>
    <mergeCell ref="H47:J47"/>
    <mergeCell ref="A89:B89"/>
    <mergeCell ref="D89:E89"/>
    <mergeCell ref="F89:G98"/>
    <mergeCell ref="H89:J98"/>
    <mergeCell ref="A90:B90"/>
    <mergeCell ref="D90:E90"/>
    <mergeCell ref="A91:B91"/>
    <mergeCell ref="D91:E91"/>
    <mergeCell ref="A92:B92"/>
    <mergeCell ref="D92:E92"/>
    <mergeCell ref="A93:B93"/>
    <mergeCell ref="D93:E93"/>
    <mergeCell ref="A94:B94"/>
    <mergeCell ref="D94:E94"/>
    <mergeCell ref="A95:B95"/>
    <mergeCell ref="D95:E95"/>
    <mergeCell ref="A96:B96"/>
    <mergeCell ref="D96:E96"/>
    <mergeCell ref="A97:B97"/>
    <mergeCell ref="D97:E97"/>
    <mergeCell ref="A98:B98"/>
    <mergeCell ref="A113:B113"/>
    <mergeCell ref="C113:J113"/>
    <mergeCell ref="E114:F114"/>
    <mergeCell ref="I114:J114"/>
    <mergeCell ref="A115:B115"/>
    <mergeCell ref="C115:J115"/>
    <mergeCell ref="A116:B116"/>
    <mergeCell ref="D116:E116"/>
    <mergeCell ref="F116:G116"/>
    <mergeCell ref="H116:J116"/>
    <mergeCell ref="A117:B117"/>
    <mergeCell ref="D117:E117"/>
    <mergeCell ref="F117:G126"/>
    <mergeCell ref="H117:J126"/>
    <mergeCell ref="A118:B118"/>
    <mergeCell ref="D118:E118"/>
    <mergeCell ref="A119:B119"/>
    <mergeCell ref="D119:E119"/>
    <mergeCell ref="A120:B120"/>
    <mergeCell ref="D120:E120"/>
    <mergeCell ref="A121:B121"/>
    <mergeCell ref="D121:E121"/>
    <mergeCell ref="A122:B122"/>
    <mergeCell ref="D122:E122"/>
    <mergeCell ref="A123:B123"/>
    <mergeCell ref="D123:E123"/>
    <mergeCell ref="A124:B124"/>
    <mergeCell ref="D124:E124"/>
    <mergeCell ref="A125:B125"/>
    <mergeCell ref="D125:E125"/>
    <mergeCell ref="A126:B126"/>
    <mergeCell ref="D126:E126"/>
  </mergeCells>
  <hyperlinks>
    <hyperlink ref="C33" r:id="rId1" xr:uid="{00000000-0004-0000-0000-000000000000}"/>
  </hyperlinks>
  <printOptions horizontalCentered="1"/>
  <pageMargins left="0.43307086614173229" right="0.43307086614173229" top="0.78740157480314965" bottom="0.78740157480314965" header="0.19685039370078741" footer="0.19685039370078741"/>
  <pageSetup paperSize="9" scale="98" fitToHeight="0" orientation="portrait" r:id="rId2"/>
  <headerFooter>
    <oddHeader>&amp;C&amp;"Times New Roman,Bold"&amp;20&amp;G</oddHeader>
    <oddFooter>&amp;L&amp;"Times New Roman,Bold"&amp;12Ref No: &amp;F&amp;C&amp;G&amp;R&amp;"Times New Roman,Bold"&amp;12&amp;P</oddFooter>
  </headerFooter>
  <rowBreaks count="4" manualBreakCount="4">
    <brk id="70" max="16383" man="1"/>
    <brk id="112" max="16383" man="1"/>
    <brk id="307" max="16383" man="1"/>
    <brk id="34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9"/>
  <sheetViews>
    <sheetView workbookViewId="0">
      <selection activeCell="C7" sqref="C7"/>
    </sheetView>
  </sheetViews>
  <sheetFormatPr defaultRowHeight="15" x14ac:dyDescent="0.25"/>
  <cols>
    <col min="1" max="1" width="20.5703125" style="20" customWidth="1"/>
    <col min="2" max="2" width="11.7109375" style="20" customWidth="1"/>
    <col min="3" max="4" width="9.140625" style="20"/>
    <col min="5" max="5" width="10.140625" style="20" customWidth="1"/>
    <col min="6" max="6" width="10.7109375" style="20" customWidth="1"/>
    <col min="7" max="7" width="9.140625" style="20"/>
    <col min="8" max="8" width="10.42578125" style="20" customWidth="1"/>
    <col min="9" max="9" width="15.42578125" style="20" customWidth="1"/>
    <col min="10" max="258" width="9.140625" style="20"/>
    <col min="259" max="259" width="11.7109375" style="20" customWidth="1"/>
    <col min="260" max="260" width="9.140625" style="20"/>
    <col min="261" max="261" width="14.7109375" style="20" customWidth="1"/>
    <col min="262" max="262" width="10.7109375" style="20" customWidth="1"/>
    <col min="263" max="514" width="9.140625" style="20"/>
    <col min="515" max="515" width="11.7109375" style="20" customWidth="1"/>
    <col min="516" max="516" width="9.140625" style="20"/>
    <col min="517" max="517" width="14.7109375" style="20" customWidth="1"/>
    <col min="518" max="518" width="10.7109375" style="20" customWidth="1"/>
    <col min="519" max="770" width="9.140625" style="20"/>
    <col min="771" max="771" width="11.7109375" style="20" customWidth="1"/>
    <col min="772" max="772" width="9.140625" style="20"/>
    <col min="773" max="773" width="14.7109375" style="20" customWidth="1"/>
    <col min="774" max="774" width="10.7109375" style="20" customWidth="1"/>
    <col min="775" max="1026" width="9.140625" style="20"/>
    <col min="1027" max="1027" width="11.7109375" style="20" customWidth="1"/>
    <col min="1028" max="1028" width="9.140625" style="20"/>
    <col min="1029" max="1029" width="14.7109375" style="20" customWidth="1"/>
    <col min="1030" max="1030" width="10.7109375" style="20" customWidth="1"/>
    <col min="1031" max="1282" width="9.140625" style="20"/>
    <col min="1283" max="1283" width="11.7109375" style="20" customWidth="1"/>
    <col min="1284" max="1284" width="9.140625" style="20"/>
    <col min="1285" max="1285" width="14.7109375" style="20" customWidth="1"/>
    <col min="1286" max="1286" width="10.7109375" style="20" customWidth="1"/>
    <col min="1287" max="1538" width="9.140625" style="20"/>
    <col min="1539" max="1539" width="11.7109375" style="20" customWidth="1"/>
    <col min="1540" max="1540" width="9.140625" style="20"/>
    <col min="1541" max="1541" width="14.7109375" style="20" customWidth="1"/>
    <col min="1542" max="1542" width="10.7109375" style="20" customWidth="1"/>
    <col min="1543" max="1794" width="9.140625" style="20"/>
    <col min="1795" max="1795" width="11.7109375" style="20" customWidth="1"/>
    <col min="1796" max="1796" width="9.140625" style="20"/>
    <col min="1797" max="1797" width="14.7109375" style="20" customWidth="1"/>
    <col min="1798" max="1798" width="10.7109375" style="20" customWidth="1"/>
    <col min="1799" max="2050" width="9.140625" style="20"/>
    <col min="2051" max="2051" width="11.7109375" style="20" customWidth="1"/>
    <col min="2052" max="2052" width="9.140625" style="20"/>
    <col min="2053" max="2053" width="14.7109375" style="20" customWidth="1"/>
    <col min="2054" max="2054" width="10.7109375" style="20" customWidth="1"/>
    <col min="2055" max="2306" width="9.140625" style="20"/>
    <col min="2307" max="2307" width="11.7109375" style="20" customWidth="1"/>
    <col min="2308" max="2308" width="9.140625" style="20"/>
    <col min="2309" max="2309" width="14.7109375" style="20" customWidth="1"/>
    <col min="2310" max="2310" width="10.7109375" style="20" customWidth="1"/>
    <col min="2311" max="2562" width="9.140625" style="20"/>
    <col min="2563" max="2563" width="11.7109375" style="20" customWidth="1"/>
    <col min="2564" max="2564" width="9.140625" style="20"/>
    <col min="2565" max="2565" width="14.7109375" style="20" customWidth="1"/>
    <col min="2566" max="2566" width="10.7109375" style="20" customWidth="1"/>
    <col min="2567" max="2818" width="9.140625" style="20"/>
    <col min="2819" max="2819" width="11.7109375" style="20" customWidth="1"/>
    <col min="2820" max="2820" width="9.140625" style="20"/>
    <col min="2821" max="2821" width="14.7109375" style="20" customWidth="1"/>
    <col min="2822" max="2822" width="10.7109375" style="20" customWidth="1"/>
    <col min="2823" max="3074" width="9.140625" style="20"/>
    <col min="3075" max="3075" width="11.7109375" style="20" customWidth="1"/>
    <col min="3076" max="3076" width="9.140625" style="20"/>
    <col min="3077" max="3077" width="14.7109375" style="20" customWidth="1"/>
    <col min="3078" max="3078" width="10.7109375" style="20" customWidth="1"/>
    <col min="3079" max="3330" width="9.140625" style="20"/>
    <col min="3331" max="3331" width="11.7109375" style="20" customWidth="1"/>
    <col min="3332" max="3332" width="9.140625" style="20"/>
    <col min="3333" max="3333" width="14.7109375" style="20" customWidth="1"/>
    <col min="3334" max="3334" width="10.7109375" style="20" customWidth="1"/>
    <col min="3335" max="3586" width="9.140625" style="20"/>
    <col min="3587" max="3587" width="11.7109375" style="20" customWidth="1"/>
    <col min="3588" max="3588" width="9.140625" style="20"/>
    <col min="3589" max="3589" width="14.7109375" style="20" customWidth="1"/>
    <col min="3590" max="3590" width="10.7109375" style="20" customWidth="1"/>
    <col min="3591" max="3842" width="9.140625" style="20"/>
    <col min="3843" max="3843" width="11.7109375" style="20" customWidth="1"/>
    <col min="3844" max="3844" width="9.140625" style="20"/>
    <col min="3845" max="3845" width="14.7109375" style="20" customWidth="1"/>
    <col min="3846" max="3846" width="10.7109375" style="20" customWidth="1"/>
    <col min="3847" max="4098" width="9.140625" style="20"/>
    <col min="4099" max="4099" width="11.7109375" style="20" customWidth="1"/>
    <col min="4100" max="4100" width="9.140625" style="20"/>
    <col min="4101" max="4101" width="14.7109375" style="20" customWidth="1"/>
    <col min="4102" max="4102" width="10.7109375" style="20" customWidth="1"/>
    <col min="4103" max="4354" width="9.140625" style="20"/>
    <col min="4355" max="4355" width="11.7109375" style="20" customWidth="1"/>
    <col min="4356" max="4356" width="9.140625" style="20"/>
    <col min="4357" max="4357" width="14.7109375" style="20" customWidth="1"/>
    <col min="4358" max="4358" width="10.7109375" style="20" customWidth="1"/>
    <col min="4359" max="4610" width="9.140625" style="20"/>
    <col min="4611" max="4611" width="11.7109375" style="20" customWidth="1"/>
    <col min="4612" max="4612" width="9.140625" style="20"/>
    <col min="4613" max="4613" width="14.7109375" style="20" customWidth="1"/>
    <col min="4614" max="4614" width="10.7109375" style="20" customWidth="1"/>
    <col min="4615" max="4866" width="9.140625" style="20"/>
    <col min="4867" max="4867" width="11.7109375" style="20" customWidth="1"/>
    <col min="4868" max="4868" width="9.140625" style="20"/>
    <col min="4869" max="4869" width="14.7109375" style="20" customWidth="1"/>
    <col min="4870" max="4870" width="10.7109375" style="20" customWidth="1"/>
    <col min="4871" max="5122" width="9.140625" style="20"/>
    <col min="5123" max="5123" width="11.7109375" style="20" customWidth="1"/>
    <col min="5124" max="5124" width="9.140625" style="20"/>
    <col min="5125" max="5125" width="14.7109375" style="20" customWidth="1"/>
    <col min="5126" max="5126" width="10.7109375" style="20" customWidth="1"/>
    <col min="5127" max="5378" width="9.140625" style="20"/>
    <col min="5379" max="5379" width="11.7109375" style="20" customWidth="1"/>
    <col min="5380" max="5380" width="9.140625" style="20"/>
    <col min="5381" max="5381" width="14.7109375" style="20" customWidth="1"/>
    <col min="5382" max="5382" width="10.7109375" style="20" customWidth="1"/>
    <col min="5383" max="5634" width="9.140625" style="20"/>
    <col min="5635" max="5635" width="11.7109375" style="20" customWidth="1"/>
    <col min="5636" max="5636" width="9.140625" style="20"/>
    <col min="5637" max="5637" width="14.7109375" style="20" customWidth="1"/>
    <col min="5638" max="5638" width="10.7109375" style="20" customWidth="1"/>
    <col min="5639" max="5890" width="9.140625" style="20"/>
    <col min="5891" max="5891" width="11.7109375" style="20" customWidth="1"/>
    <col min="5892" max="5892" width="9.140625" style="20"/>
    <col min="5893" max="5893" width="14.7109375" style="20" customWidth="1"/>
    <col min="5894" max="5894" width="10.7109375" style="20" customWidth="1"/>
    <col min="5895" max="6146" width="9.140625" style="20"/>
    <col min="6147" max="6147" width="11.7109375" style="20" customWidth="1"/>
    <col min="6148" max="6148" width="9.140625" style="20"/>
    <col min="6149" max="6149" width="14.7109375" style="20" customWidth="1"/>
    <col min="6150" max="6150" width="10.7109375" style="20" customWidth="1"/>
    <col min="6151" max="6402" width="9.140625" style="20"/>
    <col min="6403" max="6403" width="11.7109375" style="20" customWidth="1"/>
    <col min="6404" max="6404" width="9.140625" style="20"/>
    <col min="6405" max="6405" width="14.7109375" style="20" customWidth="1"/>
    <col min="6406" max="6406" width="10.7109375" style="20" customWidth="1"/>
    <col min="6407" max="6658" width="9.140625" style="20"/>
    <col min="6659" max="6659" width="11.7109375" style="20" customWidth="1"/>
    <col min="6660" max="6660" width="9.140625" style="20"/>
    <col min="6661" max="6661" width="14.7109375" style="20" customWidth="1"/>
    <col min="6662" max="6662" width="10.7109375" style="20" customWidth="1"/>
    <col min="6663" max="6914" width="9.140625" style="20"/>
    <col min="6915" max="6915" width="11.7109375" style="20" customWidth="1"/>
    <col min="6916" max="6916" width="9.140625" style="20"/>
    <col min="6917" max="6917" width="14.7109375" style="20" customWidth="1"/>
    <col min="6918" max="6918" width="10.7109375" style="20" customWidth="1"/>
    <col min="6919" max="7170" width="9.140625" style="20"/>
    <col min="7171" max="7171" width="11.7109375" style="20" customWidth="1"/>
    <col min="7172" max="7172" width="9.140625" style="20"/>
    <col min="7173" max="7173" width="14.7109375" style="20" customWidth="1"/>
    <col min="7174" max="7174" width="10.7109375" style="20" customWidth="1"/>
    <col min="7175" max="7426" width="9.140625" style="20"/>
    <col min="7427" max="7427" width="11.7109375" style="20" customWidth="1"/>
    <col min="7428" max="7428" width="9.140625" style="20"/>
    <col min="7429" max="7429" width="14.7109375" style="20" customWidth="1"/>
    <col min="7430" max="7430" width="10.7109375" style="20" customWidth="1"/>
    <col min="7431" max="7682" width="9.140625" style="20"/>
    <col min="7683" max="7683" width="11.7109375" style="20" customWidth="1"/>
    <col min="7684" max="7684" width="9.140625" style="20"/>
    <col min="7685" max="7685" width="14.7109375" style="20" customWidth="1"/>
    <col min="7686" max="7686" width="10.7109375" style="20" customWidth="1"/>
    <col min="7687" max="7938" width="9.140625" style="20"/>
    <col min="7939" max="7939" width="11.7109375" style="20" customWidth="1"/>
    <col min="7940" max="7940" width="9.140625" style="20"/>
    <col min="7941" max="7941" width="14.7109375" style="20" customWidth="1"/>
    <col min="7942" max="7942" width="10.7109375" style="20" customWidth="1"/>
    <col min="7943" max="8194" width="9.140625" style="20"/>
    <col min="8195" max="8195" width="11.7109375" style="20" customWidth="1"/>
    <col min="8196" max="8196" width="9.140625" style="20"/>
    <col min="8197" max="8197" width="14.7109375" style="20" customWidth="1"/>
    <col min="8198" max="8198" width="10.7109375" style="20" customWidth="1"/>
    <col min="8199" max="8450" width="9.140625" style="20"/>
    <col min="8451" max="8451" width="11.7109375" style="20" customWidth="1"/>
    <col min="8452" max="8452" width="9.140625" style="20"/>
    <col min="8453" max="8453" width="14.7109375" style="20" customWidth="1"/>
    <col min="8454" max="8454" width="10.7109375" style="20" customWidth="1"/>
    <col min="8455" max="8706" width="9.140625" style="20"/>
    <col min="8707" max="8707" width="11.7109375" style="20" customWidth="1"/>
    <col min="8708" max="8708" width="9.140625" style="20"/>
    <col min="8709" max="8709" width="14.7109375" style="20" customWidth="1"/>
    <col min="8710" max="8710" width="10.7109375" style="20" customWidth="1"/>
    <col min="8711" max="8962" width="9.140625" style="20"/>
    <col min="8963" max="8963" width="11.7109375" style="20" customWidth="1"/>
    <col min="8964" max="8964" width="9.140625" style="20"/>
    <col min="8965" max="8965" width="14.7109375" style="20" customWidth="1"/>
    <col min="8966" max="8966" width="10.7109375" style="20" customWidth="1"/>
    <col min="8967" max="9218" width="9.140625" style="20"/>
    <col min="9219" max="9219" width="11.7109375" style="20" customWidth="1"/>
    <col min="9220" max="9220" width="9.140625" style="20"/>
    <col min="9221" max="9221" width="14.7109375" style="20" customWidth="1"/>
    <col min="9222" max="9222" width="10.7109375" style="20" customWidth="1"/>
    <col min="9223" max="9474" width="9.140625" style="20"/>
    <col min="9475" max="9475" width="11.7109375" style="20" customWidth="1"/>
    <col min="9476" max="9476" width="9.140625" style="20"/>
    <col min="9477" max="9477" width="14.7109375" style="20" customWidth="1"/>
    <col min="9478" max="9478" width="10.7109375" style="20" customWidth="1"/>
    <col min="9479" max="9730" width="9.140625" style="20"/>
    <col min="9731" max="9731" width="11.7109375" style="20" customWidth="1"/>
    <col min="9732" max="9732" width="9.140625" style="20"/>
    <col min="9733" max="9733" width="14.7109375" style="20" customWidth="1"/>
    <col min="9734" max="9734" width="10.7109375" style="20" customWidth="1"/>
    <col min="9735" max="9986" width="9.140625" style="20"/>
    <col min="9987" max="9987" width="11.7109375" style="20" customWidth="1"/>
    <col min="9988" max="9988" width="9.140625" style="20"/>
    <col min="9989" max="9989" width="14.7109375" style="20" customWidth="1"/>
    <col min="9990" max="9990" width="10.7109375" style="20" customWidth="1"/>
    <col min="9991" max="10242" width="9.140625" style="20"/>
    <col min="10243" max="10243" width="11.7109375" style="20" customWidth="1"/>
    <col min="10244" max="10244" width="9.140625" style="20"/>
    <col min="10245" max="10245" width="14.7109375" style="20" customWidth="1"/>
    <col min="10246" max="10246" width="10.7109375" style="20" customWidth="1"/>
    <col min="10247" max="10498" width="9.140625" style="20"/>
    <col min="10499" max="10499" width="11.7109375" style="20" customWidth="1"/>
    <col min="10500" max="10500" width="9.140625" style="20"/>
    <col min="10501" max="10501" width="14.7109375" style="20" customWidth="1"/>
    <col min="10502" max="10502" width="10.7109375" style="20" customWidth="1"/>
    <col min="10503" max="10754" width="9.140625" style="20"/>
    <col min="10755" max="10755" width="11.7109375" style="20" customWidth="1"/>
    <col min="10756" max="10756" width="9.140625" style="20"/>
    <col min="10757" max="10757" width="14.7109375" style="20" customWidth="1"/>
    <col min="10758" max="10758" width="10.7109375" style="20" customWidth="1"/>
    <col min="10759" max="11010" width="9.140625" style="20"/>
    <col min="11011" max="11011" width="11.7109375" style="20" customWidth="1"/>
    <col min="11012" max="11012" width="9.140625" style="20"/>
    <col min="11013" max="11013" width="14.7109375" style="20" customWidth="1"/>
    <col min="11014" max="11014" width="10.7109375" style="20" customWidth="1"/>
    <col min="11015" max="11266" width="9.140625" style="20"/>
    <col min="11267" max="11267" width="11.7109375" style="20" customWidth="1"/>
    <col min="11268" max="11268" width="9.140625" style="20"/>
    <col min="11269" max="11269" width="14.7109375" style="20" customWidth="1"/>
    <col min="11270" max="11270" width="10.7109375" style="20" customWidth="1"/>
    <col min="11271" max="11522" width="9.140625" style="20"/>
    <col min="11523" max="11523" width="11.7109375" style="20" customWidth="1"/>
    <col min="11524" max="11524" width="9.140625" style="20"/>
    <col min="11525" max="11525" width="14.7109375" style="20" customWidth="1"/>
    <col min="11526" max="11526" width="10.7109375" style="20" customWidth="1"/>
    <col min="11527" max="11778" width="9.140625" style="20"/>
    <col min="11779" max="11779" width="11.7109375" style="20" customWidth="1"/>
    <col min="11780" max="11780" width="9.140625" style="20"/>
    <col min="11781" max="11781" width="14.7109375" style="20" customWidth="1"/>
    <col min="11782" max="11782" width="10.7109375" style="20" customWidth="1"/>
    <col min="11783" max="12034" width="9.140625" style="20"/>
    <col min="12035" max="12035" width="11.7109375" style="20" customWidth="1"/>
    <col min="12036" max="12036" width="9.140625" style="20"/>
    <col min="12037" max="12037" width="14.7109375" style="20" customWidth="1"/>
    <col min="12038" max="12038" width="10.7109375" style="20" customWidth="1"/>
    <col min="12039" max="12290" width="9.140625" style="20"/>
    <col min="12291" max="12291" width="11.7109375" style="20" customWidth="1"/>
    <col min="12292" max="12292" width="9.140625" style="20"/>
    <col min="12293" max="12293" width="14.7109375" style="20" customWidth="1"/>
    <col min="12294" max="12294" width="10.7109375" style="20" customWidth="1"/>
    <col min="12295" max="12546" width="9.140625" style="20"/>
    <col min="12547" max="12547" width="11.7109375" style="20" customWidth="1"/>
    <col min="12548" max="12548" width="9.140625" style="20"/>
    <col min="12549" max="12549" width="14.7109375" style="20" customWidth="1"/>
    <col min="12550" max="12550" width="10.7109375" style="20" customWidth="1"/>
    <col min="12551" max="12802" width="9.140625" style="20"/>
    <col min="12803" max="12803" width="11.7109375" style="20" customWidth="1"/>
    <col min="12804" max="12804" width="9.140625" style="20"/>
    <col min="12805" max="12805" width="14.7109375" style="20" customWidth="1"/>
    <col min="12806" max="12806" width="10.7109375" style="20" customWidth="1"/>
    <col min="12807" max="13058" width="9.140625" style="20"/>
    <col min="13059" max="13059" width="11.7109375" style="20" customWidth="1"/>
    <col min="13060" max="13060" width="9.140625" style="20"/>
    <col min="13061" max="13061" width="14.7109375" style="20" customWidth="1"/>
    <col min="13062" max="13062" width="10.7109375" style="20" customWidth="1"/>
    <col min="13063" max="13314" width="9.140625" style="20"/>
    <col min="13315" max="13315" width="11.7109375" style="20" customWidth="1"/>
    <col min="13316" max="13316" width="9.140625" style="20"/>
    <col min="13317" max="13317" width="14.7109375" style="20" customWidth="1"/>
    <col min="13318" max="13318" width="10.7109375" style="20" customWidth="1"/>
    <col min="13319" max="13570" width="9.140625" style="20"/>
    <col min="13571" max="13571" width="11.7109375" style="20" customWidth="1"/>
    <col min="13572" max="13572" width="9.140625" style="20"/>
    <col min="13573" max="13573" width="14.7109375" style="20" customWidth="1"/>
    <col min="13574" max="13574" width="10.7109375" style="20" customWidth="1"/>
    <col min="13575" max="13826" width="9.140625" style="20"/>
    <col min="13827" max="13827" width="11.7109375" style="20" customWidth="1"/>
    <col min="13828" max="13828" width="9.140625" style="20"/>
    <col min="13829" max="13829" width="14.7109375" style="20" customWidth="1"/>
    <col min="13830" max="13830" width="10.7109375" style="20" customWidth="1"/>
    <col min="13831" max="14082" width="9.140625" style="20"/>
    <col min="14083" max="14083" width="11.7109375" style="20" customWidth="1"/>
    <col min="14084" max="14084" width="9.140625" style="20"/>
    <col min="14085" max="14085" width="14.7109375" style="20" customWidth="1"/>
    <col min="14086" max="14086" width="10.7109375" style="20" customWidth="1"/>
    <col min="14087" max="14338" width="9.140625" style="20"/>
    <col min="14339" max="14339" width="11.7109375" style="20" customWidth="1"/>
    <col min="14340" max="14340" width="9.140625" style="20"/>
    <col min="14341" max="14341" width="14.7109375" style="20" customWidth="1"/>
    <col min="14342" max="14342" width="10.7109375" style="20" customWidth="1"/>
    <col min="14343" max="14594" width="9.140625" style="20"/>
    <col min="14595" max="14595" width="11.7109375" style="20" customWidth="1"/>
    <col min="14596" max="14596" width="9.140625" style="20"/>
    <col min="14597" max="14597" width="14.7109375" style="20" customWidth="1"/>
    <col min="14598" max="14598" width="10.7109375" style="20" customWidth="1"/>
    <col min="14599" max="14850" width="9.140625" style="20"/>
    <col min="14851" max="14851" width="11.7109375" style="20" customWidth="1"/>
    <col min="14852" max="14852" width="9.140625" style="20"/>
    <col min="14853" max="14853" width="14.7109375" style="20" customWidth="1"/>
    <col min="14854" max="14854" width="10.7109375" style="20" customWidth="1"/>
    <col min="14855" max="15106" width="9.140625" style="20"/>
    <col min="15107" max="15107" width="11.7109375" style="20" customWidth="1"/>
    <col min="15108" max="15108" width="9.140625" style="20"/>
    <col min="15109" max="15109" width="14.7109375" style="20" customWidth="1"/>
    <col min="15110" max="15110" width="10.7109375" style="20" customWidth="1"/>
    <col min="15111" max="15362" width="9.140625" style="20"/>
    <col min="15363" max="15363" width="11.7109375" style="20" customWidth="1"/>
    <col min="15364" max="15364" width="9.140625" style="20"/>
    <col min="15365" max="15365" width="14.7109375" style="20" customWidth="1"/>
    <col min="15366" max="15366" width="10.7109375" style="20" customWidth="1"/>
    <col min="15367" max="15618" width="9.140625" style="20"/>
    <col min="15619" max="15619" width="11.7109375" style="20" customWidth="1"/>
    <col min="15620" max="15620" width="9.140625" style="20"/>
    <col min="15621" max="15621" width="14.7109375" style="20" customWidth="1"/>
    <col min="15622" max="15622" width="10.7109375" style="20" customWidth="1"/>
    <col min="15623" max="15874" width="9.140625" style="20"/>
    <col min="15875" max="15875" width="11.7109375" style="20" customWidth="1"/>
    <col min="15876" max="15876" width="9.140625" style="20"/>
    <col min="15877" max="15877" width="14.7109375" style="20" customWidth="1"/>
    <col min="15878" max="15878" width="10.7109375" style="20" customWidth="1"/>
    <col min="15879" max="16130" width="9.140625" style="20"/>
    <col min="16131" max="16131" width="11.7109375" style="20" customWidth="1"/>
    <col min="16132" max="16132" width="9.140625" style="20"/>
    <col min="16133" max="16133" width="14.7109375" style="20" customWidth="1"/>
    <col min="16134" max="16134" width="10.7109375" style="20" customWidth="1"/>
    <col min="16135" max="16384" width="9.140625" style="20"/>
  </cols>
  <sheetData>
    <row r="2" spans="1:13" x14ac:dyDescent="0.25">
      <c r="A2" s="21" t="s">
        <v>135</v>
      </c>
      <c r="B2" s="21" t="s">
        <v>136</v>
      </c>
      <c r="C2" s="21" t="s">
        <v>137</v>
      </c>
      <c r="D2" s="232" t="s">
        <v>138</v>
      </c>
      <c r="E2" s="232"/>
    </row>
    <row r="3" spans="1:13" x14ac:dyDescent="0.25">
      <c r="A3" s="24">
        <v>0</v>
      </c>
      <c r="B3" s="24">
        <v>0</v>
      </c>
      <c r="C3" s="24">
        <v>1</v>
      </c>
      <c r="D3" s="234">
        <v>28</v>
      </c>
      <c r="E3" s="234"/>
    </row>
    <row r="5" spans="1:13" hidden="1" x14ac:dyDescent="0.25">
      <c r="A5" s="20" t="s">
        <v>100</v>
      </c>
      <c r="B5" s="22" t="s">
        <v>152</v>
      </c>
      <c r="C5" s="22">
        <f>D3</f>
        <v>28</v>
      </c>
      <c r="D5" s="23"/>
    </row>
    <row r="6" spans="1:13" x14ac:dyDescent="0.25">
      <c r="A6" s="20" t="s">
        <v>101</v>
      </c>
      <c r="B6" s="25">
        <v>10</v>
      </c>
      <c r="C6" s="26">
        <v>0</v>
      </c>
      <c r="D6" s="27">
        <f>((100/B6)*C6)/100</f>
        <v>0</v>
      </c>
    </row>
    <row r="7" spans="1:13" x14ac:dyDescent="0.25">
      <c r="A7" s="20" t="s">
        <v>102</v>
      </c>
      <c r="B7" s="25">
        <f>A3+B3+C3+D3</f>
        <v>29</v>
      </c>
      <c r="C7" s="26">
        <v>0</v>
      </c>
      <c r="D7" s="27">
        <f t="shared" ref="D7:D12" si="0">((100/B7)*C7)/100</f>
        <v>0</v>
      </c>
      <c r="F7" s="235" t="s">
        <v>153</v>
      </c>
      <c r="G7" s="235"/>
      <c r="H7" s="28" t="s">
        <v>154</v>
      </c>
      <c r="J7" s="34"/>
    </row>
    <row r="8" spans="1:13" x14ac:dyDescent="0.25">
      <c r="A8" s="20" t="s">
        <v>107</v>
      </c>
      <c r="B8" s="25">
        <f>C5</f>
        <v>28</v>
      </c>
      <c r="C8" s="26">
        <v>0</v>
      </c>
      <c r="D8" s="27">
        <f t="shared" si="0"/>
        <v>0</v>
      </c>
      <c r="F8" s="233" t="s">
        <v>155</v>
      </c>
      <c r="G8" s="233"/>
      <c r="H8" s="25" t="s">
        <v>156</v>
      </c>
    </row>
    <row r="9" spans="1:13" x14ac:dyDescent="0.25">
      <c r="A9" s="20" t="s">
        <v>109</v>
      </c>
      <c r="B9" s="25">
        <f>C5</f>
        <v>28</v>
      </c>
      <c r="C9" s="26">
        <v>0</v>
      </c>
      <c r="D9" s="27">
        <f t="shared" si="0"/>
        <v>0</v>
      </c>
      <c r="F9" s="233" t="s">
        <v>157</v>
      </c>
      <c r="G9" s="233"/>
      <c r="H9" s="25" t="s">
        <v>158</v>
      </c>
    </row>
    <row r="10" spans="1:13" x14ac:dyDescent="0.25">
      <c r="A10" s="20" t="s">
        <v>69</v>
      </c>
      <c r="B10" s="25">
        <f>C5</f>
        <v>28</v>
      </c>
      <c r="C10" s="26">
        <v>0</v>
      </c>
      <c r="D10" s="27">
        <f t="shared" si="0"/>
        <v>0</v>
      </c>
      <c r="F10" s="233" t="s">
        <v>159</v>
      </c>
      <c r="G10" s="233"/>
      <c r="H10" s="25" t="s">
        <v>160</v>
      </c>
    </row>
    <row r="11" spans="1:13" x14ac:dyDescent="0.25">
      <c r="A11" s="29" t="s">
        <v>105</v>
      </c>
      <c r="B11" s="25">
        <f>C5</f>
        <v>28</v>
      </c>
      <c r="C11" s="26">
        <v>0</v>
      </c>
      <c r="D11" s="27">
        <f t="shared" si="0"/>
        <v>0</v>
      </c>
      <c r="F11" s="233" t="s">
        <v>161</v>
      </c>
      <c r="G11" s="233"/>
      <c r="H11" s="25" t="s">
        <v>162</v>
      </c>
    </row>
    <row r="12" spans="1:13" x14ac:dyDescent="0.25">
      <c r="A12" s="20" t="s">
        <v>70</v>
      </c>
      <c r="B12" s="25">
        <f>C5</f>
        <v>28</v>
      </c>
      <c r="C12" s="26">
        <v>0</v>
      </c>
      <c r="D12" s="27">
        <f t="shared" si="0"/>
        <v>0</v>
      </c>
      <c r="F12" s="233" t="s">
        <v>163</v>
      </c>
      <c r="G12" s="233"/>
      <c r="H12" s="25" t="s">
        <v>164</v>
      </c>
    </row>
    <row r="13" spans="1:13" x14ac:dyDescent="0.25">
      <c r="F13" s="233" t="s">
        <v>165</v>
      </c>
      <c r="G13" s="233"/>
      <c r="H13" s="25" t="s">
        <v>166</v>
      </c>
    </row>
    <row r="14" spans="1:13" hidden="1" x14ac:dyDescent="0.25">
      <c r="A14" s="21"/>
      <c r="B14" s="21" t="s">
        <v>106</v>
      </c>
      <c r="C14" s="21" t="s">
        <v>110</v>
      </c>
      <c r="G14" s="21" t="s">
        <v>101</v>
      </c>
      <c r="H14" s="21" t="s">
        <v>103</v>
      </c>
      <c r="I14" s="21" t="s">
        <v>104</v>
      </c>
      <c r="J14" s="21" t="s">
        <v>68</v>
      </c>
      <c r="K14" s="21" t="s">
        <v>69</v>
      </c>
      <c r="L14" s="21" t="s">
        <v>105</v>
      </c>
      <c r="M14" s="21" t="s">
        <v>70</v>
      </c>
    </row>
    <row r="15" spans="1:13" hidden="1" x14ac:dyDescent="0.25">
      <c r="A15" s="21" t="s">
        <v>66</v>
      </c>
      <c r="B15" s="21">
        <f>G15</f>
        <v>0</v>
      </c>
      <c r="C15" s="21">
        <f>G16</f>
        <v>20</v>
      </c>
      <c r="E15" s="232" t="s">
        <v>106</v>
      </c>
      <c r="F15" s="232"/>
      <c r="G15" s="30">
        <f>C6</f>
        <v>0</v>
      </c>
      <c r="H15" s="30">
        <f>40/B7*C7</f>
        <v>0</v>
      </c>
      <c r="I15" s="30">
        <f>15/B8*C8</f>
        <v>0</v>
      </c>
      <c r="J15" s="30">
        <f>10/B9*C9</f>
        <v>0</v>
      </c>
      <c r="K15" s="30">
        <f>10/B10*C10</f>
        <v>0</v>
      </c>
      <c r="L15" s="30">
        <f>5/B11*C11</f>
        <v>0</v>
      </c>
      <c r="M15" s="30">
        <f>5/B12*C12</f>
        <v>0</v>
      </c>
    </row>
    <row r="16" spans="1:13" hidden="1" x14ac:dyDescent="0.25">
      <c r="A16" s="21" t="s">
        <v>67</v>
      </c>
      <c r="B16" s="21">
        <f>H15</f>
        <v>0</v>
      </c>
      <c r="C16" s="21">
        <f>H16</f>
        <v>0</v>
      </c>
      <c r="E16" s="232" t="s">
        <v>108</v>
      </c>
      <c r="F16" s="232"/>
      <c r="G16" s="21">
        <f>G15+20</f>
        <v>20</v>
      </c>
      <c r="H16" s="21">
        <f>30/B7*C7</f>
        <v>0</v>
      </c>
      <c r="I16" s="21">
        <f>15/B8*C8</f>
        <v>0</v>
      </c>
      <c r="J16" s="21">
        <f>10/B9*C9</f>
        <v>0</v>
      </c>
      <c r="K16" s="21">
        <f>5/B10*C10</f>
        <v>0</v>
      </c>
      <c r="L16" s="21">
        <f>5/B11*C11</f>
        <v>0</v>
      </c>
      <c r="M16" s="21">
        <f>5/B12*C12</f>
        <v>0</v>
      </c>
    </row>
    <row r="17" spans="1:8" hidden="1" x14ac:dyDescent="0.25">
      <c r="A17" s="21" t="s">
        <v>104</v>
      </c>
      <c r="B17" s="21">
        <f>I15</f>
        <v>0</v>
      </c>
      <c r="C17" s="21">
        <f>I16</f>
        <v>0</v>
      </c>
    </row>
    <row r="18" spans="1:8" hidden="1" x14ac:dyDescent="0.25">
      <c r="A18" s="21" t="s">
        <v>68</v>
      </c>
      <c r="B18" s="21">
        <f>J15</f>
        <v>0</v>
      </c>
      <c r="C18" s="21">
        <f>J16</f>
        <v>0</v>
      </c>
    </row>
    <row r="19" spans="1:8" hidden="1" x14ac:dyDescent="0.25">
      <c r="A19" s="21" t="s">
        <v>69</v>
      </c>
      <c r="B19" s="21">
        <f>K15</f>
        <v>0</v>
      </c>
      <c r="C19" s="21">
        <f>K16</f>
        <v>0</v>
      </c>
    </row>
    <row r="20" spans="1:8" hidden="1" x14ac:dyDescent="0.25">
      <c r="A20" s="31" t="s">
        <v>105</v>
      </c>
      <c r="B20" s="21">
        <f>L15</f>
        <v>0</v>
      </c>
      <c r="C20" s="21">
        <f>L16</f>
        <v>0</v>
      </c>
    </row>
    <row r="21" spans="1:8" hidden="1" x14ac:dyDescent="0.25">
      <c r="A21" s="21" t="s">
        <v>70</v>
      </c>
      <c r="B21" s="21">
        <f>M15</f>
        <v>0</v>
      </c>
      <c r="C21" s="21">
        <f>M16</f>
        <v>0</v>
      </c>
    </row>
    <row r="22" spans="1:8" x14ac:dyDescent="0.25">
      <c r="A22" s="21" t="s">
        <v>111</v>
      </c>
      <c r="B22" s="32">
        <f>(B15+B16+B17+B18+B19+B20+B21)/100</f>
        <v>0</v>
      </c>
      <c r="C22" s="32">
        <f>(C15+C16+C17+C18+C19+C20+C21)/100</f>
        <v>0.2</v>
      </c>
      <c r="F22" s="233" t="s">
        <v>167</v>
      </c>
      <c r="G22" s="233"/>
      <c r="H22" s="25" t="s">
        <v>158</v>
      </c>
    </row>
    <row r="23" spans="1:8" x14ac:dyDescent="0.25">
      <c r="F23" s="233" t="s">
        <v>168</v>
      </c>
      <c r="G23" s="233"/>
      <c r="H23" s="25" t="s">
        <v>169</v>
      </c>
    </row>
    <row r="24" spans="1:8" x14ac:dyDescent="0.25">
      <c r="A24" s="20" t="s">
        <v>142</v>
      </c>
      <c r="B24" s="33">
        <v>0.01</v>
      </c>
      <c r="C24" s="33">
        <v>0.02</v>
      </c>
      <c r="F24" s="233" t="s">
        <v>170</v>
      </c>
      <c r="G24" s="233"/>
      <c r="H24" s="25" t="s">
        <v>171</v>
      </c>
    </row>
    <row r="25" spans="1:8" x14ac:dyDescent="0.25">
      <c r="A25" s="20" t="s">
        <v>143</v>
      </c>
      <c r="B25" s="33">
        <v>0.01</v>
      </c>
      <c r="C25" s="33">
        <v>0.03</v>
      </c>
    </row>
    <row r="26" spans="1:8" x14ac:dyDescent="0.25">
      <c r="A26" s="20" t="s">
        <v>144</v>
      </c>
      <c r="B26" s="33">
        <v>0.03</v>
      </c>
      <c r="C26" s="33">
        <v>0.08</v>
      </c>
    </row>
    <row r="27" spans="1:8" x14ac:dyDescent="0.25">
      <c r="A27" s="20" t="s">
        <v>145</v>
      </c>
      <c r="B27" s="33">
        <v>0.05</v>
      </c>
      <c r="C27" s="33">
        <v>0.15</v>
      </c>
    </row>
    <row r="28" spans="1:8" x14ac:dyDescent="0.25">
      <c r="A28" s="20" t="s">
        <v>146</v>
      </c>
      <c r="B28" s="33">
        <v>7.0000000000000007E-2</v>
      </c>
      <c r="C28" s="33">
        <v>0.2</v>
      </c>
    </row>
    <row r="29" spans="1:8" x14ac:dyDescent="0.25">
      <c r="A29" s="20" t="s">
        <v>147</v>
      </c>
      <c r="B29" s="33">
        <v>0.1</v>
      </c>
      <c r="C29" s="33">
        <v>0.3</v>
      </c>
    </row>
  </sheetData>
  <mergeCells count="14">
    <mergeCell ref="D2:E2"/>
    <mergeCell ref="D3:E3"/>
    <mergeCell ref="F12:G12"/>
    <mergeCell ref="F13:G13"/>
    <mergeCell ref="F7:G7"/>
    <mergeCell ref="F8:G8"/>
    <mergeCell ref="F9:G9"/>
    <mergeCell ref="F10:G10"/>
    <mergeCell ref="F11:G11"/>
    <mergeCell ref="E16:F16"/>
    <mergeCell ref="F22:G22"/>
    <mergeCell ref="F23:G23"/>
    <mergeCell ref="F24:G24"/>
    <mergeCell ref="E15:F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9"/>
  <sheetViews>
    <sheetView workbookViewId="0">
      <selection activeCell="D27" sqref="D27"/>
    </sheetView>
  </sheetViews>
  <sheetFormatPr defaultRowHeight="15" x14ac:dyDescent="0.25"/>
  <cols>
    <col min="1" max="1" width="20.5703125" style="20" customWidth="1"/>
    <col min="2" max="2" width="11.7109375" style="20" customWidth="1"/>
    <col min="3" max="4" width="9.140625" style="20"/>
    <col min="5" max="5" width="10.140625" style="20" customWidth="1"/>
    <col min="6" max="6" width="10.7109375" style="20" customWidth="1"/>
    <col min="7" max="7" width="9.140625" style="20"/>
    <col min="8" max="8" width="10.42578125" style="20" customWidth="1"/>
    <col min="9" max="9" width="15.42578125" style="20" customWidth="1"/>
    <col min="10" max="258" width="9.140625" style="20"/>
    <col min="259" max="259" width="11.7109375" style="20" customWidth="1"/>
    <col min="260" max="260" width="9.140625" style="20"/>
    <col min="261" max="261" width="14.7109375" style="20" customWidth="1"/>
    <col min="262" max="262" width="10.7109375" style="20" customWidth="1"/>
    <col min="263" max="514" width="9.140625" style="20"/>
    <col min="515" max="515" width="11.7109375" style="20" customWidth="1"/>
    <col min="516" max="516" width="9.140625" style="20"/>
    <col min="517" max="517" width="14.7109375" style="20" customWidth="1"/>
    <col min="518" max="518" width="10.7109375" style="20" customWidth="1"/>
    <col min="519" max="770" width="9.140625" style="20"/>
    <col min="771" max="771" width="11.7109375" style="20" customWidth="1"/>
    <col min="772" max="772" width="9.140625" style="20"/>
    <col min="773" max="773" width="14.7109375" style="20" customWidth="1"/>
    <col min="774" max="774" width="10.7109375" style="20" customWidth="1"/>
    <col min="775" max="1026" width="9.140625" style="20"/>
    <col min="1027" max="1027" width="11.7109375" style="20" customWidth="1"/>
    <col min="1028" max="1028" width="9.140625" style="20"/>
    <col min="1029" max="1029" width="14.7109375" style="20" customWidth="1"/>
    <col min="1030" max="1030" width="10.7109375" style="20" customWidth="1"/>
    <col min="1031" max="1282" width="9.140625" style="20"/>
    <col min="1283" max="1283" width="11.7109375" style="20" customWidth="1"/>
    <col min="1284" max="1284" width="9.140625" style="20"/>
    <col min="1285" max="1285" width="14.7109375" style="20" customWidth="1"/>
    <col min="1286" max="1286" width="10.7109375" style="20" customWidth="1"/>
    <col min="1287" max="1538" width="9.140625" style="20"/>
    <col min="1539" max="1539" width="11.7109375" style="20" customWidth="1"/>
    <col min="1540" max="1540" width="9.140625" style="20"/>
    <col min="1541" max="1541" width="14.7109375" style="20" customWidth="1"/>
    <col min="1542" max="1542" width="10.7109375" style="20" customWidth="1"/>
    <col min="1543" max="1794" width="9.140625" style="20"/>
    <col min="1795" max="1795" width="11.7109375" style="20" customWidth="1"/>
    <col min="1796" max="1796" width="9.140625" style="20"/>
    <col min="1797" max="1797" width="14.7109375" style="20" customWidth="1"/>
    <col min="1798" max="1798" width="10.7109375" style="20" customWidth="1"/>
    <col min="1799" max="2050" width="9.140625" style="20"/>
    <col min="2051" max="2051" width="11.7109375" style="20" customWidth="1"/>
    <col min="2052" max="2052" width="9.140625" style="20"/>
    <col min="2053" max="2053" width="14.7109375" style="20" customWidth="1"/>
    <col min="2054" max="2054" width="10.7109375" style="20" customWidth="1"/>
    <col min="2055" max="2306" width="9.140625" style="20"/>
    <col min="2307" max="2307" width="11.7109375" style="20" customWidth="1"/>
    <col min="2308" max="2308" width="9.140625" style="20"/>
    <col min="2309" max="2309" width="14.7109375" style="20" customWidth="1"/>
    <col min="2310" max="2310" width="10.7109375" style="20" customWidth="1"/>
    <col min="2311" max="2562" width="9.140625" style="20"/>
    <col min="2563" max="2563" width="11.7109375" style="20" customWidth="1"/>
    <col min="2564" max="2564" width="9.140625" style="20"/>
    <col min="2565" max="2565" width="14.7109375" style="20" customWidth="1"/>
    <col min="2566" max="2566" width="10.7109375" style="20" customWidth="1"/>
    <col min="2567" max="2818" width="9.140625" style="20"/>
    <col min="2819" max="2819" width="11.7109375" style="20" customWidth="1"/>
    <col min="2820" max="2820" width="9.140625" style="20"/>
    <col min="2821" max="2821" width="14.7109375" style="20" customWidth="1"/>
    <col min="2822" max="2822" width="10.7109375" style="20" customWidth="1"/>
    <col min="2823" max="3074" width="9.140625" style="20"/>
    <col min="3075" max="3075" width="11.7109375" style="20" customWidth="1"/>
    <col min="3076" max="3076" width="9.140625" style="20"/>
    <col min="3077" max="3077" width="14.7109375" style="20" customWidth="1"/>
    <col min="3078" max="3078" width="10.7109375" style="20" customWidth="1"/>
    <col min="3079" max="3330" width="9.140625" style="20"/>
    <col min="3331" max="3331" width="11.7109375" style="20" customWidth="1"/>
    <col min="3332" max="3332" width="9.140625" style="20"/>
    <col min="3333" max="3333" width="14.7109375" style="20" customWidth="1"/>
    <col min="3334" max="3334" width="10.7109375" style="20" customWidth="1"/>
    <col min="3335" max="3586" width="9.140625" style="20"/>
    <col min="3587" max="3587" width="11.7109375" style="20" customWidth="1"/>
    <col min="3588" max="3588" width="9.140625" style="20"/>
    <col min="3589" max="3589" width="14.7109375" style="20" customWidth="1"/>
    <col min="3590" max="3590" width="10.7109375" style="20" customWidth="1"/>
    <col min="3591" max="3842" width="9.140625" style="20"/>
    <col min="3843" max="3843" width="11.7109375" style="20" customWidth="1"/>
    <col min="3844" max="3844" width="9.140625" style="20"/>
    <col min="3845" max="3845" width="14.7109375" style="20" customWidth="1"/>
    <col min="3846" max="3846" width="10.7109375" style="20" customWidth="1"/>
    <col min="3847" max="4098" width="9.140625" style="20"/>
    <col min="4099" max="4099" width="11.7109375" style="20" customWidth="1"/>
    <col min="4100" max="4100" width="9.140625" style="20"/>
    <col min="4101" max="4101" width="14.7109375" style="20" customWidth="1"/>
    <col min="4102" max="4102" width="10.7109375" style="20" customWidth="1"/>
    <col min="4103" max="4354" width="9.140625" style="20"/>
    <col min="4355" max="4355" width="11.7109375" style="20" customWidth="1"/>
    <col min="4356" max="4356" width="9.140625" style="20"/>
    <col min="4357" max="4357" width="14.7109375" style="20" customWidth="1"/>
    <col min="4358" max="4358" width="10.7109375" style="20" customWidth="1"/>
    <col min="4359" max="4610" width="9.140625" style="20"/>
    <col min="4611" max="4611" width="11.7109375" style="20" customWidth="1"/>
    <col min="4612" max="4612" width="9.140625" style="20"/>
    <col min="4613" max="4613" width="14.7109375" style="20" customWidth="1"/>
    <col min="4614" max="4614" width="10.7109375" style="20" customWidth="1"/>
    <col min="4615" max="4866" width="9.140625" style="20"/>
    <col min="4867" max="4867" width="11.7109375" style="20" customWidth="1"/>
    <col min="4868" max="4868" width="9.140625" style="20"/>
    <col min="4869" max="4869" width="14.7109375" style="20" customWidth="1"/>
    <col min="4870" max="4870" width="10.7109375" style="20" customWidth="1"/>
    <col min="4871" max="5122" width="9.140625" style="20"/>
    <col min="5123" max="5123" width="11.7109375" style="20" customWidth="1"/>
    <col min="5124" max="5124" width="9.140625" style="20"/>
    <col min="5125" max="5125" width="14.7109375" style="20" customWidth="1"/>
    <col min="5126" max="5126" width="10.7109375" style="20" customWidth="1"/>
    <col min="5127" max="5378" width="9.140625" style="20"/>
    <col min="5379" max="5379" width="11.7109375" style="20" customWidth="1"/>
    <col min="5380" max="5380" width="9.140625" style="20"/>
    <col min="5381" max="5381" width="14.7109375" style="20" customWidth="1"/>
    <col min="5382" max="5382" width="10.7109375" style="20" customWidth="1"/>
    <col min="5383" max="5634" width="9.140625" style="20"/>
    <col min="5635" max="5635" width="11.7109375" style="20" customWidth="1"/>
    <col min="5636" max="5636" width="9.140625" style="20"/>
    <col min="5637" max="5637" width="14.7109375" style="20" customWidth="1"/>
    <col min="5638" max="5638" width="10.7109375" style="20" customWidth="1"/>
    <col min="5639" max="5890" width="9.140625" style="20"/>
    <col min="5891" max="5891" width="11.7109375" style="20" customWidth="1"/>
    <col min="5892" max="5892" width="9.140625" style="20"/>
    <col min="5893" max="5893" width="14.7109375" style="20" customWidth="1"/>
    <col min="5894" max="5894" width="10.7109375" style="20" customWidth="1"/>
    <col min="5895" max="6146" width="9.140625" style="20"/>
    <col min="6147" max="6147" width="11.7109375" style="20" customWidth="1"/>
    <col min="6148" max="6148" width="9.140625" style="20"/>
    <col min="6149" max="6149" width="14.7109375" style="20" customWidth="1"/>
    <col min="6150" max="6150" width="10.7109375" style="20" customWidth="1"/>
    <col min="6151" max="6402" width="9.140625" style="20"/>
    <col min="6403" max="6403" width="11.7109375" style="20" customWidth="1"/>
    <col min="6404" max="6404" width="9.140625" style="20"/>
    <col min="6405" max="6405" width="14.7109375" style="20" customWidth="1"/>
    <col min="6406" max="6406" width="10.7109375" style="20" customWidth="1"/>
    <col min="6407" max="6658" width="9.140625" style="20"/>
    <col min="6659" max="6659" width="11.7109375" style="20" customWidth="1"/>
    <col min="6660" max="6660" width="9.140625" style="20"/>
    <col min="6661" max="6661" width="14.7109375" style="20" customWidth="1"/>
    <col min="6662" max="6662" width="10.7109375" style="20" customWidth="1"/>
    <col min="6663" max="6914" width="9.140625" style="20"/>
    <col min="6915" max="6915" width="11.7109375" style="20" customWidth="1"/>
    <col min="6916" max="6916" width="9.140625" style="20"/>
    <col min="6917" max="6917" width="14.7109375" style="20" customWidth="1"/>
    <col min="6918" max="6918" width="10.7109375" style="20" customWidth="1"/>
    <col min="6919" max="7170" width="9.140625" style="20"/>
    <col min="7171" max="7171" width="11.7109375" style="20" customWidth="1"/>
    <col min="7172" max="7172" width="9.140625" style="20"/>
    <col min="7173" max="7173" width="14.7109375" style="20" customWidth="1"/>
    <col min="7174" max="7174" width="10.7109375" style="20" customWidth="1"/>
    <col min="7175" max="7426" width="9.140625" style="20"/>
    <col min="7427" max="7427" width="11.7109375" style="20" customWidth="1"/>
    <col min="7428" max="7428" width="9.140625" style="20"/>
    <col min="7429" max="7429" width="14.7109375" style="20" customWidth="1"/>
    <col min="7430" max="7430" width="10.7109375" style="20" customWidth="1"/>
    <col min="7431" max="7682" width="9.140625" style="20"/>
    <col min="7683" max="7683" width="11.7109375" style="20" customWidth="1"/>
    <col min="7684" max="7684" width="9.140625" style="20"/>
    <col min="7685" max="7685" width="14.7109375" style="20" customWidth="1"/>
    <col min="7686" max="7686" width="10.7109375" style="20" customWidth="1"/>
    <col min="7687" max="7938" width="9.140625" style="20"/>
    <col min="7939" max="7939" width="11.7109375" style="20" customWidth="1"/>
    <col min="7940" max="7940" width="9.140625" style="20"/>
    <col min="7941" max="7941" width="14.7109375" style="20" customWidth="1"/>
    <col min="7942" max="7942" width="10.7109375" style="20" customWidth="1"/>
    <col min="7943" max="8194" width="9.140625" style="20"/>
    <col min="8195" max="8195" width="11.7109375" style="20" customWidth="1"/>
    <col min="8196" max="8196" width="9.140625" style="20"/>
    <col min="8197" max="8197" width="14.7109375" style="20" customWidth="1"/>
    <col min="8198" max="8198" width="10.7109375" style="20" customWidth="1"/>
    <col min="8199" max="8450" width="9.140625" style="20"/>
    <col min="8451" max="8451" width="11.7109375" style="20" customWidth="1"/>
    <col min="8452" max="8452" width="9.140625" style="20"/>
    <col min="8453" max="8453" width="14.7109375" style="20" customWidth="1"/>
    <col min="8454" max="8454" width="10.7109375" style="20" customWidth="1"/>
    <col min="8455" max="8706" width="9.140625" style="20"/>
    <col min="8707" max="8707" width="11.7109375" style="20" customWidth="1"/>
    <col min="8708" max="8708" width="9.140625" style="20"/>
    <col min="8709" max="8709" width="14.7109375" style="20" customWidth="1"/>
    <col min="8710" max="8710" width="10.7109375" style="20" customWidth="1"/>
    <col min="8711" max="8962" width="9.140625" style="20"/>
    <col min="8963" max="8963" width="11.7109375" style="20" customWidth="1"/>
    <col min="8964" max="8964" width="9.140625" style="20"/>
    <col min="8965" max="8965" width="14.7109375" style="20" customWidth="1"/>
    <col min="8966" max="8966" width="10.7109375" style="20" customWidth="1"/>
    <col min="8967" max="9218" width="9.140625" style="20"/>
    <col min="9219" max="9219" width="11.7109375" style="20" customWidth="1"/>
    <col min="9220" max="9220" width="9.140625" style="20"/>
    <col min="9221" max="9221" width="14.7109375" style="20" customWidth="1"/>
    <col min="9222" max="9222" width="10.7109375" style="20" customWidth="1"/>
    <col min="9223" max="9474" width="9.140625" style="20"/>
    <col min="9475" max="9475" width="11.7109375" style="20" customWidth="1"/>
    <col min="9476" max="9476" width="9.140625" style="20"/>
    <col min="9477" max="9477" width="14.7109375" style="20" customWidth="1"/>
    <col min="9478" max="9478" width="10.7109375" style="20" customWidth="1"/>
    <col min="9479" max="9730" width="9.140625" style="20"/>
    <col min="9731" max="9731" width="11.7109375" style="20" customWidth="1"/>
    <col min="9732" max="9732" width="9.140625" style="20"/>
    <col min="9733" max="9733" width="14.7109375" style="20" customWidth="1"/>
    <col min="9734" max="9734" width="10.7109375" style="20" customWidth="1"/>
    <col min="9735" max="9986" width="9.140625" style="20"/>
    <col min="9987" max="9987" width="11.7109375" style="20" customWidth="1"/>
    <col min="9988" max="9988" width="9.140625" style="20"/>
    <col min="9989" max="9989" width="14.7109375" style="20" customWidth="1"/>
    <col min="9990" max="9990" width="10.7109375" style="20" customWidth="1"/>
    <col min="9991" max="10242" width="9.140625" style="20"/>
    <col min="10243" max="10243" width="11.7109375" style="20" customWidth="1"/>
    <col min="10244" max="10244" width="9.140625" style="20"/>
    <col min="10245" max="10245" width="14.7109375" style="20" customWidth="1"/>
    <col min="10246" max="10246" width="10.7109375" style="20" customWidth="1"/>
    <col min="10247" max="10498" width="9.140625" style="20"/>
    <col min="10499" max="10499" width="11.7109375" style="20" customWidth="1"/>
    <col min="10500" max="10500" width="9.140625" style="20"/>
    <col min="10501" max="10501" width="14.7109375" style="20" customWidth="1"/>
    <col min="10502" max="10502" width="10.7109375" style="20" customWidth="1"/>
    <col min="10503" max="10754" width="9.140625" style="20"/>
    <col min="10755" max="10755" width="11.7109375" style="20" customWidth="1"/>
    <col min="10756" max="10756" width="9.140625" style="20"/>
    <col min="10757" max="10757" width="14.7109375" style="20" customWidth="1"/>
    <col min="10758" max="10758" width="10.7109375" style="20" customWidth="1"/>
    <col min="10759" max="11010" width="9.140625" style="20"/>
    <col min="11011" max="11011" width="11.7109375" style="20" customWidth="1"/>
    <col min="11012" max="11012" width="9.140625" style="20"/>
    <col min="11013" max="11013" width="14.7109375" style="20" customWidth="1"/>
    <col min="11014" max="11014" width="10.7109375" style="20" customWidth="1"/>
    <col min="11015" max="11266" width="9.140625" style="20"/>
    <col min="11267" max="11267" width="11.7109375" style="20" customWidth="1"/>
    <col min="11268" max="11268" width="9.140625" style="20"/>
    <col min="11269" max="11269" width="14.7109375" style="20" customWidth="1"/>
    <col min="11270" max="11270" width="10.7109375" style="20" customWidth="1"/>
    <col min="11271" max="11522" width="9.140625" style="20"/>
    <col min="11523" max="11523" width="11.7109375" style="20" customWidth="1"/>
    <col min="11524" max="11524" width="9.140625" style="20"/>
    <col min="11525" max="11525" width="14.7109375" style="20" customWidth="1"/>
    <col min="11526" max="11526" width="10.7109375" style="20" customWidth="1"/>
    <col min="11527" max="11778" width="9.140625" style="20"/>
    <col min="11779" max="11779" width="11.7109375" style="20" customWidth="1"/>
    <col min="11780" max="11780" width="9.140625" style="20"/>
    <col min="11781" max="11781" width="14.7109375" style="20" customWidth="1"/>
    <col min="11782" max="11782" width="10.7109375" style="20" customWidth="1"/>
    <col min="11783" max="12034" width="9.140625" style="20"/>
    <col min="12035" max="12035" width="11.7109375" style="20" customWidth="1"/>
    <col min="12036" max="12036" width="9.140625" style="20"/>
    <col min="12037" max="12037" width="14.7109375" style="20" customWidth="1"/>
    <col min="12038" max="12038" width="10.7109375" style="20" customWidth="1"/>
    <col min="12039" max="12290" width="9.140625" style="20"/>
    <col min="12291" max="12291" width="11.7109375" style="20" customWidth="1"/>
    <col min="12292" max="12292" width="9.140625" style="20"/>
    <col min="12293" max="12293" width="14.7109375" style="20" customWidth="1"/>
    <col min="12294" max="12294" width="10.7109375" style="20" customWidth="1"/>
    <col min="12295" max="12546" width="9.140625" style="20"/>
    <col min="12547" max="12547" width="11.7109375" style="20" customWidth="1"/>
    <col min="12548" max="12548" width="9.140625" style="20"/>
    <col min="12549" max="12549" width="14.7109375" style="20" customWidth="1"/>
    <col min="12550" max="12550" width="10.7109375" style="20" customWidth="1"/>
    <col min="12551" max="12802" width="9.140625" style="20"/>
    <col min="12803" max="12803" width="11.7109375" style="20" customWidth="1"/>
    <col min="12804" max="12804" width="9.140625" style="20"/>
    <col min="12805" max="12805" width="14.7109375" style="20" customWidth="1"/>
    <col min="12806" max="12806" width="10.7109375" style="20" customWidth="1"/>
    <col min="12807" max="13058" width="9.140625" style="20"/>
    <col min="13059" max="13059" width="11.7109375" style="20" customWidth="1"/>
    <col min="13060" max="13060" width="9.140625" style="20"/>
    <col min="13061" max="13061" width="14.7109375" style="20" customWidth="1"/>
    <col min="13062" max="13062" width="10.7109375" style="20" customWidth="1"/>
    <col min="13063" max="13314" width="9.140625" style="20"/>
    <col min="13315" max="13315" width="11.7109375" style="20" customWidth="1"/>
    <col min="13316" max="13316" width="9.140625" style="20"/>
    <col min="13317" max="13317" width="14.7109375" style="20" customWidth="1"/>
    <col min="13318" max="13318" width="10.7109375" style="20" customWidth="1"/>
    <col min="13319" max="13570" width="9.140625" style="20"/>
    <col min="13571" max="13571" width="11.7109375" style="20" customWidth="1"/>
    <col min="13572" max="13572" width="9.140625" style="20"/>
    <col min="13573" max="13573" width="14.7109375" style="20" customWidth="1"/>
    <col min="13574" max="13574" width="10.7109375" style="20" customWidth="1"/>
    <col min="13575" max="13826" width="9.140625" style="20"/>
    <col min="13827" max="13827" width="11.7109375" style="20" customWidth="1"/>
    <col min="13828" max="13828" width="9.140625" style="20"/>
    <col min="13829" max="13829" width="14.7109375" style="20" customWidth="1"/>
    <col min="13830" max="13830" width="10.7109375" style="20" customWidth="1"/>
    <col min="13831" max="14082" width="9.140625" style="20"/>
    <col min="14083" max="14083" width="11.7109375" style="20" customWidth="1"/>
    <col min="14084" max="14084" width="9.140625" style="20"/>
    <col min="14085" max="14085" width="14.7109375" style="20" customWidth="1"/>
    <col min="14086" max="14086" width="10.7109375" style="20" customWidth="1"/>
    <col min="14087" max="14338" width="9.140625" style="20"/>
    <col min="14339" max="14339" width="11.7109375" style="20" customWidth="1"/>
    <col min="14340" max="14340" width="9.140625" style="20"/>
    <col min="14341" max="14341" width="14.7109375" style="20" customWidth="1"/>
    <col min="14342" max="14342" width="10.7109375" style="20" customWidth="1"/>
    <col min="14343" max="14594" width="9.140625" style="20"/>
    <col min="14595" max="14595" width="11.7109375" style="20" customWidth="1"/>
    <col min="14596" max="14596" width="9.140625" style="20"/>
    <col min="14597" max="14597" width="14.7109375" style="20" customWidth="1"/>
    <col min="14598" max="14598" width="10.7109375" style="20" customWidth="1"/>
    <col min="14599" max="14850" width="9.140625" style="20"/>
    <col min="14851" max="14851" width="11.7109375" style="20" customWidth="1"/>
    <col min="14852" max="14852" width="9.140625" style="20"/>
    <col min="14853" max="14853" width="14.7109375" style="20" customWidth="1"/>
    <col min="14854" max="14854" width="10.7109375" style="20" customWidth="1"/>
    <col min="14855" max="15106" width="9.140625" style="20"/>
    <col min="15107" max="15107" width="11.7109375" style="20" customWidth="1"/>
    <col min="15108" max="15108" width="9.140625" style="20"/>
    <col min="15109" max="15109" width="14.7109375" style="20" customWidth="1"/>
    <col min="15110" max="15110" width="10.7109375" style="20" customWidth="1"/>
    <col min="15111" max="15362" width="9.140625" style="20"/>
    <col min="15363" max="15363" width="11.7109375" style="20" customWidth="1"/>
    <col min="15364" max="15364" width="9.140625" style="20"/>
    <col min="15365" max="15365" width="14.7109375" style="20" customWidth="1"/>
    <col min="15366" max="15366" width="10.7109375" style="20" customWidth="1"/>
    <col min="15367" max="15618" width="9.140625" style="20"/>
    <col min="15619" max="15619" width="11.7109375" style="20" customWidth="1"/>
    <col min="15620" max="15620" width="9.140625" style="20"/>
    <col min="15621" max="15621" width="14.7109375" style="20" customWidth="1"/>
    <col min="15622" max="15622" width="10.7109375" style="20" customWidth="1"/>
    <col min="15623" max="15874" width="9.140625" style="20"/>
    <col min="15875" max="15875" width="11.7109375" style="20" customWidth="1"/>
    <col min="15876" max="15876" width="9.140625" style="20"/>
    <col min="15877" max="15877" width="14.7109375" style="20" customWidth="1"/>
    <col min="15878" max="15878" width="10.7109375" style="20" customWidth="1"/>
    <col min="15879" max="16130" width="9.140625" style="20"/>
    <col min="16131" max="16131" width="11.7109375" style="20" customWidth="1"/>
    <col min="16132" max="16132" width="9.140625" style="20"/>
    <col min="16133" max="16133" width="14.7109375" style="20" customWidth="1"/>
    <col min="16134" max="16134" width="10.7109375" style="20" customWidth="1"/>
    <col min="16135" max="16384" width="9.140625" style="20"/>
  </cols>
  <sheetData>
    <row r="2" spans="1:13" x14ac:dyDescent="0.25">
      <c r="A2" s="21" t="s">
        <v>135</v>
      </c>
      <c r="B2" s="21" t="s">
        <v>136</v>
      </c>
      <c r="C2" s="21" t="s">
        <v>137</v>
      </c>
      <c r="D2" s="232" t="s">
        <v>138</v>
      </c>
      <c r="E2" s="232"/>
    </row>
    <row r="3" spans="1:13" x14ac:dyDescent="0.25">
      <c r="A3" s="24">
        <v>0</v>
      </c>
      <c r="B3" s="24">
        <v>0</v>
      </c>
      <c r="C3" s="24">
        <v>1</v>
      </c>
      <c r="D3" s="234">
        <v>28</v>
      </c>
      <c r="E3" s="234"/>
    </row>
    <row r="5" spans="1:13" hidden="1" x14ac:dyDescent="0.25">
      <c r="A5" s="20" t="s">
        <v>100</v>
      </c>
      <c r="B5" s="22" t="s">
        <v>152</v>
      </c>
      <c r="C5" s="22">
        <f>D3</f>
        <v>28</v>
      </c>
      <c r="D5" s="23"/>
    </row>
    <row r="6" spans="1:13" x14ac:dyDescent="0.25">
      <c r="A6" s="20" t="s">
        <v>101</v>
      </c>
      <c r="B6" s="25">
        <v>10</v>
      </c>
      <c r="C6" s="26">
        <v>1</v>
      </c>
      <c r="D6" s="27">
        <f>((100/B6)*C6)/100</f>
        <v>0.1</v>
      </c>
    </row>
    <row r="7" spans="1:13" x14ac:dyDescent="0.25">
      <c r="A7" s="20" t="s">
        <v>102</v>
      </c>
      <c r="B7" s="25">
        <f>A3+B3+C3+D3</f>
        <v>29</v>
      </c>
      <c r="C7" s="26">
        <v>0</v>
      </c>
      <c r="D7" s="27">
        <f t="shared" ref="D7:D12" si="0">((100/B7)*C7)/100</f>
        <v>0</v>
      </c>
      <c r="F7" s="235" t="s">
        <v>153</v>
      </c>
      <c r="G7" s="235"/>
      <c r="H7" s="28" t="s">
        <v>154</v>
      </c>
      <c r="J7" s="34"/>
    </row>
    <row r="8" spans="1:13" x14ac:dyDescent="0.25">
      <c r="A8" s="20" t="s">
        <v>107</v>
      </c>
      <c r="B8" s="25">
        <f>C5</f>
        <v>28</v>
      </c>
      <c r="C8" s="26">
        <v>0</v>
      </c>
      <c r="D8" s="27">
        <f t="shared" si="0"/>
        <v>0</v>
      </c>
      <c r="F8" s="233" t="s">
        <v>155</v>
      </c>
      <c r="G8" s="233"/>
      <c r="H8" s="25" t="s">
        <v>156</v>
      </c>
    </row>
    <row r="9" spans="1:13" x14ac:dyDescent="0.25">
      <c r="A9" s="20" t="s">
        <v>109</v>
      </c>
      <c r="B9" s="25">
        <f>C5</f>
        <v>28</v>
      </c>
      <c r="C9" s="26">
        <v>0</v>
      </c>
      <c r="D9" s="27">
        <f t="shared" si="0"/>
        <v>0</v>
      </c>
      <c r="F9" s="233" t="s">
        <v>157</v>
      </c>
      <c r="G9" s="233"/>
      <c r="H9" s="25" t="s">
        <v>158</v>
      </c>
    </row>
    <row r="10" spans="1:13" x14ac:dyDescent="0.25">
      <c r="A10" s="20" t="s">
        <v>69</v>
      </c>
      <c r="B10" s="25">
        <f>C5</f>
        <v>28</v>
      </c>
      <c r="C10" s="26">
        <v>0</v>
      </c>
      <c r="D10" s="27">
        <f t="shared" si="0"/>
        <v>0</v>
      </c>
      <c r="F10" s="233" t="s">
        <v>159</v>
      </c>
      <c r="G10" s="233"/>
      <c r="H10" s="25" t="s">
        <v>160</v>
      </c>
    </row>
    <row r="11" spans="1:13" x14ac:dyDescent="0.25">
      <c r="A11" s="29" t="s">
        <v>105</v>
      </c>
      <c r="B11" s="25">
        <f>C5</f>
        <v>28</v>
      </c>
      <c r="C11" s="26">
        <v>0</v>
      </c>
      <c r="D11" s="27">
        <f t="shared" si="0"/>
        <v>0</v>
      </c>
      <c r="F11" s="233" t="s">
        <v>161</v>
      </c>
      <c r="G11" s="233"/>
      <c r="H11" s="25" t="s">
        <v>162</v>
      </c>
    </row>
    <row r="12" spans="1:13" x14ac:dyDescent="0.25">
      <c r="A12" s="20" t="s">
        <v>70</v>
      </c>
      <c r="B12" s="25">
        <f>C5</f>
        <v>28</v>
      </c>
      <c r="C12" s="26">
        <v>0</v>
      </c>
      <c r="D12" s="27">
        <f t="shared" si="0"/>
        <v>0</v>
      </c>
      <c r="F12" s="233" t="s">
        <v>163</v>
      </c>
      <c r="G12" s="233"/>
      <c r="H12" s="25" t="s">
        <v>164</v>
      </c>
    </row>
    <row r="13" spans="1:13" x14ac:dyDescent="0.25">
      <c r="F13" s="233" t="s">
        <v>165</v>
      </c>
      <c r="G13" s="233"/>
      <c r="H13" s="25" t="s">
        <v>166</v>
      </c>
    </row>
    <row r="14" spans="1:13" hidden="1" x14ac:dyDescent="0.25">
      <c r="A14" s="21"/>
      <c r="B14" s="21" t="s">
        <v>106</v>
      </c>
      <c r="C14" s="21" t="s">
        <v>110</v>
      </c>
      <c r="G14" s="21" t="s">
        <v>101</v>
      </c>
      <c r="H14" s="21" t="s">
        <v>103</v>
      </c>
      <c r="I14" s="21" t="s">
        <v>104</v>
      </c>
      <c r="J14" s="21" t="s">
        <v>68</v>
      </c>
      <c r="K14" s="21" t="s">
        <v>69</v>
      </c>
      <c r="L14" s="21" t="s">
        <v>105</v>
      </c>
      <c r="M14" s="21" t="s">
        <v>70</v>
      </c>
    </row>
    <row r="15" spans="1:13" hidden="1" x14ac:dyDescent="0.25">
      <c r="A15" s="21" t="s">
        <v>66</v>
      </c>
      <c r="B15" s="21">
        <f>G15</f>
        <v>1</v>
      </c>
      <c r="C15" s="21">
        <f>G16</f>
        <v>21</v>
      </c>
      <c r="E15" s="232" t="s">
        <v>106</v>
      </c>
      <c r="F15" s="232"/>
      <c r="G15" s="30">
        <f>C6</f>
        <v>1</v>
      </c>
      <c r="H15" s="30">
        <f>40/B7*C7</f>
        <v>0</v>
      </c>
      <c r="I15" s="30">
        <f>15/B8*C8</f>
        <v>0</v>
      </c>
      <c r="J15" s="30">
        <f>10/B9*C9</f>
        <v>0</v>
      </c>
      <c r="K15" s="30">
        <f>10/B10*C10</f>
        <v>0</v>
      </c>
      <c r="L15" s="30">
        <f>5/B11*C11</f>
        <v>0</v>
      </c>
      <c r="M15" s="30">
        <f>5/B12*C12</f>
        <v>0</v>
      </c>
    </row>
    <row r="16" spans="1:13" hidden="1" x14ac:dyDescent="0.25">
      <c r="A16" s="21" t="s">
        <v>67</v>
      </c>
      <c r="B16" s="21">
        <f>H15</f>
        <v>0</v>
      </c>
      <c r="C16" s="21">
        <f>H16</f>
        <v>0</v>
      </c>
      <c r="E16" s="232" t="s">
        <v>108</v>
      </c>
      <c r="F16" s="232"/>
      <c r="G16" s="21">
        <f>G15+20</f>
        <v>21</v>
      </c>
      <c r="H16" s="21">
        <f>30/B7*C7</f>
        <v>0</v>
      </c>
      <c r="I16" s="21">
        <f>15/B8*C8</f>
        <v>0</v>
      </c>
      <c r="J16" s="21">
        <f>10/B9*C9</f>
        <v>0</v>
      </c>
      <c r="K16" s="21">
        <f>5/B10*C10</f>
        <v>0</v>
      </c>
      <c r="L16" s="21">
        <f>5/B11*C11</f>
        <v>0</v>
      </c>
      <c r="M16" s="21">
        <f>5/B12*C12</f>
        <v>0</v>
      </c>
    </row>
    <row r="17" spans="1:8" hidden="1" x14ac:dyDescent="0.25">
      <c r="A17" s="21" t="s">
        <v>104</v>
      </c>
      <c r="B17" s="21">
        <f>I15</f>
        <v>0</v>
      </c>
      <c r="C17" s="21">
        <f>I16</f>
        <v>0</v>
      </c>
    </row>
    <row r="18" spans="1:8" hidden="1" x14ac:dyDescent="0.25">
      <c r="A18" s="21" t="s">
        <v>68</v>
      </c>
      <c r="B18" s="21">
        <f>J15</f>
        <v>0</v>
      </c>
      <c r="C18" s="21">
        <f>J16</f>
        <v>0</v>
      </c>
    </row>
    <row r="19" spans="1:8" hidden="1" x14ac:dyDescent="0.25">
      <c r="A19" s="21" t="s">
        <v>69</v>
      </c>
      <c r="B19" s="21">
        <f>K15</f>
        <v>0</v>
      </c>
      <c r="C19" s="21">
        <f>K16</f>
        <v>0</v>
      </c>
    </row>
    <row r="20" spans="1:8" hidden="1" x14ac:dyDescent="0.25">
      <c r="A20" s="31" t="s">
        <v>105</v>
      </c>
      <c r="B20" s="21">
        <f>L15</f>
        <v>0</v>
      </c>
      <c r="C20" s="21">
        <f>L16</f>
        <v>0</v>
      </c>
    </row>
    <row r="21" spans="1:8" hidden="1" x14ac:dyDescent="0.25">
      <c r="A21" s="21" t="s">
        <v>70</v>
      </c>
      <c r="B21" s="21">
        <f>M15</f>
        <v>0</v>
      </c>
      <c r="C21" s="21">
        <f>M16</f>
        <v>0</v>
      </c>
    </row>
    <row r="22" spans="1:8" x14ac:dyDescent="0.25">
      <c r="A22" s="21" t="s">
        <v>111</v>
      </c>
      <c r="B22" s="32">
        <f>(B15+B16+B17+B18+B19+B20+B21)/100</f>
        <v>0.01</v>
      </c>
      <c r="C22" s="32">
        <f>(C15+C16+C17+C18+C19+C20+C21)/100</f>
        <v>0.21</v>
      </c>
      <c r="F22" s="233" t="s">
        <v>167</v>
      </c>
      <c r="G22" s="233"/>
      <c r="H22" s="25" t="s">
        <v>158</v>
      </c>
    </row>
    <row r="23" spans="1:8" x14ac:dyDescent="0.25">
      <c r="F23" s="233" t="s">
        <v>168</v>
      </c>
      <c r="G23" s="233"/>
      <c r="H23" s="25" t="s">
        <v>169</v>
      </c>
    </row>
    <row r="24" spans="1:8" x14ac:dyDescent="0.25">
      <c r="A24" s="20" t="s">
        <v>142</v>
      </c>
      <c r="B24" s="33">
        <v>0.01</v>
      </c>
      <c r="C24" s="33">
        <v>0.02</v>
      </c>
      <c r="F24" s="233" t="s">
        <v>170</v>
      </c>
      <c r="G24" s="233"/>
      <c r="H24" s="25" t="s">
        <v>171</v>
      </c>
    </row>
    <row r="25" spans="1:8" x14ac:dyDescent="0.25">
      <c r="A25" s="20" t="s">
        <v>143</v>
      </c>
      <c r="B25" s="33">
        <v>0.01</v>
      </c>
      <c r="C25" s="33">
        <v>0.03</v>
      </c>
    </row>
    <row r="26" spans="1:8" x14ac:dyDescent="0.25">
      <c r="A26" s="20" t="s">
        <v>144</v>
      </c>
      <c r="B26" s="33">
        <v>0.03</v>
      </c>
      <c r="C26" s="33">
        <v>0.08</v>
      </c>
    </row>
    <row r="27" spans="1:8" x14ac:dyDescent="0.25">
      <c r="A27" s="20" t="s">
        <v>145</v>
      </c>
      <c r="B27" s="33">
        <v>0.05</v>
      </c>
      <c r="C27" s="33">
        <v>0.15</v>
      </c>
    </row>
    <row r="28" spans="1:8" x14ac:dyDescent="0.25">
      <c r="A28" s="20" t="s">
        <v>146</v>
      </c>
      <c r="B28" s="33">
        <v>7.0000000000000007E-2</v>
      </c>
      <c r="C28" s="33">
        <v>0.2</v>
      </c>
    </row>
    <row r="29" spans="1:8" x14ac:dyDescent="0.25">
      <c r="A29" s="20" t="s">
        <v>147</v>
      </c>
      <c r="B29" s="33">
        <v>0.1</v>
      </c>
      <c r="C29" s="33">
        <v>0.3</v>
      </c>
    </row>
  </sheetData>
  <mergeCells count="14">
    <mergeCell ref="F10:G10"/>
    <mergeCell ref="D2:E2"/>
    <mergeCell ref="D3:E3"/>
    <mergeCell ref="F7:G7"/>
    <mergeCell ref="F8:G8"/>
    <mergeCell ref="F9:G9"/>
    <mergeCell ref="F23:G23"/>
    <mergeCell ref="F24:G24"/>
    <mergeCell ref="F11:G11"/>
    <mergeCell ref="F12:G12"/>
    <mergeCell ref="F13:G13"/>
    <mergeCell ref="E15:F15"/>
    <mergeCell ref="E16:F16"/>
    <mergeCell ref="F22:G2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2"/>
  <sheetViews>
    <sheetView workbookViewId="0">
      <selection activeCell="P15" sqref="P15"/>
    </sheetView>
  </sheetViews>
  <sheetFormatPr defaultRowHeight="15" x14ac:dyDescent="0.25"/>
  <cols>
    <col min="1" max="1" width="10.28515625" bestFit="1" customWidth="1"/>
  </cols>
  <sheetData>
    <row r="2" spans="1:2" x14ac:dyDescent="0.25">
      <c r="A2" s="36">
        <v>44179</v>
      </c>
      <c r="B2" s="37" t="s">
        <v>236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"/>
  <sheetViews>
    <sheetView workbookViewId="0">
      <selection activeCell="B24" sqref="B24"/>
    </sheetView>
  </sheetViews>
  <sheetFormatPr defaultColWidth="8.7109375" defaultRowHeight="15" x14ac:dyDescent="0.25"/>
  <cols>
    <col min="1" max="1" width="10.5703125" style="37" bestFit="1" customWidth="1"/>
    <col min="2" max="2" width="22.140625" style="37" customWidth="1"/>
    <col min="3" max="3" width="37" style="37" customWidth="1"/>
    <col min="4" max="5" width="11.42578125" style="37" customWidth="1"/>
    <col min="6" max="6" width="14" style="37" customWidth="1"/>
    <col min="7" max="7" width="20" style="37" customWidth="1"/>
    <col min="8" max="8" width="16.42578125" style="37" customWidth="1"/>
    <col min="9" max="16384" width="8.7109375" style="37"/>
  </cols>
  <sheetData>
    <row r="1" spans="1:9" ht="15" customHeight="1" x14ac:dyDescent="0.25">
      <c r="A1" s="36"/>
    </row>
    <row r="2" spans="1:9" ht="15" customHeight="1" x14ac:dyDescent="0.25">
      <c r="A2" s="38"/>
      <c r="B2" s="38"/>
      <c r="C2" s="38"/>
      <c r="D2" s="38"/>
      <c r="E2" s="38"/>
      <c r="F2" s="38"/>
      <c r="G2" s="38"/>
      <c r="H2" s="38"/>
    </row>
    <row r="3" spans="1:9" ht="15.75" customHeight="1" x14ac:dyDescent="0.25">
      <c r="A3" s="38"/>
      <c r="B3" s="236" t="s">
        <v>237</v>
      </c>
      <c r="C3" s="236"/>
      <c r="D3" s="236"/>
      <c r="E3" s="236"/>
      <c r="F3" s="236"/>
      <c r="G3" s="236"/>
      <c r="H3" s="236"/>
    </row>
    <row r="4" spans="1:9" x14ac:dyDescent="0.25">
      <c r="A4" s="38"/>
      <c r="B4" s="39" t="s">
        <v>238</v>
      </c>
      <c r="C4" s="39" t="s">
        <v>239</v>
      </c>
      <c r="D4" s="39" t="s">
        <v>113</v>
      </c>
      <c r="E4" s="39" t="s">
        <v>240</v>
      </c>
      <c r="F4" s="39" t="s">
        <v>241</v>
      </c>
      <c r="G4" s="39" t="s">
        <v>242</v>
      </c>
      <c r="H4" s="39" t="s">
        <v>243</v>
      </c>
    </row>
    <row r="5" spans="1:9" ht="15" customHeight="1" x14ac:dyDescent="0.25">
      <c r="A5" s="38"/>
      <c r="B5" s="40" t="s">
        <v>244</v>
      </c>
      <c r="C5" s="41"/>
      <c r="D5" s="40"/>
      <c r="E5" s="40"/>
      <c r="F5" s="42"/>
      <c r="G5" s="42" t="e">
        <f>H5/F5</f>
        <v>#DIV/0!</v>
      </c>
      <c r="H5" s="43"/>
    </row>
    <row r="6" spans="1:9" x14ac:dyDescent="0.25">
      <c r="A6" s="38"/>
      <c r="B6" s="40" t="s">
        <v>245</v>
      </c>
      <c r="C6" s="44"/>
      <c r="D6" s="40"/>
      <c r="E6" s="40"/>
      <c r="F6" s="42"/>
      <c r="G6" s="42" t="e">
        <f t="shared" ref="G6:G11" si="0">H6/F6</f>
        <v>#DIV/0!</v>
      </c>
      <c r="H6" s="43"/>
    </row>
    <row r="7" spans="1:9" ht="15" customHeight="1" x14ac:dyDescent="0.25">
      <c r="A7" s="38"/>
      <c r="B7" s="40" t="s">
        <v>246</v>
      </c>
      <c r="C7" s="41"/>
      <c r="D7" s="40"/>
      <c r="E7" s="40"/>
      <c r="F7" s="42"/>
      <c r="G7" s="42" t="e">
        <f t="shared" si="0"/>
        <v>#DIV/0!</v>
      </c>
      <c r="H7" s="43"/>
    </row>
    <row r="8" spans="1:9" x14ac:dyDescent="0.25">
      <c r="A8" s="38"/>
      <c r="B8" s="40" t="s">
        <v>246</v>
      </c>
      <c r="C8" s="44"/>
      <c r="D8" s="40"/>
      <c r="E8" s="40"/>
      <c r="F8" s="42"/>
      <c r="G8" s="42" t="e">
        <f t="shared" si="0"/>
        <v>#DIV/0!</v>
      </c>
      <c r="H8" s="43"/>
    </row>
    <row r="9" spans="1:9" ht="15" customHeight="1" x14ac:dyDescent="0.25">
      <c r="A9" s="38"/>
      <c r="B9" s="40" t="s">
        <v>246</v>
      </c>
      <c r="C9" s="44"/>
      <c r="D9" s="40"/>
      <c r="E9" s="40"/>
      <c r="F9" s="42"/>
      <c r="G9" s="42" t="e">
        <f t="shared" si="0"/>
        <v>#DIV/0!</v>
      </c>
      <c r="H9" s="43"/>
    </row>
    <row r="10" spans="1:9" ht="15" customHeight="1" x14ac:dyDescent="0.25">
      <c r="A10" s="38"/>
      <c r="B10" s="40" t="s">
        <v>247</v>
      </c>
      <c r="C10" s="41"/>
      <c r="D10" s="40"/>
      <c r="E10" s="40"/>
      <c r="F10" s="42"/>
      <c r="G10" s="42" t="e">
        <f t="shared" si="0"/>
        <v>#DIV/0!</v>
      </c>
      <c r="H10" s="43"/>
    </row>
    <row r="11" spans="1:9" ht="15" customHeight="1" x14ac:dyDescent="0.25">
      <c r="A11" s="38"/>
      <c r="B11" s="40" t="s">
        <v>247</v>
      </c>
      <c r="C11" s="41"/>
      <c r="D11" s="40"/>
      <c r="E11" s="40"/>
      <c r="F11" s="42"/>
      <c r="G11" s="42" t="e">
        <f t="shared" si="0"/>
        <v>#DIV/0!</v>
      </c>
      <c r="H11" s="43"/>
    </row>
    <row r="12" spans="1:9" ht="15" customHeight="1" x14ac:dyDescent="0.25">
      <c r="A12" s="38"/>
      <c r="B12" s="45" t="s">
        <v>248</v>
      </c>
      <c r="C12" s="40"/>
      <c r="D12" s="40"/>
      <c r="E12" s="40"/>
      <c r="F12" s="40"/>
      <c r="G12" s="46" t="e">
        <f>AVERAGE(G5:G11)</f>
        <v>#DIV/0!</v>
      </c>
      <c r="H12" s="40"/>
    </row>
    <row r="13" spans="1:9" ht="15" customHeight="1" x14ac:dyDescent="0.25">
      <c r="B13" s="45" t="s">
        <v>249</v>
      </c>
      <c r="C13" s="40"/>
      <c r="D13" s="40"/>
      <c r="E13" s="40"/>
      <c r="F13" s="47"/>
      <c r="G13" s="45">
        <v>32000</v>
      </c>
      <c r="H13" s="45"/>
      <c r="I13" s="48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36"/>
  <sheetViews>
    <sheetView topLeftCell="A19" workbookViewId="0">
      <selection activeCell="D36" sqref="D36"/>
    </sheetView>
  </sheetViews>
  <sheetFormatPr defaultRowHeight="15" x14ac:dyDescent="0.25"/>
  <cols>
    <col min="2" max="2" width="12.28515625" customWidth="1"/>
  </cols>
  <sheetData>
    <row r="2" spans="1:12" x14ac:dyDescent="0.25">
      <c r="B2" s="5" t="s">
        <v>112</v>
      </c>
      <c r="C2" s="237"/>
      <c r="D2" s="237"/>
    </row>
    <row r="3" spans="1:12" x14ac:dyDescent="0.25">
      <c r="D3" s="6"/>
      <c r="E3" s="6"/>
      <c r="F3" s="6"/>
      <c r="G3" s="6"/>
      <c r="H3" s="6"/>
      <c r="I3" s="6"/>
    </row>
    <row r="4" spans="1:12" x14ac:dyDescent="0.25">
      <c r="A4" s="5" t="s">
        <v>113</v>
      </c>
      <c r="B4" s="7" t="s">
        <v>114</v>
      </c>
      <c r="C4" s="238" t="s">
        <v>115</v>
      </c>
      <c r="D4" s="238"/>
      <c r="E4" s="238"/>
      <c r="F4" s="35"/>
      <c r="G4" s="238" t="s">
        <v>116</v>
      </c>
      <c r="H4" s="238"/>
      <c r="I4" s="238"/>
      <c r="J4" s="238" t="s">
        <v>117</v>
      </c>
      <c r="K4" s="238"/>
      <c r="L4" s="238"/>
    </row>
    <row r="5" spans="1:12" x14ac:dyDescent="0.25">
      <c r="A5" s="5">
        <v>1</v>
      </c>
      <c r="B5" s="7"/>
      <c r="C5" s="7" t="s">
        <v>118</v>
      </c>
      <c r="D5" s="7" t="s">
        <v>119</v>
      </c>
      <c r="E5" s="7" t="s">
        <v>79</v>
      </c>
      <c r="F5" s="7"/>
      <c r="G5" s="7" t="s">
        <v>118</v>
      </c>
      <c r="H5" s="7" t="s">
        <v>119</v>
      </c>
      <c r="I5" s="7" t="s">
        <v>79</v>
      </c>
      <c r="J5" s="7" t="s">
        <v>118</v>
      </c>
      <c r="K5" s="7" t="s">
        <v>119</v>
      </c>
      <c r="L5" s="7" t="s">
        <v>79</v>
      </c>
    </row>
    <row r="6" spans="1:12" x14ac:dyDescent="0.25">
      <c r="B6" s="8" t="s">
        <v>120</v>
      </c>
      <c r="C6" s="8">
        <v>2.9</v>
      </c>
      <c r="D6" s="8">
        <v>3.75</v>
      </c>
      <c r="E6" s="8">
        <f>C6*D6</f>
        <v>10.875</v>
      </c>
      <c r="F6" s="8" t="s">
        <v>121</v>
      </c>
      <c r="G6" s="8">
        <v>1.8</v>
      </c>
      <c r="H6" s="8">
        <v>0.75</v>
      </c>
      <c r="I6" s="8">
        <f>G6*H6</f>
        <v>1.35</v>
      </c>
      <c r="J6" s="8"/>
      <c r="K6" s="8"/>
      <c r="L6" s="8">
        <f>J6*K6</f>
        <v>0</v>
      </c>
    </row>
    <row r="7" spans="1:12" x14ac:dyDescent="0.25">
      <c r="B7" s="8"/>
      <c r="C7" s="8"/>
      <c r="D7" s="8"/>
      <c r="E7" s="8">
        <f t="shared" ref="E7:E33" si="0">C7*D7</f>
        <v>0</v>
      </c>
      <c r="F7" s="8" t="s">
        <v>122</v>
      </c>
      <c r="G7" s="8"/>
      <c r="H7" s="8"/>
      <c r="I7" s="8">
        <f t="shared" ref="I7:I29" si="1">G7*H7</f>
        <v>0</v>
      </c>
      <c r="J7" s="8"/>
      <c r="K7" s="8"/>
      <c r="L7" s="8">
        <f t="shared" ref="L7:L29" si="2">J7*K7</f>
        <v>0</v>
      </c>
    </row>
    <row r="8" spans="1:12" x14ac:dyDescent="0.25">
      <c r="B8" s="8"/>
      <c r="C8" s="8">
        <v>2.9</v>
      </c>
      <c r="D8" s="8">
        <v>0.75</v>
      </c>
      <c r="E8" s="8">
        <f t="shared" si="0"/>
        <v>2.1749999999999998</v>
      </c>
      <c r="F8" s="8"/>
      <c r="G8" s="8"/>
      <c r="H8" s="8"/>
      <c r="I8" s="8">
        <f t="shared" si="1"/>
        <v>0</v>
      </c>
      <c r="J8" s="8"/>
      <c r="K8" s="8"/>
      <c r="L8" s="8">
        <f t="shared" si="2"/>
        <v>0</v>
      </c>
    </row>
    <row r="9" spans="1:12" x14ac:dyDescent="0.25">
      <c r="B9" s="8" t="s">
        <v>123</v>
      </c>
      <c r="C9" s="8">
        <v>2.4500000000000002</v>
      </c>
      <c r="D9" s="8">
        <v>2.15</v>
      </c>
      <c r="E9" s="8">
        <f t="shared" si="0"/>
        <v>5.2675000000000001</v>
      </c>
      <c r="F9" s="8" t="s">
        <v>121</v>
      </c>
      <c r="G9" s="8">
        <v>2.15</v>
      </c>
      <c r="H9" s="8">
        <v>0.6</v>
      </c>
      <c r="I9" s="8">
        <f t="shared" si="1"/>
        <v>1.2899999999999998</v>
      </c>
      <c r="J9" s="8"/>
      <c r="K9" s="8"/>
      <c r="L9" s="8">
        <f t="shared" si="2"/>
        <v>0</v>
      </c>
    </row>
    <row r="10" spans="1:12" x14ac:dyDescent="0.25">
      <c r="B10" s="8"/>
      <c r="C10" s="8"/>
      <c r="D10" s="8"/>
      <c r="E10" s="8">
        <f t="shared" si="0"/>
        <v>0</v>
      </c>
      <c r="F10" s="8" t="s">
        <v>122</v>
      </c>
      <c r="G10" s="8"/>
      <c r="H10" s="8"/>
      <c r="I10" s="8">
        <f t="shared" si="1"/>
        <v>0</v>
      </c>
      <c r="J10" s="8"/>
      <c r="K10" s="8"/>
      <c r="L10" s="8">
        <f t="shared" si="2"/>
        <v>0</v>
      </c>
    </row>
    <row r="11" spans="1:12" x14ac:dyDescent="0.25">
      <c r="B11" s="8"/>
      <c r="C11" s="8"/>
      <c r="D11" s="8"/>
      <c r="E11" s="8">
        <f t="shared" si="0"/>
        <v>0</v>
      </c>
      <c r="F11" s="8"/>
      <c r="G11" s="8"/>
      <c r="H11" s="8"/>
      <c r="I11" s="8">
        <f t="shared" si="1"/>
        <v>0</v>
      </c>
      <c r="J11" s="8"/>
      <c r="K11" s="8"/>
      <c r="L11" s="8">
        <f t="shared" si="2"/>
        <v>0</v>
      </c>
    </row>
    <row r="12" spans="1:12" x14ac:dyDescent="0.25">
      <c r="B12" s="8"/>
      <c r="C12" s="8"/>
      <c r="D12" s="8"/>
      <c r="E12" s="8">
        <f t="shared" si="0"/>
        <v>0</v>
      </c>
      <c r="F12" s="8"/>
      <c r="G12" s="8"/>
      <c r="H12" s="8"/>
      <c r="I12" s="8">
        <f t="shared" si="1"/>
        <v>0</v>
      </c>
      <c r="J12" s="8"/>
      <c r="K12" s="8"/>
      <c r="L12" s="8">
        <f t="shared" si="2"/>
        <v>0</v>
      </c>
    </row>
    <row r="13" spans="1:12" x14ac:dyDescent="0.25">
      <c r="B13" s="8" t="s">
        <v>124</v>
      </c>
      <c r="C13" s="8">
        <v>2.4300000000000002</v>
      </c>
      <c r="D13" s="8">
        <v>3.05</v>
      </c>
      <c r="E13" s="8">
        <f t="shared" si="0"/>
        <v>7.4115000000000002</v>
      </c>
      <c r="F13" s="8" t="s">
        <v>121</v>
      </c>
      <c r="G13" s="8">
        <v>3.05</v>
      </c>
      <c r="H13" s="8">
        <v>0.6</v>
      </c>
      <c r="I13" s="8">
        <f t="shared" si="1"/>
        <v>1.8299999999999998</v>
      </c>
      <c r="J13" s="8"/>
      <c r="K13" s="8"/>
      <c r="L13" s="8">
        <f t="shared" si="2"/>
        <v>0</v>
      </c>
    </row>
    <row r="14" spans="1:12" x14ac:dyDescent="0.25">
      <c r="B14" s="8"/>
      <c r="C14" s="8">
        <v>3.15</v>
      </c>
      <c r="D14" s="8">
        <v>0.75</v>
      </c>
      <c r="E14" s="8">
        <f t="shared" si="0"/>
        <v>2.3624999999999998</v>
      </c>
      <c r="F14" s="8" t="s">
        <v>122</v>
      </c>
      <c r="G14" s="8"/>
      <c r="H14" s="8"/>
      <c r="I14" s="8">
        <f t="shared" si="1"/>
        <v>0</v>
      </c>
      <c r="J14" s="8"/>
      <c r="K14" s="8"/>
      <c r="L14" s="8">
        <f t="shared" si="2"/>
        <v>0</v>
      </c>
    </row>
    <row r="15" spans="1:12" x14ac:dyDescent="0.25">
      <c r="B15" s="8"/>
      <c r="C15" s="8"/>
      <c r="D15" s="8"/>
      <c r="E15" s="8">
        <f t="shared" si="0"/>
        <v>0</v>
      </c>
      <c r="F15" s="8"/>
      <c r="G15" s="8"/>
      <c r="H15" s="8"/>
      <c r="I15" s="8">
        <f t="shared" si="1"/>
        <v>0</v>
      </c>
      <c r="J15" s="8"/>
      <c r="K15" s="8"/>
      <c r="L15" s="8">
        <f t="shared" si="2"/>
        <v>0</v>
      </c>
    </row>
    <row r="16" spans="1:12" x14ac:dyDescent="0.25">
      <c r="B16" s="8"/>
      <c r="C16" s="8"/>
      <c r="D16" s="8"/>
      <c r="E16" s="8">
        <f t="shared" si="0"/>
        <v>0</v>
      </c>
      <c r="F16" s="8"/>
      <c r="G16" s="8"/>
      <c r="H16" s="8"/>
      <c r="I16" s="8">
        <f t="shared" si="1"/>
        <v>0</v>
      </c>
      <c r="J16" s="8"/>
      <c r="K16" s="8"/>
      <c r="L16" s="8">
        <f t="shared" si="2"/>
        <v>0</v>
      </c>
    </row>
    <row r="17" spans="2:12" x14ac:dyDescent="0.25">
      <c r="B17" s="8" t="s">
        <v>125</v>
      </c>
      <c r="C17" s="8">
        <v>2.2799999999999998</v>
      </c>
      <c r="D17" s="8">
        <v>3.05</v>
      </c>
      <c r="E17" s="8">
        <f t="shared" si="0"/>
        <v>6.9539999999999988</v>
      </c>
      <c r="F17" s="8" t="s">
        <v>121</v>
      </c>
      <c r="G17" s="8">
        <v>3.05</v>
      </c>
      <c r="H17" s="8">
        <v>6</v>
      </c>
      <c r="I17" s="8">
        <f t="shared" si="1"/>
        <v>18.299999999999997</v>
      </c>
      <c r="J17" s="8"/>
      <c r="K17" s="8"/>
      <c r="L17" s="8">
        <f t="shared" si="2"/>
        <v>0</v>
      </c>
    </row>
    <row r="18" spans="2:12" x14ac:dyDescent="0.25">
      <c r="B18" s="8"/>
      <c r="C18" s="8">
        <f>2.28+0.6</f>
        <v>2.88</v>
      </c>
      <c r="D18" s="8">
        <v>0.75</v>
      </c>
      <c r="E18" s="8">
        <f t="shared" si="0"/>
        <v>2.16</v>
      </c>
      <c r="F18" s="8" t="s">
        <v>122</v>
      </c>
      <c r="G18" s="8"/>
      <c r="H18" s="8"/>
      <c r="I18" s="8">
        <f t="shared" si="1"/>
        <v>0</v>
      </c>
      <c r="J18" s="8"/>
      <c r="K18" s="8"/>
      <c r="L18" s="8">
        <f t="shared" si="2"/>
        <v>0</v>
      </c>
    </row>
    <row r="19" spans="2:12" x14ac:dyDescent="0.25">
      <c r="B19" s="8"/>
      <c r="C19" s="8"/>
      <c r="D19" s="8"/>
      <c r="E19" s="8">
        <f t="shared" si="0"/>
        <v>0</v>
      </c>
      <c r="F19" s="8"/>
      <c r="G19" s="8"/>
      <c r="H19" s="8"/>
      <c r="I19" s="8">
        <f t="shared" si="1"/>
        <v>0</v>
      </c>
      <c r="J19" s="8"/>
      <c r="K19" s="8"/>
      <c r="L19" s="8">
        <f t="shared" si="2"/>
        <v>0</v>
      </c>
    </row>
    <row r="20" spans="2:12" x14ac:dyDescent="0.25">
      <c r="B20" s="8" t="s">
        <v>125</v>
      </c>
      <c r="C20" s="8"/>
      <c r="D20" s="8"/>
      <c r="E20" s="8">
        <f t="shared" si="0"/>
        <v>0</v>
      </c>
      <c r="F20" s="8" t="s">
        <v>121</v>
      </c>
      <c r="G20" s="8"/>
      <c r="H20" s="8"/>
      <c r="I20" s="8">
        <f t="shared" si="1"/>
        <v>0</v>
      </c>
      <c r="J20" s="8"/>
      <c r="K20" s="8"/>
      <c r="L20" s="8">
        <f t="shared" si="2"/>
        <v>0</v>
      </c>
    </row>
    <row r="21" spans="2:12" x14ac:dyDescent="0.25">
      <c r="B21" s="8"/>
      <c r="C21" s="8"/>
      <c r="D21" s="8"/>
      <c r="E21" s="8">
        <f t="shared" si="0"/>
        <v>0</v>
      </c>
      <c r="F21" s="8" t="s">
        <v>122</v>
      </c>
      <c r="G21" s="8"/>
      <c r="H21" s="8"/>
      <c r="I21" s="8">
        <f t="shared" si="1"/>
        <v>0</v>
      </c>
      <c r="J21" s="8"/>
      <c r="K21" s="8"/>
      <c r="L21" s="8">
        <f t="shared" si="2"/>
        <v>0</v>
      </c>
    </row>
    <row r="22" spans="2:12" x14ac:dyDescent="0.25">
      <c r="B22" s="8"/>
      <c r="C22" s="8"/>
      <c r="D22" s="8"/>
      <c r="E22" s="8">
        <f t="shared" si="0"/>
        <v>0</v>
      </c>
      <c r="F22" s="8"/>
      <c r="G22" s="8"/>
      <c r="H22" s="8"/>
      <c r="I22" s="8">
        <f t="shared" si="1"/>
        <v>0</v>
      </c>
      <c r="J22" s="8"/>
      <c r="K22" s="8"/>
      <c r="L22" s="8">
        <f t="shared" si="2"/>
        <v>0</v>
      </c>
    </row>
    <row r="23" spans="2:12" x14ac:dyDescent="0.25">
      <c r="B23" s="8" t="s">
        <v>126</v>
      </c>
      <c r="C23" s="8">
        <v>2.15</v>
      </c>
      <c r="D23" s="8">
        <v>1.35</v>
      </c>
      <c r="E23" s="8">
        <f t="shared" si="0"/>
        <v>2.9024999999999999</v>
      </c>
      <c r="F23" s="8" t="s">
        <v>127</v>
      </c>
      <c r="G23" s="8"/>
      <c r="H23" s="8"/>
      <c r="I23" s="8">
        <f t="shared" si="1"/>
        <v>0</v>
      </c>
      <c r="J23" s="8"/>
      <c r="K23" s="8"/>
      <c r="L23" s="8">
        <f t="shared" si="2"/>
        <v>0</v>
      </c>
    </row>
    <row r="24" spans="2:12" x14ac:dyDescent="0.25">
      <c r="B24" s="8" t="s">
        <v>128</v>
      </c>
      <c r="C24" s="8">
        <v>2.15</v>
      </c>
      <c r="D24" s="8">
        <v>1.3</v>
      </c>
      <c r="E24" s="8">
        <f t="shared" si="0"/>
        <v>2.7949999999999999</v>
      </c>
      <c r="F24" s="8" t="s">
        <v>127</v>
      </c>
      <c r="G24" s="8"/>
      <c r="H24" s="8"/>
      <c r="I24" s="8">
        <f t="shared" si="1"/>
        <v>0</v>
      </c>
      <c r="J24" s="8"/>
      <c r="K24" s="8"/>
      <c r="L24" s="8">
        <f t="shared" si="2"/>
        <v>0</v>
      </c>
    </row>
    <row r="25" spans="2:12" x14ac:dyDescent="0.25">
      <c r="B25" s="8" t="s">
        <v>129</v>
      </c>
      <c r="C25" s="8"/>
      <c r="D25" s="8"/>
      <c r="E25" s="8">
        <f t="shared" si="0"/>
        <v>0</v>
      </c>
      <c r="F25" s="8" t="s">
        <v>127</v>
      </c>
      <c r="G25" s="8"/>
      <c r="H25" s="8"/>
      <c r="I25" s="8">
        <f t="shared" si="1"/>
        <v>0</v>
      </c>
      <c r="J25" s="8"/>
      <c r="K25" s="8"/>
      <c r="L25" s="8">
        <f t="shared" si="2"/>
        <v>0</v>
      </c>
    </row>
    <row r="26" spans="2:12" x14ac:dyDescent="0.25">
      <c r="B26" s="8"/>
      <c r="C26" s="8"/>
      <c r="D26" s="8"/>
      <c r="E26" s="8">
        <f t="shared" si="0"/>
        <v>0</v>
      </c>
      <c r="F26" s="8"/>
      <c r="G26" s="8"/>
      <c r="H26" s="8"/>
      <c r="I26" s="8">
        <f t="shared" si="1"/>
        <v>0</v>
      </c>
      <c r="J26" s="8"/>
      <c r="K26" s="8"/>
      <c r="L26" s="8">
        <f t="shared" si="2"/>
        <v>0</v>
      </c>
    </row>
    <row r="27" spans="2:12" x14ac:dyDescent="0.25">
      <c r="B27" s="8" t="s">
        <v>130</v>
      </c>
      <c r="C27" s="8">
        <f>1.12</f>
        <v>1.1200000000000001</v>
      </c>
      <c r="D27" s="8">
        <v>0.6</v>
      </c>
      <c r="E27" s="8">
        <f t="shared" si="0"/>
        <v>0.67200000000000004</v>
      </c>
      <c r="F27" s="8"/>
      <c r="G27" s="8"/>
      <c r="H27" s="8"/>
      <c r="I27" s="8">
        <f t="shared" si="1"/>
        <v>0</v>
      </c>
      <c r="J27" s="8"/>
      <c r="K27" s="8"/>
      <c r="L27" s="8">
        <f t="shared" si="2"/>
        <v>0</v>
      </c>
    </row>
    <row r="28" spans="2:12" x14ac:dyDescent="0.25">
      <c r="B28" s="8" t="s">
        <v>131</v>
      </c>
      <c r="C28" s="8">
        <v>1</v>
      </c>
      <c r="D28" s="8">
        <f>2.28+0.6</f>
        <v>2.88</v>
      </c>
      <c r="E28" s="8">
        <f t="shared" si="0"/>
        <v>2.88</v>
      </c>
      <c r="F28" s="8"/>
      <c r="G28" s="8"/>
      <c r="H28" s="8"/>
      <c r="I28" s="8">
        <f t="shared" si="1"/>
        <v>0</v>
      </c>
      <c r="J28" s="8"/>
      <c r="K28" s="8"/>
      <c r="L28" s="8">
        <f t="shared" si="2"/>
        <v>0</v>
      </c>
    </row>
    <row r="29" spans="2:12" x14ac:dyDescent="0.25">
      <c r="B29" s="8" t="s">
        <v>132</v>
      </c>
      <c r="C29" s="8">
        <v>0.7</v>
      </c>
      <c r="D29" s="8">
        <v>2.5</v>
      </c>
      <c r="E29" s="8">
        <f t="shared" si="0"/>
        <v>1.75</v>
      </c>
      <c r="F29" s="8"/>
      <c r="G29" s="8"/>
      <c r="H29" s="8"/>
      <c r="I29" s="8">
        <f t="shared" si="1"/>
        <v>0</v>
      </c>
      <c r="J29" s="8"/>
      <c r="K29" s="8"/>
      <c r="L29" s="8">
        <f t="shared" si="2"/>
        <v>0</v>
      </c>
    </row>
    <row r="30" spans="2:12" x14ac:dyDescent="0.25">
      <c r="B30" s="8" t="s">
        <v>133</v>
      </c>
      <c r="C30" s="8"/>
      <c r="D30" s="8"/>
      <c r="E30" s="8">
        <f t="shared" si="0"/>
        <v>0</v>
      </c>
      <c r="F30" s="8"/>
      <c r="G30" s="8"/>
      <c r="H30" s="8"/>
      <c r="I30" s="8">
        <f>G30*H30</f>
        <v>0</v>
      </c>
      <c r="J30" s="8"/>
      <c r="K30" s="8"/>
      <c r="L30" s="8">
        <f>J30*K30</f>
        <v>0</v>
      </c>
    </row>
    <row r="31" spans="2:12" x14ac:dyDescent="0.25">
      <c r="B31" s="8"/>
      <c r="C31" s="8"/>
      <c r="D31" s="8"/>
      <c r="E31" s="8">
        <f t="shared" si="0"/>
        <v>0</v>
      </c>
      <c r="F31" s="8"/>
      <c r="G31" s="8"/>
      <c r="H31" s="8"/>
      <c r="I31" s="8">
        <f>G31*H31</f>
        <v>0</v>
      </c>
      <c r="J31" s="8"/>
      <c r="K31" s="8"/>
      <c r="L31" s="8">
        <f>J31*K31</f>
        <v>0</v>
      </c>
    </row>
    <row r="32" spans="2:12" x14ac:dyDescent="0.25">
      <c r="B32" s="8"/>
      <c r="C32" s="8"/>
      <c r="D32" s="8"/>
      <c r="E32" s="8">
        <f t="shared" si="0"/>
        <v>0</v>
      </c>
      <c r="F32" s="8"/>
      <c r="G32" s="8"/>
      <c r="H32" s="8"/>
      <c r="I32" s="8">
        <f>G32*H32</f>
        <v>0</v>
      </c>
      <c r="J32" s="8"/>
      <c r="K32" s="8"/>
      <c r="L32" s="8">
        <f>J32*K32</f>
        <v>0</v>
      </c>
    </row>
    <row r="33" spans="2:12" x14ac:dyDescent="0.25">
      <c r="B33" s="8"/>
      <c r="C33" s="8"/>
      <c r="D33" s="8"/>
      <c r="E33" s="8">
        <f t="shared" si="0"/>
        <v>0</v>
      </c>
      <c r="F33" s="8"/>
      <c r="G33" s="8"/>
      <c r="H33" s="8"/>
      <c r="I33" s="8">
        <f>G33*H33</f>
        <v>0</v>
      </c>
      <c r="J33" s="8"/>
      <c r="K33" s="8"/>
      <c r="L33" s="8">
        <f>J33*K33</f>
        <v>0</v>
      </c>
    </row>
    <row r="34" spans="2:12" x14ac:dyDescent="0.25">
      <c r="B34" s="8" t="s">
        <v>80</v>
      </c>
      <c r="C34" s="8"/>
      <c r="D34" s="8">
        <f>E34*10.764</f>
        <v>518.87862000000007</v>
      </c>
      <c r="E34" s="8">
        <f>SUM(E6:E33)</f>
        <v>48.205000000000005</v>
      </c>
      <c r="F34" s="8"/>
      <c r="G34" s="8"/>
      <c r="H34" s="8">
        <f>I34*10.764</f>
        <v>245.09627999999995</v>
      </c>
      <c r="I34" s="8">
        <f>SUM(I6:I33)</f>
        <v>22.769999999999996</v>
      </c>
      <c r="J34" s="8"/>
      <c r="K34" s="8">
        <f>L34*10.764</f>
        <v>0</v>
      </c>
      <c r="L34" s="8">
        <f>SUM(L6:L33)</f>
        <v>0</v>
      </c>
    </row>
    <row r="36" spans="2:12" x14ac:dyDescent="0.25">
      <c r="D36">
        <f>D34+H34</f>
        <v>763.97490000000005</v>
      </c>
      <c r="E36">
        <f>E34+I34</f>
        <v>70.974999999999994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36"/>
  <sheetViews>
    <sheetView topLeftCell="A19" workbookViewId="0">
      <selection activeCell="A19" sqref="A1:XFD1048576"/>
    </sheetView>
  </sheetViews>
  <sheetFormatPr defaultRowHeight="15" x14ac:dyDescent="0.25"/>
  <cols>
    <col min="2" max="2" width="12.28515625" customWidth="1"/>
  </cols>
  <sheetData>
    <row r="2" spans="1:12" x14ac:dyDescent="0.25">
      <c r="B2" s="5" t="s">
        <v>112</v>
      </c>
      <c r="C2" s="237"/>
      <c r="D2" s="237"/>
    </row>
    <row r="3" spans="1:12" x14ac:dyDescent="0.25">
      <c r="D3" s="6"/>
      <c r="E3" s="6"/>
      <c r="F3" s="6"/>
      <c r="G3" s="6"/>
      <c r="H3" s="6"/>
      <c r="I3" s="6"/>
    </row>
    <row r="4" spans="1:12" x14ac:dyDescent="0.25">
      <c r="A4" s="5" t="s">
        <v>113</v>
      </c>
      <c r="B4" s="7" t="s">
        <v>114</v>
      </c>
      <c r="C4" s="238" t="s">
        <v>115</v>
      </c>
      <c r="D4" s="238"/>
      <c r="E4" s="238"/>
      <c r="F4" s="35"/>
      <c r="G4" s="238" t="s">
        <v>116</v>
      </c>
      <c r="H4" s="238"/>
      <c r="I4" s="238"/>
      <c r="J4" s="238" t="s">
        <v>117</v>
      </c>
      <c r="K4" s="238"/>
      <c r="L4" s="238"/>
    </row>
    <row r="5" spans="1:12" x14ac:dyDescent="0.25">
      <c r="A5" s="5">
        <v>1</v>
      </c>
      <c r="B5" s="7"/>
      <c r="C5" s="7" t="s">
        <v>118</v>
      </c>
      <c r="D5" s="7" t="s">
        <v>119</v>
      </c>
      <c r="E5" s="7" t="s">
        <v>79</v>
      </c>
      <c r="F5" s="7"/>
      <c r="G5" s="7" t="s">
        <v>118</v>
      </c>
      <c r="H5" s="7" t="s">
        <v>119</v>
      </c>
      <c r="I5" s="7" t="s">
        <v>79</v>
      </c>
      <c r="J5" s="7" t="s">
        <v>118</v>
      </c>
      <c r="K5" s="7" t="s">
        <v>119</v>
      </c>
      <c r="L5" s="7" t="s">
        <v>79</v>
      </c>
    </row>
    <row r="6" spans="1:12" x14ac:dyDescent="0.25">
      <c r="B6" s="8" t="s">
        <v>120</v>
      </c>
      <c r="C6" s="8">
        <v>3.05</v>
      </c>
      <c r="D6" s="8">
        <v>3.49</v>
      </c>
      <c r="E6" s="8">
        <f>C6*D6</f>
        <v>10.644500000000001</v>
      </c>
      <c r="F6" s="8" t="s">
        <v>121</v>
      </c>
      <c r="G6" s="8">
        <v>2.4</v>
      </c>
      <c r="H6" s="8">
        <v>0.6</v>
      </c>
      <c r="I6" s="8">
        <f>G6*H6</f>
        <v>1.44</v>
      </c>
      <c r="J6" s="8"/>
      <c r="K6" s="8"/>
      <c r="L6" s="8">
        <f>J6*K6</f>
        <v>0</v>
      </c>
    </row>
    <row r="7" spans="1:12" x14ac:dyDescent="0.25">
      <c r="B7" s="8"/>
      <c r="C7" s="8">
        <v>2.4500000000000002</v>
      </c>
      <c r="D7" s="8">
        <v>2.4</v>
      </c>
      <c r="E7" s="8">
        <f t="shared" ref="E7:E33" si="0">C7*D7</f>
        <v>5.88</v>
      </c>
      <c r="F7" s="8" t="s">
        <v>122</v>
      </c>
      <c r="G7" s="8"/>
      <c r="H7" s="8"/>
      <c r="I7" s="8">
        <f t="shared" ref="I7:I29" si="1">G7*H7</f>
        <v>0</v>
      </c>
      <c r="J7" s="8"/>
      <c r="K7" s="8"/>
      <c r="L7" s="8">
        <f t="shared" ref="L7:L29" si="2">J7*K7</f>
        <v>0</v>
      </c>
    </row>
    <row r="8" spans="1:12" x14ac:dyDescent="0.25">
      <c r="B8" s="8"/>
      <c r="C8" s="8">
        <f>2.45+0.6</f>
        <v>3.0500000000000003</v>
      </c>
      <c r="D8" s="8">
        <v>0.75</v>
      </c>
      <c r="E8" s="8">
        <f t="shared" si="0"/>
        <v>2.2875000000000001</v>
      </c>
      <c r="F8" s="8"/>
      <c r="G8" s="8"/>
      <c r="H8" s="8"/>
      <c r="I8" s="8">
        <f t="shared" si="1"/>
        <v>0</v>
      </c>
      <c r="J8" s="8"/>
      <c r="K8" s="8"/>
      <c r="L8" s="8">
        <f t="shared" si="2"/>
        <v>0</v>
      </c>
    </row>
    <row r="9" spans="1:12" x14ac:dyDescent="0.25">
      <c r="B9" s="8" t="s">
        <v>123</v>
      </c>
      <c r="C9" s="8">
        <v>2.4500000000000002</v>
      </c>
      <c r="D9" s="8">
        <v>2.15</v>
      </c>
      <c r="E9" s="8">
        <f t="shared" si="0"/>
        <v>5.2675000000000001</v>
      </c>
      <c r="F9" s="8" t="s">
        <v>121</v>
      </c>
      <c r="G9" s="8">
        <v>2.15</v>
      </c>
      <c r="H9" s="8">
        <v>0.6</v>
      </c>
      <c r="I9" s="8">
        <f t="shared" si="1"/>
        <v>1.2899999999999998</v>
      </c>
      <c r="J9" s="8"/>
      <c r="K9" s="8"/>
      <c r="L9" s="8">
        <f t="shared" si="2"/>
        <v>0</v>
      </c>
    </row>
    <row r="10" spans="1:12" x14ac:dyDescent="0.25">
      <c r="B10" s="8"/>
      <c r="C10" s="8"/>
      <c r="D10" s="8"/>
      <c r="E10" s="8">
        <f t="shared" si="0"/>
        <v>0</v>
      </c>
      <c r="F10" s="8" t="s">
        <v>122</v>
      </c>
      <c r="G10" s="8"/>
      <c r="H10" s="8"/>
      <c r="I10" s="8">
        <f t="shared" si="1"/>
        <v>0</v>
      </c>
      <c r="J10" s="8"/>
      <c r="K10" s="8"/>
      <c r="L10" s="8">
        <f t="shared" si="2"/>
        <v>0</v>
      </c>
    </row>
    <row r="11" spans="1:12" x14ac:dyDescent="0.25">
      <c r="B11" s="8"/>
      <c r="C11" s="8"/>
      <c r="D11" s="8"/>
      <c r="E11" s="8">
        <f t="shared" si="0"/>
        <v>0</v>
      </c>
      <c r="F11" s="8"/>
      <c r="G11" s="8"/>
      <c r="H11" s="8"/>
      <c r="I11" s="8">
        <f t="shared" si="1"/>
        <v>0</v>
      </c>
      <c r="J11" s="8"/>
      <c r="K11" s="8"/>
      <c r="L11" s="8">
        <f t="shared" si="2"/>
        <v>0</v>
      </c>
    </row>
    <row r="12" spans="1:12" x14ac:dyDescent="0.25">
      <c r="B12" s="8"/>
      <c r="C12" s="8"/>
      <c r="D12" s="8"/>
      <c r="E12" s="8">
        <f t="shared" si="0"/>
        <v>0</v>
      </c>
      <c r="F12" s="8"/>
      <c r="G12" s="8"/>
      <c r="H12" s="8"/>
      <c r="I12" s="8">
        <f t="shared" si="1"/>
        <v>0</v>
      </c>
      <c r="J12" s="8"/>
      <c r="K12" s="8"/>
      <c r="L12" s="8">
        <f t="shared" si="2"/>
        <v>0</v>
      </c>
    </row>
    <row r="13" spans="1:12" x14ac:dyDescent="0.25">
      <c r="B13" s="8" t="s">
        <v>124</v>
      </c>
      <c r="C13" s="8">
        <v>2.9</v>
      </c>
      <c r="D13" s="8">
        <v>3.43</v>
      </c>
      <c r="E13" s="8">
        <f t="shared" si="0"/>
        <v>9.947000000000001</v>
      </c>
      <c r="F13" s="8" t="s">
        <v>121</v>
      </c>
      <c r="G13" s="8"/>
      <c r="H13" s="8"/>
      <c r="I13" s="8">
        <f t="shared" si="1"/>
        <v>0</v>
      </c>
      <c r="J13" s="8"/>
      <c r="K13" s="8"/>
      <c r="L13" s="8">
        <f t="shared" si="2"/>
        <v>0</v>
      </c>
    </row>
    <row r="14" spans="1:12" x14ac:dyDescent="0.25">
      <c r="B14" s="8"/>
      <c r="C14" s="8">
        <v>3.43</v>
      </c>
      <c r="D14" s="8">
        <v>0.75</v>
      </c>
      <c r="E14" s="8">
        <f t="shared" si="0"/>
        <v>2.5725000000000002</v>
      </c>
      <c r="F14" s="8" t="s">
        <v>122</v>
      </c>
      <c r="G14" s="8"/>
      <c r="H14" s="8"/>
      <c r="I14" s="8">
        <f t="shared" si="1"/>
        <v>0</v>
      </c>
      <c r="J14" s="8"/>
      <c r="K14" s="8"/>
      <c r="L14" s="8">
        <f t="shared" si="2"/>
        <v>0</v>
      </c>
    </row>
    <row r="15" spans="1:12" x14ac:dyDescent="0.25">
      <c r="B15" s="8"/>
      <c r="C15" s="8"/>
      <c r="D15" s="8"/>
      <c r="E15" s="8">
        <f t="shared" si="0"/>
        <v>0</v>
      </c>
      <c r="F15" s="8"/>
      <c r="G15" s="8"/>
      <c r="H15" s="8"/>
      <c r="I15" s="8">
        <f t="shared" si="1"/>
        <v>0</v>
      </c>
      <c r="J15" s="8"/>
      <c r="K15" s="8"/>
      <c r="L15" s="8">
        <f t="shared" si="2"/>
        <v>0</v>
      </c>
    </row>
    <row r="16" spans="1:12" x14ac:dyDescent="0.25">
      <c r="B16" s="8"/>
      <c r="C16" s="8"/>
      <c r="D16" s="8"/>
      <c r="E16" s="8">
        <f t="shared" si="0"/>
        <v>0</v>
      </c>
      <c r="F16" s="8"/>
      <c r="G16" s="8"/>
      <c r="H16" s="8"/>
      <c r="I16" s="8">
        <f t="shared" si="1"/>
        <v>0</v>
      </c>
      <c r="J16" s="8"/>
      <c r="K16" s="8"/>
      <c r="L16" s="8">
        <f t="shared" si="2"/>
        <v>0</v>
      </c>
    </row>
    <row r="17" spans="2:12" x14ac:dyDescent="0.25">
      <c r="B17" s="8" t="s">
        <v>125</v>
      </c>
      <c r="C17" s="8">
        <v>2.41</v>
      </c>
      <c r="D17" s="8">
        <v>2.4</v>
      </c>
      <c r="E17" s="8">
        <f t="shared" si="0"/>
        <v>5.7839999999999998</v>
      </c>
      <c r="F17" s="8" t="s">
        <v>121</v>
      </c>
      <c r="G17" s="8">
        <v>2.4</v>
      </c>
      <c r="H17" s="8">
        <v>0.6</v>
      </c>
      <c r="I17" s="8">
        <f t="shared" si="1"/>
        <v>1.44</v>
      </c>
      <c r="J17" s="8"/>
      <c r="K17" s="8"/>
      <c r="L17" s="8">
        <f t="shared" si="2"/>
        <v>0</v>
      </c>
    </row>
    <row r="18" spans="2:12" x14ac:dyDescent="0.25">
      <c r="B18" s="8"/>
      <c r="C18" s="8">
        <f>2.41+0.6</f>
        <v>3.0100000000000002</v>
      </c>
      <c r="D18" s="8">
        <v>0.75</v>
      </c>
      <c r="E18" s="8">
        <f t="shared" si="0"/>
        <v>2.2575000000000003</v>
      </c>
      <c r="F18" s="8" t="s">
        <v>122</v>
      </c>
      <c r="G18" s="8"/>
      <c r="H18" s="8"/>
      <c r="I18" s="8">
        <f t="shared" si="1"/>
        <v>0</v>
      </c>
      <c r="J18" s="8"/>
      <c r="K18" s="8"/>
      <c r="L18" s="8">
        <f t="shared" si="2"/>
        <v>0</v>
      </c>
    </row>
    <row r="19" spans="2:12" x14ac:dyDescent="0.25">
      <c r="B19" s="8"/>
      <c r="C19" s="8"/>
      <c r="D19" s="8"/>
      <c r="E19" s="8">
        <f t="shared" si="0"/>
        <v>0</v>
      </c>
      <c r="F19" s="8"/>
      <c r="G19" s="8"/>
      <c r="H19" s="8"/>
      <c r="I19" s="8">
        <f t="shared" si="1"/>
        <v>0</v>
      </c>
      <c r="J19" s="8"/>
      <c r="K19" s="8"/>
      <c r="L19" s="8">
        <f t="shared" si="2"/>
        <v>0</v>
      </c>
    </row>
    <row r="20" spans="2:12" x14ac:dyDescent="0.25">
      <c r="B20" s="8" t="s">
        <v>125</v>
      </c>
      <c r="C20" s="8"/>
      <c r="D20" s="8"/>
      <c r="E20" s="8">
        <f t="shared" si="0"/>
        <v>0</v>
      </c>
      <c r="F20" s="8" t="s">
        <v>121</v>
      </c>
      <c r="G20" s="8"/>
      <c r="H20" s="8"/>
      <c r="I20" s="8">
        <f t="shared" si="1"/>
        <v>0</v>
      </c>
      <c r="J20" s="8"/>
      <c r="K20" s="8"/>
      <c r="L20" s="8">
        <f t="shared" si="2"/>
        <v>0</v>
      </c>
    </row>
    <row r="21" spans="2:12" x14ac:dyDescent="0.25">
      <c r="B21" s="8"/>
      <c r="C21" s="8"/>
      <c r="D21" s="8"/>
      <c r="E21" s="8">
        <f t="shared" si="0"/>
        <v>0</v>
      </c>
      <c r="F21" s="8" t="s">
        <v>122</v>
      </c>
      <c r="G21" s="8"/>
      <c r="H21" s="8"/>
      <c r="I21" s="8">
        <f t="shared" si="1"/>
        <v>0</v>
      </c>
      <c r="J21" s="8"/>
      <c r="K21" s="8"/>
      <c r="L21" s="8">
        <f t="shared" si="2"/>
        <v>0</v>
      </c>
    </row>
    <row r="22" spans="2:12" x14ac:dyDescent="0.25">
      <c r="B22" s="8"/>
      <c r="C22" s="8"/>
      <c r="D22" s="8"/>
      <c r="E22" s="8">
        <f t="shared" si="0"/>
        <v>0</v>
      </c>
      <c r="F22" s="8"/>
      <c r="G22" s="8"/>
      <c r="H22" s="8"/>
      <c r="I22" s="8">
        <f t="shared" si="1"/>
        <v>0</v>
      </c>
      <c r="J22" s="8"/>
      <c r="K22" s="8"/>
      <c r="L22" s="8">
        <f t="shared" si="2"/>
        <v>0</v>
      </c>
    </row>
    <row r="23" spans="2:12" x14ac:dyDescent="0.25">
      <c r="B23" s="8" t="s">
        <v>126</v>
      </c>
      <c r="C23" s="8">
        <v>1.35</v>
      </c>
      <c r="D23" s="8">
        <v>2.15</v>
      </c>
      <c r="E23" s="8">
        <f t="shared" si="0"/>
        <v>2.9024999999999999</v>
      </c>
      <c r="F23" s="8" t="s">
        <v>127</v>
      </c>
      <c r="G23" s="8"/>
      <c r="H23" s="8"/>
      <c r="I23" s="8">
        <f t="shared" si="1"/>
        <v>0</v>
      </c>
      <c r="J23" s="8"/>
      <c r="K23" s="8"/>
      <c r="L23" s="8">
        <f t="shared" si="2"/>
        <v>0</v>
      </c>
    </row>
    <row r="24" spans="2:12" x14ac:dyDescent="0.25">
      <c r="B24" s="8" t="s">
        <v>128</v>
      </c>
      <c r="C24" s="8">
        <v>2.15</v>
      </c>
      <c r="D24" s="8">
        <v>1.3</v>
      </c>
      <c r="E24" s="8">
        <f t="shared" si="0"/>
        <v>2.7949999999999999</v>
      </c>
      <c r="F24" s="8" t="s">
        <v>127</v>
      </c>
      <c r="G24" s="8"/>
      <c r="H24" s="8"/>
      <c r="I24" s="8">
        <f t="shared" si="1"/>
        <v>0</v>
      </c>
      <c r="J24" s="8"/>
      <c r="K24" s="8"/>
      <c r="L24" s="8">
        <f t="shared" si="2"/>
        <v>0</v>
      </c>
    </row>
    <row r="25" spans="2:12" x14ac:dyDescent="0.25">
      <c r="B25" s="8" t="s">
        <v>129</v>
      </c>
      <c r="C25" s="8"/>
      <c r="D25" s="8"/>
      <c r="E25" s="8">
        <f t="shared" si="0"/>
        <v>0</v>
      </c>
      <c r="F25" s="8" t="s">
        <v>127</v>
      </c>
      <c r="G25" s="8"/>
      <c r="H25" s="8"/>
      <c r="I25" s="8">
        <f t="shared" si="1"/>
        <v>0</v>
      </c>
      <c r="J25" s="8"/>
      <c r="K25" s="8"/>
      <c r="L25" s="8">
        <f t="shared" si="2"/>
        <v>0</v>
      </c>
    </row>
    <row r="26" spans="2:12" x14ac:dyDescent="0.25">
      <c r="B26" s="8"/>
      <c r="C26" s="8"/>
      <c r="D26" s="8"/>
      <c r="E26" s="8">
        <f t="shared" si="0"/>
        <v>0</v>
      </c>
      <c r="F26" s="8"/>
      <c r="G26" s="8"/>
      <c r="H26" s="8"/>
      <c r="I26" s="8">
        <f t="shared" si="1"/>
        <v>0</v>
      </c>
      <c r="J26" s="8"/>
      <c r="K26" s="8"/>
      <c r="L26" s="8">
        <f t="shared" si="2"/>
        <v>0</v>
      </c>
    </row>
    <row r="27" spans="2:12" x14ac:dyDescent="0.25">
      <c r="B27" s="8" t="s">
        <v>130</v>
      </c>
      <c r="C27" s="8">
        <v>2.9</v>
      </c>
      <c r="D27" s="8">
        <v>2.16</v>
      </c>
      <c r="E27" s="8">
        <f t="shared" si="0"/>
        <v>6.2640000000000002</v>
      </c>
      <c r="F27" s="8"/>
      <c r="G27" s="8"/>
      <c r="H27" s="8"/>
      <c r="I27" s="8">
        <f t="shared" si="1"/>
        <v>0</v>
      </c>
      <c r="J27" s="8"/>
      <c r="K27" s="8"/>
      <c r="L27" s="8">
        <f t="shared" si="2"/>
        <v>0</v>
      </c>
    </row>
    <row r="28" spans="2:12" x14ac:dyDescent="0.25">
      <c r="B28" s="8" t="s">
        <v>131</v>
      </c>
      <c r="C28" s="8">
        <v>1</v>
      </c>
      <c r="D28" s="8">
        <v>1.5</v>
      </c>
      <c r="E28" s="8">
        <f t="shared" si="0"/>
        <v>1.5</v>
      </c>
      <c r="F28" s="8"/>
      <c r="G28" s="8"/>
      <c r="H28" s="8"/>
      <c r="I28" s="8">
        <f t="shared" si="1"/>
        <v>0</v>
      </c>
      <c r="J28" s="8"/>
      <c r="K28" s="8"/>
      <c r="L28" s="8">
        <f t="shared" si="2"/>
        <v>0</v>
      </c>
    </row>
    <row r="29" spans="2:12" x14ac:dyDescent="0.25">
      <c r="B29" s="8" t="s">
        <v>132</v>
      </c>
      <c r="C29" s="8">
        <v>1.71</v>
      </c>
      <c r="D29" s="8">
        <v>2.4300000000000002</v>
      </c>
      <c r="E29" s="8">
        <f t="shared" si="0"/>
        <v>4.1553000000000004</v>
      </c>
      <c r="F29" s="8"/>
      <c r="G29" s="8"/>
      <c r="H29" s="8"/>
      <c r="I29" s="8">
        <f t="shared" si="1"/>
        <v>0</v>
      </c>
      <c r="J29" s="8"/>
      <c r="K29" s="8"/>
      <c r="L29" s="8">
        <f t="shared" si="2"/>
        <v>0</v>
      </c>
    </row>
    <row r="30" spans="2:12" x14ac:dyDescent="0.25">
      <c r="B30" s="8" t="s">
        <v>133</v>
      </c>
      <c r="C30" s="8"/>
      <c r="D30" s="8"/>
      <c r="E30" s="8">
        <f t="shared" si="0"/>
        <v>0</v>
      </c>
      <c r="F30" s="8"/>
      <c r="G30" s="8"/>
      <c r="H30" s="8"/>
      <c r="I30" s="8">
        <f>G30*H30</f>
        <v>0</v>
      </c>
      <c r="J30" s="8"/>
      <c r="K30" s="8"/>
      <c r="L30" s="8">
        <f>J30*K30</f>
        <v>0</v>
      </c>
    </row>
    <row r="31" spans="2:12" x14ac:dyDescent="0.25">
      <c r="B31" s="8"/>
      <c r="C31" s="8"/>
      <c r="D31" s="8"/>
      <c r="E31" s="8">
        <f t="shared" si="0"/>
        <v>0</v>
      </c>
      <c r="F31" s="8"/>
      <c r="G31" s="8"/>
      <c r="H31" s="8"/>
      <c r="I31" s="8">
        <f>G31*H31</f>
        <v>0</v>
      </c>
      <c r="J31" s="8"/>
      <c r="K31" s="8"/>
      <c r="L31" s="8">
        <f>J31*K31</f>
        <v>0</v>
      </c>
    </row>
    <row r="32" spans="2:12" x14ac:dyDescent="0.25">
      <c r="B32" s="8"/>
      <c r="C32" s="8"/>
      <c r="D32" s="8"/>
      <c r="E32" s="8">
        <f t="shared" si="0"/>
        <v>0</v>
      </c>
      <c r="F32" s="8"/>
      <c r="G32" s="8"/>
      <c r="H32" s="8"/>
      <c r="I32" s="8">
        <f>G32*H32</f>
        <v>0</v>
      </c>
      <c r="J32" s="8"/>
      <c r="K32" s="8"/>
      <c r="L32" s="8">
        <f>J32*K32</f>
        <v>0</v>
      </c>
    </row>
    <row r="33" spans="2:12" x14ac:dyDescent="0.25">
      <c r="B33" s="8"/>
      <c r="C33" s="8"/>
      <c r="D33" s="8"/>
      <c r="E33" s="8">
        <f t="shared" si="0"/>
        <v>0</v>
      </c>
      <c r="F33" s="8"/>
      <c r="G33" s="8"/>
      <c r="H33" s="8"/>
      <c r="I33" s="8">
        <f>G33*H33</f>
        <v>0</v>
      </c>
      <c r="J33" s="8"/>
      <c r="K33" s="8"/>
      <c r="L33" s="8">
        <f>J33*K33</f>
        <v>0</v>
      </c>
    </row>
    <row r="34" spans="2:12" x14ac:dyDescent="0.25">
      <c r="B34" s="8" t="s">
        <v>80</v>
      </c>
      <c r="C34" s="8"/>
      <c r="D34" s="8">
        <f>E34*10.764</f>
        <v>670.13757720000012</v>
      </c>
      <c r="E34" s="8">
        <f>SUM(E6:E33)</f>
        <v>62.257300000000015</v>
      </c>
      <c r="F34" s="8"/>
      <c r="G34" s="8"/>
      <c r="H34" s="8">
        <f>I34*10.764</f>
        <v>44.885879999999993</v>
      </c>
      <c r="I34" s="8">
        <f>SUM(I6:I33)</f>
        <v>4.17</v>
      </c>
      <c r="J34" s="8"/>
      <c r="K34" s="8">
        <f>L34*10.764</f>
        <v>0</v>
      </c>
      <c r="L34" s="8">
        <f>SUM(L6:L33)</f>
        <v>0</v>
      </c>
    </row>
    <row r="36" spans="2:12" x14ac:dyDescent="0.25">
      <c r="D36">
        <f>D34+H34</f>
        <v>715.02345720000017</v>
      </c>
      <c r="E36">
        <f>E34+I34</f>
        <v>66.427300000000017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38"/>
  <sheetViews>
    <sheetView topLeftCell="A22" workbookViewId="0">
      <selection activeCell="H36" sqref="H36"/>
    </sheetView>
  </sheetViews>
  <sheetFormatPr defaultRowHeight="15" x14ac:dyDescent="0.25"/>
  <cols>
    <col min="2" max="2" width="12.28515625" customWidth="1"/>
  </cols>
  <sheetData>
    <row r="2" spans="1:12" x14ac:dyDescent="0.25">
      <c r="B2" s="5" t="s">
        <v>112</v>
      </c>
      <c r="C2" s="237"/>
      <c r="D2" s="237"/>
    </row>
    <row r="3" spans="1:12" x14ac:dyDescent="0.25">
      <c r="D3" s="6"/>
      <c r="E3" s="6"/>
      <c r="F3" s="6"/>
      <c r="G3" s="6"/>
      <c r="H3" s="6"/>
      <c r="I3" s="6"/>
    </row>
    <row r="4" spans="1:12" x14ac:dyDescent="0.25">
      <c r="A4" s="5" t="s">
        <v>113</v>
      </c>
      <c r="B4" s="7" t="s">
        <v>114</v>
      </c>
      <c r="C4" s="238" t="s">
        <v>115</v>
      </c>
      <c r="D4" s="238"/>
      <c r="E4" s="238"/>
      <c r="F4" s="35"/>
      <c r="G4" s="238" t="s">
        <v>116</v>
      </c>
      <c r="H4" s="238"/>
      <c r="I4" s="238"/>
      <c r="J4" s="238" t="s">
        <v>117</v>
      </c>
      <c r="K4" s="238"/>
      <c r="L4" s="238"/>
    </row>
    <row r="5" spans="1:12" x14ac:dyDescent="0.25">
      <c r="A5" s="5">
        <v>1</v>
      </c>
      <c r="B5" s="7"/>
      <c r="C5" s="7" t="s">
        <v>118</v>
      </c>
      <c r="D5" s="7" t="s">
        <v>119</v>
      </c>
      <c r="E5" s="7" t="s">
        <v>79</v>
      </c>
      <c r="F5" s="7"/>
      <c r="G5" s="7" t="s">
        <v>118</v>
      </c>
      <c r="H5" s="7" t="s">
        <v>119</v>
      </c>
      <c r="I5" s="7" t="s">
        <v>79</v>
      </c>
      <c r="J5" s="7" t="s">
        <v>118</v>
      </c>
      <c r="K5" s="7" t="s">
        <v>119</v>
      </c>
      <c r="L5" s="7" t="s">
        <v>79</v>
      </c>
    </row>
    <row r="6" spans="1:12" x14ac:dyDescent="0.25">
      <c r="B6" s="8" t="s">
        <v>120</v>
      </c>
      <c r="C6" s="8">
        <v>2.9</v>
      </c>
      <c r="D6" s="8">
        <v>3.75</v>
      </c>
      <c r="E6" s="8">
        <f>C6*D6</f>
        <v>10.875</v>
      </c>
      <c r="F6" s="8" t="s">
        <v>121</v>
      </c>
      <c r="G6" s="8">
        <v>1.8</v>
      </c>
      <c r="H6" s="8">
        <v>0.6</v>
      </c>
      <c r="I6" s="8">
        <f>G6*H6</f>
        <v>1.08</v>
      </c>
      <c r="J6" s="8"/>
      <c r="K6" s="8"/>
      <c r="L6" s="8">
        <f>J6*K6</f>
        <v>0</v>
      </c>
    </row>
    <row r="7" spans="1:12" x14ac:dyDescent="0.25">
      <c r="B7" s="8"/>
      <c r="C7" s="8">
        <v>2.9</v>
      </c>
      <c r="D7" s="8">
        <v>0.75</v>
      </c>
      <c r="E7" s="8">
        <f t="shared" ref="E7:E35" si="0">C7*D7</f>
        <v>2.1749999999999998</v>
      </c>
      <c r="F7" s="8" t="s">
        <v>122</v>
      </c>
      <c r="G7" s="8"/>
      <c r="H7" s="8"/>
      <c r="I7" s="8">
        <f t="shared" ref="I7:I31" si="1">G7*H7</f>
        <v>0</v>
      </c>
      <c r="J7" s="8"/>
      <c r="K7" s="8"/>
      <c r="L7" s="8">
        <f t="shared" ref="L7:L31" si="2">J7*K7</f>
        <v>0</v>
      </c>
    </row>
    <row r="8" spans="1:12" x14ac:dyDescent="0.25">
      <c r="B8" s="8"/>
      <c r="C8" s="8"/>
      <c r="D8" s="8"/>
      <c r="E8" s="8">
        <f t="shared" si="0"/>
        <v>0</v>
      </c>
      <c r="F8" s="8"/>
      <c r="G8" s="8"/>
      <c r="H8" s="8"/>
      <c r="I8" s="8">
        <f t="shared" si="1"/>
        <v>0</v>
      </c>
      <c r="J8" s="8"/>
      <c r="K8" s="8"/>
      <c r="L8" s="8">
        <f t="shared" si="2"/>
        <v>0</v>
      </c>
    </row>
    <row r="9" spans="1:12" x14ac:dyDescent="0.25">
      <c r="B9" s="8" t="s">
        <v>123</v>
      </c>
      <c r="C9" s="8">
        <v>2.4500000000000002</v>
      </c>
      <c r="D9" s="8">
        <v>2.15</v>
      </c>
      <c r="E9" s="8">
        <f t="shared" si="0"/>
        <v>5.2675000000000001</v>
      </c>
      <c r="F9" s="8" t="s">
        <v>121</v>
      </c>
      <c r="G9" s="8">
        <v>2.15</v>
      </c>
      <c r="H9" s="8">
        <v>0.6</v>
      </c>
      <c r="I9" s="8">
        <f t="shared" si="1"/>
        <v>1.2899999999999998</v>
      </c>
      <c r="J9" s="8"/>
      <c r="K9" s="8"/>
      <c r="L9" s="8">
        <f t="shared" si="2"/>
        <v>0</v>
      </c>
    </row>
    <row r="10" spans="1:12" x14ac:dyDescent="0.25">
      <c r="B10" s="8"/>
      <c r="C10" s="8"/>
      <c r="D10" s="8"/>
      <c r="E10" s="8">
        <f t="shared" si="0"/>
        <v>0</v>
      </c>
      <c r="F10" s="8" t="s">
        <v>122</v>
      </c>
      <c r="G10" s="8"/>
      <c r="H10" s="8"/>
      <c r="I10" s="8">
        <f t="shared" si="1"/>
        <v>0</v>
      </c>
      <c r="J10" s="8"/>
      <c r="K10" s="8"/>
      <c r="L10" s="8">
        <f t="shared" si="2"/>
        <v>0</v>
      </c>
    </row>
    <row r="11" spans="1:12" x14ac:dyDescent="0.25">
      <c r="B11" s="8"/>
      <c r="C11" s="8"/>
      <c r="D11" s="8"/>
      <c r="E11" s="8">
        <f t="shared" si="0"/>
        <v>0</v>
      </c>
      <c r="F11" s="8"/>
      <c r="G11" s="8"/>
      <c r="H11" s="8"/>
      <c r="I11" s="8">
        <f t="shared" si="1"/>
        <v>0</v>
      </c>
      <c r="J11" s="8"/>
      <c r="K11" s="8"/>
      <c r="L11" s="8">
        <f t="shared" si="2"/>
        <v>0</v>
      </c>
    </row>
    <row r="12" spans="1:12" x14ac:dyDescent="0.25">
      <c r="B12" s="8"/>
      <c r="C12" s="8"/>
      <c r="D12" s="8"/>
      <c r="E12" s="8">
        <f t="shared" si="0"/>
        <v>0</v>
      </c>
      <c r="F12" s="8"/>
      <c r="G12" s="8"/>
      <c r="H12" s="8"/>
      <c r="I12" s="8">
        <f t="shared" si="1"/>
        <v>0</v>
      </c>
      <c r="J12" s="8"/>
      <c r="K12" s="8"/>
      <c r="L12" s="8">
        <f t="shared" si="2"/>
        <v>0</v>
      </c>
    </row>
    <row r="13" spans="1:12" x14ac:dyDescent="0.25">
      <c r="B13" s="8" t="s">
        <v>124</v>
      </c>
      <c r="C13" s="8">
        <v>2.4500000000000002</v>
      </c>
      <c r="D13" s="8">
        <v>3.05</v>
      </c>
      <c r="E13" s="8">
        <f t="shared" si="0"/>
        <v>7.4725000000000001</v>
      </c>
      <c r="F13" s="8" t="s">
        <v>121</v>
      </c>
      <c r="G13" s="8">
        <v>3.05</v>
      </c>
      <c r="H13" s="8">
        <v>0.6</v>
      </c>
      <c r="I13" s="8">
        <f t="shared" si="1"/>
        <v>1.8299999999999998</v>
      </c>
      <c r="J13" s="8"/>
      <c r="K13" s="8"/>
      <c r="L13" s="8">
        <f t="shared" si="2"/>
        <v>0</v>
      </c>
    </row>
    <row r="14" spans="1:12" x14ac:dyDescent="0.25">
      <c r="B14" s="8"/>
      <c r="C14" s="8">
        <v>2.4500000000000002</v>
      </c>
      <c r="D14" s="8">
        <v>0.75</v>
      </c>
      <c r="E14" s="8">
        <f t="shared" si="0"/>
        <v>1.8375000000000001</v>
      </c>
      <c r="F14" s="8" t="s">
        <v>122</v>
      </c>
      <c r="G14" s="8"/>
      <c r="H14" s="8"/>
      <c r="I14" s="8">
        <f t="shared" si="1"/>
        <v>0</v>
      </c>
      <c r="J14" s="8"/>
      <c r="K14" s="8"/>
      <c r="L14" s="8">
        <f t="shared" si="2"/>
        <v>0</v>
      </c>
    </row>
    <row r="15" spans="1:12" x14ac:dyDescent="0.25">
      <c r="B15" s="8"/>
      <c r="C15" s="8"/>
      <c r="D15" s="8"/>
      <c r="E15" s="8">
        <f t="shared" si="0"/>
        <v>0</v>
      </c>
      <c r="F15" s="8"/>
      <c r="G15" s="8"/>
      <c r="H15" s="8"/>
      <c r="I15" s="8">
        <f t="shared" si="1"/>
        <v>0</v>
      </c>
      <c r="J15" s="8"/>
      <c r="K15" s="8"/>
      <c r="L15" s="8">
        <f t="shared" si="2"/>
        <v>0</v>
      </c>
    </row>
    <row r="16" spans="1:12" x14ac:dyDescent="0.25">
      <c r="B16" s="8"/>
      <c r="C16" s="8"/>
      <c r="D16" s="8"/>
      <c r="E16" s="8">
        <f t="shared" si="0"/>
        <v>0</v>
      </c>
      <c r="F16" s="8"/>
      <c r="G16" s="8"/>
      <c r="H16" s="8"/>
      <c r="I16" s="8">
        <f t="shared" si="1"/>
        <v>0</v>
      </c>
      <c r="J16" s="8"/>
      <c r="K16" s="8"/>
      <c r="L16" s="8">
        <f t="shared" si="2"/>
        <v>0</v>
      </c>
    </row>
    <row r="17" spans="2:12" x14ac:dyDescent="0.25">
      <c r="B17" s="8" t="s">
        <v>125</v>
      </c>
      <c r="C17" s="8">
        <v>2.2799999999999998</v>
      </c>
      <c r="D17" s="8">
        <v>3.05</v>
      </c>
      <c r="E17" s="8">
        <f t="shared" si="0"/>
        <v>6.9539999999999988</v>
      </c>
      <c r="F17" s="8" t="s">
        <v>121</v>
      </c>
      <c r="G17" s="8">
        <v>3.05</v>
      </c>
      <c r="H17" s="8">
        <v>0.6</v>
      </c>
      <c r="I17" s="8">
        <f t="shared" si="1"/>
        <v>1.8299999999999998</v>
      </c>
      <c r="J17" s="8"/>
      <c r="K17" s="8"/>
      <c r="L17" s="8">
        <f t="shared" si="2"/>
        <v>0</v>
      </c>
    </row>
    <row r="18" spans="2:12" x14ac:dyDescent="0.25">
      <c r="B18" s="8"/>
      <c r="C18" s="8">
        <f>2.28+0.6</f>
        <v>2.88</v>
      </c>
      <c r="D18" s="8">
        <v>0.75</v>
      </c>
      <c r="E18" s="8">
        <f t="shared" si="0"/>
        <v>2.16</v>
      </c>
      <c r="F18" s="8" t="s">
        <v>122</v>
      </c>
      <c r="G18" s="8"/>
      <c r="H18" s="8"/>
      <c r="I18" s="8">
        <f t="shared" si="1"/>
        <v>0</v>
      </c>
      <c r="J18" s="8"/>
      <c r="K18" s="8"/>
      <c r="L18" s="8">
        <f t="shared" si="2"/>
        <v>0</v>
      </c>
    </row>
    <row r="19" spans="2:12" x14ac:dyDescent="0.25">
      <c r="B19" s="8"/>
      <c r="C19" s="8"/>
      <c r="D19" s="8"/>
      <c r="E19" s="8">
        <f t="shared" si="0"/>
        <v>0</v>
      </c>
      <c r="F19" s="8"/>
      <c r="G19" s="8"/>
      <c r="H19" s="8"/>
      <c r="I19" s="8">
        <f t="shared" si="1"/>
        <v>0</v>
      </c>
      <c r="J19" s="8"/>
      <c r="K19" s="8"/>
      <c r="L19" s="8">
        <f t="shared" si="2"/>
        <v>0</v>
      </c>
    </row>
    <row r="20" spans="2:12" x14ac:dyDescent="0.25">
      <c r="B20" s="8" t="s">
        <v>125</v>
      </c>
      <c r="C20" s="8">
        <v>2.2799999999999998</v>
      </c>
      <c r="D20" s="8">
        <v>3.05</v>
      </c>
      <c r="E20" s="8">
        <f t="shared" si="0"/>
        <v>6.9539999999999988</v>
      </c>
      <c r="F20" s="8" t="s">
        <v>121</v>
      </c>
      <c r="G20" s="8">
        <v>3.05</v>
      </c>
      <c r="H20" s="8">
        <v>0.6</v>
      </c>
      <c r="I20" s="8">
        <f t="shared" si="1"/>
        <v>1.8299999999999998</v>
      </c>
      <c r="J20" s="8"/>
      <c r="K20" s="8"/>
      <c r="L20" s="8">
        <f t="shared" si="2"/>
        <v>0</v>
      </c>
    </row>
    <row r="21" spans="2:12" x14ac:dyDescent="0.25">
      <c r="B21" s="8"/>
      <c r="C21" s="8">
        <v>2.88</v>
      </c>
      <c r="D21" s="8">
        <v>3.05</v>
      </c>
      <c r="E21" s="8">
        <f t="shared" si="0"/>
        <v>8.7839999999999989</v>
      </c>
      <c r="F21" s="8" t="s">
        <v>122</v>
      </c>
      <c r="G21" s="8"/>
      <c r="H21" s="8"/>
      <c r="I21" s="8">
        <f t="shared" si="1"/>
        <v>0</v>
      </c>
      <c r="J21" s="8"/>
      <c r="K21" s="8"/>
      <c r="L21" s="8">
        <f t="shared" si="2"/>
        <v>0</v>
      </c>
    </row>
    <row r="22" spans="2:12" x14ac:dyDescent="0.25">
      <c r="B22" s="8"/>
      <c r="C22" s="8"/>
      <c r="D22" s="8"/>
      <c r="E22" s="8">
        <f t="shared" si="0"/>
        <v>0</v>
      </c>
      <c r="F22" s="8"/>
      <c r="G22" s="8"/>
      <c r="H22" s="8"/>
      <c r="I22" s="8">
        <f t="shared" si="1"/>
        <v>0</v>
      </c>
      <c r="J22" s="8"/>
      <c r="K22" s="8"/>
      <c r="L22" s="8">
        <f t="shared" si="2"/>
        <v>0</v>
      </c>
    </row>
    <row r="23" spans="2:12" x14ac:dyDescent="0.25">
      <c r="B23" s="8" t="s">
        <v>125</v>
      </c>
      <c r="C23" s="8">
        <v>2.4300000000000002</v>
      </c>
      <c r="D23" s="8">
        <v>3.05</v>
      </c>
      <c r="E23" s="8">
        <f t="shared" ref="E23:E24" si="3">C23*D23</f>
        <v>7.4115000000000002</v>
      </c>
      <c r="F23" s="8" t="s">
        <v>121</v>
      </c>
      <c r="G23" s="8">
        <v>3.05</v>
      </c>
      <c r="H23" s="8">
        <v>0.6</v>
      </c>
      <c r="I23" s="8">
        <f t="shared" ref="I23:I24" si="4">G23*H23</f>
        <v>1.8299999999999998</v>
      </c>
      <c r="J23" s="8"/>
      <c r="K23" s="8"/>
      <c r="L23" s="8">
        <f t="shared" ref="L23:L24" si="5">J23*K23</f>
        <v>0</v>
      </c>
    </row>
    <row r="24" spans="2:12" x14ac:dyDescent="0.25">
      <c r="B24" s="8"/>
      <c r="C24" s="8">
        <f>2.43+0.6</f>
        <v>3.0300000000000002</v>
      </c>
      <c r="D24" s="8">
        <v>0.75</v>
      </c>
      <c r="E24" s="8">
        <f t="shared" si="3"/>
        <v>2.2725</v>
      </c>
      <c r="F24" s="8" t="s">
        <v>122</v>
      </c>
      <c r="G24" s="8"/>
      <c r="H24" s="8"/>
      <c r="I24" s="8">
        <f t="shared" si="4"/>
        <v>0</v>
      </c>
      <c r="J24" s="8"/>
      <c r="K24" s="8"/>
      <c r="L24" s="8">
        <f t="shared" si="5"/>
        <v>0</v>
      </c>
    </row>
    <row r="25" spans="2:12" x14ac:dyDescent="0.25">
      <c r="B25" s="8" t="s">
        <v>126</v>
      </c>
      <c r="C25" s="8">
        <v>2.15</v>
      </c>
      <c r="D25" s="8">
        <v>1.35</v>
      </c>
      <c r="E25" s="8">
        <f t="shared" si="0"/>
        <v>2.9024999999999999</v>
      </c>
      <c r="F25" s="8" t="s">
        <v>127</v>
      </c>
      <c r="G25" s="8"/>
      <c r="H25" s="8"/>
      <c r="I25" s="8">
        <f t="shared" si="1"/>
        <v>0</v>
      </c>
      <c r="J25" s="8"/>
      <c r="K25" s="8"/>
      <c r="L25" s="8">
        <f t="shared" si="2"/>
        <v>0</v>
      </c>
    </row>
    <row r="26" spans="2:12" x14ac:dyDescent="0.25">
      <c r="B26" s="8" t="s">
        <v>128</v>
      </c>
      <c r="C26" s="8">
        <v>2.15</v>
      </c>
      <c r="D26" s="8">
        <v>1.35</v>
      </c>
      <c r="E26" s="8">
        <f t="shared" si="0"/>
        <v>2.9024999999999999</v>
      </c>
      <c r="F26" s="8" t="s">
        <v>127</v>
      </c>
      <c r="G26" s="8"/>
      <c r="H26" s="8"/>
      <c r="I26" s="8">
        <f t="shared" si="1"/>
        <v>0</v>
      </c>
      <c r="J26" s="8"/>
      <c r="K26" s="8"/>
      <c r="L26" s="8">
        <f t="shared" si="2"/>
        <v>0</v>
      </c>
    </row>
    <row r="27" spans="2:12" x14ac:dyDescent="0.25">
      <c r="B27" s="8" t="s">
        <v>129</v>
      </c>
      <c r="C27" s="8">
        <v>2.15</v>
      </c>
      <c r="D27" s="8">
        <v>1.3</v>
      </c>
      <c r="E27" s="8">
        <f t="shared" si="0"/>
        <v>2.7949999999999999</v>
      </c>
      <c r="F27" s="8" t="s">
        <v>127</v>
      </c>
      <c r="G27" s="8"/>
      <c r="H27" s="8"/>
      <c r="I27" s="8">
        <f t="shared" si="1"/>
        <v>0</v>
      </c>
      <c r="J27" s="8"/>
      <c r="K27" s="8"/>
      <c r="L27" s="8">
        <f t="shared" si="2"/>
        <v>0</v>
      </c>
    </row>
    <row r="28" spans="2:12" x14ac:dyDescent="0.25">
      <c r="B28" s="8"/>
      <c r="C28" s="8">
        <v>2.15</v>
      </c>
      <c r="D28" s="8">
        <v>1.35</v>
      </c>
      <c r="E28" s="8">
        <f t="shared" si="0"/>
        <v>2.9024999999999999</v>
      </c>
      <c r="F28" s="8"/>
      <c r="G28" s="8"/>
      <c r="H28" s="8"/>
      <c r="I28" s="8">
        <f t="shared" si="1"/>
        <v>0</v>
      </c>
      <c r="J28" s="8"/>
      <c r="K28" s="8"/>
      <c r="L28" s="8">
        <f t="shared" si="2"/>
        <v>0</v>
      </c>
    </row>
    <row r="29" spans="2:12" x14ac:dyDescent="0.25">
      <c r="B29" s="8" t="s">
        <v>130</v>
      </c>
      <c r="C29" s="8">
        <v>1.5</v>
      </c>
      <c r="D29" s="8">
        <v>1.2</v>
      </c>
      <c r="E29" s="8">
        <f t="shared" si="0"/>
        <v>1.7999999999999998</v>
      </c>
      <c r="F29" s="8"/>
      <c r="G29" s="8"/>
      <c r="H29" s="8"/>
      <c r="I29" s="8">
        <f t="shared" si="1"/>
        <v>0</v>
      </c>
      <c r="J29" s="8"/>
      <c r="K29" s="8"/>
      <c r="L29" s="8">
        <f t="shared" si="2"/>
        <v>0</v>
      </c>
    </row>
    <row r="30" spans="2:12" x14ac:dyDescent="0.25">
      <c r="B30" s="8" t="s">
        <v>131</v>
      </c>
      <c r="C30" s="8">
        <v>2.9</v>
      </c>
      <c r="D30" s="8">
        <v>3.75</v>
      </c>
      <c r="E30" s="8">
        <f t="shared" si="0"/>
        <v>10.875</v>
      </c>
      <c r="F30" s="8"/>
      <c r="G30" s="8"/>
      <c r="H30" s="8"/>
      <c r="I30" s="8">
        <f t="shared" si="1"/>
        <v>0</v>
      </c>
      <c r="J30" s="8"/>
      <c r="K30" s="8"/>
      <c r="L30" s="8">
        <f t="shared" si="2"/>
        <v>0</v>
      </c>
    </row>
    <row r="31" spans="2:12" x14ac:dyDescent="0.25">
      <c r="B31" s="8" t="s">
        <v>132</v>
      </c>
      <c r="C31" s="8">
        <v>2.9</v>
      </c>
      <c r="D31" s="8">
        <v>0.75</v>
      </c>
      <c r="E31" s="8">
        <f t="shared" si="0"/>
        <v>2.1749999999999998</v>
      </c>
      <c r="F31" s="8"/>
      <c r="G31" s="8"/>
      <c r="H31" s="8"/>
      <c r="I31" s="8">
        <f t="shared" si="1"/>
        <v>0</v>
      </c>
      <c r="J31" s="8"/>
      <c r="K31" s="8"/>
      <c r="L31" s="8">
        <f t="shared" si="2"/>
        <v>0</v>
      </c>
    </row>
    <row r="32" spans="2:12" x14ac:dyDescent="0.25">
      <c r="B32" s="8" t="s">
        <v>133</v>
      </c>
      <c r="C32" s="8">
        <v>2.9</v>
      </c>
      <c r="D32" s="8">
        <v>0.6</v>
      </c>
      <c r="E32" s="8">
        <f t="shared" si="0"/>
        <v>1.74</v>
      </c>
      <c r="F32" s="8"/>
      <c r="G32" s="8"/>
      <c r="H32" s="8"/>
      <c r="I32" s="8">
        <f>G32*H32</f>
        <v>0</v>
      </c>
      <c r="J32" s="8"/>
      <c r="K32" s="8"/>
      <c r="L32" s="8">
        <f>J32*K32</f>
        <v>0</v>
      </c>
    </row>
    <row r="33" spans="2:12" x14ac:dyDescent="0.25">
      <c r="B33" s="8"/>
      <c r="C33" s="8">
        <v>2.65</v>
      </c>
      <c r="D33" s="8">
        <v>0.7</v>
      </c>
      <c r="E33" s="8">
        <f t="shared" si="0"/>
        <v>1.8549999999999998</v>
      </c>
      <c r="F33" s="8"/>
      <c r="G33" s="8"/>
      <c r="H33" s="8"/>
      <c r="I33" s="8">
        <f>G33*H33</f>
        <v>0</v>
      </c>
      <c r="J33" s="8"/>
      <c r="K33" s="8"/>
      <c r="L33" s="8">
        <f>J33*K33</f>
        <v>0</v>
      </c>
    </row>
    <row r="34" spans="2:12" x14ac:dyDescent="0.25">
      <c r="B34" s="8"/>
      <c r="C34" s="8">
        <v>1</v>
      </c>
      <c r="D34" s="8">
        <v>2.15</v>
      </c>
      <c r="E34" s="8">
        <f t="shared" si="0"/>
        <v>2.15</v>
      </c>
      <c r="F34" s="8"/>
      <c r="G34" s="8"/>
      <c r="H34" s="8"/>
      <c r="I34" s="8">
        <f>G34*H34</f>
        <v>0</v>
      </c>
      <c r="J34" s="8"/>
      <c r="K34" s="8"/>
      <c r="L34" s="8">
        <f>J34*K34</f>
        <v>0</v>
      </c>
    </row>
    <row r="35" spans="2:12" x14ac:dyDescent="0.25">
      <c r="B35" s="8"/>
      <c r="C35" s="8">
        <v>1</v>
      </c>
      <c r="D35" s="8">
        <v>2.15</v>
      </c>
      <c r="E35" s="8">
        <f t="shared" si="0"/>
        <v>2.15</v>
      </c>
      <c r="F35" s="8"/>
      <c r="G35" s="8">
        <v>1</v>
      </c>
      <c r="H35" s="8">
        <v>3.15</v>
      </c>
      <c r="I35" s="8">
        <f>G35*H35</f>
        <v>3.15</v>
      </c>
      <c r="J35" s="8"/>
      <c r="K35" s="8"/>
      <c r="L35" s="8">
        <f>J35*K35</f>
        <v>0</v>
      </c>
    </row>
    <row r="36" spans="2:12" x14ac:dyDescent="0.25">
      <c r="B36" s="8" t="s">
        <v>80</v>
      </c>
      <c r="C36" s="8"/>
      <c r="D36" s="8">
        <f>E36*10.764</f>
        <v>1037.768004</v>
      </c>
      <c r="E36" s="8">
        <f>SUM(E6:E35)</f>
        <v>96.411000000000016</v>
      </c>
      <c r="F36" s="8"/>
      <c r="G36" s="8"/>
      <c r="H36" s="8">
        <f>I36*10.764</f>
        <v>138.20975999999999</v>
      </c>
      <c r="I36" s="8">
        <f>SUM(I6:I35)</f>
        <v>12.84</v>
      </c>
      <c r="J36" s="8"/>
      <c r="K36" s="8">
        <f>L36*10.764</f>
        <v>0</v>
      </c>
      <c r="L36" s="8">
        <f>SUM(L6:L35)</f>
        <v>0</v>
      </c>
    </row>
    <row r="38" spans="2:12" x14ac:dyDescent="0.25">
      <c r="D38">
        <f>D36+H36</f>
        <v>1175.977764</v>
      </c>
      <c r="E38">
        <f>E36+I36</f>
        <v>109.25100000000002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Report (2)</vt:lpstr>
      <vt:lpstr>C%</vt:lpstr>
      <vt:lpstr>S1%</vt:lpstr>
      <vt:lpstr>Note</vt:lpstr>
      <vt:lpstr>Valuation</vt:lpstr>
      <vt:lpstr>Flat detail</vt:lpstr>
      <vt:lpstr>Sheet1</vt:lpstr>
      <vt:lpstr>Sheet2</vt:lpstr>
      <vt:lpstr>'Report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2025-09-10T11:49:36Z</cp:lastPrinted>
  <dcterms:created xsi:type="dcterms:W3CDTF">2019-07-16T09:29:46Z</dcterms:created>
  <dcterms:modified xsi:type="dcterms:W3CDTF">2025-09-10T11:53:14Z</dcterms:modified>
</cp:coreProperties>
</file>