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3F5DB302-0BA5-4E48-A3A3-19BFFAE55CE3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Report!$A$1:$H$318</definedName>
  </definedNames>
  <calcPr calcId="191029"/>
</workbook>
</file>

<file path=xl/calcChain.xml><?xml version="1.0" encoding="utf-8"?>
<calcChain xmlns="http://schemas.openxmlformats.org/spreadsheetml/2006/main">
  <c r="F11" i="5" l="1"/>
  <c r="G11" i="5" s="1"/>
  <c r="F10" i="5"/>
  <c r="G10" i="5" s="1"/>
  <c r="F9" i="5"/>
  <c r="G9" i="5" s="1"/>
  <c r="G8" i="5"/>
  <c r="F8" i="5"/>
  <c r="G7" i="5"/>
  <c r="F7" i="5"/>
  <c r="G6" i="5"/>
  <c r="F6" i="5"/>
  <c r="G5" i="5"/>
  <c r="G12" i="5" s="1"/>
  <c r="F5" i="5"/>
  <c r="D198" i="1"/>
  <c r="B174" i="1"/>
  <c r="B173" i="1"/>
  <c r="J170" i="1"/>
  <c r="D170" i="1"/>
  <c r="F170" i="1" s="1"/>
  <c r="D167" i="1"/>
  <c r="F167" i="1" s="1"/>
  <c r="J166" i="1"/>
  <c r="A166" i="1"/>
  <c r="A167" i="1" s="1"/>
  <c r="A168" i="1" s="1"/>
  <c r="A169" i="1" s="1"/>
  <c r="A170" i="1" s="1"/>
  <c r="J165" i="1"/>
  <c r="G165" i="1"/>
  <c r="J164" i="1"/>
  <c r="J163" i="1"/>
  <c r="D163" i="1"/>
  <c r="F163" i="1" s="1"/>
  <c r="K163" i="1" s="1"/>
  <c r="D162" i="1"/>
  <c r="F162" i="1" s="1"/>
  <c r="D161" i="1"/>
  <c r="F161" i="1" s="1"/>
  <c r="F160" i="1"/>
  <c r="D160" i="1"/>
  <c r="J159" i="1"/>
  <c r="D159" i="1"/>
  <c r="F159" i="1" s="1"/>
  <c r="A159" i="1"/>
  <c r="A160" i="1" s="1"/>
  <c r="A161" i="1" s="1"/>
  <c r="A162" i="1" s="1"/>
  <c r="A163" i="1" s="1"/>
  <c r="J158" i="1"/>
  <c r="G158" i="1"/>
  <c r="D158" i="1"/>
  <c r="F158" i="1" s="1"/>
  <c r="J157" i="1"/>
  <c r="D156" i="1"/>
  <c r="F156" i="1" s="1"/>
  <c r="D155" i="1"/>
  <c r="F155" i="1" s="1"/>
  <c r="D154" i="1"/>
  <c r="F154" i="1" s="1"/>
  <c r="D152" i="1"/>
  <c r="F152" i="1" s="1"/>
  <c r="A152" i="1"/>
  <c r="A153" i="1" s="1"/>
  <c r="A154" i="1" s="1"/>
  <c r="A155" i="1" s="1"/>
  <c r="A156" i="1" s="1"/>
  <c r="G151" i="1"/>
  <c r="D151" i="1"/>
  <c r="F151" i="1" s="1"/>
  <c r="D149" i="1"/>
  <c r="F149" i="1" s="1"/>
  <c r="D148" i="1"/>
  <c r="F148" i="1" s="1"/>
  <c r="D147" i="1"/>
  <c r="F147" i="1" s="1"/>
  <c r="D146" i="1"/>
  <c r="F146" i="1" s="1"/>
  <c r="A145" i="1"/>
  <c r="A146" i="1" s="1"/>
  <c r="A147" i="1" s="1"/>
  <c r="A148" i="1" s="1"/>
  <c r="A149" i="1" s="1"/>
  <c r="D144" i="1"/>
  <c r="F144" i="1" s="1"/>
  <c r="A144" i="1"/>
  <c r="G143" i="1"/>
  <c r="D143" i="1"/>
  <c r="F143" i="1" s="1"/>
  <c r="D141" i="1"/>
  <c r="F141" i="1" s="1"/>
  <c r="J140" i="1"/>
  <c r="D140" i="1"/>
  <c r="F140" i="1" s="1"/>
  <c r="D139" i="1"/>
  <c r="F139" i="1" s="1"/>
  <c r="D138" i="1"/>
  <c r="F138" i="1" s="1"/>
  <c r="D137" i="1"/>
  <c r="F137" i="1" s="1"/>
  <c r="J136" i="1"/>
  <c r="D136" i="1"/>
  <c r="F136" i="1" s="1"/>
  <c r="A136" i="1"/>
  <c r="A137" i="1" s="1"/>
  <c r="A138" i="1" s="1"/>
  <c r="A139" i="1" s="1"/>
  <c r="A140" i="1" s="1"/>
  <c r="A141" i="1" s="1"/>
  <c r="J135" i="1"/>
  <c r="G135" i="1"/>
  <c r="D135" i="1"/>
  <c r="F135" i="1" s="1"/>
  <c r="J134" i="1"/>
  <c r="D133" i="1"/>
  <c r="F133" i="1" s="1"/>
  <c r="J132" i="1"/>
  <c r="D132" i="1"/>
  <c r="F132" i="1" s="1"/>
  <c r="D131" i="1"/>
  <c r="F131" i="1" s="1"/>
  <c r="D130" i="1"/>
  <c r="F130" i="1" s="1"/>
  <c r="D129" i="1"/>
  <c r="F129" i="1" s="1"/>
  <c r="J128" i="1"/>
  <c r="D128" i="1"/>
  <c r="F128" i="1" s="1"/>
  <c r="A128" i="1"/>
  <c r="A129" i="1" s="1"/>
  <c r="A130" i="1" s="1"/>
  <c r="A131" i="1" s="1"/>
  <c r="A132" i="1" s="1"/>
  <c r="A133" i="1" s="1"/>
  <c r="J127" i="1"/>
  <c r="G127" i="1"/>
  <c r="D127" i="1"/>
  <c r="F127" i="1" s="1"/>
  <c r="J126" i="1"/>
  <c r="D125" i="1"/>
  <c r="F125" i="1" s="1"/>
  <c r="J124" i="1"/>
  <c r="D124" i="1"/>
  <c r="F124" i="1" s="1"/>
  <c r="L123" i="1" s="1"/>
  <c r="D123" i="1"/>
  <c r="F123" i="1" s="1"/>
  <c r="D122" i="1"/>
  <c r="F122" i="1" s="1"/>
  <c r="J120" i="1"/>
  <c r="J121" i="1" s="1"/>
  <c r="D120" i="1"/>
  <c r="F120" i="1" s="1"/>
  <c r="A120" i="1"/>
  <c r="A121" i="1" s="1"/>
  <c r="A122" i="1" s="1"/>
  <c r="A123" i="1" s="1"/>
  <c r="A124" i="1" s="1"/>
  <c r="A125" i="1" s="1"/>
  <c r="J119" i="1"/>
  <c r="G119" i="1"/>
  <c r="D119" i="1"/>
  <c r="J118" i="1"/>
  <c r="F111" i="1"/>
  <c r="F110" i="1"/>
  <c r="F109" i="1"/>
  <c r="A109" i="1"/>
  <c r="A110" i="1" s="1"/>
  <c r="A111" i="1" s="1"/>
  <c r="G108" i="1"/>
  <c r="G109" i="1" s="1"/>
  <c r="G110" i="1" s="1"/>
  <c r="G111" i="1" s="1"/>
  <c r="F108" i="1"/>
  <c r="F94" i="1"/>
  <c r="N93" i="1"/>
  <c r="M93" i="1"/>
  <c r="J78" i="1"/>
  <c r="J77" i="1"/>
  <c r="J76" i="1"/>
  <c r="J75" i="1"/>
  <c r="C67" i="1"/>
  <c r="D61" i="1"/>
  <c r="D56" i="1"/>
  <c r="G50" i="1"/>
  <c r="E42" i="1"/>
  <c r="E43" i="1" s="1"/>
  <c r="J40" i="1"/>
  <c r="E29" i="1"/>
  <c r="E26" i="1"/>
  <c r="E24" i="1"/>
  <c r="C14" i="1"/>
  <c r="E7" i="1"/>
  <c r="E3" i="1"/>
  <c r="H68" i="1"/>
  <c r="E102" i="1" l="1"/>
  <c r="J162" i="1"/>
  <c r="K162" i="1"/>
  <c r="C102" i="1"/>
  <c r="F119" i="1"/>
  <c r="G102" i="1" s="1"/>
  <c r="L162" i="1"/>
  <c r="N162" i="1"/>
  <c r="L93" i="1"/>
  <c r="L94" i="1" s="1"/>
  <c r="D78" i="1"/>
  <c r="D74" i="1"/>
  <c r="J73" i="1"/>
  <c r="J74" i="1" s="1"/>
  <c r="J79" i="1" s="1"/>
  <c r="J80" i="1" s="1"/>
  <c r="C72" i="1" s="1"/>
  <c r="D77" i="1"/>
  <c r="D73" i="1"/>
  <c r="J67" i="1"/>
  <c r="J69" i="1" s="1"/>
  <c r="J72" i="1"/>
  <c r="C71" i="1" s="1"/>
  <c r="J70" i="1"/>
  <c r="D80" i="1"/>
  <c r="D76" i="1"/>
  <c r="D79" i="1"/>
  <c r="D75" i="1"/>
  <c r="J71" i="1"/>
  <c r="E71" i="1" l="1"/>
  <c r="D72" i="1"/>
  <c r="G71" i="1"/>
  <c r="D65" i="1" s="1"/>
  <c r="D71" i="1"/>
  <c r="I68" i="1" l="1"/>
  <c r="I69" i="1" s="1"/>
  <c r="J68" i="1"/>
  <c r="F66" i="1"/>
  <c r="D66" i="1"/>
  <c r="I67" i="1" l="1"/>
  <c r="C69" i="1" s="1"/>
</calcChain>
</file>

<file path=xl/sharedStrings.xml><?xml version="1.0" encoding="utf-8"?>
<sst xmlns="http://schemas.openxmlformats.org/spreadsheetml/2006/main" count="321" uniqueCount="235">
  <si>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</si>
  <si>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 xml:space="preserve">Valuation Report </t>
  </si>
  <si>
    <t>Date:</t>
  </si>
  <si>
    <t>CPC Name:</t>
  </si>
  <si>
    <t>Axis Goregaon</t>
  </si>
  <si>
    <t>Date Of Property Visit</t>
  </si>
  <si>
    <t>Name of the builder group</t>
  </si>
  <si>
    <t>Raj Realty Builders &amp; Developers Private Limited</t>
  </si>
  <si>
    <t>Name of the builder company</t>
  </si>
  <si>
    <t>Name of the Project</t>
  </si>
  <si>
    <t>Raj Heritage 2</t>
  </si>
  <si>
    <t>Provided Contact Details ( Name &amp; Contact No.)</t>
  </si>
  <si>
    <t>Site Person - Contact Details ( Name &amp; Contact No.)</t>
  </si>
  <si>
    <t>Name / No of the Building</t>
  </si>
  <si>
    <t>Docouments Provided</t>
  </si>
  <si>
    <t>Approved Plans, CC, Cost Sheet</t>
  </si>
  <si>
    <t>RERA No.</t>
  </si>
  <si>
    <t>P51700033231</t>
  </si>
  <si>
    <t xml:space="preserve">Project location details       </t>
  </si>
  <si>
    <t>Survey No</t>
  </si>
  <si>
    <t>381(Old) 66(New)/3,5,6,7,8,10,11,13; 380(Old), 67(New) 6Pt, 10Pt, 383(Old) 61(New)/1A</t>
  </si>
  <si>
    <t>Locality</t>
  </si>
  <si>
    <t>Shivar Garden</t>
  </si>
  <si>
    <t>Road</t>
  </si>
  <si>
    <t>Param Pujya Shri Mataji Nirmala Devi Marg</t>
  </si>
  <si>
    <t>Locality/Village</t>
  </si>
  <si>
    <t>Goddev</t>
  </si>
  <si>
    <t>City</t>
  </si>
  <si>
    <t>Mira Road</t>
  </si>
  <si>
    <t>District</t>
  </si>
  <si>
    <t>Thane</t>
  </si>
  <si>
    <t>Taluka</t>
  </si>
  <si>
    <t>Pin Code</t>
  </si>
  <si>
    <t>Nearby Landmark</t>
  </si>
  <si>
    <t>Saradar Vallabhbhai Patel
Vidyalay</t>
  </si>
  <si>
    <t xml:space="preserve">Distance from city centre: </t>
  </si>
  <si>
    <t>2.4Km from Mira Road
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</si>
  <si>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</si>
  <si>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</si>
  <si>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</si>
  <si>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</si>
  <si>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</si>
  <si>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</si>
  <si>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</si>
  <si>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</si>
  <si>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</si>
  <si>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</si>
  <si>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</si>
  <si>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</si>
  <si>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</si>
  <si>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</si>
  <si>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</si>
  <si>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</si>
  <si>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</si>
  <si>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</si>
  <si>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</si>
  <si>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</si>
  <si>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Internal Road / Raj Heritage 1</t>
  </si>
  <si>
    <t>West</t>
  </si>
  <si>
    <t>Mani Arcade</t>
  </si>
  <si>
    <t>North</t>
  </si>
  <si>
    <t>Sawaliya Apartment</t>
  </si>
  <si>
    <t>South</t>
  </si>
  <si>
    <t>Nikunj Niketan</t>
  </si>
  <si>
    <t>Does the boundaries at site match, as mentioned in the Docoumentation: NA</t>
  </si>
  <si>
    <t>Latitude,Longitude</t>
  </si>
  <si>
    <t>19.291993,72.866903</t>
  </si>
  <si>
    <t>Location Link</t>
  </si>
  <si>
    <t>https://goo.gl/maps/ZML6VbbCeWwt83f4A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</si>
  <si>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</si>
  <si>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</si>
  <si>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</si>
  <si>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</si>
  <si>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</si>
  <si>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</si>
  <si>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</si>
  <si>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01 Building</t>
  </si>
  <si>
    <t xml:space="preserve">Approval Detail : Plan approval </t>
  </si>
  <si>
    <t>Name of Municipal Corporation/Authority</t>
  </si>
  <si>
    <t>Mira-Bhayandar Municipal Corporation</t>
  </si>
  <si>
    <t xml:space="preserve">Layout Approval No     </t>
  </si>
  <si>
    <t>MBMNP/NR/1792/2022-23</t>
  </si>
  <si>
    <t>Dated</t>
  </si>
  <si>
    <t xml:space="preserve">Approved Floor plan No.  </t>
  </si>
  <si>
    <t xml:space="preserve">Commencement-CC No
Valid Up to: </t>
  </si>
  <si>
    <t>MNP/NR/1792/2022-2023</t>
  </si>
  <si>
    <t>Raj Heritage 2 = B + G + 1st to 27th Floor</t>
  </si>
  <si>
    <t>MNP/NR/3969/2023-2024</t>
  </si>
  <si>
    <t>Raj Heritage 2 = 27th to 35th (Part) Floor
Total Built Up Area = 15129.02 Sq.M.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</si>
  <si>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</si>
  <si>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</si>
  <si>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</si>
  <si>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</si>
  <si>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</si>
  <si>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- 163</t>
  </si>
  <si>
    <t>Approved no of Floors</t>
  </si>
  <si>
    <t>Proposed no of Floors</t>
  </si>
  <si>
    <t>Raj Heritage 2 = B + G + 1st to 35th Floor</t>
  </si>
  <si>
    <t>Expected Completion</t>
  </si>
  <si>
    <t>As per RERA - 31/03/2026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</si>
  <si>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</si>
  <si>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</si>
  <si>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</si>
  <si>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1. Vitrified tiles flooring 2. Granite Kitchen Platform 3. Decorative
Enternace etc.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</si>
  <si>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</si>
  <si>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</si>
  <si>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</si>
  <si>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</si>
  <si>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</si>
  <si>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</si>
  <si>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</si>
  <si>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</si>
  <si>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</si>
  <si>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</si>
  <si>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</si>
  <si>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</si>
  <si>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</si>
  <si>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</si>
  <si>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</si>
  <si>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</si>
  <si>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</si>
  <si>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</si>
  <si>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</si>
  <si>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</si>
  <si>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</si>
  <si>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</si>
  <si>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</si>
  <si>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</si>
  <si>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</si>
  <si>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</si>
  <si>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</si>
  <si>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</si>
  <si>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</si>
  <si>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</si>
  <si>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</si>
  <si>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</si>
  <si>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</si>
  <si>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</si>
  <si>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</si>
  <si>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</si>
  <si>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</si>
  <si>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</si>
  <si>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</si>
  <si>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</si>
  <si>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</si>
  <si>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</si>
  <si>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</t>
  </si>
  <si>
    <t>60/- from 2nd floor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</si>
  <si>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</si>
  <si>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</si>
  <si>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</si>
  <si>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</si>
  <si>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</si>
  <si>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</si>
  <si>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Miscellaneous Charges @Possesion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</si>
  <si>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</si>
  <si>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</si>
  <si>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</si>
  <si>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</si>
  <si>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</si>
  <si>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</si>
  <si>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</si>
  <si>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Total</t>
  </si>
  <si>
    <t>Residential Area Details :</t>
  </si>
  <si>
    <t>Flats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</si>
  <si>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</si>
  <si>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</si>
  <si>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</si>
  <si>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</si>
  <si>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</si>
  <si>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</si>
  <si>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</si>
  <si>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</si>
  <si>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</si>
  <si>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Ground Floor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</si>
  <si>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</si>
  <si>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</si>
  <si>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</si>
  <si>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Basement Floor For Parking</t>
  </si>
  <si>
    <t>Ground Floor For Parking, Drivers Room, Meter Room &amp; Society Office</t>
  </si>
  <si>
    <t xml:space="preserve">1st Floor For Residential &amp; Entrance </t>
  </si>
  <si>
    <t>2BHK</t>
  </si>
  <si>
    <t>Double Height Entrance</t>
  </si>
  <si>
    <t>1BHK</t>
  </si>
  <si>
    <t>2nd Floor For Residential</t>
  </si>
  <si>
    <t>3rd to 6th, 8th to 10th Floor For Residential</t>
  </si>
  <si>
    <t>7th Floor (Part Refuge Area)</t>
  </si>
  <si>
    <t>3BHK</t>
  </si>
  <si>
    <t>Refuge Area</t>
  </si>
  <si>
    <t xml:space="preserve"> 12th, 17th &amp; 22nd Floor (Part Refuge Area)</t>
  </si>
  <si>
    <t>11th, 13th to 16th &amp; 18th to 21st &amp; 23rd to 26th Floor For Residential</t>
  </si>
  <si>
    <t>27th Floor For Residential (Part Terrace Area)</t>
  </si>
  <si>
    <t>Terrace Area</t>
  </si>
  <si>
    <t xml:space="preserve">Remarks:  </t>
  </si>
  <si>
    <t>*</t>
  </si>
  <si>
    <t>Construction work is in process at the time of Visit. Internal photograps was not allowed.</t>
  </si>
  <si>
    <t>We considered Carpet area as per Approved Plan.</t>
  </si>
  <si>
    <t>We considered Gross carpet area = Net carpet + Balcony + Chajja Area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</si>
  <si>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</si>
  <si>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</si>
  <si>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</si>
  <si>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</si>
  <si>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As per approved plan flat no 6 &amp; 7 are merged from 11th to 27th Floor.</t>
  </si>
  <si>
    <t xml:space="preserve">We have updated revised approved floor plan &amp; C.C (on 29/03/2023).
</t>
  </si>
  <si>
    <t>We have updated latest CC from Rera (On 15/09/2024).</t>
  </si>
  <si>
    <t>Recommended Rates/Other Charges of the Property have been revised on 23/10/2024.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</si>
  <si>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</si>
  <si>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</si>
  <si>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</si>
  <si>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</si>
  <si>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</si>
  <si>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</si>
  <si>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</si>
  <si>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</si>
  <si>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</si>
  <si>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</si>
  <si>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</si>
  <si>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</si>
  <si>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</si>
  <si>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</si>
  <si>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</si>
  <si>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</si>
  <si>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</si>
  <si>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</si>
  <si>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</si>
  <si>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</si>
  <si>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</si>
  <si>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</si>
  <si>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</si>
  <si>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</si>
  <si>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</si>
  <si>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 xml:space="preserve">Construction work goes beyond approved no. of floor. Provide revised approved plan.
</t>
  </si>
  <si>
    <t xml:space="preserve">Ranjan Sharma	</t>
  </si>
  <si>
    <t xml:space="preserve">Sarbani Datta (Sales) - 7208052154 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</si>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</sst>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177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6" fillId="0" borderId="0" xfId="8" applyFont="1"/>
    <xf numFmtId="0" fontId="7" fillId="0" borderId="19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7" fillId="0" borderId="20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9" fontId="10" fillId="0" borderId="24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2" xfId="8" applyNumberFormat="1" applyFont="1" applyBorder="1" applyAlignment="1" applyProtection="1">
      <alignment horizontal="center" vertical="top" wrapText="1"/>
      <protection locked="0"/>
    </xf>
    <xf numFmtId="9" fontId="12" fillId="0" borderId="13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0" fontId="18" fillId="2" borderId="28" xfId="0" applyFont="1" applyFill="1" applyBorder="1"/>
    <xf numFmtId="0" fontId="19" fillId="0" borderId="29" xfId="0" applyFont="1" applyBorder="1"/>
    <xf numFmtId="0" fontId="19" fillId="0" borderId="1" xfId="0" applyFont="1" applyBorder="1"/>
    <xf numFmtId="0" fontId="19" fillId="0" borderId="20" xfId="0" applyFont="1" applyBorder="1"/>
    <xf numFmtId="0" fontId="20" fillId="0" borderId="0" xfId="0" applyFont="1" applyProtection="1">
      <protection hidden="1"/>
    </xf>
    <xf numFmtId="0" fontId="10" fillId="0" borderId="22" xfId="8" applyFont="1" applyBorder="1"/>
    <xf numFmtId="0" fontId="20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20" fillId="0" borderId="30" xfId="0" applyFont="1" applyBorder="1" applyProtection="1">
      <protection hidden="1"/>
    </xf>
    <xf numFmtId="1" fontId="0" fillId="0" borderId="27" xfId="0" applyNumberFormat="1" applyBorder="1"/>
    <xf numFmtId="1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4" fillId="0" borderId="0" xfId="8" applyFont="1" applyProtection="1"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9" xfId="8" applyNumberFormat="1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" fontId="9" fillId="0" borderId="9" xfId="8" applyNumberFormat="1" applyFont="1" applyBorder="1" applyAlignment="1" applyProtection="1">
      <alignment horizontal="center" vertical="center" wrapText="1"/>
      <protection locked="0"/>
    </xf>
    <xf numFmtId="1" fontId="9" fillId="0" borderId="10" xfId="8" applyNumberFormat="1" applyFont="1" applyBorder="1" applyAlignment="1" applyProtection="1">
      <alignment horizontal="center" vertical="center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0" fontId="9" fillId="0" borderId="9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1" fontId="9" fillId="0" borderId="11" xfId="8" applyNumberFormat="1" applyFont="1" applyBorder="1" applyAlignment="1" applyProtection="1">
      <alignment horizontal="center" vertical="center" wrapText="1"/>
      <protection locked="0"/>
    </xf>
    <xf numFmtId="1" fontId="9" fillId="0" borderId="31" xfId="8" applyNumberFormat="1" applyFont="1" applyBorder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12" xfId="8" applyNumberFormat="1" applyFont="1" applyBorder="1" applyAlignment="1" applyProtection="1">
      <alignment horizontal="center" vertical="top" wrapText="1"/>
      <protection locked="0"/>
    </xf>
    <xf numFmtId="1" fontId="12" fillId="0" borderId="13" xfId="8" applyNumberFormat="1" applyFont="1" applyBorder="1" applyAlignment="1" applyProtection="1">
      <alignment horizontal="center" vertical="top" wrapText="1"/>
      <protection locked="0"/>
    </xf>
    <xf numFmtId="1" fontId="17" fillId="0" borderId="12" xfId="8" applyNumberFormat="1" applyFont="1" applyBorder="1" applyAlignment="1" applyProtection="1">
      <alignment horizontal="center" vertical="top" wrapText="1"/>
      <protection locked="0"/>
    </xf>
    <xf numFmtId="1" fontId="17" fillId="0" borderId="13" xfId="8" applyNumberFormat="1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167" fontId="7" fillId="0" borderId="1" xfId="1" applyNumberFormat="1" applyFont="1" applyFill="1" applyBorder="1" applyAlignment="1" applyProtection="1">
      <alignment horizontal="right" vertical="top"/>
      <protection locked="0"/>
    </xf>
    <xf numFmtId="0" fontId="12" fillId="0" borderId="13" xfId="8" applyFont="1" applyBorder="1" applyAlignment="1" applyProtection="1">
      <alignment horizontal="left" vertical="top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7" xfId="2" applyFont="1" applyFill="1" applyBorder="1" applyAlignment="1" applyProtection="1">
      <alignment horizontal="center" vertical="center" wrapText="1"/>
      <protection locked="0"/>
    </xf>
    <xf numFmtId="9" fontId="10" fillId="0" borderId="8" xfId="2" applyFont="1" applyFill="1" applyBorder="1" applyAlignment="1" applyProtection="1">
      <alignment horizontal="center" vertical="center" wrapText="1"/>
      <protection locked="0"/>
    </xf>
    <xf numFmtId="9" fontId="10" fillId="0" borderId="25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0" fontId="12" fillId="0" borderId="13" xfId="8" applyFont="1" applyBorder="1" applyAlignment="1" applyProtection="1">
      <alignment horizontal="center" vertical="top"/>
      <protection locked="0"/>
    </xf>
    <xf numFmtId="0" fontId="12" fillId="0" borderId="14" xfId="8" applyFont="1" applyBorder="1" applyAlignment="1" applyProtection="1">
      <alignment horizontal="left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16" xfId="8" applyFont="1" applyBorder="1" applyAlignment="1" applyProtection="1">
      <alignment horizontal="left" vertical="top" wrapText="1"/>
      <protection locked="0"/>
    </xf>
    <xf numFmtId="0" fontId="12" fillId="0" borderId="17" xfId="8" applyFont="1" applyBorder="1" applyAlignment="1" applyProtection="1">
      <alignment horizontal="left" vertical="top" wrapText="1"/>
      <protection locked="0"/>
    </xf>
    <xf numFmtId="0" fontId="12" fillId="0" borderId="18" xfId="8" applyFont="1" applyBorder="1" applyAlignment="1" applyProtection="1">
      <alignment horizontal="left" vertical="top" wrapText="1"/>
      <protection locked="0"/>
    </xf>
    <xf numFmtId="0" fontId="13" fillId="0" borderId="19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20" xfId="8" applyFont="1" applyBorder="1" applyAlignment="1" applyProtection="1">
      <alignment horizontal="left" vertical="top" wrapText="1"/>
      <protection locked="0"/>
    </xf>
    <xf numFmtId="0" fontId="10" fillId="0" borderId="19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20" xfId="8" applyFont="1" applyBorder="1" applyAlignment="1" applyProtection="1">
      <alignment horizontal="center" vertical="top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0" fontId="10" fillId="0" borderId="23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9" fillId="0" borderId="12" xfId="8" applyFont="1" applyBorder="1" applyAlignment="1" applyProtection="1">
      <alignment horizontal="left" vertical="top"/>
      <protection locked="0"/>
    </xf>
    <xf numFmtId="0" fontId="7" fillId="0" borderId="12" xfId="8" applyFont="1" applyBorder="1" applyAlignment="1" applyProtection="1">
      <alignment horizontal="left" vertical="top" wrapText="1"/>
      <protection locked="0"/>
    </xf>
    <xf numFmtId="0" fontId="9" fillId="0" borderId="12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2" xfId="8" applyFont="1" applyBorder="1" applyAlignment="1" applyProtection="1">
      <alignment horizontal="left" vertical="top"/>
      <protection locked="0"/>
    </xf>
    <xf numFmtId="0" fontId="9" fillId="0" borderId="13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14" fontId="9" fillId="0" borderId="4" xfId="8" applyNumberFormat="1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5" fillId="0" borderId="1" xfId="3" applyFill="1" applyBorder="1" applyAlignment="1" applyProtection="1">
      <alignment horizontal="left" vertical="top" wrapText="1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4" fillId="0" borderId="2" xfId="8" applyFont="1" applyBorder="1" applyAlignment="1" applyProtection="1">
      <alignment horizontal="left"/>
      <protection locked="0"/>
    </xf>
    <xf numFmtId="0" fontId="14" fillId="0" borderId="3" xfId="8" applyFont="1" applyBorder="1" applyAlignment="1" applyProtection="1">
      <alignment horizontal="left"/>
      <protection locked="0"/>
    </xf>
    <xf numFmtId="0" fontId="14" fillId="0" borderId="4" xfId="8" applyFont="1" applyBorder="1" applyAlignment="1" applyProtection="1">
      <alignment horizontal="left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7" fillId="0" borderId="2" xfId="8" applyFont="1" applyBorder="1" applyAlignment="1" applyProtection="1">
      <alignment horizontal="left" vertical="top"/>
      <protection locked="0"/>
    </xf>
    <xf numFmtId="0" fontId="7" fillId="0" borderId="3" xfId="8" applyFont="1" applyBorder="1" applyAlignment="1" applyProtection="1">
      <alignment horizontal="left" vertical="top"/>
      <protection locked="0"/>
    </xf>
    <xf numFmtId="0" fontId="7" fillId="0" borderId="4" xfId="8" applyFont="1" applyBorder="1" applyAlignment="1" applyProtection="1">
      <alignment horizontal="left" vertical="top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225036</xdr:colOff>
      <xdr:row>278</xdr:row>
      <xdr:rowOff>43295</xdr:rowOff>
    </xdr:from>
    <xdr:to>
      <xdr:col>7</xdr:col>
      <xdr:colOff>626262</xdr:colOff>
      <xdr:row>294</xdr:row>
      <xdr:rowOff>134786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224790" y="54748430"/>
          <a:ext cx="6104255" cy="32918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199157</xdr:colOff>
      <xdr:row>295</xdr:row>
      <xdr:rowOff>142662</xdr:rowOff>
    </xdr:from>
    <xdr:to>
      <xdr:col>7</xdr:col>
      <xdr:colOff>626262</xdr:colOff>
      <xdr:row>316</xdr:row>
      <xdr:rowOff>83749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98755" y="58247915"/>
          <a:ext cx="6130290" cy="41414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164521</xdr:colOff>
      <xdr:row>241</xdr:row>
      <xdr:rowOff>0</xdr:rowOff>
    </xdr:from>
    <xdr:to>
      <xdr:col>7</xdr:col>
      <xdr:colOff>659269</xdr:colOff>
      <xdr:row>267</xdr:row>
      <xdr:rowOff>5861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465" y="47304325"/>
          <a:ext cx="6197600" cy="52063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</xdr:col>
      <xdr:colOff>597477</xdr:colOff>
      <xdr:row>245</xdr:row>
      <xdr:rowOff>95250</xdr:rowOff>
    </xdr:from>
    <xdr:ext cx="975203" cy="26773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60805" y="48199675"/>
          <a:ext cx="975360" cy="267335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Raj heritage 2</a:t>
          </a:r>
        </a:p>
      </xdr:txBody>
    </xdr:sp>
    <xdr:clientData/>
  </xdr:oneCellAnchor>
  <xdr:oneCellAnchor>
    <xdr:from>
      <xdr:col>4</xdr:col>
      <xdr:colOff>775855</xdr:colOff>
      <xdr:row>247</xdr:row>
      <xdr:rowOff>74468</xdr:rowOff>
    </xdr:from>
    <xdr:ext cx="975203" cy="26773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33215" y="48578770"/>
          <a:ext cx="975360" cy="267335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Raj heritage 1</a:t>
          </a:r>
        </a:p>
      </xdr:txBody>
    </xdr:sp>
    <xdr:clientData/>
  </xdr:oneCellAnchor>
  <xdr:twoCellAnchor editAs="oneCell">
    <xdr:from>
      <xdr:col>8</xdr:col>
      <xdr:colOff>554182</xdr:colOff>
      <xdr:row>47</xdr:row>
      <xdr:rowOff>155864</xdr:rowOff>
    </xdr:from>
    <xdr:to>
      <xdr:col>13</xdr:col>
      <xdr:colOff>223950</xdr:colOff>
      <xdr:row>63</xdr:row>
      <xdr:rowOff>190627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87235" y="11004550"/>
          <a:ext cx="3791585" cy="36099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266700</xdr:colOff>
      <xdr:row>151</xdr:row>
      <xdr:rowOff>28575</xdr:rowOff>
    </xdr:from>
    <xdr:to>
      <xdr:col>24</xdr:col>
      <xdr:colOff>534319</xdr:colOff>
      <xdr:row>178</xdr:row>
      <xdr:rowOff>210301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58295" y="29102050"/>
          <a:ext cx="6600825" cy="5382260"/>
        </a:xfrm>
        <a:prstGeom prst="rect">
          <a:avLst/>
        </a:prstGeom>
      </xdr:spPr>
    </xdr:pic>
    <xdr:clientData/>
  </xdr:twoCellAnchor>
  <xdr:twoCellAnchor editAs="oneCell">
    <xdr:from>
      <xdr:col>16</xdr:col>
      <xdr:colOff>70818</xdr:colOff>
      <xdr:row>221</xdr:row>
      <xdr:rowOff>127834</xdr:rowOff>
    </xdr:from>
    <xdr:to>
      <xdr:col>19</xdr:col>
      <xdr:colOff>278352</xdr:colOff>
      <xdr:row>235</xdr:row>
      <xdr:rowOff>38188</xdr:rowOff>
    </xdr:to>
    <xdr:pic>
      <xdr:nvPicPr>
        <xdr:cNvPr id="25" name="Picture 24" descr="https://vsjcllp.vsjadon.com/upload/insp-220660-1525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3051488" y="43146544"/>
          <a:ext cx="2684034" cy="208205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437924</xdr:colOff>
      <xdr:row>200</xdr:row>
      <xdr:rowOff>134476</xdr:rowOff>
    </xdr:from>
    <xdr:to>
      <xdr:col>19</xdr:col>
      <xdr:colOff>238014</xdr:colOff>
      <xdr:row>221</xdr:row>
      <xdr:rowOff>19282</xdr:rowOff>
    </xdr:to>
    <xdr:pic>
      <xdr:nvPicPr>
        <xdr:cNvPr id="26" name="Picture 25" descr="https://vsjcllp.vsjadon.com/upload/insp-220660-843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798896" y="39141704"/>
          <a:ext cx="4037706" cy="315289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307938</xdr:colOff>
      <xdr:row>200</xdr:row>
      <xdr:rowOff>141196</xdr:rowOff>
    </xdr:from>
    <xdr:to>
      <xdr:col>14</xdr:col>
      <xdr:colOff>330352</xdr:colOff>
      <xdr:row>221</xdr:row>
      <xdr:rowOff>26003</xdr:rowOff>
    </xdr:to>
    <xdr:pic>
      <xdr:nvPicPr>
        <xdr:cNvPr id="29" name="Picture 28" descr="https://vsjcllp.vsjadon.com/upload/insp-220660-845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541571" y="39151563"/>
          <a:ext cx="4037707" cy="314661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260871</xdr:colOff>
      <xdr:row>221</xdr:row>
      <xdr:rowOff>139040</xdr:rowOff>
    </xdr:from>
    <xdr:to>
      <xdr:col>13</xdr:col>
      <xdr:colOff>98610</xdr:colOff>
      <xdr:row>235</xdr:row>
      <xdr:rowOff>49394</xdr:rowOff>
    </xdr:to>
    <xdr:pic>
      <xdr:nvPicPr>
        <xdr:cNvPr id="32" name="Picture 31" descr="https://vsjcllp.vsjadon.com/upload/insp-220660-850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648474" y="43148337"/>
          <a:ext cx="2684034" cy="210087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199466</xdr:colOff>
      <xdr:row>221</xdr:row>
      <xdr:rowOff>123350</xdr:rowOff>
    </xdr:from>
    <xdr:to>
      <xdr:col>15</xdr:col>
      <xdr:colOff>770070</xdr:colOff>
      <xdr:row>235</xdr:row>
      <xdr:rowOff>37290</xdr:rowOff>
    </xdr:to>
    <xdr:pic>
      <xdr:nvPicPr>
        <xdr:cNvPr id="33" name="Picture 32" descr="https://vsjcllp.vsjadon.com/upload/insp-220660-851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0852898" y="43129958"/>
          <a:ext cx="2687620" cy="210984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419101</xdr:colOff>
      <xdr:row>199</xdr:row>
      <xdr:rowOff>53340</xdr:rowOff>
    </xdr:from>
    <xdr:to>
      <xdr:col>15</xdr:col>
      <xdr:colOff>548641</xdr:colOff>
      <xdr:row>238</xdr:row>
      <xdr:rowOff>38100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CB27209-2E6A-E979-9BCF-15310A5598F6}"/>
            </a:ext>
          </a:extLst>
        </xdr:cNvPr>
        <xdr:cNvGrpSpPr/>
      </xdr:nvGrpSpPr>
      <xdr:grpSpPr>
        <a:xfrm>
          <a:off x="6943726" y="38581965"/>
          <a:ext cx="5749290" cy="7776210"/>
          <a:chOff x="401695" y="167497"/>
          <a:chExt cx="5907305" cy="8187314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278F614-0893-5005-8D43-5C85F20AAB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6554811"/>
            <a:ext cx="135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487575B-DF96-D288-E034-D8FD0041F6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31695" y="6554811"/>
            <a:ext cx="135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3F18BFA-1DDE-96FE-0EDB-8EA5B68048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1695" y="167497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CDBB75C2-FD56-77AC-B3CB-79CBF2E883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201154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53DEF256-0256-C1F6-28F9-130E8C2E1B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167497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DBB44874-48E4-0F52-763D-17397914D5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1695" y="4201154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476250</xdr:colOff>
      <xdr:row>70</xdr:row>
      <xdr:rowOff>28575</xdr:rowOff>
    </xdr:from>
    <xdr:to>
      <xdr:col>13</xdr:col>
      <xdr:colOff>400453</xdr:colOff>
      <xdr:row>81</xdr:row>
      <xdr:rowOff>95565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C69A0C9-C75C-47B8-95B3-B01C9B026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162925" y="16487775"/>
          <a:ext cx="2886478" cy="225774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198</xdr:row>
      <xdr:rowOff>123825</xdr:rowOff>
    </xdr:from>
    <xdr:to>
      <xdr:col>7</xdr:col>
      <xdr:colOff>314325</xdr:colOff>
      <xdr:row>238</xdr:row>
      <xdr:rowOff>120901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77704FDA-8CAF-47AB-A313-EDA1ED439570}"/>
            </a:ext>
          </a:extLst>
        </xdr:cNvPr>
        <xdr:cNvGrpSpPr/>
      </xdr:nvGrpSpPr>
      <xdr:grpSpPr>
        <a:xfrm>
          <a:off x="485775" y="38452425"/>
          <a:ext cx="5524500" cy="7988551"/>
          <a:chOff x="405149" y="304799"/>
          <a:chExt cx="5538450" cy="8160001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676F7788-B1FF-4FE9-8254-5005A5C0A3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-44851" y="754800"/>
            <a:ext cx="3600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D1FA975E-6AE7-461E-B027-46B9254B11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2793599" y="754799"/>
            <a:ext cx="3600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168BEA6E-B98B-4276-8539-1CB9408E91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392697" y="4407300"/>
            <a:ext cx="2340000" cy="1755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56970506-C043-4141-A36D-635C82F333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3599" y="4114800"/>
            <a:ext cx="3120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ACA0955C-0F88-4633-B409-268B968DBA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1530149" y="6889800"/>
            <a:ext cx="1800000" cy="135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C0C20B6D-F971-41AB-AFC8-061D273119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3018599" y="6889800"/>
            <a:ext cx="1800000" cy="135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ML6VbbCeWwt83f4A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77"/>
  <sheetViews>
    <sheetView tabSelected="1" view="pageBreakPreview" zoomScaleNormal="100" zoomScaleSheetLayoutView="100" zoomScalePageLayoutView="85" workbookViewId="0">
      <selection activeCell="I47" sqref="I47"/>
    </sheetView>
  </sheetViews>
  <sheetFormatPr defaultColWidth="9.140625" defaultRowHeight="15.75"/>
  <cols>
    <col min="1" max="1" width="11.42578125" style="19" customWidth="1"/>
    <col min="2" max="2" width="12" style="19" customWidth="1"/>
    <col min="3" max="3" width="12.7109375" style="19" customWidth="1"/>
    <col min="4" max="4" width="14.140625" style="19" customWidth="1"/>
    <col min="5" max="7" width="11.7109375" style="19" customWidth="1"/>
    <col min="8" max="8" width="12.42578125" style="19" customWidth="1"/>
    <col min="9" max="9" width="17.42578125" style="20" customWidth="1"/>
    <col min="10" max="10" width="11.42578125" style="20" customWidth="1"/>
    <col min="11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>
      <c r="A1" s="174" t="s">
        <v>0</v>
      </c>
      <c r="B1" s="174"/>
      <c r="C1" s="174"/>
      <c r="D1" s="174"/>
      <c r="E1" s="174"/>
      <c r="F1" s="174"/>
      <c r="G1" s="174"/>
      <c r="H1" s="174"/>
    </row>
    <row r="2" spans="1:8" ht="16.5" customHeight="1">
      <c r="A2" s="97" t="s">
        <v>1</v>
      </c>
      <c r="B2" s="97"/>
      <c r="C2" s="97"/>
      <c r="D2" s="97"/>
      <c r="E2" s="97"/>
      <c r="F2" s="97"/>
      <c r="G2" s="97"/>
      <c r="H2" s="97"/>
    </row>
    <row r="3" spans="1:8">
      <c r="A3" s="139" t="s">
        <v>2</v>
      </c>
      <c r="B3" s="139"/>
      <c r="C3" s="139"/>
      <c r="D3" s="139"/>
      <c r="E3" s="139" t="str">
        <f ca="1">TEXT(TODAY(),"DD/MM/YYYY")</f>
        <v>11/09/2025</v>
      </c>
      <c r="F3" s="139"/>
      <c r="G3" s="139"/>
      <c r="H3" s="139"/>
    </row>
    <row r="4" spans="1:8" ht="15" customHeight="1">
      <c r="A4" s="139" t="s">
        <v>3</v>
      </c>
      <c r="B4" s="139"/>
      <c r="C4" s="139"/>
      <c r="D4" s="139"/>
      <c r="E4" s="139" t="s">
        <v>4</v>
      </c>
      <c r="F4" s="139"/>
      <c r="G4" s="139"/>
      <c r="H4" s="139"/>
    </row>
    <row r="5" spans="1:8">
      <c r="A5" s="139" t="s">
        <v>5</v>
      </c>
      <c r="B5" s="139"/>
      <c r="C5" s="139"/>
      <c r="D5" s="139"/>
      <c r="E5" s="175">
        <v>45909</v>
      </c>
      <c r="F5" s="139"/>
      <c r="G5" s="139"/>
      <c r="H5" s="139"/>
    </row>
    <row r="6" spans="1:8" ht="16.5" customHeight="1">
      <c r="A6" s="139" t="s">
        <v>6</v>
      </c>
      <c r="B6" s="139"/>
      <c r="C6" s="139"/>
      <c r="D6" s="139"/>
      <c r="E6" s="139" t="s">
        <v>7</v>
      </c>
      <c r="F6" s="139"/>
      <c r="G6" s="139"/>
      <c r="H6" s="139"/>
    </row>
    <row r="7" spans="1:8" ht="15" customHeight="1">
      <c r="A7" s="139" t="s">
        <v>8</v>
      </c>
      <c r="B7" s="139"/>
      <c r="C7" s="139"/>
      <c r="D7" s="139"/>
      <c r="E7" s="139" t="str">
        <f>E6</f>
        <v>Raj Realty Builders &amp; Developers Private Limited</v>
      </c>
      <c r="F7" s="139"/>
      <c r="G7" s="139"/>
      <c r="H7" s="139"/>
    </row>
    <row r="8" spans="1:8">
      <c r="A8" s="139" t="s">
        <v>9</v>
      </c>
      <c r="B8" s="139"/>
      <c r="C8" s="139"/>
      <c r="D8" s="139"/>
      <c r="E8" s="124" t="s">
        <v>10</v>
      </c>
      <c r="F8" s="124"/>
      <c r="G8" s="124"/>
      <c r="H8" s="124"/>
    </row>
    <row r="9" spans="1:8" hidden="1">
      <c r="A9" s="171" t="s">
        <v>11</v>
      </c>
      <c r="B9" s="172"/>
      <c r="C9" s="172"/>
      <c r="D9" s="173"/>
      <c r="E9" s="171"/>
      <c r="F9" s="172"/>
      <c r="G9" s="172"/>
      <c r="H9" s="173"/>
    </row>
    <row r="10" spans="1:8">
      <c r="A10" s="139" t="s">
        <v>12</v>
      </c>
      <c r="B10" s="139"/>
      <c r="C10" s="139"/>
      <c r="D10" s="139"/>
      <c r="E10" s="139" t="s">
        <v>233</v>
      </c>
      <c r="F10" s="139"/>
      <c r="G10" s="139"/>
      <c r="H10" s="139"/>
    </row>
    <row r="11" spans="1:8">
      <c r="A11" s="139" t="s">
        <v>13</v>
      </c>
      <c r="B11" s="139"/>
      <c r="C11" s="139"/>
      <c r="D11" s="139"/>
      <c r="E11" s="139" t="s">
        <v>10</v>
      </c>
      <c r="F11" s="139"/>
      <c r="G11" s="139"/>
      <c r="H11" s="139"/>
    </row>
    <row r="12" spans="1:8">
      <c r="A12" s="78" t="s">
        <v>14</v>
      </c>
      <c r="B12" s="78"/>
      <c r="C12" s="78"/>
      <c r="D12" s="78"/>
      <c r="E12" s="135" t="s">
        <v>15</v>
      </c>
      <c r="F12" s="135"/>
      <c r="G12" s="135"/>
      <c r="H12" s="135"/>
    </row>
    <row r="13" spans="1:8">
      <c r="A13" s="78" t="s">
        <v>16</v>
      </c>
      <c r="B13" s="78"/>
      <c r="C13" s="78"/>
      <c r="D13" s="78"/>
      <c r="E13" s="135" t="s">
        <v>17</v>
      </c>
      <c r="F13" s="139"/>
      <c r="G13" s="139"/>
      <c r="H13" s="139"/>
    </row>
    <row r="14" spans="1:8" ht="63" customHeight="1">
      <c r="A14" s="80" t="s">
        <v>18</v>
      </c>
      <c r="B14" s="80"/>
      <c r="C14" s="8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Raj Heritage 2, Survey No.381(Old) 66(New)/3,5,6,7,8,10,11,13; 380(Old), 67(New) 6Pt, 10Pt, 383(Old) 61(New)/1A, near Saradar Vallabhbhai Patel
Vidyalay, Param Pujya Shri Mataji Nirmala Devi Marg, Shivar Garden, Goddev, Mira Road, Thane, Thane - 401105.</v>
      </c>
      <c r="D14" s="80"/>
      <c r="E14" s="80"/>
      <c r="F14" s="80"/>
      <c r="G14" s="80"/>
      <c r="H14" s="80"/>
    </row>
    <row r="15" spans="1:8" ht="33" customHeight="1">
      <c r="A15" s="135" t="s">
        <v>19</v>
      </c>
      <c r="B15" s="135"/>
      <c r="C15" s="135" t="s">
        <v>20</v>
      </c>
      <c r="D15" s="135"/>
      <c r="E15" s="135"/>
      <c r="F15" s="135"/>
      <c r="G15" s="135"/>
      <c r="H15" s="135"/>
    </row>
    <row r="16" spans="1:8" ht="15.75" customHeight="1">
      <c r="A16" s="135" t="s">
        <v>21</v>
      </c>
      <c r="B16" s="135"/>
      <c r="C16" s="135" t="s">
        <v>22</v>
      </c>
      <c r="D16" s="135"/>
      <c r="E16" s="135"/>
      <c r="F16" s="135"/>
      <c r="G16" s="135"/>
      <c r="H16" s="135"/>
    </row>
    <row r="17" spans="1:8" ht="15.75" customHeight="1">
      <c r="A17" s="80" t="s">
        <v>23</v>
      </c>
      <c r="B17" s="80"/>
      <c r="C17" s="135" t="s">
        <v>24</v>
      </c>
      <c r="D17" s="139"/>
      <c r="E17" s="80" t="s">
        <v>25</v>
      </c>
      <c r="F17" s="80"/>
      <c r="G17" s="135" t="s">
        <v>26</v>
      </c>
      <c r="H17" s="135"/>
    </row>
    <row r="18" spans="1:8">
      <c r="A18" s="78" t="s">
        <v>27</v>
      </c>
      <c r="B18" s="78"/>
      <c r="C18" s="135" t="s">
        <v>28</v>
      </c>
      <c r="D18" s="135"/>
      <c r="E18" s="80" t="s">
        <v>29</v>
      </c>
      <c r="F18" s="80"/>
      <c r="G18" s="170" t="s">
        <v>30</v>
      </c>
      <c r="H18" s="170"/>
    </row>
    <row r="19" spans="1:8">
      <c r="A19" s="78" t="s">
        <v>31</v>
      </c>
      <c r="B19" s="78"/>
      <c r="C19" s="135" t="s">
        <v>30</v>
      </c>
      <c r="D19" s="135"/>
      <c r="E19" s="80" t="s">
        <v>32</v>
      </c>
      <c r="F19" s="80"/>
      <c r="G19" s="135">
        <v>401105</v>
      </c>
      <c r="H19" s="135"/>
    </row>
    <row r="20" spans="1:8" ht="32.25" customHeight="1">
      <c r="A20" s="78" t="s">
        <v>33</v>
      </c>
      <c r="B20" s="78"/>
      <c r="C20" s="135" t="s">
        <v>34</v>
      </c>
      <c r="D20" s="135"/>
      <c r="E20" s="80" t="s">
        <v>35</v>
      </c>
      <c r="F20" s="80"/>
      <c r="G20" s="135" t="s">
        <v>36</v>
      </c>
      <c r="H20" s="135"/>
    </row>
    <row r="21" spans="1:8" ht="15" customHeight="1">
      <c r="A21" s="80" t="s">
        <v>37</v>
      </c>
      <c r="B21" s="80"/>
      <c r="C21" s="80"/>
      <c r="D21" s="80"/>
      <c r="E21" s="139" t="s">
        <v>38</v>
      </c>
      <c r="F21" s="139"/>
      <c r="G21" s="139"/>
      <c r="H21" s="139"/>
    </row>
    <row r="22" spans="1:8" ht="18.75" customHeight="1">
      <c r="A22" s="80"/>
      <c r="B22" s="80"/>
      <c r="C22" s="80"/>
      <c r="D22" s="80"/>
      <c r="E22" s="139"/>
      <c r="F22" s="139"/>
      <c r="G22" s="139"/>
      <c r="H22" s="139"/>
    </row>
    <row r="23" spans="1:8" ht="15" customHeight="1">
      <c r="A23" s="80" t="s">
        <v>39</v>
      </c>
      <c r="B23" s="80"/>
      <c r="C23" s="80"/>
      <c r="D23" s="80"/>
      <c r="E23" s="135" t="s">
        <v>40</v>
      </c>
      <c r="F23" s="135"/>
      <c r="G23" s="135"/>
      <c r="H23" s="135"/>
    </row>
    <row r="24" spans="1:8" ht="15" customHeight="1">
      <c r="A24" s="78" t="s">
        <v>41</v>
      </c>
      <c r="B24" s="78"/>
      <c r="C24" s="78"/>
      <c r="D24" s="78"/>
      <c r="E24" s="135" t="str">
        <f>IF(AND(G18="Mumbai"),"Upper Class","Middle Class")</f>
        <v>Middle Class</v>
      </c>
      <c r="F24" s="135"/>
      <c r="G24" s="135"/>
      <c r="H24" s="135"/>
    </row>
    <row r="25" spans="1:8">
      <c r="A25" s="78" t="s">
        <v>42</v>
      </c>
      <c r="B25" s="78"/>
      <c r="C25" s="78"/>
      <c r="D25" s="78"/>
      <c r="E25" s="135" t="s">
        <v>43</v>
      </c>
      <c r="F25" s="135"/>
      <c r="G25" s="135"/>
      <c r="H25" s="135"/>
    </row>
    <row r="26" spans="1:8" ht="15.75" customHeight="1">
      <c r="A26" s="78" t="s">
        <v>44</v>
      </c>
      <c r="B26" s="78"/>
      <c r="C26" s="78"/>
      <c r="D26" s="78"/>
      <c r="E26" s="135" t="str">
        <f>IF(AND(G18="Mumbai"),"Developed","Developing")</f>
        <v>Developing</v>
      </c>
      <c r="F26" s="135"/>
      <c r="G26" s="135"/>
      <c r="H26" s="135"/>
    </row>
    <row r="27" spans="1:8">
      <c r="A27" s="78" t="s">
        <v>45</v>
      </c>
      <c r="B27" s="78"/>
      <c r="C27" s="78"/>
      <c r="D27" s="78"/>
      <c r="E27" s="135" t="s">
        <v>46</v>
      </c>
      <c r="F27" s="135"/>
      <c r="G27" s="135"/>
      <c r="H27" s="135"/>
    </row>
    <row r="28" spans="1:8" ht="15.75" customHeight="1">
      <c r="A28" s="78" t="s">
        <v>47</v>
      </c>
      <c r="B28" s="78"/>
      <c r="C28" s="78"/>
      <c r="D28" s="78"/>
      <c r="E28" s="135" t="s">
        <v>48</v>
      </c>
      <c r="F28" s="135"/>
      <c r="G28" s="135"/>
      <c r="H28" s="135"/>
    </row>
    <row r="29" spans="1:8" ht="15" customHeight="1">
      <c r="A29" s="78" t="s">
        <v>49</v>
      </c>
      <c r="B29" s="78"/>
      <c r="C29" s="78"/>
      <c r="D29" s="78"/>
      <c r="E29" s="13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135"/>
      <c r="G29" s="135"/>
      <c r="H29" s="135"/>
    </row>
    <row r="30" spans="1:8" ht="15.75" customHeight="1">
      <c r="A30" s="78" t="s">
        <v>50</v>
      </c>
      <c r="B30" s="78"/>
      <c r="C30" s="78"/>
      <c r="D30" s="78"/>
      <c r="E30" s="135" t="s">
        <v>51</v>
      </c>
      <c r="F30" s="135"/>
      <c r="G30" s="135"/>
      <c r="H30" s="135"/>
    </row>
    <row r="31" spans="1:8" s="13" customFormat="1">
      <c r="A31" s="168" t="s">
        <v>52</v>
      </c>
      <c r="B31" s="168"/>
      <c r="C31" s="169" t="s">
        <v>53</v>
      </c>
      <c r="D31" s="169"/>
      <c r="E31" s="169"/>
      <c r="F31" s="169" t="s">
        <v>54</v>
      </c>
      <c r="G31" s="169"/>
      <c r="H31" s="169"/>
    </row>
    <row r="32" spans="1:8" s="13" customFormat="1">
      <c r="A32" s="163" t="s">
        <v>55</v>
      </c>
      <c r="B32" s="163" t="s">
        <v>56</v>
      </c>
      <c r="C32" s="164" t="s">
        <v>56</v>
      </c>
      <c r="D32" s="164"/>
      <c r="E32" s="164"/>
      <c r="F32" s="164" t="s">
        <v>57</v>
      </c>
      <c r="G32" s="164"/>
      <c r="H32" s="164"/>
    </row>
    <row r="33" spans="1:10">
      <c r="A33" s="163" t="s">
        <v>58</v>
      </c>
      <c r="B33" s="163" t="s">
        <v>56</v>
      </c>
      <c r="C33" s="164" t="s">
        <v>56</v>
      </c>
      <c r="D33" s="164"/>
      <c r="E33" s="164"/>
      <c r="F33" s="164" t="s">
        <v>59</v>
      </c>
      <c r="G33" s="164"/>
      <c r="H33" s="164"/>
    </row>
    <row r="34" spans="1:10" s="13" customFormat="1">
      <c r="A34" s="163" t="s">
        <v>60</v>
      </c>
      <c r="B34" s="163" t="s">
        <v>56</v>
      </c>
      <c r="C34" s="164" t="s">
        <v>56</v>
      </c>
      <c r="D34" s="164"/>
      <c r="E34" s="164"/>
      <c r="F34" s="164" t="s">
        <v>61</v>
      </c>
      <c r="G34" s="164"/>
      <c r="H34" s="164"/>
    </row>
    <row r="35" spans="1:10">
      <c r="A35" s="163" t="s">
        <v>62</v>
      </c>
      <c r="B35" s="163" t="s">
        <v>56</v>
      </c>
      <c r="C35" s="164" t="s">
        <v>56</v>
      </c>
      <c r="D35" s="164"/>
      <c r="E35" s="164"/>
      <c r="F35" s="164" t="s">
        <v>63</v>
      </c>
      <c r="G35" s="164"/>
      <c r="H35" s="164"/>
    </row>
    <row r="36" spans="1:10">
      <c r="A36" s="78" t="s">
        <v>64</v>
      </c>
      <c r="B36" s="78"/>
      <c r="C36" s="78"/>
      <c r="D36" s="78"/>
      <c r="E36" s="78"/>
      <c r="F36" s="78"/>
      <c r="G36" s="78"/>
      <c r="H36" s="78"/>
    </row>
    <row r="37" spans="1:10" ht="15.75" customHeight="1">
      <c r="A37" s="78" t="s">
        <v>65</v>
      </c>
      <c r="B37" s="78"/>
      <c r="C37" s="165" t="s">
        <v>66</v>
      </c>
      <c r="D37" s="166"/>
      <c r="E37" s="166"/>
      <c r="F37" s="166"/>
      <c r="G37" s="166"/>
      <c r="H37" s="167"/>
    </row>
    <row r="38" spans="1:10">
      <c r="A38" s="78" t="s">
        <v>67</v>
      </c>
      <c r="B38" s="78"/>
      <c r="C38" s="161" t="s">
        <v>68</v>
      </c>
      <c r="D38" s="135"/>
      <c r="E38" s="135"/>
      <c r="F38" s="135"/>
      <c r="G38" s="135"/>
      <c r="H38" s="135"/>
    </row>
    <row r="39" spans="1:10">
      <c r="A39" s="108" t="s">
        <v>69</v>
      </c>
      <c r="B39" s="108"/>
      <c r="C39" s="108"/>
      <c r="D39" s="108"/>
      <c r="E39" s="108"/>
      <c r="F39" s="108"/>
      <c r="G39" s="108"/>
      <c r="H39" s="108"/>
    </row>
    <row r="40" spans="1:10">
      <c r="A40" s="78" t="s">
        <v>70</v>
      </c>
      <c r="B40" s="78"/>
      <c r="C40" s="78"/>
      <c r="D40" s="78"/>
      <c r="E40" s="162">
        <v>4695.29</v>
      </c>
      <c r="F40" s="162"/>
      <c r="G40" s="162"/>
      <c r="H40" s="162"/>
      <c r="J40" s="20">
        <f>5164.81/E40</f>
        <v>1.0999980831854903</v>
      </c>
    </row>
    <row r="41" spans="1:10">
      <c r="A41" s="78" t="s">
        <v>71</v>
      </c>
      <c r="B41" s="78"/>
      <c r="C41" s="78"/>
      <c r="D41" s="78"/>
      <c r="E41" s="156">
        <v>1.1000000000000001</v>
      </c>
      <c r="F41" s="156"/>
      <c r="G41" s="156"/>
      <c r="H41" s="156"/>
    </row>
    <row r="42" spans="1:10">
      <c r="A42" s="78" t="s">
        <v>72</v>
      </c>
      <c r="B42" s="78"/>
      <c r="C42" s="78"/>
      <c r="D42" s="78"/>
      <c r="E42" s="156">
        <f>E44/E40-E41</f>
        <v>1.8804271940604305</v>
      </c>
      <c r="F42" s="156"/>
      <c r="G42" s="156"/>
      <c r="H42" s="156"/>
    </row>
    <row r="43" spans="1:10">
      <c r="A43" s="78" t="s">
        <v>73</v>
      </c>
      <c r="B43" s="78"/>
      <c r="C43" s="78"/>
      <c r="D43" s="78"/>
      <c r="E43" s="156">
        <f>E41+E42</f>
        <v>2.9804271940604306</v>
      </c>
      <c r="F43" s="156"/>
      <c r="G43" s="156"/>
      <c r="H43" s="156"/>
    </row>
    <row r="44" spans="1:10">
      <c r="A44" s="78" t="s">
        <v>74</v>
      </c>
      <c r="B44" s="78"/>
      <c r="C44" s="78"/>
      <c r="D44" s="78"/>
      <c r="E44" s="157">
        <v>13993.97</v>
      </c>
      <c r="F44" s="157"/>
      <c r="G44" s="157"/>
      <c r="H44" s="157"/>
    </row>
    <row r="45" spans="1:10">
      <c r="A45" s="139" t="s">
        <v>75</v>
      </c>
      <c r="B45" s="139"/>
      <c r="C45" s="139"/>
      <c r="D45" s="139"/>
      <c r="E45" s="139" t="s">
        <v>76</v>
      </c>
      <c r="F45" s="139"/>
      <c r="G45" s="139"/>
      <c r="H45" s="139"/>
    </row>
    <row r="46" spans="1:10">
      <c r="A46" s="108" t="s">
        <v>77</v>
      </c>
      <c r="B46" s="108"/>
      <c r="C46" s="108"/>
      <c r="D46" s="108"/>
      <c r="E46" s="108"/>
      <c r="F46" s="108"/>
      <c r="G46" s="108"/>
      <c r="H46" s="108"/>
    </row>
    <row r="47" spans="1:10" ht="33.75" customHeight="1">
      <c r="A47" s="146" t="s">
        <v>78</v>
      </c>
      <c r="B47" s="148"/>
      <c r="C47" s="158" t="s">
        <v>79</v>
      </c>
      <c r="D47" s="159"/>
      <c r="E47" s="159"/>
      <c r="F47" s="159"/>
      <c r="G47" s="159"/>
      <c r="H47" s="160"/>
    </row>
    <row r="48" spans="1:10" ht="15.75" customHeight="1">
      <c r="A48" s="146" t="s">
        <v>80</v>
      </c>
      <c r="B48" s="148"/>
      <c r="C48" s="146" t="s">
        <v>81</v>
      </c>
      <c r="D48" s="147"/>
      <c r="E48" s="148"/>
      <c r="F48" s="22" t="s">
        <v>82</v>
      </c>
      <c r="G48" s="149">
        <v>44777</v>
      </c>
      <c r="H48" s="148"/>
    </row>
    <row r="49" spans="1:14" ht="15.75" customHeight="1">
      <c r="A49" s="146" t="s">
        <v>83</v>
      </c>
      <c r="B49" s="148"/>
      <c r="C49" s="146" t="s">
        <v>81</v>
      </c>
      <c r="D49" s="147"/>
      <c r="E49" s="148"/>
      <c r="F49" s="22" t="s">
        <v>82</v>
      </c>
      <c r="G49" s="149">
        <v>44777</v>
      </c>
      <c r="H49" s="150"/>
    </row>
    <row r="50" spans="1:14" s="14" customFormat="1" ht="15.75" customHeight="1">
      <c r="A50" s="66" t="s">
        <v>84</v>
      </c>
      <c r="B50" s="67"/>
      <c r="C50" s="146" t="s">
        <v>85</v>
      </c>
      <c r="D50" s="147"/>
      <c r="E50" s="148"/>
      <c r="F50" s="22" t="s">
        <v>82</v>
      </c>
      <c r="G50" s="149">
        <f>G49</f>
        <v>44777</v>
      </c>
      <c r="H50" s="150"/>
    </row>
    <row r="51" spans="1:14" s="14" customFormat="1">
      <c r="A51" s="68"/>
      <c r="B51" s="69"/>
      <c r="C51" s="146" t="s">
        <v>86</v>
      </c>
      <c r="D51" s="147"/>
      <c r="E51" s="147"/>
      <c r="F51" s="147"/>
      <c r="G51" s="147"/>
      <c r="H51" s="148"/>
    </row>
    <row r="52" spans="1:14" s="14" customFormat="1" ht="15.75" customHeight="1">
      <c r="A52" s="68"/>
      <c r="B52" s="69"/>
      <c r="C52" s="146" t="s">
        <v>87</v>
      </c>
      <c r="D52" s="147"/>
      <c r="E52" s="148"/>
      <c r="F52" s="22" t="s">
        <v>82</v>
      </c>
      <c r="G52" s="149">
        <v>45358</v>
      </c>
      <c r="H52" s="150"/>
    </row>
    <row r="53" spans="1:14" s="14" customFormat="1" ht="30.95" customHeight="1">
      <c r="A53" s="70"/>
      <c r="B53" s="71"/>
      <c r="C53" s="146" t="s">
        <v>88</v>
      </c>
      <c r="D53" s="147"/>
      <c r="E53" s="147"/>
      <c r="F53" s="147"/>
      <c r="G53" s="147"/>
      <c r="H53" s="148"/>
    </row>
    <row r="54" spans="1:14">
      <c r="A54" s="151" t="s">
        <v>89</v>
      </c>
      <c r="B54" s="152"/>
      <c r="C54" s="151" t="s">
        <v>90</v>
      </c>
      <c r="D54" s="153"/>
      <c r="E54" s="152"/>
      <c r="F54" s="23" t="s">
        <v>82</v>
      </c>
      <c r="G54" s="154" t="s">
        <v>56</v>
      </c>
      <c r="H54" s="155"/>
    </row>
    <row r="55" spans="1:14">
      <c r="A55" s="77" t="s">
        <v>91</v>
      </c>
      <c r="B55" s="77"/>
      <c r="C55" s="77"/>
      <c r="D55" s="77"/>
      <c r="E55" s="77"/>
      <c r="F55" s="77"/>
      <c r="G55" s="77"/>
      <c r="H55" s="77"/>
    </row>
    <row r="56" spans="1:14">
      <c r="A56" s="80" t="s">
        <v>92</v>
      </c>
      <c r="B56" s="80"/>
      <c r="C56" s="80"/>
      <c r="D56" s="78">
        <f>E44</f>
        <v>13993.97</v>
      </c>
      <c r="E56" s="78"/>
      <c r="F56" s="78"/>
      <c r="G56" s="78"/>
      <c r="H56" s="78"/>
    </row>
    <row r="57" spans="1:14">
      <c r="A57" s="135" t="s">
        <v>93</v>
      </c>
      <c r="B57" s="139"/>
      <c r="C57" s="139"/>
      <c r="D57" s="139" t="s">
        <v>94</v>
      </c>
      <c r="E57" s="139"/>
      <c r="F57" s="139"/>
      <c r="G57" s="139"/>
      <c r="H57" s="139"/>
      <c r="I57" s="24"/>
    </row>
    <row r="58" spans="1:14">
      <c r="A58" s="140" t="s">
        <v>95</v>
      </c>
      <c r="B58" s="141"/>
      <c r="C58" s="142"/>
      <c r="D58" s="137" t="s">
        <v>86</v>
      </c>
      <c r="E58" s="143"/>
      <c r="F58" s="143"/>
      <c r="G58" s="143"/>
      <c r="H58" s="143"/>
    </row>
    <row r="59" spans="1:14" ht="15.75" customHeight="1">
      <c r="A59" s="140" t="s">
        <v>96</v>
      </c>
      <c r="B59" s="141"/>
      <c r="C59" s="141"/>
      <c r="D59" s="135" t="s">
        <v>97</v>
      </c>
      <c r="E59" s="139"/>
      <c r="F59" s="139"/>
      <c r="G59" s="139"/>
      <c r="H59" s="139"/>
    </row>
    <row r="60" spans="1:14" ht="15.75" customHeight="1">
      <c r="A60" s="78" t="s">
        <v>98</v>
      </c>
      <c r="B60" s="78"/>
      <c r="C60" s="78"/>
      <c r="D60" s="144" t="s">
        <v>99</v>
      </c>
      <c r="E60" s="144"/>
      <c r="F60" s="144"/>
      <c r="G60" s="144"/>
      <c r="H60" s="144"/>
      <c r="J60" s="25"/>
      <c r="K60" s="24"/>
      <c r="N60" s="24"/>
    </row>
    <row r="61" spans="1:14" ht="15.75" customHeight="1">
      <c r="A61" s="78" t="s">
        <v>100</v>
      </c>
      <c r="B61" s="78"/>
      <c r="C61" s="78"/>
      <c r="D61" s="145" t="str">
        <f>(IF(G54="NA","60 Years After Completion",IF(G54&lt;&gt;"NA",""&amp;60-ROUNDDOWN((E3-G54)/360,0)&amp;" Years"," ")))</f>
        <v>60 Years After Completion</v>
      </c>
      <c r="E61" s="145"/>
      <c r="F61" s="145"/>
      <c r="G61" s="145"/>
      <c r="H61" s="145"/>
      <c r="N61" s="24"/>
    </row>
    <row r="62" spans="1:14" ht="15.75" customHeight="1">
      <c r="A62" s="78" t="s">
        <v>101</v>
      </c>
      <c r="B62" s="78"/>
      <c r="C62" s="78"/>
      <c r="D62" s="80" t="s">
        <v>46</v>
      </c>
      <c r="E62" s="80"/>
      <c r="F62" s="80"/>
      <c r="G62" s="80"/>
      <c r="H62" s="80"/>
      <c r="J62" s="26"/>
      <c r="K62" s="26"/>
    </row>
    <row r="63" spans="1:14" ht="30" customHeight="1">
      <c r="A63" s="78" t="s">
        <v>102</v>
      </c>
      <c r="B63" s="78"/>
      <c r="C63" s="78"/>
      <c r="D63" s="135" t="s">
        <v>103</v>
      </c>
      <c r="E63" s="80"/>
      <c r="F63" s="80"/>
      <c r="G63" s="80"/>
      <c r="H63" s="80"/>
    </row>
    <row r="64" spans="1:14">
      <c r="A64" s="80" t="s">
        <v>104</v>
      </c>
      <c r="B64" s="80"/>
      <c r="C64" s="80"/>
      <c r="D64" s="80" t="s">
        <v>56</v>
      </c>
      <c r="E64" s="80"/>
      <c r="F64" s="80"/>
      <c r="G64" s="80"/>
      <c r="H64" s="80"/>
      <c r="I64" s="27"/>
      <c r="J64" s="27"/>
      <c r="K64" s="27"/>
      <c r="L64" s="27"/>
      <c r="M64" s="27"/>
      <c r="N64" s="27"/>
    </row>
    <row r="65" spans="1:10" ht="15.75" customHeight="1">
      <c r="A65" s="136" t="s">
        <v>105</v>
      </c>
      <c r="B65" s="136"/>
      <c r="C65" s="136"/>
      <c r="D65" s="137" t="str">
        <f ca="1">(IF(G71&gt;95%,"Nothing",IF(G71&gt;0%,"Cement, Aggregate, Steel, etc",IF(G71=0%,"Work not yet Started"))))</f>
        <v>Cement, Aggregate, Steel, etc</v>
      </c>
      <c r="E65" s="137"/>
      <c r="F65" s="137"/>
      <c r="G65" s="137"/>
      <c r="H65" s="137"/>
      <c r="J65" s="26"/>
    </row>
    <row r="66" spans="1:10" ht="33.75" customHeight="1">
      <c r="A66" s="138" t="s">
        <v>106</v>
      </c>
      <c r="B66" s="138"/>
      <c r="C66" s="138"/>
      <c r="D66" s="137" t="str">
        <f ca="1">(IF(D65="Nothing","Yes",IF(D65="Cement, Aggregate, Steel, etc","Under Construction",IF(D65="Work not yet Started","Work not yet Started"))))</f>
        <v>Under Construction</v>
      </c>
      <c r="E66" s="137"/>
      <c r="F66" s="137" t="str">
        <f ca="1">(IF(D65="Nothing","Yes",IF(D65="Cement, Aggregate, Steel, etc","Under Construction",IF(D65="Work not yet Started","Work not yet Started"))))</f>
        <v>Under Construction</v>
      </c>
      <c r="G66" s="137"/>
      <c r="H66" s="137"/>
    </row>
    <row r="67" spans="1:10" ht="15.75" customHeight="1">
      <c r="A67" s="118" t="s">
        <v>107</v>
      </c>
      <c r="B67" s="119"/>
      <c r="C67" s="120" t="str">
        <f>D59</f>
        <v>Raj Heritage 2 = B + G + 1st to 35th Floor</v>
      </c>
      <c r="D67" s="121"/>
      <c r="E67" s="121"/>
      <c r="F67" s="121"/>
      <c r="G67" s="121"/>
      <c r="H67" s="122"/>
      <c r="I67" s="40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30 Floor, Painting upto 28 Floor Completed</v>
      </c>
      <c r="J67" s="4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30 Floor, Painting upto 28 Floor</v>
      </c>
    </row>
    <row r="68" spans="1:10">
      <c r="A68" s="28" t="s">
        <v>108</v>
      </c>
      <c r="B68" s="21">
        <v>1</v>
      </c>
      <c r="C68" s="21" t="s">
        <v>109</v>
      </c>
      <c r="D68" s="21">
        <v>1</v>
      </c>
      <c r="E68" s="21" t="s">
        <v>110</v>
      </c>
      <c r="F68" s="21">
        <v>0</v>
      </c>
      <c r="G68" s="29" t="s">
        <v>111</v>
      </c>
      <c r="H68" s="30">
        <f ca="1">--TRIM(RIGHT(SUBSTITUTE(LEFT(C67,_xlfn.AGGREGATE(16,6,FIND({0,1,2,3,4,5,6,7,8,9},C67,ROW(INDIRECT("1:"&amp;LEN(C67)))),1))," ",REPT(" ",LEN(C67))),LEN(C67)))</f>
        <v>35</v>
      </c>
      <c r="I68" s="4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5.25" customHeight="1">
      <c r="A69" s="123" t="s">
        <v>112</v>
      </c>
      <c r="B69" s="124"/>
      <c r="C69" s="125" t="str">
        <f ca="1">I67</f>
        <v>Excavation, Plinth, RCC Slab, Brickwork, Internal Plaster, External Plaster Completed, Flooring upto 30 Floor, Painting upto 28 Floor Completed</v>
      </c>
      <c r="D69" s="125"/>
      <c r="E69" s="125"/>
      <c r="F69" s="125"/>
      <c r="G69" s="125"/>
      <c r="H69" s="126"/>
      <c r="I69" s="42" t="str">
        <f ca="1">IF(I68&lt;&gt;""," Completed","")</f>
        <v xml:space="preserve"> Completed</v>
      </c>
      <c r="J69" s="43" t="str">
        <f ca="1">IF(J67&lt;&gt;"","Completed","")</f>
        <v>Completed</v>
      </c>
    </row>
    <row r="70" spans="1:10" ht="15.75" customHeight="1">
      <c r="A70" s="127" t="s">
        <v>113</v>
      </c>
      <c r="B70" s="128"/>
      <c r="C70" s="31" t="s">
        <v>114</v>
      </c>
      <c r="D70" s="31" t="s">
        <v>115</v>
      </c>
      <c r="E70" s="128" t="s">
        <v>116</v>
      </c>
      <c r="F70" s="128"/>
      <c r="G70" s="128" t="s">
        <v>117</v>
      </c>
      <c r="H70" s="129"/>
      <c r="I70" s="44" t="s">
        <v>118</v>
      </c>
      <c r="J70" s="45">
        <f ca="1">H68*25%</f>
        <v>8.75</v>
      </c>
    </row>
    <row r="71" spans="1:10">
      <c r="A71" s="127" t="s">
        <v>119</v>
      </c>
      <c r="B71" s="128"/>
      <c r="C71" s="31">
        <f ca="1">J72</f>
        <v>35</v>
      </c>
      <c r="D71" s="32">
        <f ca="1">((100/H68)*C71)/100</f>
        <v>1</v>
      </c>
      <c r="E71" s="111">
        <f ca="1">(((C72/H68*10)+(40/(D68+F68+H68)*C73)+(7.5/(H68)*C74)+(7.5/(H68)*C75)+(10/H68*C76)+(10/H68*C77)+(5/H68*C78)+(5/H68*C79)+(5/H68*C80))/100)</f>
        <v>0.87571428571428567</v>
      </c>
      <c r="F71" s="112"/>
      <c r="G71" s="111">
        <f ca="1">((((C71/H68)*20)+((C72/H68)*25)+(30/(H68+F68+D68)*C73)+(5/H68*C74)+(5/H68*C75)+(5/H68*C76)+(5/H68*C77)+(0/H68*C78)+(0/H68*C79)+(5/H68*C80))/100)</f>
        <v>0.94285714285714295</v>
      </c>
      <c r="H71" s="130"/>
      <c r="I71" s="44" t="s">
        <v>120</v>
      </c>
      <c r="J71" s="46">
        <f ca="1">H68*50%</f>
        <v>17.5</v>
      </c>
    </row>
    <row r="72" spans="1:10">
      <c r="A72" s="127" t="s">
        <v>121</v>
      </c>
      <c r="B72" s="128"/>
      <c r="C72" s="31">
        <f ca="1">J80</f>
        <v>35</v>
      </c>
      <c r="D72" s="32">
        <f ca="1">((100/H68)*C72)/100</f>
        <v>1</v>
      </c>
      <c r="E72" s="113"/>
      <c r="F72" s="114"/>
      <c r="G72" s="113"/>
      <c r="H72" s="131"/>
      <c r="I72" s="44" t="s">
        <v>122</v>
      </c>
      <c r="J72" s="46">
        <f ca="1">H68</f>
        <v>35</v>
      </c>
    </row>
    <row r="73" spans="1:10" ht="15.75" customHeight="1">
      <c r="A73" s="127" t="s">
        <v>123</v>
      </c>
      <c r="B73" s="128"/>
      <c r="C73" s="31">
        <v>36</v>
      </c>
      <c r="D73" s="32">
        <f ca="1">((100/(D68+F68+H68))*C73)/100</f>
        <v>1</v>
      </c>
      <c r="E73" s="113"/>
      <c r="F73" s="114"/>
      <c r="G73" s="113"/>
      <c r="H73" s="131"/>
      <c r="I73" s="44" t="s">
        <v>124</v>
      </c>
      <c r="J73" s="47">
        <f ca="1">(IF(B68&gt;1,(H68/(B68+2)),H68/4))</f>
        <v>8.75</v>
      </c>
    </row>
    <row r="74" spans="1:10" ht="15.75" customHeight="1">
      <c r="A74" s="127" t="s">
        <v>125</v>
      </c>
      <c r="B74" s="128" t="s">
        <v>126</v>
      </c>
      <c r="C74" s="31">
        <v>35</v>
      </c>
      <c r="D74" s="32">
        <f ca="1">((100/H68)*C74)/100</f>
        <v>1</v>
      </c>
      <c r="E74" s="113"/>
      <c r="F74" s="114"/>
      <c r="G74" s="113"/>
      <c r="H74" s="131"/>
      <c r="I74" s="44" t="s">
        <v>127</v>
      </c>
      <c r="J74" s="47">
        <f ca="1">(IF(B68&gt;1,(H68/(B68+2)+J73),H68/4+J73))</f>
        <v>17.5</v>
      </c>
    </row>
    <row r="75" spans="1:10" ht="15.75" customHeight="1">
      <c r="A75" s="127" t="s">
        <v>128</v>
      </c>
      <c r="B75" s="128" t="s">
        <v>126</v>
      </c>
      <c r="C75" s="31">
        <v>35</v>
      </c>
      <c r="D75" s="32">
        <f ca="1">((100/H68)*C75)/100</f>
        <v>1</v>
      </c>
      <c r="E75" s="113"/>
      <c r="F75" s="114"/>
      <c r="G75" s="113"/>
      <c r="H75" s="131"/>
      <c r="I75" s="44" t="s">
        <v>129</v>
      </c>
      <c r="J75" s="47">
        <f>(IF(B68&gt;1,(H68/(B68+2)+J74),0))</f>
        <v>0</v>
      </c>
    </row>
    <row r="76" spans="1:10" ht="15" customHeight="1">
      <c r="A76" s="127" t="s">
        <v>130</v>
      </c>
      <c r="B76" s="128" t="s">
        <v>131</v>
      </c>
      <c r="C76" s="31">
        <v>35</v>
      </c>
      <c r="D76" s="32">
        <f ca="1">((100/(H68))*C76)/100</f>
        <v>1</v>
      </c>
      <c r="E76" s="113"/>
      <c r="F76" s="114"/>
      <c r="G76" s="113"/>
      <c r="H76" s="131"/>
      <c r="I76" s="44" t="s">
        <v>132</v>
      </c>
      <c r="J76" s="47">
        <f>(IF(B68&gt;2,(H68/(B68+2)+J75),0))</f>
        <v>0</v>
      </c>
    </row>
    <row r="77" spans="1:10" ht="15.75" customHeight="1">
      <c r="A77" s="127" t="s">
        <v>133</v>
      </c>
      <c r="B77" s="128" t="s">
        <v>133</v>
      </c>
      <c r="C77" s="31">
        <v>30</v>
      </c>
      <c r="D77" s="32">
        <f ca="1">((100/H68)*C77)/100</f>
        <v>0.85714285714285721</v>
      </c>
      <c r="E77" s="113"/>
      <c r="F77" s="114"/>
      <c r="G77" s="113"/>
      <c r="H77" s="131"/>
      <c r="I77" s="44" t="s">
        <v>134</v>
      </c>
      <c r="J77" s="48">
        <f>(IF(B68&gt;3,(H68/(B68+2)+J76),0))</f>
        <v>0</v>
      </c>
    </row>
    <row r="78" spans="1:10" ht="15.75" customHeight="1">
      <c r="A78" s="127" t="s">
        <v>135</v>
      </c>
      <c r="B78" s="128"/>
      <c r="C78" s="31">
        <v>28</v>
      </c>
      <c r="D78" s="32">
        <f ca="1">((100/H68)*C78)/100</f>
        <v>0.8</v>
      </c>
      <c r="E78" s="113"/>
      <c r="F78" s="114"/>
      <c r="G78" s="113"/>
      <c r="H78" s="131"/>
      <c r="I78" s="44" t="s">
        <v>136</v>
      </c>
      <c r="J78" s="47">
        <f>(IF(B68&gt;4,(H68/(B68+2)+J77),0))</f>
        <v>0</v>
      </c>
    </row>
    <row r="79" spans="1:10" ht="15.75" customHeight="1">
      <c r="A79" s="127" t="s">
        <v>137</v>
      </c>
      <c r="B79" s="128" t="s">
        <v>137</v>
      </c>
      <c r="C79" s="31">
        <v>0</v>
      </c>
      <c r="D79" s="32">
        <f ca="1">((100/(H68))*C79)/100</f>
        <v>0</v>
      </c>
      <c r="E79" s="113"/>
      <c r="F79" s="114"/>
      <c r="G79" s="113"/>
      <c r="H79" s="131"/>
      <c r="I79" s="44" t="s">
        <v>138</v>
      </c>
      <c r="J79" s="47">
        <f ca="1">(IF(B68=1,(H68/(B68+3)+J74),IF(B68=0,(H68/4+J74),IF(B68&gt;1,0))))</f>
        <v>26.25</v>
      </c>
    </row>
    <row r="80" spans="1:10">
      <c r="A80" s="133" t="s">
        <v>139</v>
      </c>
      <c r="B80" s="134"/>
      <c r="C80" s="33">
        <v>0</v>
      </c>
      <c r="D80" s="34">
        <f ca="1">((100/(H68))*C80)/100</f>
        <v>0</v>
      </c>
      <c r="E80" s="115"/>
      <c r="F80" s="116"/>
      <c r="G80" s="115"/>
      <c r="H80" s="132"/>
      <c r="I80" s="49" t="s">
        <v>140</v>
      </c>
      <c r="J80" s="50">
        <f ca="1">(IF(B68&gt;1.5,(H68/(B68+2)+J74+MAX(0,J75-J74)+MAX(0,J76-J75)+MAX(0,J77-J76)+MAX(0,J78-J77)+MAX(0,J79-J78)),IF(B68=1,(H68/(B68+3)+J79),IF(B68=0,H68/4+J79))))</f>
        <v>35</v>
      </c>
    </row>
    <row r="81" spans="1:14">
      <c r="A81" s="110" t="s">
        <v>141</v>
      </c>
      <c r="B81" s="110"/>
      <c r="C81" s="110"/>
      <c r="D81" s="110"/>
      <c r="E81" s="110"/>
      <c r="F81" s="117" t="s">
        <v>142</v>
      </c>
      <c r="G81" s="117"/>
      <c r="H81" s="117"/>
    </row>
    <row r="82" spans="1:14">
      <c r="A82" s="78" t="s">
        <v>143</v>
      </c>
      <c r="B82" s="78"/>
      <c r="C82" s="78"/>
      <c r="D82" s="78"/>
      <c r="E82" s="78"/>
      <c r="F82" s="107">
        <v>10500</v>
      </c>
      <c r="G82" s="107"/>
      <c r="H82" s="107"/>
    </row>
    <row r="83" spans="1:14">
      <c r="A83" s="78" t="s">
        <v>144</v>
      </c>
      <c r="B83" s="78"/>
      <c r="C83" s="78"/>
      <c r="D83" s="78"/>
      <c r="E83" s="78"/>
      <c r="F83" s="107">
        <v>17000</v>
      </c>
      <c r="G83" s="107"/>
      <c r="H83" s="107"/>
    </row>
    <row r="84" spans="1:14" hidden="1">
      <c r="A84" s="78" t="s">
        <v>145</v>
      </c>
      <c r="B84" s="78"/>
      <c r="C84" s="78"/>
      <c r="D84" s="78"/>
      <c r="E84" s="78"/>
      <c r="F84" s="107"/>
      <c r="G84" s="107"/>
      <c r="H84" s="107"/>
    </row>
    <row r="85" spans="1:14" s="15" customFormat="1">
      <c r="A85" s="78" t="s">
        <v>146</v>
      </c>
      <c r="B85" s="78"/>
      <c r="C85" s="78"/>
      <c r="D85" s="78"/>
      <c r="E85" s="78"/>
      <c r="F85" s="109" t="s">
        <v>147</v>
      </c>
      <c r="G85" s="109"/>
      <c r="H85" s="109"/>
    </row>
    <row r="86" spans="1:14" s="15" customFormat="1" hidden="1">
      <c r="A86" s="78" t="s">
        <v>148</v>
      </c>
      <c r="B86" s="78"/>
      <c r="C86" s="78"/>
      <c r="D86" s="78"/>
      <c r="E86" s="78"/>
      <c r="F86" s="107"/>
      <c r="G86" s="107"/>
      <c r="H86" s="107"/>
    </row>
    <row r="87" spans="1:14" s="15" customFormat="1" hidden="1">
      <c r="A87" s="78" t="s">
        <v>149</v>
      </c>
      <c r="B87" s="78"/>
      <c r="C87" s="78"/>
      <c r="D87" s="78"/>
      <c r="E87" s="78"/>
      <c r="F87" s="107"/>
      <c r="G87" s="107"/>
      <c r="H87" s="107"/>
    </row>
    <row r="88" spans="1:14" s="15" customFormat="1" hidden="1">
      <c r="A88" s="78" t="s">
        <v>150</v>
      </c>
      <c r="B88" s="78"/>
      <c r="C88" s="78"/>
      <c r="D88" s="78"/>
      <c r="E88" s="78"/>
      <c r="F88" s="107">
        <v>7500</v>
      </c>
      <c r="G88" s="107"/>
      <c r="H88" s="107"/>
    </row>
    <row r="89" spans="1:14" s="15" customFormat="1" hidden="1">
      <c r="A89" s="78" t="s">
        <v>151</v>
      </c>
      <c r="B89" s="78"/>
      <c r="C89" s="78"/>
      <c r="D89" s="78"/>
      <c r="E89" s="78"/>
      <c r="F89" s="107"/>
      <c r="G89" s="107"/>
      <c r="H89" s="107"/>
    </row>
    <row r="90" spans="1:14" s="15" customFormat="1" hidden="1">
      <c r="A90" s="78" t="s">
        <v>152</v>
      </c>
      <c r="B90" s="78"/>
      <c r="C90" s="78"/>
      <c r="D90" s="78"/>
      <c r="E90" s="78"/>
      <c r="F90" s="107"/>
      <c r="G90" s="107"/>
      <c r="H90" s="107"/>
    </row>
    <row r="91" spans="1:14" s="15" customFormat="1" hidden="1">
      <c r="A91" s="78" t="s">
        <v>153</v>
      </c>
      <c r="B91" s="78"/>
      <c r="C91" s="78"/>
      <c r="D91" s="78"/>
      <c r="E91" s="78"/>
      <c r="F91" s="107">
        <v>200000</v>
      </c>
      <c r="G91" s="107"/>
      <c r="H91" s="107"/>
    </row>
    <row r="92" spans="1:14" s="15" customFormat="1">
      <c r="A92" s="78" t="s">
        <v>154</v>
      </c>
      <c r="B92" s="78"/>
      <c r="C92" s="78"/>
      <c r="D92" s="78"/>
      <c r="E92" s="78"/>
      <c r="F92" s="107">
        <v>250000</v>
      </c>
      <c r="G92" s="107"/>
      <c r="H92" s="107"/>
    </row>
    <row r="93" spans="1:14">
      <c r="A93" s="78" t="s">
        <v>155</v>
      </c>
      <c r="B93" s="78"/>
      <c r="C93" s="78"/>
      <c r="D93" s="78"/>
      <c r="E93" s="78"/>
      <c r="F93" s="107">
        <v>500000</v>
      </c>
      <c r="G93" s="107"/>
      <c r="H93" s="107"/>
      <c r="L93" s="20">
        <f>(F162*10500)</f>
        <v>9700678.2599999998</v>
      </c>
      <c r="M93" s="20">
        <f>(60*924*24)</f>
        <v>1330560</v>
      </c>
      <c r="N93" s="20">
        <f>25-1</f>
        <v>24</v>
      </c>
    </row>
    <row r="94" spans="1:14" s="16" customFormat="1">
      <c r="A94" s="108" t="s">
        <v>156</v>
      </c>
      <c r="B94" s="108"/>
      <c r="C94" s="108"/>
      <c r="D94" s="108"/>
      <c r="E94" s="108"/>
      <c r="F94" s="107">
        <f>F82*0.8</f>
        <v>8400</v>
      </c>
      <c r="G94" s="107"/>
      <c r="H94" s="107"/>
      <c r="L94" s="16">
        <f>L93+M93+F92+F93</f>
        <v>11781238.26</v>
      </c>
    </row>
    <row r="95" spans="1:14" s="17" customFormat="1" ht="15.75" hidden="1" customHeight="1">
      <c r="A95" s="106" t="s">
        <v>157</v>
      </c>
      <c r="B95" s="106"/>
      <c r="C95" s="106"/>
      <c r="D95" s="106"/>
      <c r="E95" s="106"/>
      <c r="F95" s="106"/>
      <c r="G95" s="106"/>
      <c r="H95" s="106"/>
    </row>
    <row r="96" spans="1:14" s="17" customFormat="1" ht="15.75" hidden="1" customHeight="1">
      <c r="A96" s="98" t="s">
        <v>158</v>
      </c>
      <c r="B96" s="98"/>
      <c r="C96" s="99" t="s">
        <v>159</v>
      </c>
      <c r="D96" s="99"/>
      <c r="E96" s="100" t="s">
        <v>160</v>
      </c>
      <c r="F96" s="100"/>
      <c r="G96" s="98" t="s">
        <v>161</v>
      </c>
      <c r="H96" s="98"/>
    </row>
    <row r="97" spans="1:14" s="17" customFormat="1" hidden="1">
      <c r="A97" s="101"/>
      <c r="B97" s="101"/>
      <c r="C97" s="103"/>
      <c r="D97" s="103"/>
      <c r="E97" s="104"/>
      <c r="F97" s="104"/>
      <c r="G97" s="105"/>
      <c r="H97" s="105"/>
    </row>
    <row r="98" spans="1:14" s="17" customFormat="1" hidden="1">
      <c r="A98" s="101"/>
      <c r="B98" s="101"/>
      <c r="C98" s="103"/>
      <c r="D98" s="103"/>
      <c r="E98" s="104"/>
      <c r="F98" s="104"/>
      <c r="G98" s="105"/>
      <c r="H98" s="105"/>
    </row>
    <row r="99" spans="1:14" s="17" customFormat="1" hidden="1">
      <c r="A99" s="106" t="s">
        <v>162</v>
      </c>
      <c r="B99" s="106"/>
      <c r="C99" s="99"/>
      <c r="D99" s="99"/>
      <c r="E99" s="100"/>
      <c r="F99" s="100"/>
      <c r="G99" s="98"/>
      <c r="H99" s="98"/>
    </row>
    <row r="100" spans="1:14" s="17" customFormat="1">
      <c r="A100" s="106" t="s">
        <v>163</v>
      </c>
      <c r="B100" s="106"/>
      <c r="C100" s="106"/>
      <c r="D100" s="106"/>
      <c r="E100" s="106"/>
      <c r="F100" s="106"/>
      <c r="G100" s="106"/>
      <c r="H100" s="106"/>
    </row>
    <row r="101" spans="1:14" s="17" customFormat="1" ht="15.75" customHeight="1">
      <c r="A101" s="98" t="s">
        <v>158</v>
      </c>
      <c r="B101" s="98"/>
      <c r="C101" s="99" t="s">
        <v>159</v>
      </c>
      <c r="D101" s="99"/>
      <c r="E101" s="100" t="s">
        <v>160</v>
      </c>
      <c r="F101" s="100"/>
      <c r="G101" s="98" t="s">
        <v>161</v>
      </c>
      <c r="H101" s="98"/>
    </row>
    <row r="102" spans="1:14" s="17" customFormat="1">
      <c r="A102" s="101" t="s">
        <v>164</v>
      </c>
      <c r="B102" s="101"/>
      <c r="C102" s="102">
        <f>COUNT(D119:D120,D122:D125)+COUNT(D127:D133)+COUNT(D135:D141)*7+COUNT(D143:D144,D146:D149)+COUNT(D151:D152,D154:D156)*3+COUNT(D158:D163)*13+COUNT(D167,D170)</f>
        <v>163</v>
      </c>
      <c r="D102" s="102"/>
      <c r="E102" s="102">
        <f>SUM(D119:D120,D122:D125)+SUM(D127:D133)+SUM(D135:D141)*7+SUM(D143:D144,D146:D149)+SUM(D151:D152,D154:D156)*3+SUM(D158:D163)*13+SUM(D167,D170)</f>
        <v>100605.63988800001</v>
      </c>
      <c r="F102" s="102"/>
      <c r="G102" s="102">
        <f>SUM(F119:F120,F122:F125)+SUM(F127:F133)+SUM(F135:F141)*7+SUM(F143:F144,F146:F149)+SUM(F151:F152,F154:F156)*3+SUM(F158:F163)*13+SUM(F167,F170)</f>
        <v>150908.45983200002</v>
      </c>
      <c r="H102" s="102"/>
    </row>
    <row r="103" spans="1:14" s="16" customFormat="1">
      <c r="A103" s="97" t="s">
        <v>165</v>
      </c>
      <c r="B103" s="97"/>
      <c r="C103" s="97"/>
      <c r="D103" s="97"/>
      <c r="E103" s="97"/>
      <c r="F103" s="97"/>
      <c r="G103" s="97"/>
      <c r="H103" s="97"/>
    </row>
    <row r="104" spans="1:14">
      <c r="A104" s="97" t="s">
        <v>166</v>
      </c>
      <c r="B104" s="97"/>
      <c r="C104" s="97"/>
      <c r="D104" s="97"/>
      <c r="E104" s="97"/>
      <c r="F104" s="97"/>
      <c r="G104" s="97"/>
      <c r="H104" s="97"/>
    </row>
    <row r="105" spans="1:14" ht="47.25" hidden="1" customHeight="1">
      <c r="A105" s="93" t="s">
        <v>167</v>
      </c>
      <c r="B105" s="93" t="s">
        <v>168</v>
      </c>
      <c r="C105" s="93" t="s">
        <v>169</v>
      </c>
      <c r="D105" s="93" t="s">
        <v>170</v>
      </c>
      <c r="E105" s="95" t="s">
        <v>171</v>
      </c>
      <c r="F105" s="36" t="s">
        <v>172</v>
      </c>
      <c r="G105" s="56" t="s">
        <v>173</v>
      </c>
      <c r="H105" s="57"/>
    </row>
    <row r="106" spans="1:14" s="18" customFormat="1" hidden="1">
      <c r="A106" s="94"/>
      <c r="B106" s="94"/>
      <c r="C106" s="94"/>
      <c r="D106" s="94"/>
      <c r="E106" s="96"/>
      <c r="F106" s="37">
        <v>0.6</v>
      </c>
      <c r="G106" s="58"/>
      <c r="H106" s="59"/>
    </row>
    <row r="107" spans="1:14" s="18" customFormat="1" hidden="1">
      <c r="A107" s="89" t="s">
        <v>174</v>
      </c>
      <c r="B107" s="90"/>
      <c r="C107" s="90"/>
      <c r="D107" s="90"/>
      <c r="E107" s="90"/>
      <c r="F107" s="90"/>
      <c r="G107" s="90"/>
      <c r="H107" s="91"/>
      <c r="J107" s="51"/>
    </row>
    <row r="108" spans="1:14" s="18" customFormat="1" hidden="1">
      <c r="A108" s="82">
        <v>1</v>
      </c>
      <c r="B108" s="83"/>
      <c r="C108" s="38"/>
      <c r="D108" s="38"/>
      <c r="E108" s="38">
        <v>0</v>
      </c>
      <c r="F108" s="38">
        <f>(D108+E108)*(($F$106)+1)</f>
        <v>0</v>
      </c>
      <c r="G108" s="82" t="str">
        <f>A107</f>
        <v>Ground Floor</v>
      </c>
      <c r="H108" s="83"/>
      <c r="I108" s="51"/>
      <c r="L108" s="84"/>
      <c r="M108" s="84"/>
      <c r="N108" s="51"/>
    </row>
    <row r="109" spans="1:14" s="18" customFormat="1" hidden="1">
      <c r="A109" s="82">
        <f t="shared" ref="A109:A111" si="0">A108+1</f>
        <v>2</v>
      </c>
      <c r="B109" s="83"/>
      <c r="C109" s="38"/>
      <c r="D109" s="38"/>
      <c r="E109" s="38">
        <v>0</v>
      </c>
      <c r="F109" s="38">
        <f t="shared" ref="F109:F111" si="1">(D109+E109)*(($F$106)+1)</f>
        <v>0</v>
      </c>
      <c r="G109" s="82" t="str">
        <f t="shared" ref="G109:G111" si="2">G108</f>
        <v>Ground Floor</v>
      </c>
      <c r="H109" s="83"/>
      <c r="I109" s="51"/>
      <c r="L109" s="84"/>
      <c r="M109" s="84"/>
      <c r="N109" s="51"/>
    </row>
    <row r="110" spans="1:14" s="18" customFormat="1" hidden="1">
      <c r="A110" s="82">
        <f t="shared" si="0"/>
        <v>3</v>
      </c>
      <c r="B110" s="83"/>
      <c r="C110" s="38"/>
      <c r="D110" s="38"/>
      <c r="E110" s="38">
        <v>0</v>
      </c>
      <c r="F110" s="38">
        <f t="shared" si="1"/>
        <v>0</v>
      </c>
      <c r="G110" s="82" t="str">
        <f t="shared" si="2"/>
        <v>Ground Floor</v>
      </c>
      <c r="H110" s="83"/>
      <c r="I110" s="51"/>
      <c r="L110" s="84"/>
      <c r="M110" s="84"/>
      <c r="N110" s="51"/>
    </row>
    <row r="111" spans="1:14" s="18" customFormat="1" hidden="1">
      <c r="A111" s="82">
        <f t="shared" si="0"/>
        <v>4</v>
      </c>
      <c r="B111" s="83"/>
      <c r="C111" s="38"/>
      <c r="D111" s="38"/>
      <c r="E111" s="38">
        <v>0</v>
      </c>
      <c r="F111" s="38">
        <f t="shared" si="1"/>
        <v>0</v>
      </c>
      <c r="G111" s="82" t="str">
        <f t="shared" si="2"/>
        <v>Ground Floor</v>
      </c>
      <c r="H111" s="83"/>
      <c r="I111" s="51"/>
      <c r="L111" s="84"/>
      <c r="M111" s="84"/>
      <c r="N111" s="51"/>
    </row>
    <row r="112" spans="1:14" s="18" customFormat="1" hidden="1">
      <c r="A112" s="82"/>
      <c r="B112" s="92"/>
      <c r="C112" s="92"/>
      <c r="D112" s="92"/>
      <c r="E112" s="92"/>
      <c r="F112" s="92"/>
      <c r="G112" s="92"/>
      <c r="H112" s="83"/>
      <c r="I112" s="51"/>
      <c r="N112" s="51"/>
    </row>
    <row r="113" spans="1:14" ht="47.25" customHeight="1">
      <c r="A113" s="56" t="s">
        <v>175</v>
      </c>
      <c r="B113" s="56" t="s">
        <v>176</v>
      </c>
      <c r="C113" s="93" t="s">
        <v>169</v>
      </c>
      <c r="D113" s="93" t="s">
        <v>170</v>
      </c>
      <c r="E113" s="95" t="s">
        <v>177</v>
      </c>
      <c r="F113" s="36" t="s">
        <v>172</v>
      </c>
      <c r="G113" s="56" t="s">
        <v>173</v>
      </c>
      <c r="H113" s="57"/>
      <c r="I113" s="51"/>
    </row>
    <row r="114" spans="1:14" s="18" customFormat="1">
      <c r="A114" s="58"/>
      <c r="B114" s="58"/>
      <c r="C114" s="94"/>
      <c r="D114" s="94"/>
      <c r="E114" s="96"/>
      <c r="F114" s="37">
        <v>0.5</v>
      </c>
      <c r="G114" s="58"/>
      <c r="H114" s="59"/>
      <c r="I114" s="51"/>
    </row>
    <row r="115" spans="1:14" s="18" customFormat="1">
      <c r="A115" s="89" t="s">
        <v>10</v>
      </c>
      <c r="B115" s="90"/>
      <c r="C115" s="90"/>
      <c r="D115" s="90"/>
      <c r="E115" s="90"/>
      <c r="F115" s="90"/>
      <c r="G115" s="90"/>
      <c r="H115" s="91"/>
      <c r="J115" s="51"/>
    </row>
    <row r="116" spans="1:14" s="18" customFormat="1">
      <c r="A116" s="89" t="s">
        <v>178</v>
      </c>
      <c r="B116" s="90"/>
      <c r="C116" s="90"/>
      <c r="D116" s="90"/>
      <c r="E116" s="90"/>
      <c r="F116" s="90"/>
      <c r="G116" s="90"/>
      <c r="H116" s="91"/>
      <c r="J116" s="51"/>
    </row>
    <row r="117" spans="1:14" s="18" customFormat="1">
      <c r="A117" s="89" t="s">
        <v>179</v>
      </c>
      <c r="B117" s="90"/>
      <c r="C117" s="90"/>
      <c r="D117" s="90"/>
      <c r="E117" s="90"/>
      <c r="F117" s="90"/>
      <c r="G117" s="90"/>
      <c r="H117" s="91"/>
      <c r="J117" s="51"/>
    </row>
    <row r="118" spans="1:14" s="18" customFormat="1">
      <c r="A118" s="89" t="s">
        <v>180</v>
      </c>
      <c r="B118" s="90"/>
      <c r="C118" s="90"/>
      <c r="D118" s="90"/>
      <c r="E118" s="90"/>
      <c r="F118" s="90"/>
      <c r="G118" s="90"/>
      <c r="H118" s="91"/>
      <c r="J118" s="39">
        <f>10.764</f>
        <v>10.763999999999999</v>
      </c>
    </row>
    <row r="119" spans="1:14" s="18" customFormat="1" ht="15.75" customHeight="1">
      <c r="A119" s="82">
        <v>1</v>
      </c>
      <c r="B119" s="83"/>
      <c r="C119" s="38" t="s">
        <v>181</v>
      </c>
      <c r="D119" s="39">
        <f>(50.86+0.6*(2.9+2.9+2.1+1.5+1.2))*(10.764)</f>
        <v>615.91607999999997</v>
      </c>
      <c r="E119" s="38">
        <v>0</v>
      </c>
      <c r="F119" s="38">
        <f t="shared" ref="F119:F125" si="3">D119*(($F$114)+1)+(IF(E119&lt;101,E119,IF(E119&lt;201,E119/2,IF(E119&lt;=301,E119/3,E119/4))))</f>
        <v>923.87411999999995</v>
      </c>
      <c r="G119" s="60" t="str">
        <f>A118</f>
        <v xml:space="preserve">1st Floor For Residential &amp; Entrance </v>
      </c>
      <c r="H119" s="61"/>
      <c r="I119" s="51"/>
      <c r="J119" s="18">
        <f>2.9*5.1+2.1*2.45+2.9*3.3+2.9*3.475+1.2*2.325+2.1*1.5+3.2*1</f>
        <v>48.722499999999997</v>
      </c>
      <c r="L119" s="84"/>
      <c r="M119" s="84"/>
      <c r="N119" s="51"/>
    </row>
    <row r="120" spans="1:14" s="18" customFormat="1" ht="15.75" customHeight="1">
      <c r="A120" s="82">
        <f t="shared" ref="A120:A125" si="4">A119+1</f>
        <v>2</v>
      </c>
      <c r="B120" s="83"/>
      <c r="C120" s="38" t="s">
        <v>181</v>
      </c>
      <c r="D120" s="39">
        <f>(53.09+0.6*(2.9+2.9+2.1+1.5+1.2))*(10.764)</f>
        <v>639.91980000000001</v>
      </c>
      <c r="E120" s="38">
        <v>0</v>
      </c>
      <c r="F120" s="38">
        <f t="shared" si="3"/>
        <v>959.87969999999996</v>
      </c>
      <c r="G120" s="62"/>
      <c r="H120" s="63"/>
      <c r="I120" s="51"/>
      <c r="J120" s="18">
        <f>2.1*0.9</f>
        <v>1.8900000000000001</v>
      </c>
      <c r="L120" s="84"/>
      <c r="M120" s="84"/>
      <c r="N120" s="51"/>
    </row>
    <row r="121" spans="1:14" s="18" customFormat="1" ht="15.75" customHeight="1">
      <c r="A121" s="82">
        <f t="shared" si="4"/>
        <v>3</v>
      </c>
      <c r="B121" s="83"/>
      <c r="C121" s="82" t="s">
        <v>182</v>
      </c>
      <c r="D121" s="92"/>
      <c r="E121" s="92"/>
      <c r="F121" s="83"/>
      <c r="G121" s="62"/>
      <c r="H121" s="63"/>
      <c r="I121" s="51"/>
      <c r="J121" s="18">
        <f>J119+J120</f>
        <v>50.612499999999997</v>
      </c>
      <c r="L121" s="84"/>
      <c r="M121" s="84"/>
      <c r="N121" s="51"/>
    </row>
    <row r="122" spans="1:14" s="18" customFormat="1" ht="15.75" customHeight="1">
      <c r="A122" s="82">
        <f t="shared" si="4"/>
        <v>4</v>
      </c>
      <c r="B122" s="83"/>
      <c r="C122" s="38" t="s">
        <v>181</v>
      </c>
      <c r="D122" s="39">
        <f>(52.14+1.89+0.6*(2.9+2.9+3.23))*(10.764)</f>
        <v>639.89827200000002</v>
      </c>
      <c r="E122" s="38">
        <v>0</v>
      </c>
      <c r="F122" s="38">
        <f t="shared" si="3"/>
        <v>959.84740800000009</v>
      </c>
      <c r="G122" s="62"/>
      <c r="H122" s="63"/>
      <c r="I122" s="51"/>
      <c r="L122" s="84"/>
      <c r="M122" s="84"/>
      <c r="N122" s="51"/>
    </row>
    <row r="123" spans="1:14" s="18" customFormat="1" ht="15.75" customHeight="1">
      <c r="A123" s="82">
        <f t="shared" si="4"/>
        <v>5</v>
      </c>
      <c r="B123" s="83"/>
      <c r="C123" s="38" t="s">
        <v>181</v>
      </c>
      <c r="D123" s="39">
        <f>(50.86+0.6*(2.9+2.9+2.1+1.5+1.2))*(10.764)</f>
        <v>615.91607999999997</v>
      </c>
      <c r="E123" s="38">
        <v>0</v>
      </c>
      <c r="F123" s="38">
        <f t="shared" si="3"/>
        <v>923.87411999999995</v>
      </c>
      <c r="G123" s="62"/>
      <c r="H123" s="63"/>
      <c r="I123" s="51"/>
      <c r="L123" s="84">
        <f>F124*11200</f>
        <v>7517319.2639999995</v>
      </c>
      <c r="M123" s="84"/>
      <c r="N123" s="51"/>
    </row>
    <row r="124" spans="1:14" s="18" customFormat="1" ht="15.75" customHeight="1">
      <c r="A124" s="82">
        <f t="shared" si="4"/>
        <v>6</v>
      </c>
      <c r="B124" s="83"/>
      <c r="C124" s="38" t="s">
        <v>183</v>
      </c>
      <c r="D124" s="39">
        <f>(36.83+0.6*(2.9+2.9+2.1))*(10.764)</f>
        <v>447.45947999999999</v>
      </c>
      <c r="E124" s="38">
        <v>0</v>
      </c>
      <c r="F124" s="38">
        <f t="shared" si="3"/>
        <v>671.18921999999998</v>
      </c>
      <c r="G124" s="62"/>
      <c r="H124" s="63"/>
      <c r="I124" s="51"/>
      <c r="J124" s="18">
        <f>4.55*2.9+2.45*2.1+3.35*2.9+1.2*2.1+2.1*1+2*1.2</f>
        <v>35.074999999999996</v>
      </c>
      <c r="L124" s="84"/>
      <c r="M124" s="84"/>
      <c r="N124" s="51"/>
    </row>
    <row r="125" spans="1:14" s="18" customFormat="1" ht="15.75" customHeight="1">
      <c r="A125" s="82">
        <f t="shared" si="4"/>
        <v>7</v>
      </c>
      <c r="B125" s="83"/>
      <c r="C125" s="38" t="s">
        <v>183</v>
      </c>
      <c r="D125" s="39">
        <f>(36.83+0.6*(2.9+2.9+2.1))*(10.764)</f>
        <v>447.45947999999999</v>
      </c>
      <c r="E125" s="38">
        <v>0</v>
      </c>
      <c r="F125" s="38">
        <f t="shared" si="3"/>
        <v>671.18921999999998</v>
      </c>
      <c r="G125" s="64"/>
      <c r="H125" s="65"/>
      <c r="I125" s="51"/>
      <c r="L125" s="84"/>
      <c r="M125" s="84"/>
      <c r="N125" s="51"/>
    </row>
    <row r="126" spans="1:14" s="18" customFormat="1">
      <c r="A126" s="89" t="s">
        <v>184</v>
      </c>
      <c r="B126" s="90"/>
      <c r="C126" s="90"/>
      <c r="D126" s="90"/>
      <c r="E126" s="90"/>
      <c r="F126" s="90"/>
      <c r="G126" s="90"/>
      <c r="H126" s="91"/>
      <c r="J126" s="39">
        <f>10.764</f>
        <v>10.763999999999999</v>
      </c>
    </row>
    <row r="127" spans="1:14" s="18" customFormat="1" ht="15.75" customHeight="1">
      <c r="A127" s="82">
        <v>1</v>
      </c>
      <c r="B127" s="83"/>
      <c r="C127" s="38" t="s">
        <v>181</v>
      </c>
      <c r="D127" s="39">
        <f>(50.86+0.6*(2.9+2.9+2.1+1.5+1.2))*(10.764)</f>
        <v>615.91607999999997</v>
      </c>
      <c r="E127" s="38">
        <v>0</v>
      </c>
      <c r="F127" s="38">
        <f t="shared" ref="F127:F133" si="5">D127*(($F$114)+1)+(IF(E127&lt;101,E127,IF(E127&lt;201,E127/2,IF(E127&lt;=301,E127/3,E127/4))))</f>
        <v>923.87411999999995</v>
      </c>
      <c r="G127" s="60" t="str">
        <f>A126</f>
        <v>2nd Floor For Residential</v>
      </c>
      <c r="H127" s="61"/>
      <c r="I127" s="51"/>
      <c r="J127" s="18">
        <f>2.9*5.1+2.1*2.45+2.9*3.3+2.9*3.475+1.2*2.325+2.1*1.5+3.2*1</f>
        <v>48.722499999999997</v>
      </c>
      <c r="L127" s="84"/>
      <c r="M127" s="84"/>
      <c r="N127" s="51"/>
    </row>
    <row r="128" spans="1:14" s="18" customFormat="1" ht="15.75" customHeight="1">
      <c r="A128" s="82">
        <f t="shared" ref="A128:A133" si="6">A127+1</f>
        <v>2</v>
      </c>
      <c r="B128" s="83"/>
      <c r="C128" s="38" t="s">
        <v>181</v>
      </c>
      <c r="D128" s="39">
        <f>(53.09+0.6*(2.9+2.9+2.1+1.5+1.2))*(10.764)</f>
        <v>639.91980000000001</v>
      </c>
      <c r="E128" s="38">
        <v>0</v>
      </c>
      <c r="F128" s="38">
        <f t="shared" si="5"/>
        <v>959.87969999999996</v>
      </c>
      <c r="G128" s="62"/>
      <c r="H128" s="63"/>
      <c r="I128" s="51"/>
      <c r="J128" s="18">
        <f>2.1*0.9</f>
        <v>1.8900000000000001</v>
      </c>
      <c r="L128" s="84"/>
      <c r="M128" s="84"/>
      <c r="N128" s="51"/>
    </row>
    <row r="129" spans="1:14" s="18" customFormat="1" ht="15.75" customHeight="1">
      <c r="A129" s="82">
        <f t="shared" si="6"/>
        <v>3</v>
      </c>
      <c r="B129" s="83"/>
      <c r="C129" s="38" t="s">
        <v>183</v>
      </c>
      <c r="D129" s="39">
        <f>(37.25+0.6*(2.9+2.9+2.1))*(10.764)</f>
        <v>451.98036000000002</v>
      </c>
      <c r="E129" s="38">
        <v>0</v>
      </c>
      <c r="F129" s="38">
        <f t="shared" si="5"/>
        <v>677.97054000000003</v>
      </c>
      <c r="G129" s="62"/>
      <c r="H129" s="63"/>
      <c r="I129" s="51"/>
      <c r="L129" s="84"/>
      <c r="M129" s="84"/>
      <c r="N129" s="51"/>
    </row>
    <row r="130" spans="1:14" s="18" customFormat="1" ht="15.75" customHeight="1">
      <c r="A130" s="82">
        <f t="shared" si="6"/>
        <v>4</v>
      </c>
      <c r="B130" s="83"/>
      <c r="C130" s="38" t="s">
        <v>181</v>
      </c>
      <c r="D130" s="39">
        <f>(52.14+1.89+0.6*(2.9+2.9+3.23))*(10.764)</f>
        <v>639.89827200000002</v>
      </c>
      <c r="E130" s="38">
        <v>0</v>
      </c>
      <c r="F130" s="38">
        <f t="shared" si="5"/>
        <v>959.84740800000009</v>
      </c>
      <c r="G130" s="62"/>
      <c r="H130" s="63"/>
      <c r="I130" s="51"/>
      <c r="L130" s="84"/>
      <c r="M130" s="84"/>
      <c r="N130" s="51"/>
    </row>
    <row r="131" spans="1:14" s="18" customFormat="1" ht="15.75" customHeight="1">
      <c r="A131" s="82">
        <f t="shared" si="6"/>
        <v>5</v>
      </c>
      <c r="B131" s="83"/>
      <c r="C131" s="38" t="s">
        <v>181</v>
      </c>
      <c r="D131" s="39">
        <f>(50.86+0.6*(2.9+2.9+2.1+1.5+1.2))*(10.764)</f>
        <v>615.91607999999997</v>
      </c>
      <c r="E131" s="38">
        <v>0</v>
      </c>
      <c r="F131" s="38">
        <f t="shared" si="5"/>
        <v>923.87411999999995</v>
      </c>
      <c r="G131" s="62"/>
      <c r="H131" s="63"/>
      <c r="I131" s="51"/>
      <c r="L131" s="84"/>
      <c r="M131" s="84"/>
      <c r="N131" s="51"/>
    </row>
    <row r="132" spans="1:14" s="18" customFormat="1" ht="15.75" customHeight="1">
      <c r="A132" s="82">
        <f t="shared" si="6"/>
        <v>6</v>
      </c>
      <c r="B132" s="83"/>
      <c r="C132" s="38" t="s">
        <v>183</v>
      </c>
      <c r="D132" s="39">
        <f>(36.83+0.6*(2.9+2.9+2.1))*(10.764)</f>
        <v>447.45947999999999</v>
      </c>
      <c r="E132" s="38">
        <v>0</v>
      </c>
      <c r="F132" s="38">
        <f t="shared" si="5"/>
        <v>671.18921999999998</v>
      </c>
      <c r="G132" s="62"/>
      <c r="H132" s="63"/>
      <c r="I132" s="51"/>
      <c r="J132" s="18">
        <f>4.55*2.9+2.45*2.1+3.35*2.9+1.2*2.1+2.1*1+2*1.2</f>
        <v>35.074999999999996</v>
      </c>
      <c r="L132" s="84"/>
      <c r="M132" s="84"/>
      <c r="N132" s="51"/>
    </row>
    <row r="133" spans="1:14" s="18" customFormat="1" ht="15.75" customHeight="1">
      <c r="A133" s="82">
        <f t="shared" si="6"/>
        <v>7</v>
      </c>
      <c r="B133" s="83"/>
      <c r="C133" s="38" t="s">
        <v>183</v>
      </c>
      <c r="D133" s="39">
        <f>(36.83+0.6*(2.9+2.9+2.1))*(10.764)</f>
        <v>447.45947999999999</v>
      </c>
      <c r="E133" s="38">
        <v>0</v>
      </c>
      <c r="F133" s="38">
        <f t="shared" si="5"/>
        <v>671.18921999999998</v>
      </c>
      <c r="G133" s="64"/>
      <c r="H133" s="65"/>
      <c r="I133" s="51"/>
      <c r="L133" s="84"/>
      <c r="M133" s="84"/>
      <c r="N133" s="51"/>
    </row>
    <row r="134" spans="1:14" s="18" customFormat="1">
      <c r="A134" s="89" t="s">
        <v>185</v>
      </c>
      <c r="B134" s="90"/>
      <c r="C134" s="90"/>
      <c r="D134" s="90"/>
      <c r="E134" s="90"/>
      <c r="F134" s="90"/>
      <c r="G134" s="90"/>
      <c r="H134" s="91"/>
      <c r="J134" s="39">
        <f>10.764</f>
        <v>10.763999999999999</v>
      </c>
    </row>
    <row r="135" spans="1:14" s="18" customFormat="1" ht="15.75" customHeight="1">
      <c r="A135" s="82">
        <v>1</v>
      </c>
      <c r="B135" s="83"/>
      <c r="C135" s="38" t="s">
        <v>181</v>
      </c>
      <c r="D135" s="39">
        <f>(50.86+0.6*(2.9+2.9+2.1+1.5+1.2))*(10.764)</f>
        <v>615.91607999999997</v>
      </c>
      <c r="E135" s="38">
        <v>0</v>
      </c>
      <c r="F135" s="38">
        <f t="shared" ref="F135:F141" si="7">D135*(($F$114)+1)+(IF(E135&lt;101,E135,IF(E135&lt;201,E135/2,IF(E135&lt;=301,E135/3,E135/4))))</f>
        <v>923.87411999999995</v>
      </c>
      <c r="G135" s="60" t="str">
        <f>A134</f>
        <v>3rd to 6th, 8th to 10th Floor For Residential</v>
      </c>
      <c r="H135" s="61"/>
      <c r="I135" s="51"/>
      <c r="J135" s="18">
        <f>2.9*5.1+2.1*2.45+2.9*3.3+2.9*3.475+1.2*2.325+2.1*1.5+3.2*1</f>
        <v>48.722499999999997</v>
      </c>
      <c r="L135" s="84"/>
      <c r="M135" s="84"/>
      <c r="N135" s="51"/>
    </row>
    <row r="136" spans="1:14" s="18" customFormat="1" ht="15.75" customHeight="1">
      <c r="A136" s="82">
        <f t="shared" ref="A136:A141" si="8">A135+1</f>
        <v>2</v>
      </c>
      <c r="B136" s="83"/>
      <c r="C136" s="38" t="s">
        <v>181</v>
      </c>
      <c r="D136" s="39">
        <f>(53.09+0.6*(2.9+2.9+2.1+1.5+1.2))*(10.764)</f>
        <v>639.91980000000001</v>
      </c>
      <c r="E136" s="38">
        <v>0</v>
      </c>
      <c r="F136" s="38">
        <f t="shared" si="7"/>
        <v>959.87969999999996</v>
      </c>
      <c r="G136" s="62"/>
      <c r="H136" s="63"/>
      <c r="I136" s="51"/>
      <c r="J136" s="18">
        <f>2.1*0.9</f>
        <v>1.8900000000000001</v>
      </c>
      <c r="L136" s="84"/>
      <c r="M136" s="84"/>
      <c r="N136" s="51"/>
    </row>
    <row r="137" spans="1:14" s="18" customFormat="1" ht="15.75" customHeight="1">
      <c r="A137" s="82">
        <f t="shared" si="8"/>
        <v>3</v>
      </c>
      <c r="B137" s="83"/>
      <c r="C137" s="38" t="s">
        <v>183</v>
      </c>
      <c r="D137" s="39">
        <f>(37.25+0.6*(2.9+2.9+2.1))*(10.764)</f>
        <v>451.98036000000002</v>
      </c>
      <c r="E137" s="38">
        <v>0</v>
      </c>
      <c r="F137" s="38">
        <f t="shared" si="7"/>
        <v>677.97054000000003</v>
      </c>
      <c r="G137" s="62"/>
      <c r="H137" s="63"/>
      <c r="I137" s="51"/>
      <c r="L137" s="84"/>
      <c r="M137" s="84"/>
      <c r="N137" s="51"/>
    </row>
    <row r="138" spans="1:14" s="18" customFormat="1" ht="15.75" customHeight="1">
      <c r="A138" s="82">
        <f t="shared" si="8"/>
        <v>4</v>
      </c>
      <c r="B138" s="83"/>
      <c r="C138" s="38" t="s">
        <v>181</v>
      </c>
      <c r="D138" s="39">
        <f>(52.14+1.89+0.6*(2.9+2.9+3.23))*(10.764)</f>
        <v>639.89827200000002</v>
      </c>
      <c r="E138" s="38">
        <v>0</v>
      </c>
      <c r="F138" s="38">
        <f t="shared" si="7"/>
        <v>959.84740800000009</v>
      </c>
      <c r="G138" s="62"/>
      <c r="H138" s="63"/>
      <c r="I138" s="51"/>
      <c r="L138" s="84"/>
      <c r="M138" s="84"/>
      <c r="N138" s="51"/>
    </row>
    <row r="139" spans="1:14" s="18" customFormat="1" ht="15.75" customHeight="1">
      <c r="A139" s="82">
        <f t="shared" si="8"/>
        <v>5</v>
      </c>
      <c r="B139" s="83"/>
      <c r="C139" s="38" t="s">
        <v>181</v>
      </c>
      <c r="D139" s="39">
        <f>(50.86+0.6*(2.9+2.9+2.1+1.5+1.2))*(10.764)</f>
        <v>615.91607999999997</v>
      </c>
      <c r="E139" s="38">
        <v>0</v>
      </c>
      <c r="F139" s="38">
        <f t="shared" si="7"/>
        <v>923.87411999999995</v>
      </c>
      <c r="G139" s="62"/>
      <c r="H139" s="63"/>
      <c r="I139" s="51"/>
      <c r="L139" s="84"/>
      <c r="M139" s="84"/>
      <c r="N139" s="51"/>
    </row>
    <row r="140" spans="1:14" s="18" customFormat="1" ht="15.75" customHeight="1">
      <c r="A140" s="82">
        <f t="shared" si="8"/>
        <v>6</v>
      </c>
      <c r="B140" s="83"/>
      <c r="C140" s="38" t="s">
        <v>183</v>
      </c>
      <c r="D140" s="39">
        <f>(36.83+0.6*(2.9+2.9+2.1))*(10.764)</f>
        <v>447.45947999999999</v>
      </c>
      <c r="E140" s="38">
        <v>0</v>
      </c>
      <c r="F140" s="38">
        <f t="shared" si="7"/>
        <v>671.18921999999998</v>
      </c>
      <c r="G140" s="62"/>
      <c r="H140" s="63"/>
      <c r="I140" s="51"/>
      <c r="J140" s="18">
        <f>4.55*2.9+2.45*2.1+3.35*2.9+1.2*2.1+2.1*1+2*1.2</f>
        <v>35.074999999999996</v>
      </c>
      <c r="L140" s="84"/>
      <c r="M140" s="84"/>
      <c r="N140" s="51"/>
    </row>
    <row r="141" spans="1:14" s="18" customFormat="1" ht="15.75" customHeight="1">
      <c r="A141" s="82">
        <f t="shared" si="8"/>
        <v>7</v>
      </c>
      <c r="B141" s="83"/>
      <c r="C141" s="38" t="s">
        <v>183</v>
      </c>
      <c r="D141" s="39">
        <f>(36.83+0.6*(2.9+2.9+2.1))*(10.764)</f>
        <v>447.45947999999999</v>
      </c>
      <c r="E141" s="38">
        <v>0</v>
      </c>
      <c r="F141" s="38">
        <f t="shared" si="7"/>
        <v>671.18921999999998</v>
      </c>
      <c r="G141" s="64"/>
      <c r="H141" s="65"/>
      <c r="I141" s="51"/>
      <c r="L141" s="84"/>
      <c r="M141" s="84"/>
      <c r="N141" s="51"/>
    </row>
    <row r="142" spans="1:14" s="18" customFormat="1">
      <c r="A142" s="89" t="s">
        <v>186</v>
      </c>
      <c r="B142" s="90"/>
      <c r="C142" s="90"/>
      <c r="D142" s="90"/>
      <c r="E142" s="90"/>
      <c r="F142" s="90"/>
      <c r="G142" s="90"/>
      <c r="H142" s="91"/>
      <c r="J142" s="51"/>
    </row>
    <row r="143" spans="1:14" s="18" customFormat="1" ht="15.75" customHeight="1">
      <c r="A143" s="82">
        <v>1</v>
      </c>
      <c r="B143" s="83"/>
      <c r="C143" s="38" t="s">
        <v>181</v>
      </c>
      <c r="D143" s="39">
        <f>(50.86+0.6*(2.9+2.9+2.1+1.5+1.2))*(10.764)</f>
        <v>615.91607999999997</v>
      </c>
      <c r="E143" s="38">
        <v>0</v>
      </c>
      <c r="F143" s="38">
        <f t="shared" ref="F143:F144" si="9">D143*(($F$114)+1)+(IF(E143&lt;101,E143,IF(E143&lt;201,E143/2,IF(E143&lt;=301,E143/3,E143/4))))</f>
        <v>923.87411999999995</v>
      </c>
      <c r="G143" s="60" t="str">
        <f>A142</f>
        <v>7th Floor (Part Refuge Area)</v>
      </c>
      <c r="H143" s="61"/>
      <c r="I143" s="51"/>
      <c r="L143" s="84"/>
      <c r="M143" s="84"/>
      <c r="N143" s="51"/>
    </row>
    <row r="144" spans="1:14" s="18" customFormat="1" ht="15.75" customHeight="1">
      <c r="A144" s="82">
        <f t="shared" ref="A144:A149" si="10">A143+1</f>
        <v>2</v>
      </c>
      <c r="B144" s="83"/>
      <c r="C144" s="38" t="s">
        <v>187</v>
      </c>
      <c r="D144" s="39">
        <f>(66.36+0.6*(2.9+2.9+3.23+2.9))*(10.764)</f>
        <v>791.34775200000001</v>
      </c>
      <c r="E144" s="38">
        <v>0</v>
      </c>
      <c r="F144" s="38">
        <f t="shared" si="9"/>
        <v>1187.021628</v>
      </c>
      <c r="G144" s="62"/>
      <c r="H144" s="63"/>
      <c r="I144" s="51"/>
      <c r="L144" s="84"/>
      <c r="M144" s="84"/>
      <c r="N144" s="51"/>
    </row>
    <row r="145" spans="1:14" s="18" customFormat="1" ht="15.75" customHeight="1">
      <c r="A145" s="82">
        <f t="shared" si="10"/>
        <v>3</v>
      </c>
      <c r="B145" s="83"/>
      <c r="C145" s="82" t="s">
        <v>188</v>
      </c>
      <c r="D145" s="92"/>
      <c r="E145" s="92"/>
      <c r="F145" s="83"/>
      <c r="G145" s="62"/>
      <c r="H145" s="63"/>
      <c r="I145" s="51"/>
      <c r="L145" s="84"/>
      <c r="M145" s="84"/>
      <c r="N145" s="51"/>
    </row>
    <row r="146" spans="1:14" s="18" customFormat="1" ht="15.75" customHeight="1">
      <c r="A146" s="82">
        <f t="shared" si="10"/>
        <v>4</v>
      </c>
      <c r="B146" s="83"/>
      <c r="C146" s="38" t="s">
        <v>181</v>
      </c>
      <c r="D146" s="39">
        <f>(52.14+1.89+0.6*(2.9+2.9+3.23))*(10.764)</f>
        <v>639.89827200000002</v>
      </c>
      <c r="E146" s="38">
        <v>0</v>
      </c>
      <c r="F146" s="38">
        <f t="shared" ref="F146:F149" si="11">D146*(($F$114)+1)+(IF(E146&lt;101,E146,IF(E146&lt;201,E146/2,IF(E146&lt;=301,E146/3,E146/4))))</f>
        <v>959.84740800000009</v>
      </c>
      <c r="G146" s="62"/>
      <c r="H146" s="63"/>
      <c r="I146" s="51"/>
      <c r="L146" s="84"/>
      <c r="M146" s="84"/>
      <c r="N146" s="51"/>
    </row>
    <row r="147" spans="1:14" s="18" customFormat="1" ht="15.75" customHeight="1">
      <c r="A147" s="82">
        <f t="shared" si="10"/>
        <v>5</v>
      </c>
      <c r="B147" s="83"/>
      <c r="C147" s="38" t="s">
        <v>181</v>
      </c>
      <c r="D147" s="39">
        <f>(50.86+0.6*(2.9+2.9+2.1+1.5+1.2))*(10.764)</f>
        <v>615.91607999999997</v>
      </c>
      <c r="E147" s="38">
        <v>0</v>
      </c>
      <c r="F147" s="38">
        <f t="shared" si="11"/>
        <v>923.87411999999995</v>
      </c>
      <c r="G147" s="62"/>
      <c r="H147" s="63"/>
      <c r="I147" s="51"/>
      <c r="L147" s="84"/>
      <c r="M147" s="84"/>
      <c r="N147" s="51"/>
    </row>
    <row r="148" spans="1:14" s="18" customFormat="1" ht="15.75" customHeight="1">
      <c r="A148" s="82">
        <f t="shared" si="10"/>
        <v>6</v>
      </c>
      <c r="B148" s="83"/>
      <c r="C148" s="38" t="s">
        <v>183</v>
      </c>
      <c r="D148" s="39">
        <f>(36.83+0.6*(2.9+2.9+2.1))*(10.764)</f>
        <v>447.45947999999999</v>
      </c>
      <c r="E148" s="38">
        <v>0</v>
      </c>
      <c r="F148" s="38">
        <f t="shared" si="11"/>
        <v>671.18921999999998</v>
      </c>
      <c r="G148" s="62"/>
      <c r="H148" s="63"/>
      <c r="I148" s="51"/>
      <c r="L148" s="84"/>
      <c r="M148" s="84"/>
      <c r="N148" s="51"/>
    </row>
    <row r="149" spans="1:14" s="18" customFormat="1" ht="15.75" customHeight="1">
      <c r="A149" s="82">
        <f t="shared" si="10"/>
        <v>7</v>
      </c>
      <c r="B149" s="83"/>
      <c r="C149" s="38" t="s">
        <v>183</v>
      </c>
      <c r="D149" s="39">
        <f>(36.83+0.6*(2.9+2.9+2.1))*(10.764)</f>
        <v>447.45947999999999</v>
      </c>
      <c r="E149" s="38">
        <v>0</v>
      </c>
      <c r="F149" s="38">
        <f t="shared" si="11"/>
        <v>671.18921999999998</v>
      </c>
      <c r="G149" s="64"/>
      <c r="H149" s="65"/>
      <c r="I149" s="51"/>
      <c r="L149" s="84"/>
      <c r="M149" s="84"/>
      <c r="N149" s="51"/>
    </row>
    <row r="150" spans="1:14" s="18" customFormat="1">
      <c r="A150" s="89" t="s">
        <v>189</v>
      </c>
      <c r="B150" s="90"/>
      <c r="C150" s="90"/>
      <c r="D150" s="90"/>
      <c r="E150" s="90"/>
      <c r="F150" s="90"/>
      <c r="G150" s="90"/>
      <c r="H150" s="91"/>
      <c r="J150" s="51"/>
    </row>
    <row r="151" spans="1:14" s="18" customFormat="1" ht="15.75" customHeight="1">
      <c r="A151" s="82">
        <v>1</v>
      </c>
      <c r="B151" s="83"/>
      <c r="C151" s="38" t="s">
        <v>181</v>
      </c>
      <c r="D151" s="39">
        <f>(49.91+1.89+0.6*(2.9+2.9+3.23))*(10.764)</f>
        <v>615.89455199999998</v>
      </c>
      <c r="E151" s="38">
        <v>0</v>
      </c>
      <c r="F151" s="38">
        <f t="shared" ref="F151:F156" si="12">D151*(($F$114)+1)+(IF(E151&lt;101,E151,IF(E151&lt;201,E151/2,IF(E151&lt;=301,E151/3,E151/4))))</f>
        <v>923.84182799999996</v>
      </c>
      <c r="G151" s="60" t="str">
        <f>A150</f>
        <v xml:space="preserve"> 12th, 17th &amp; 22nd Floor (Part Refuge Area)</v>
      </c>
      <c r="H151" s="61"/>
      <c r="I151" s="51"/>
      <c r="L151" s="84"/>
      <c r="M151" s="84"/>
      <c r="N151" s="51"/>
    </row>
    <row r="152" spans="1:14" s="18" customFormat="1" ht="15.75" customHeight="1">
      <c r="A152" s="82">
        <f t="shared" ref="A152:A156" si="13">A151+1</f>
        <v>2</v>
      </c>
      <c r="B152" s="83"/>
      <c r="C152" s="38" t="s">
        <v>187</v>
      </c>
      <c r="D152" s="39">
        <f>(66.36+0.6*(2.9+2.9+3.23+2.9))*(10.764)</f>
        <v>791.34775200000001</v>
      </c>
      <c r="E152" s="38">
        <v>0</v>
      </c>
      <c r="F152" s="38">
        <f t="shared" si="12"/>
        <v>1187.021628</v>
      </c>
      <c r="G152" s="62"/>
      <c r="H152" s="63"/>
      <c r="I152" s="51"/>
      <c r="L152" s="84"/>
      <c r="M152" s="84"/>
      <c r="N152" s="51"/>
    </row>
    <row r="153" spans="1:14" s="18" customFormat="1" ht="15.75" customHeight="1">
      <c r="A153" s="82">
        <f t="shared" si="13"/>
        <v>3</v>
      </c>
      <c r="B153" s="83"/>
      <c r="C153" s="82" t="s">
        <v>188</v>
      </c>
      <c r="D153" s="92"/>
      <c r="E153" s="92"/>
      <c r="F153" s="83"/>
      <c r="G153" s="62"/>
      <c r="H153" s="63"/>
      <c r="I153" s="51"/>
      <c r="L153" s="84"/>
      <c r="M153" s="84"/>
      <c r="N153" s="51"/>
    </row>
    <row r="154" spans="1:14" s="18" customFormat="1" ht="15.75" customHeight="1">
      <c r="A154" s="82">
        <f t="shared" si="13"/>
        <v>4</v>
      </c>
      <c r="B154" s="83"/>
      <c r="C154" s="38" t="s">
        <v>181</v>
      </c>
      <c r="D154" s="39">
        <f>(52.14+1.89+0.6*(2.9+2.9+3.23))*(10.764)</f>
        <v>639.89827200000002</v>
      </c>
      <c r="E154" s="38">
        <v>0</v>
      </c>
      <c r="F154" s="38">
        <f t="shared" si="12"/>
        <v>959.84740800000009</v>
      </c>
      <c r="G154" s="62"/>
      <c r="H154" s="63"/>
      <c r="I154" s="51"/>
      <c r="L154" s="84"/>
      <c r="M154" s="84"/>
      <c r="N154" s="51"/>
    </row>
    <row r="155" spans="1:14" s="18" customFormat="1" ht="15.75" customHeight="1">
      <c r="A155" s="82">
        <f t="shared" si="13"/>
        <v>5</v>
      </c>
      <c r="B155" s="83"/>
      <c r="C155" s="38" t="s">
        <v>181</v>
      </c>
      <c r="D155" s="39">
        <f>(49.91+1.89+0.6*(2.9+2.9+3.23))*(10.764)</f>
        <v>615.89455199999998</v>
      </c>
      <c r="E155" s="38">
        <v>0</v>
      </c>
      <c r="F155" s="38">
        <f t="shared" si="12"/>
        <v>923.84182799999996</v>
      </c>
      <c r="G155" s="62"/>
      <c r="H155" s="63"/>
      <c r="I155" s="51"/>
      <c r="L155" s="84"/>
      <c r="M155" s="84"/>
      <c r="N155" s="51"/>
    </row>
    <row r="156" spans="1:14" s="18" customFormat="1" ht="15.75" customHeight="1">
      <c r="A156" s="82">
        <f t="shared" si="13"/>
        <v>6</v>
      </c>
      <c r="B156" s="83"/>
      <c r="C156" s="38" t="s">
        <v>187</v>
      </c>
      <c r="D156" s="39">
        <f>(74.43+1.89+0.6*(2.9+2.9+2.1+2.9+3.05+2.9))*(10.764)</f>
        <v>929.68668000000002</v>
      </c>
      <c r="E156" s="38">
        <v>0</v>
      </c>
      <c r="F156" s="38">
        <f t="shared" si="12"/>
        <v>1394.5300200000001</v>
      </c>
      <c r="G156" s="64"/>
      <c r="H156" s="65"/>
      <c r="I156" s="51"/>
      <c r="L156" s="84"/>
      <c r="M156" s="84"/>
      <c r="N156" s="51"/>
    </row>
    <row r="157" spans="1:14" s="18" customFormat="1">
      <c r="A157" s="89" t="s">
        <v>190</v>
      </c>
      <c r="B157" s="90"/>
      <c r="C157" s="90"/>
      <c r="D157" s="90"/>
      <c r="E157" s="90"/>
      <c r="F157" s="90"/>
      <c r="G157" s="90"/>
      <c r="H157" s="91"/>
      <c r="J157" s="39">
        <f>10.764</f>
        <v>10.763999999999999</v>
      </c>
    </row>
    <row r="158" spans="1:14" s="18" customFormat="1" ht="15.75" customHeight="1">
      <c r="A158" s="82">
        <v>1</v>
      </c>
      <c r="B158" s="83"/>
      <c r="C158" s="38" t="s">
        <v>181</v>
      </c>
      <c r="D158" s="39">
        <f>(49.91+1.89+0.6*(2.9+2.9+3.23))*(10.764)</f>
        <v>615.89455199999998</v>
      </c>
      <c r="E158" s="38">
        <v>0</v>
      </c>
      <c r="F158" s="38">
        <f t="shared" ref="F158:F163" si="14">D158*(($F$114)+1)+(IF(E158&lt;101,E158,IF(E158&lt;201,E158/2,IF(E158&lt;=301,E158/3,E158/4))))</f>
        <v>923.84182799999996</v>
      </c>
      <c r="G158" s="60" t="str">
        <f>A157</f>
        <v>11th, 13th to 16th &amp; 18th to 21st &amp; 23rd to 26th Floor For Residential</v>
      </c>
      <c r="H158" s="61"/>
      <c r="I158" s="51"/>
      <c r="J158" s="18">
        <f>2.9*5.1+2.1*2.45+2.9*3.3+2.9*3.475+1.2*2.325+2.1*1.5+3.2*1</f>
        <v>48.722499999999997</v>
      </c>
      <c r="L158" s="84"/>
      <c r="M158" s="84"/>
      <c r="N158" s="51"/>
    </row>
    <row r="159" spans="1:14" s="18" customFormat="1" ht="15.75" customHeight="1">
      <c r="A159" s="82">
        <f t="shared" ref="A159:A163" si="15">A158+1</f>
        <v>2</v>
      </c>
      <c r="B159" s="83"/>
      <c r="C159" s="38" t="s">
        <v>181</v>
      </c>
      <c r="D159" s="39">
        <f>(53.09+0.6*(2.9+2.9+2.1+1.5+1.2))*(10.764)</f>
        <v>639.91980000000001</v>
      </c>
      <c r="E159" s="38">
        <v>0</v>
      </c>
      <c r="F159" s="38">
        <f t="shared" si="14"/>
        <v>959.87969999999996</v>
      </c>
      <c r="G159" s="62"/>
      <c r="H159" s="63"/>
      <c r="I159" s="51"/>
      <c r="J159" s="18">
        <f>2.1*0.9</f>
        <v>1.8900000000000001</v>
      </c>
      <c r="L159" s="84"/>
      <c r="M159" s="84"/>
      <c r="N159" s="51"/>
    </row>
    <row r="160" spans="1:14" s="18" customFormat="1" ht="15.75" customHeight="1">
      <c r="A160" s="82">
        <f t="shared" si="15"/>
        <v>3</v>
      </c>
      <c r="B160" s="83"/>
      <c r="C160" s="38" t="s">
        <v>183</v>
      </c>
      <c r="D160" s="39">
        <f>(37.25+0.6*(2.9+2.9+2.1))*(10.764)</f>
        <v>451.98036000000002</v>
      </c>
      <c r="E160" s="38">
        <v>0</v>
      </c>
      <c r="F160" s="38">
        <f t="shared" si="14"/>
        <v>677.97054000000003</v>
      </c>
      <c r="G160" s="62"/>
      <c r="H160" s="63"/>
      <c r="I160" s="51"/>
      <c r="L160" s="84"/>
      <c r="M160" s="84"/>
      <c r="N160" s="51"/>
    </row>
    <row r="161" spans="1:14" s="18" customFormat="1" ht="15.75" customHeight="1">
      <c r="A161" s="82">
        <f t="shared" si="15"/>
        <v>4</v>
      </c>
      <c r="B161" s="83"/>
      <c r="C161" s="38" t="s">
        <v>181</v>
      </c>
      <c r="D161" s="39">
        <f>(52.14+1.89+0.6*(2.9+2.9+3.23))*(10.764)</f>
        <v>639.89827200000002</v>
      </c>
      <c r="E161" s="38">
        <v>0</v>
      </c>
      <c r="F161" s="38">
        <f t="shared" si="14"/>
        <v>959.84740800000009</v>
      </c>
      <c r="G161" s="62"/>
      <c r="H161" s="63"/>
      <c r="I161" s="51"/>
      <c r="L161" s="84"/>
      <c r="M161" s="84"/>
      <c r="N161" s="51"/>
    </row>
    <row r="162" spans="1:14" s="18" customFormat="1" ht="15.75" customHeight="1">
      <c r="A162" s="82">
        <f t="shared" si="15"/>
        <v>5</v>
      </c>
      <c r="B162" s="83"/>
      <c r="C162" s="38" t="s">
        <v>181</v>
      </c>
      <c r="D162" s="39">
        <f>(50.86+0.6*(2.9+2.9+2.1+1.5+1.2))*(10.764)</f>
        <v>615.91607999999997</v>
      </c>
      <c r="E162" s="38">
        <v>0</v>
      </c>
      <c r="F162" s="38">
        <f t="shared" si="14"/>
        <v>923.87411999999995</v>
      </c>
      <c r="G162" s="62"/>
      <c r="H162" s="63"/>
      <c r="I162" s="51"/>
      <c r="J162" s="18">
        <f>10314651/F162</f>
        <v>11164.563198285066</v>
      </c>
      <c r="K162" s="18">
        <f>10100000/F162</f>
        <v>10932.225268957638</v>
      </c>
      <c r="L162" s="84">
        <f>11087703/F162</f>
        <v>12001.313555574001</v>
      </c>
      <c r="M162" s="84"/>
      <c r="N162" s="51">
        <f>F162*11200</f>
        <v>10347390.143999999</v>
      </c>
    </row>
    <row r="163" spans="1:14" s="18" customFormat="1" ht="15.75" customHeight="1">
      <c r="A163" s="82">
        <f t="shared" si="15"/>
        <v>6</v>
      </c>
      <c r="B163" s="83"/>
      <c r="C163" s="38" t="s">
        <v>187</v>
      </c>
      <c r="D163" s="39">
        <f>(74.43+1.89+0.6*(2.9+2.9+2.1+2.9+3.05+2.9))*(10.764)</f>
        <v>929.68668000000002</v>
      </c>
      <c r="E163" s="38">
        <v>0</v>
      </c>
      <c r="F163" s="38">
        <f t="shared" si="14"/>
        <v>1394.5300200000001</v>
      </c>
      <c r="G163" s="64"/>
      <c r="H163" s="65"/>
      <c r="I163" s="51"/>
      <c r="J163" s="18">
        <f>4.55*2.9+2.45*2.1+3.35*2.9+1.2*2.1+2.1*1+2*1.2</f>
        <v>35.074999999999996</v>
      </c>
      <c r="K163" s="18">
        <f>12000000/F163</f>
        <v>8605.0496066050982</v>
      </c>
      <c r="L163" s="84"/>
      <c r="M163" s="84"/>
      <c r="N163" s="51"/>
    </row>
    <row r="164" spans="1:14" s="18" customFormat="1">
      <c r="A164" s="89" t="s">
        <v>191</v>
      </c>
      <c r="B164" s="90"/>
      <c r="C164" s="90"/>
      <c r="D164" s="90"/>
      <c r="E164" s="90"/>
      <c r="F164" s="90"/>
      <c r="G164" s="90"/>
      <c r="H164" s="91"/>
      <c r="J164" s="39">
        <f>10.764</f>
        <v>10.763999999999999</v>
      </c>
    </row>
    <row r="165" spans="1:14" s="18" customFormat="1" ht="15.75" customHeight="1">
      <c r="A165" s="82">
        <v>1</v>
      </c>
      <c r="B165" s="83"/>
      <c r="C165" s="60" t="s">
        <v>192</v>
      </c>
      <c r="D165" s="72"/>
      <c r="E165" s="72"/>
      <c r="F165" s="61"/>
      <c r="G165" s="60" t="str">
        <f>A164</f>
        <v>27th Floor For Residential (Part Terrace Area)</v>
      </c>
      <c r="H165" s="61"/>
      <c r="I165" s="51"/>
      <c r="J165" s="18">
        <f>2.9*5.1+2.1*2.45+2.9*3.3+2.9*3.475+1.2*2.325+2.1*1.5+3.2*1</f>
        <v>48.722499999999997</v>
      </c>
      <c r="L165" s="84"/>
      <c r="M165" s="84"/>
      <c r="N165" s="51"/>
    </row>
    <row r="166" spans="1:14" s="18" customFormat="1" ht="15.75" customHeight="1">
      <c r="A166" s="82">
        <f t="shared" ref="A166:A170" si="16">A165+1</f>
        <v>2</v>
      </c>
      <c r="B166" s="83"/>
      <c r="C166" s="64"/>
      <c r="D166" s="73"/>
      <c r="E166" s="73"/>
      <c r="F166" s="65"/>
      <c r="G166" s="62"/>
      <c r="H166" s="63"/>
      <c r="I166" s="51"/>
      <c r="J166" s="18">
        <f>2.1*0.9</f>
        <v>1.8900000000000001</v>
      </c>
      <c r="L166" s="84"/>
      <c r="M166" s="84"/>
      <c r="N166" s="51"/>
    </row>
    <row r="167" spans="1:14" s="18" customFormat="1" ht="15.75" customHeight="1">
      <c r="A167" s="82">
        <f t="shared" si="16"/>
        <v>3</v>
      </c>
      <c r="B167" s="83"/>
      <c r="C167" s="38" t="s">
        <v>183</v>
      </c>
      <c r="D167" s="39">
        <f>(37.25+0.6*(2.9+2.9+2.1))*(10.764)</f>
        <v>451.98036000000002</v>
      </c>
      <c r="E167" s="38">
        <v>0</v>
      </c>
      <c r="F167" s="38">
        <f t="shared" ref="F167:F170" si="17">D167*(($F$114)+1)+(IF(E167&lt;101,E167,IF(E167&lt;201,E167/2,IF(E167&lt;=301,E167/3,E167/4))))</f>
        <v>677.97054000000003</v>
      </c>
      <c r="G167" s="62"/>
      <c r="H167" s="63"/>
      <c r="I167" s="51"/>
      <c r="L167" s="84"/>
      <c r="M167" s="84"/>
      <c r="N167" s="51"/>
    </row>
    <row r="168" spans="1:14" s="18" customFormat="1" ht="15.75" customHeight="1">
      <c r="A168" s="82">
        <f t="shared" si="16"/>
        <v>4</v>
      </c>
      <c r="B168" s="83"/>
      <c r="C168" s="60" t="s">
        <v>192</v>
      </c>
      <c r="D168" s="72"/>
      <c r="E168" s="72"/>
      <c r="F168" s="61"/>
      <c r="G168" s="62"/>
      <c r="H168" s="63"/>
      <c r="I168" s="51"/>
      <c r="L168" s="84"/>
      <c r="M168" s="84"/>
      <c r="N168" s="51"/>
    </row>
    <row r="169" spans="1:14" s="18" customFormat="1" ht="15.75" customHeight="1">
      <c r="A169" s="82">
        <f t="shared" si="16"/>
        <v>5</v>
      </c>
      <c r="B169" s="83"/>
      <c r="C169" s="64"/>
      <c r="D169" s="73"/>
      <c r="E169" s="73"/>
      <c r="F169" s="65"/>
      <c r="G169" s="62"/>
      <c r="H169" s="63"/>
      <c r="I169" s="51"/>
      <c r="L169" s="84"/>
      <c r="M169" s="84"/>
      <c r="N169" s="51"/>
    </row>
    <row r="170" spans="1:14" s="18" customFormat="1" ht="15.75" customHeight="1">
      <c r="A170" s="82">
        <f t="shared" si="16"/>
        <v>6</v>
      </c>
      <c r="B170" s="83"/>
      <c r="C170" s="38" t="s">
        <v>187</v>
      </c>
      <c r="D170" s="39">
        <f>(74.43+1.89+0.6*(2.9+2.9+2.1+2.9+3.05+2.9))*(10.764)</f>
        <v>929.68668000000002</v>
      </c>
      <c r="E170" s="38">
        <v>0</v>
      </c>
      <c r="F170" s="38">
        <f t="shared" si="17"/>
        <v>1394.5300200000001</v>
      </c>
      <c r="G170" s="64"/>
      <c r="H170" s="65"/>
      <c r="I170" s="51"/>
      <c r="J170" s="18">
        <f>4.55*2.9+2.45*2.1+3.35*2.9+1.2*2.1+2.1*1+2*1.2</f>
        <v>35.074999999999996</v>
      </c>
      <c r="L170" s="84"/>
      <c r="M170" s="84"/>
      <c r="N170" s="51"/>
    </row>
    <row r="171" spans="1:14" s="17" customFormat="1">
      <c r="A171" s="85" t="s">
        <v>193</v>
      </c>
      <c r="B171" s="85"/>
      <c r="C171" s="85"/>
      <c r="D171" s="85"/>
      <c r="E171" s="85"/>
      <c r="F171" s="85"/>
      <c r="G171" s="85"/>
      <c r="H171" s="85"/>
    </row>
    <row r="172" spans="1:14" s="17" customFormat="1">
      <c r="A172" s="35" t="s">
        <v>194</v>
      </c>
      <c r="B172" s="86" t="s">
        <v>195</v>
      </c>
      <c r="C172" s="87"/>
      <c r="D172" s="87"/>
      <c r="E172" s="87"/>
      <c r="F172" s="87"/>
      <c r="G172" s="87"/>
      <c r="H172" s="88"/>
    </row>
    <row r="173" spans="1:14" s="17" customFormat="1">
      <c r="A173" s="35" t="s">
        <v>194</v>
      </c>
      <c r="B173" s="86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73" s="87"/>
      <c r="D173" s="87"/>
      <c r="E173" s="87"/>
      <c r="F173" s="87"/>
      <c r="G173" s="87"/>
      <c r="H173" s="88"/>
    </row>
    <row r="174" spans="1:14" s="17" customFormat="1" hidden="1">
      <c r="A174" s="35" t="s">
        <v>194</v>
      </c>
      <c r="B174" s="86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4" s="87"/>
      <c r="D174" s="87"/>
      <c r="E174" s="87"/>
      <c r="F174" s="87"/>
      <c r="G174" s="87"/>
      <c r="H174" s="88"/>
    </row>
    <row r="175" spans="1:14" s="17" customFormat="1">
      <c r="A175" s="35" t="s">
        <v>194</v>
      </c>
      <c r="B175" s="74" t="s">
        <v>196</v>
      </c>
      <c r="C175" s="75"/>
      <c r="D175" s="75"/>
      <c r="E175" s="75"/>
      <c r="F175" s="75"/>
      <c r="G175" s="75"/>
      <c r="H175" s="76"/>
    </row>
    <row r="176" spans="1:14" s="17" customFormat="1">
      <c r="A176" s="35" t="s">
        <v>194</v>
      </c>
      <c r="B176" s="74" t="s">
        <v>197</v>
      </c>
      <c r="C176" s="75"/>
      <c r="D176" s="75"/>
      <c r="E176" s="75"/>
      <c r="F176" s="75"/>
      <c r="G176" s="75"/>
      <c r="H176" s="76"/>
    </row>
    <row r="177" spans="1:8" s="17" customFormat="1">
      <c r="A177" s="35" t="s">
        <v>194</v>
      </c>
      <c r="B177" s="74" t="s">
        <v>198</v>
      </c>
      <c r="C177" s="75"/>
      <c r="D177" s="75"/>
      <c r="E177" s="75"/>
      <c r="F177" s="75"/>
      <c r="G177" s="75"/>
      <c r="H177" s="76"/>
    </row>
    <row r="178" spans="1:8" s="17" customFormat="1">
      <c r="A178" s="35" t="s">
        <v>194</v>
      </c>
      <c r="B178" s="74" t="s">
        <v>199</v>
      </c>
      <c r="C178" s="75"/>
      <c r="D178" s="75"/>
      <c r="E178" s="75"/>
      <c r="F178" s="75"/>
      <c r="G178" s="75"/>
      <c r="H178" s="76"/>
    </row>
    <row r="179" spans="1:8" s="17" customFormat="1" ht="34.5" customHeight="1">
      <c r="A179" s="35" t="s">
        <v>194</v>
      </c>
      <c r="B179" s="74" t="s">
        <v>200</v>
      </c>
      <c r="C179" s="75"/>
      <c r="D179" s="75"/>
      <c r="E179" s="75"/>
      <c r="F179" s="75"/>
      <c r="G179" s="75"/>
      <c r="H179" s="76"/>
    </row>
    <row r="180" spans="1:8" s="17" customFormat="1">
      <c r="A180" s="35" t="s">
        <v>194</v>
      </c>
      <c r="B180" s="74" t="s">
        <v>201</v>
      </c>
      <c r="C180" s="75"/>
      <c r="D180" s="75"/>
      <c r="E180" s="75"/>
      <c r="F180" s="75"/>
      <c r="G180" s="75"/>
      <c r="H180" s="76"/>
    </row>
    <row r="181" spans="1:8" s="17" customFormat="1">
      <c r="A181" s="35" t="s">
        <v>194</v>
      </c>
      <c r="B181" s="74" t="s">
        <v>202</v>
      </c>
      <c r="C181" s="75"/>
      <c r="D181" s="75"/>
      <c r="E181" s="75"/>
      <c r="F181" s="75"/>
      <c r="G181" s="75"/>
      <c r="H181" s="76"/>
    </row>
    <row r="182" spans="1:8" s="17" customFormat="1">
      <c r="A182" s="35" t="s">
        <v>194</v>
      </c>
      <c r="B182" s="74" t="s">
        <v>203</v>
      </c>
      <c r="C182" s="75"/>
      <c r="D182" s="75"/>
      <c r="E182" s="75"/>
      <c r="F182" s="75"/>
      <c r="G182" s="75"/>
      <c r="H182" s="76"/>
    </row>
    <row r="183" spans="1:8" s="17" customFormat="1">
      <c r="A183" s="35" t="s">
        <v>194</v>
      </c>
      <c r="B183" s="74" t="s">
        <v>231</v>
      </c>
      <c r="C183" s="75"/>
      <c r="D183" s="75"/>
      <c r="E183" s="75"/>
      <c r="F183" s="75"/>
      <c r="G183" s="75"/>
      <c r="H183" s="76"/>
    </row>
    <row r="184" spans="1:8" s="17" customFormat="1">
      <c r="A184" s="35" t="s">
        <v>194</v>
      </c>
      <c r="B184" s="74" t="s">
        <v>204</v>
      </c>
      <c r="C184" s="75"/>
      <c r="D184" s="75"/>
      <c r="E184" s="75"/>
      <c r="F184" s="75"/>
      <c r="G184" s="75"/>
      <c r="H184" s="76"/>
    </row>
    <row r="185" spans="1:8" s="17" customFormat="1">
      <c r="A185" s="35" t="s">
        <v>194</v>
      </c>
      <c r="B185" s="74" t="s">
        <v>205</v>
      </c>
      <c r="C185" s="75"/>
      <c r="D185" s="75"/>
      <c r="E185" s="75"/>
      <c r="F185" s="75"/>
      <c r="G185" s="75"/>
      <c r="H185" s="76"/>
    </row>
    <row r="186" spans="1:8">
      <c r="A186" s="77" t="s">
        <v>206</v>
      </c>
      <c r="B186" s="77"/>
      <c r="C186" s="77"/>
      <c r="D186" s="77"/>
      <c r="E186" s="77"/>
      <c r="F186" s="77"/>
      <c r="G186" s="77"/>
      <c r="H186" s="77"/>
    </row>
    <row r="187" spans="1:8">
      <c r="A187" s="78" t="s">
        <v>207</v>
      </c>
      <c r="B187" s="78"/>
      <c r="C187" s="78"/>
      <c r="D187" s="78"/>
      <c r="E187" s="78"/>
      <c r="F187" s="78"/>
      <c r="G187" s="78"/>
      <c r="H187" s="78"/>
    </row>
    <row r="188" spans="1:8" ht="15.75" customHeight="1">
      <c r="A188" s="79" t="s">
        <v>208</v>
      </c>
      <c r="B188" s="79"/>
      <c r="C188" s="79"/>
      <c r="D188" s="79"/>
      <c r="E188" s="79"/>
      <c r="F188" s="79"/>
      <c r="G188" s="79"/>
      <c r="H188" s="79"/>
    </row>
    <row r="189" spans="1:8">
      <c r="A189" s="78" t="s">
        <v>209</v>
      </c>
      <c r="B189" s="78"/>
      <c r="C189" s="78"/>
      <c r="D189" s="78"/>
      <c r="E189" s="78"/>
      <c r="F189" s="78"/>
      <c r="G189" s="78"/>
      <c r="H189" s="78"/>
    </row>
    <row r="190" spans="1:8">
      <c r="A190" s="78" t="s">
        <v>210</v>
      </c>
      <c r="B190" s="78"/>
      <c r="C190" s="78"/>
      <c r="D190" s="78"/>
      <c r="E190" s="78"/>
      <c r="F190" s="78"/>
      <c r="G190" s="78"/>
      <c r="H190" s="78"/>
    </row>
    <row r="191" spans="1:8">
      <c r="A191" s="78" t="s">
        <v>211</v>
      </c>
      <c r="B191" s="78"/>
      <c r="C191" s="78"/>
      <c r="D191" s="78"/>
      <c r="E191" s="78"/>
      <c r="F191" s="78"/>
      <c r="G191" s="78"/>
      <c r="H191" s="78"/>
    </row>
    <row r="192" spans="1:8">
      <c r="A192" s="80" t="s">
        <v>212</v>
      </c>
      <c r="B192" s="80"/>
      <c r="C192" s="80"/>
      <c r="D192" s="80"/>
      <c r="E192" s="80"/>
      <c r="F192" s="80"/>
      <c r="G192" s="80"/>
      <c r="H192" s="80"/>
    </row>
    <row r="193" spans="1:8">
      <c r="A193" s="81" t="s">
        <v>213</v>
      </c>
      <c r="B193" s="81"/>
      <c r="C193" s="81" t="s">
        <v>232</v>
      </c>
      <c r="D193" s="81"/>
      <c r="E193" s="81" t="s">
        <v>214</v>
      </c>
      <c r="F193" s="81"/>
      <c r="G193" s="81" t="s">
        <v>234</v>
      </c>
      <c r="H193" s="81"/>
    </row>
    <row r="194" spans="1:8">
      <c r="A194" s="55" t="s">
        <v>215</v>
      </c>
      <c r="B194" s="55"/>
      <c r="C194" s="55"/>
      <c r="D194" s="55"/>
      <c r="E194" s="55"/>
      <c r="F194" s="55"/>
      <c r="G194" s="55"/>
      <c r="H194" s="55"/>
    </row>
    <row r="195" spans="1:8">
      <c r="A195" s="55"/>
      <c r="B195" s="55"/>
      <c r="C195" s="55"/>
      <c r="D195" s="55"/>
      <c r="E195" s="55"/>
      <c r="F195" s="55"/>
      <c r="G195" s="55"/>
      <c r="H195" s="55"/>
    </row>
    <row r="196" spans="1:8">
      <c r="A196" s="55"/>
      <c r="B196" s="55"/>
      <c r="C196" s="55"/>
      <c r="D196" s="55"/>
      <c r="E196" s="55"/>
      <c r="F196" s="55"/>
      <c r="G196" s="55"/>
      <c r="H196" s="55"/>
    </row>
    <row r="197" spans="1:8">
      <c r="A197" s="55"/>
      <c r="B197" s="55"/>
      <c r="C197" s="55"/>
      <c r="D197" s="55"/>
      <c r="E197" s="55"/>
      <c r="F197" s="55"/>
      <c r="G197" s="55"/>
      <c r="H197" s="55"/>
    </row>
    <row r="198" spans="1:8">
      <c r="A198" s="52" t="s">
        <v>216</v>
      </c>
      <c r="B198" s="53"/>
      <c r="C198" s="53"/>
      <c r="D198" s="52" t="str">
        <f>E8</f>
        <v>Raj Heritage 2</v>
      </c>
      <c r="F198" s="53"/>
      <c r="G198" s="53"/>
      <c r="H198" s="53"/>
    </row>
    <row r="199" spans="1:8">
      <c r="A199" s="53"/>
      <c r="B199" s="53"/>
      <c r="C199" s="53"/>
      <c r="D199" s="53"/>
      <c r="E199" s="53"/>
      <c r="F199" s="53"/>
      <c r="G199" s="53"/>
      <c r="H199" s="53"/>
    </row>
    <row r="200" spans="1:8">
      <c r="A200" s="53"/>
      <c r="B200" s="53"/>
      <c r="C200" s="53"/>
      <c r="D200" s="53"/>
      <c r="E200" s="53"/>
      <c r="F200" s="53"/>
      <c r="G200" s="53"/>
      <c r="H200" s="53"/>
    </row>
    <row r="201" spans="1:8" ht="15" customHeight="1"/>
    <row r="240" spans="1:1">
      <c r="A240" s="54" t="s">
        <v>217</v>
      </c>
    </row>
    <row r="277" spans="1:1">
      <c r="A277" s="54" t="s">
        <v>218</v>
      </c>
    </row>
  </sheetData>
  <mergeCells count="381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1:D22"/>
    <mergeCell ref="E21:H22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C52:E52"/>
    <mergeCell ref="G52:H52"/>
    <mergeCell ref="C53:H53"/>
    <mergeCell ref="A54:B54"/>
    <mergeCell ref="C54:E54"/>
    <mergeCell ref="G54:H54"/>
    <mergeCell ref="A55:H55"/>
    <mergeCell ref="A56:C56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62:C62"/>
    <mergeCell ref="D62:H62"/>
    <mergeCell ref="A63:C63"/>
    <mergeCell ref="D63:H63"/>
    <mergeCell ref="A64:C64"/>
    <mergeCell ref="D64:H64"/>
    <mergeCell ref="A65:C65"/>
    <mergeCell ref="D65:H65"/>
    <mergeCell ref="A66:C66"/>
    <mergeCell ref="D66:H66"/>
    <mergeCell ref="A67:B67"/>
    <mergeCell ref="C67:H67"/>
    <mergeCell ref="A69:B69"/>
    <mergeCell ref="C69:H69"/>
    <mergeCell ref="A70:B70"/>
    <mergeCell ref="E70:F70"/>
    <mergeCell ref="G70:H70"/>
    <mergeCell ref="A71:B71"/>
    <mergeCell ref="A72:B72"/>
    <mergeCell ref="G71:H80"/>
    <mergeCell ref="A73:B73"/>
    <mergeCell ref="A74:B74"/>
    <mergeCell ref="A75:B75"/>
    <mergeCell ref="A76:B76"/>
    <mergeCell ref="A77:B77"/>
    <mergeCell ref="A78:B78"/>
    <mergeCell ref="A79:B79"/>
    <mergeCell ref="A80:B80"/>
    <mergeCell ref="A81:E81"/>
    <mergeCell ref="E71:F80"/>
    <mergeCell ref="F81:H81"/>
    <mergeCell ref="A82:E82"/>
    <mergeCell ref="F82:H82"/>
    <mergeCell ref="A83:E83"/>
    <mergeCell ref="F83:H83"/>
    <mergeCell ref="A84:E84"/>
    <mergeCell ref="F84:H84"/>
    <mergeCell ref="A85:E85"/>
    <mergeCell ref="F85:H85"/>
    <mergeCell ref="A86:E86"/>
    <mergeCell ref="F86:H86"/>
    <mergeCell ref="A87:E87"/>
    <mergeCell ref="F87:H87"/>
    <mergeCell ref="A88:E88"/>
    <mergeCell ref="F88:H88"/>
    <mergeCell ref="A89:E89"/>
    <mergeCell ref="F89:H89"/>
    <mergeCell ref="A90:E90"/>
    <mergeCell ref="F90:H90"/>
    <mergeCell ref="A91:E91"/>
    <mergeCell ref="F91:H91"/>
    <mergeCell ref="A92:E92"/>
    <mergeCell ref="F92:H92"/>
    <mergeCell ref="A93:E93"/>
    <mergeCell ref="F93:H93"/>
    <mergeCell ref="A94:E94"/>
    <mergeCell ref="F94:H94"/>
    <mergeCell ref="A95:H95"/>
    <mergeCell ref="A96:B96"/>
    <mergeCell ref="C96:D96"/>
    <mergeCell ref="E96:F96"/>
    <mergeCell ref="G96:H96"/>
    <mergeCell ref="A97:B97"/>
    <mergeCell ref="C97:D97"/>
    <mergeCell ref="E97:F97"/>
    <mergeCell ref="G97:H97"/>
    <mergeCell ref="A98:B98"/>
    <mergeCell ref="C98:D98"/>
    <mergeCell ref="E98:F98"/>
    <mergeCell ref="G98:H98"/>
    <mergeCell ref="A99:B99"/>
    <mergeCell ref="C99:D99"/>
    <mergeCell ref="E99:F99"/>
    <mergeCell ref="G99:H99"/>
    <mergeCell ref="A100:H100"/>
    <mergeCell ref="A101:B101"/>
    <mergeCell ref="C101:D101"/>
    <mergeCell ref="E101:F101"/>
    <mergeCell ref="G101:H101"/>
    <mergeCell ref="A102:B102"/>
    <mergeCell ref="C102:D102"/>
    <mergeCell ref="E102:F102"/>
    <mergeCell ref="G102:H102"/>
    <mergeCell ref="A103:H103"/>
    <mergeCell ref="A104:H104"/>
    <mergeCell ref="A107:H107"/>
    <mergeCell ref="A108:B108"/>
    <mergeCell ref="G108:H108"/>
    <mergeCell ref="A105:A106"/>
    <mergeCell ref="B105:B106"/>
    <mergeCell ref="C105:C106"/>
    <mergeCell ref="D105:D106"/>
    <mergeCell ref="E105:E106"/>
    <mergeCell ref="G105:H106"/>
    <mergeCell ref="L108:M108"/>
    <mergeCell ref="A109:B109"/>
    <mergeCell ref="G109:H109"/>
    <mergeCell ref="L109:M109"/>
    <mergeCell ref="A110:B110"/>
    <mergeCell ref="G110:H110"/>
    <mergeCell ref="L110:M110"/>
    <mergeCell ref="A111:B111"/>
    <mergeCell ref="G111:H111"/>
    <mergeCell ref="L111:M111"/>
    <mergeCell ref="A112:H112"/>
    <mergeCell ref="A115:H115"/>
    <mergeCell ref="A116:H116"/>
    <mergeCell ref="A117:H117"/>
    <mergeCell ref="A118:H118"/>
    <mergeCell ref="A119:B119"/>
    <mergeCell ref="L119:M119"/>
    <mergeCell ref="A120:B120"/>
    <mergeCell ref="L120:M120"/>
    <mergeCell ref="A113:A114"/>
    <mergeCell ref="B113:B114"/>
    <mergeCell ref="C113:C114"/>
    <mergeCell ref="D113:D114"/>
    <mergeCell ref="E113:E114"/>
    <mergeCell ref="A121:B121"/>
    <mergeCell ref="C121:F121"/>
    <mergeCell ref="L121:M121"/>
    <mergeCell ref="A122:B122"/>
    <mergeCell ref="L122:M122"/>
    <mergeCell ref="A123:B123"/>
    <mergeCell ref="L123:M123"/>
    <mergeCell ref="A124:B124"/>
    <mergeCell ref="L124:M124"/>
    <mergeCell ref="A125:B125"/>
    <mergeCell ref="L125:M125"/>
    <mergeCell ref="A126:H126"/>
    <mergeCell ref="A127:B127"/>
    <mergeCell ref="L127:M127"/>
    <mergeCell ref="A128:B128"/>
    <mergeCell ref="L128:M128"/>
    <mergeCell ref="A129:B129"/>
    <mergeCell ref="L129:M129"/>
    <mergeCell ref="A130:B130"/>
    <mergeCell ref="L130:M130"/>
    <mergeCell ref="A131:B131"/>
    <mergeCell ref="L131:M131"/>
    <mergeCell ref="A132:B132"/>
    <mergeCell ref="L132:M132"/>
    <mergeCell ref="A133:B133"/>
    <mergeCell ref="L133:M133"/>
    <mergeCell ref="A134:H134"/>
    <mergeCell ref="A135:B135"/>
    <mergeCell ref="L135:M135"/>
    <mergeCell ref="A136:B136"/>
    <mergeCell ref="L136:M136"/>
    <mergeCell ref="A137:B137"/>
    <mergeCell ref="L137:M137"/>
    <mergeCell ref="A138:B138"/>
    <mergeCell ref="L138:M138"/>
    <mergeCell ref="A139:B139"/>
    <mergeCell ref="L139:M139"/>
    <mergeCell ref="A140:B140"/>
    <mergeCell ref="L140:M140"/>
    <mergeCell ref="A141:B141"/>
    <mergeCell ref="L141:M141"/>
    <mergeCell ref="A142:H142"/>
    <mergeCell ref="A143:B143"/>
    <mergeCell ref="L143:M143"/>
    <mergeCell ref="A144:B144"/>
    <mergeCell ref="L144:M144"/>
    <mergeCell ref="A145:B145"/>
    <mergeCell ref="C145:F145"/>
    <mergeCell ref="L145:M145"/>
    <mergeCell ref="A146:B146"/>
    <mergeCell ref="L146:M146"/>
    <mergeCell ref="A147:B147"/>
    <mergeCell ref="L147:M147"/>
    <mergeCell ref="A148:B148"/>
    <mergeCell ref="L148:M148"/>
    <mergeCell ref="A149:B149"/>
    <mergeCell ref="L149:M149"/>
    <mergeCell ref="A150:H150"/>
    <mergeCell ref="A151:B151"/>
    <mergeCell ref="L151:M151"/>
    <mergeCell ref="A152:B152"/>
    <mergeCell ref="L152:M152"/>
    <mergeCell ref="A153:B153"/>
    <mergeCell ref="C153:F153"/>
    <mergeCell ref="L153:M153"/>
    <mergeCell ref="A154:B154"/>
    <mergeCell ref="L154:M154"/>
    <mergeCell ref="A155:B155"/>
    <mergeCell ref="L155:M155"/>
    <mergeCell ref="A156:B156"/>
    <mergeCell ref="L156:M156"/>
    <mergeCell ref="A157:H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64:H164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A170:B170"/>
    <mergeCell ref="L170:M170"/>
    <mergeCell ref="A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A194:H197"/>
    <mergeCell ref="G113:H114"/>
    <mergeCell ref="G119:H125"/>
    <mergeCell ref="A50:B53"/>
    <mergeCell ref="G127:H133"/>
    <mergeCell ref="G143:H149"/>
    <mergeCell ref="G151:H156"/>
    <mergeCell ref="G158:H163"/>
    <mergeCell ref="G135:H141"/>
    <mergeCell ref="G165:H170"/>
    <mergeCell ref="C165:F166"/>
    <mergeCell ref="C168:F169"/>
    <mergeCell ref="B185:H185"/>
    <mergeCell ref="A186:H186"/>
    <mergeCell ref="A187:H187"/>
    <mergeCell ref="A188:H188"/>
    <mergeCell ref="A189:H189"/>
    <mergeCell ref="A190:H190"/>
    <mergeCell ref="A191:H191"/>
    <mergeCell ref="A192:H192"/>
    <mergeCell ref="A193:B193"/>
    <mergeCell ref="C193:D193"/>
    <mergeCell ref="E193:F193"/>
    <mergeCell ref="G193:H193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70" max="16383" man="1"/>
    <brk id="197" max="16383" man="1"/>
    <brk id="239" max="16383" man="1"/>
    <brk id="27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76" t="s">
        <v>219</v>
      </c>
      <c r="C3" s="176"/>
      <c r="D3" s="176"/>
      <c r="E3" s="176"/>
      <c r="F3" s="176"/>
      <c r="G3" s="176"/>
      <c r="H3" s="176"/>
    </row>
    <row r="4" spans="1:9">
      <c r="A4" s="2"/>
      <c r="B4" s="3" t="s">
        <v>220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  <c r="H4" s="3" t="s">
        <v>226</v>
      </c>
    </row>
    <row r="5" spans="1:9" ht="15" customHeight="1">
      <c r="A5" s="2"/>
      <c r="B5" s="4" t="s">
        <v>227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227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227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227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227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228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228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229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230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2025-09-11T07:41:08Z</cp:lastPrinted>
  <dcterms:created xsi:type="dcterms:W3CDTF">2019-07-16T09:29:00Z</dcterms:created>
  <dcterms:modified xsi:type="dcterms:W3CDTF">2025-09-11T07:43:04Z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D480C70BD6DA40A3928362206B9BB3C0_12</vt:lpwstr>
  </property>
  <property fmtid="{D5CDD505-2E9C-101B-9397-08002B2CF9AE}" pid="3" name="KSOProductBuildVer">
    <vt:lpwstr>1033-12.2.0.20326</vt:lpwstr>
  </property>
</Properties>
</file>