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D:\Gaurav\Sep 25\DUMP\"/>
    </mc:Choice>
  </mc:AlternateContent>
  <xr:revisionPtr revIDLastSave="0" documentId="13_ncr:1_{F10BA24B-CFA4-413E-9A9D-B52A16109EB4}" xr6:coauthVersionLast="36" xr6:coauthVersionMax="47" xr10:uidLastSave="{00000000-0000-0000-0000-000000000000}"/>
  <bookViews>
    <workbookView xWindow="0" yWindow="0" windowWidth="20490" windowHeight="6825" tabRatio="835" xr2:uid="{00000000-000D-0000-FFFF-FFFF00000000}"/>
  </bookViews>
  <sheets>
    <sheet name="Sheet1" sheetId="1" r:id="rId1"/>
    <sheet name="Note" sheetId="23" r:id="rId2"/>
    <sheet name="Valuation" sheetId="24" r:id="rId3"/>
    <sheet name="Construction %" sheetId="14" r:id="rId4"/>
    <sheet name="1 &amp; 2" sheetId="11" r:id="rId5"/>
    <sheet name="3" sheetId="12" r:id="rId6"/>
    <sheet name="4" sheetId="13" r:id="rId7"/>
    <sheet name="5 &amp; 6" sheetId="15" r:id="rId8"/>
    <sheet name="7" sheetId="16" r:id="rId9"/>
    <sheet name="8" sheetId="17" r:id="rId10"/>
    <sheet name="T1&amp;3" sheetId="18" r:id="rId11"/>
    <sheet name="T2" sheetId="19" r:id="rId12"/>
    <sheet name="T4&amp;5" sheetId="20" r:id="rId13"/>
    <sheet name="T6" sheetId="21" r:id="rId14"/>
    <sheet name="T7" sheetId="22" r:id="rId15"/>
  </sheets>
  <definedNames>
    <definedName name="_xlnm.Print_Area" localSheetId="0">Sheet1!$A$1:$J$286</definedName>
  </definedNames>
  <calcPr calcId="191029"/>
</workbook>
</file>

<file path=xl/calcChain.xml><?xml version="1.0" encoding="utf-8"?>
<calcChain xmlns="http://schemas.openxmlformats.org/spreadsheetml/2006/main">
  <c r="F3" i="1" l="1"/>
  <c r="M97" i="1"/>
  <c r="M96" i="1"/>
  <c r="M83" i="1"/>
  <c r="M82" i="1"/>
  <c r="M69" i="1"/>
  <c r="M68" i="1"/>
  <c r="I59" i="1"/>
  <c r="I87" i="1"/>
  <c r="I73" i="1"/>
  <c r="D78" i="1" l="1"/>
  <c r="D99" i="1"/>
  <c r="D95" i="1"/>
  <c r="M91" i="1"/>
  <c r="C90" i="1" s="1"/>
  <c r="M89" i="1"/>
  <c r="M90" i="1"/>
  <c r="D98" i="1"/>
  <c r="D94" i="1"/>
  <c r="D97" i="1"/>
  <c r="D93" i="1"/>
  <c r="M92" i="1"/>
  <c r="M93" i="1" s="1"/>
  <c r="D96" i="1"/>
  <c r="D92" i="1"/>
  <c r="D85" i="1"/>
  <c r="D81" i="1"/>
  <c r="M77" i="1"/>
  <c r="C76" i="1" s="1"/>
  <c r="D76" i="1" s="1"/>
  <c r="M75" i="1"/>
  <c r="D82" i="1"/>
  <c r="M76" i="1"/>
  <c r="D84" i="1"/>
  <c r="D80" i="1"/>
  <c r="D83" i="1"/>
  <c r="D79" i="1"/>
  <c r="M78" i="1"/>
  <c r="M79" i="1" s="1"/>
  <c r="D64" i="1"/>
  <c r="D71" i="1"/>
  <c r="D67" i="1"/>
  <c r="M63" i="1"/>
  <c r="C62" i="1" s="1"/>
  <c r="M61" i="1"/>
  <c r="M62" i="1"/>
  <c r="D70" i="1"/>
  <c r="D66" i="1"/>
  <c r="D69" i="1"/>
  <c r="D65" i="1"/>
  <c r="M64" i="1"/>
  <c r="M65" i="1" s="1"/>
  <c r="M66" i="1" s="1"/>
  <c r="M67" i="1" s="1"/>
  <c r="D68" i="1"/>
  <c r="G9" i="24"/>
  <c r="G8" i="24"/>
  <c r="G7" i="24"/>
  <c r="F6" i="24"/>
  <c r="G6" i="24" s="1"/>
  <c r="F5" i="24"/>
  <c r="G5" i="24" s="1"/>
  <c r="I54" i="1"/>
  <c r="H46" i="1"/>
  <c r="C46" i="1"/>
  <c r="G160" i="1"/>
  <c r="G159" i="1"/>
  <c r="G158" i="1"/>
  <c r="G157" i="1"/>
  <c r="G156" i="1"/>
  <c r="G155" i="1"/>
  <c r="G149" i="1"/>
  <c r="G148" i="1"/>
  <c r="G146" i="1"/>
  <c r="G145" i="1"/>
  <c r="G144" i="1"/>
  <c r="G142" i="1"/>
  <c r="H49" i="1"/>
  <c r="C49" i="1"/>
  <c r="G190" i="1"/>
  <c r="G189" i="1"/>
  <c r="G188" i="1"/>
  <c r="G187" i="1"/>
  <c r="I184" i="1"/>
  <c r="G184" i="1"/>
  <c r="C177" i="1"/>
  <c r="I167" i="1"/>
  <c r="I175" i="1"/>
  <c r="G181" i="1"/>
  <c r="G180" i="1"/>
  <c r="G179" i="1"/>
  <c r="G178" i="1"/>
  <c r="G175" i="1"/>
  <c r="M33" i="22"/>
  <c r="J33" i="22"/>
  <c r="F33" i="22"/>
  <c r="M32" i="22"/>
  <c r="J32" i="22"/>
  <c r="F32" i="22"/>
  <c r="M31" i="22"/>
  <c r="J31" i="22"/>
  <c r="F31" i="22"/>
  <c r="M30" i="22"/>
  <c r="J30" i="22"/>
  <c r="F30" i="22"/>
  <c r="M29" i="22"/>
  <c r="J29" i="22"/>
  <c r="F29" i="22"/>
  <c r="M28" i="22"/>
  <c r="J28" i="22"/>
  <c r="F28" i="22"/>
  <c r="M27" i="22"/>
  <c r="J27" i="22"/>
  <c r="F27" i="22"/>
  <c r="M26" i="22"/>
  <c r="J26" i="22"/>
  <c r="F26" i="22"/>
  <c r="M25" i="22"/>
  <c r="J25" i="22"/>
  <c r="F25" i="22"/>
  <c r="M24" i="22"/>
  <c r="J24" i="22"/>
  <c r="F24" i="22"/>
  <c r="M23" i="22"/>
  <c r="J23" i="22"/>
  <c r="F23" i="22"/>
  <c r="M22" i="22"/>
  <c r="J22" i="22"/>
  <c r="F22" i="22"/>
  <c r="M21" i="22"/>
  <c r="J21" i="22"/>
  <c r="F21" i="22"/>
  <c r="M20" i="22"/>
  <c r="J20" i="22"/>
  <c r="F20" i="22"/>
  <c r="M19" i="22"/>
  <c r="J19" i="22"/>
  <c r="F19" i="22"/>
  <c r="M18" i="22"/>
  <c r="J18" i="22"/>
  <c r="F18" i="22"/>
  <c r="M17" i="22"/>
  <c r="J17" i="22"/>
  <c r="F17" i="22"/>
  <c r="M16" i="22"/>
  <c r="J16" i="22"/>
  <c r="F16" i="22"/>
  <c r="M15" i="22"/>
  <c r="J15" i="22"/>
  <c r="F15" i="22"/>
  <c r="M14" i="22"/>
  <c r="J14" i="22"/>
  <c r="F14" i="22"/>
  <c r="M13" i="22"/>
  <c r="J13" i="22"/>
  <c r="F13" i="22"/>
  <c r="M12" i="22"/>
  <c r="J12" i="22"/>
  <c r="F12" i="22"/>
  <c r="M11" i="22"/>
  <c r="J11" i="22"/>
  <c r="F11" i="22"/>
  <c r="M10" i="22"/>
  <c r="J10" i="22"/>
  <c r="F10" i="22"/>
  <c r="M9" i="22"/>
  <c r="J9" i="22"/>
  <c r="F9" i="22"/>
  <c r="M8" i="22"/>
  <c r="J8" i="22"/>
  <c r="F8" i="22"/>
  <c r="M7" i="22"/>
  <c r="J7" i="22"/>
  <c r="F7" i="22"/>
  <c r="M6" i="22"/>
  <c r="J6" i="22"/>
  <c r="F6" i="22"/>
  <c r="M33" i="21"/>
  <c r="J33" i="21"/>
  <c r="F33" i="21"/>
  <c r="M32" i="21"/>
  <c r="J32" i="21"/>
  <c r="F32" i="21"/>
  <c r="M31" i="21"/>
  <c r="J31" i="21"/>
  <c r="F31" i="21"/>
  <c r="M30" i="21"/>
  <c r="J30" i="21"/>
  <c r="F30" i="21"/>
  <c r="M29" i="21"/>
  <c r="J29" i="21"/>
  <c r="F29" i="21"/>
  <c r="M28" i="21"/>
  <c r="J28" i="21"/>
  <c r="F28" i="21"/>
  <c r="M27" i="21"/>
  <c r="J27" i="21"/>
  <c r="F27" i="21"/>
  <c r="M26" i="21"/>
  <c r="J26" i="21"/>
  <c r="F26" i="21"/>
  <c r="M25" i="21"/>
  <c r="J25" i="21"/>
  <c r="F25" i="21"/>
  <c r="M24" i="21"/>
  <c r="J24" i="21"/>
  <c r="F24" i="21"/>
  <c r="M23" i="21"/>
  <c r="J23" i="21"/>
  <c r="F23" i="21"/>
  <c r="M22" i="21"/>
  <c r="J22" i="21"/>
  <c r="F22" i="21"/>
  <c r="M21" i="21"/>
  <c r="J21" i="21"/>
  <c r="F21" i="21"/>
  <c r="M20" i="21"/>
  <c r="J20" i="21"/>
  <c r="F20" i="21"/>
  <c r="M19" i="21"/>
  <c r="J19" i="21"/>
  <c r="F19" i="21"/>
  <c r="M18" i="21"/>
  <c r="J18" i="21"/>
  <c r="F18" i="21"/>
  <c r="M17" i="21"/>
  <c r="J17" i="21"/>
  <c r="F17" i="21"/>
  <c r="M16" i="21"/>
  <c r="J16" i="21"/>
  <c r="F16" i="21"/>
  <c r="M15" i="21"/>
  <c r="J15" i="21"/>
  <c r="F15" i="21"/>
  <c r="M14" i="21"/>
  <c r="J14" i="21"/>
  <c r="F14" i="21"/>
  <c r="M13" i="21"/>
  <c r="J13" i="21"/>
  <c r="F13" i="21"/>
  <c r="M12" i="21"/>
  <c r="J12" i="21"/>
  <c r="F12" i="21"/>
  <c r="M11" i="21"/>
  <c r="J11" i="21"/>
  <c r="F11" i="21"/>
  <c r="M10" i="21"/>
  <c r="J10" i="21"/>
  <c r="F10" i="21"/>
  <c r="M9" i="21"/>
  <c r="J9" i="21"/>
  <c r="F9" i="21"/>
  <c r="M8" i="21"/>
  <c r="J8" i="21"/>
  <c r="F8" i="21"/>
  <c r="M7" i="21"/>
  <c r="J7" i="21"/>
  <c r="F7" i="21"/>
  <c r="M6" i="21"/>
  <c r="J6" i="21"/>
  <c r="F6" i="21"/>
  <c r="M33" i="20"/>
  <c r="J33" i="20"/>
  <c r="F33" i="20"/>
  <c r="M32" i="20"/>
  <c r="J32" i="20"/>
  <c r="F32" i="20"/>
  <c r="M31" i="20"/>
  <c r="J31" i="20"/>
  <c r="F31" i="20"/>
  <c r="M30" i="20"/>
  <c r="J30" i="20"/>
  <c r="F30" i="20"/>
  <c r="M29" i="20"/>
  <c r="J29" i="20"/>
  <c r="F29" i="20"/>
  <c r="M28" i="20"/>
  <c r="J28" i="20"/>
  <c r="F28" i="20"/>
  <c r="M27" i="20"/>
  <c r="J27" i="20"/>
  <c r="F27" i="20"/>
  <c r="M26" i="20"/>
  <c r="J26" i="20"/>
  <c r="F26" i="20"/>
  <c r="M25" i="20"/>
  <c r="J25" i="20"/>
  <c r="F25" i="20"/>
  <c r="M24" i="20"/>
  <c r="J24" i="20"/>
  <c r="F24" i="20"/>
  <c r="M23" i="20"/>
  <c r="J23" i="20"/>
  <c r="F23" i="20"/>
  <c r="M22" i="20"/>
  <c r="J22" i="20"/>
  <c r="F22" i="20"/>
  <c r="M21" i="20"/>
  <c r="J21" i="20"/>
  <c r="F21" i="20"/>
  <c r="M20" i="20"/>
  <c r="J20" i="20"/>
  <c r="F20" i="20"/>
  <c r="M19" i="20"/>
  <c r="J19" i="20"/>
  <c r="F19" i="20"/>
  <c r="M18" i="20"/>
  <c r="J18" i="20"/>
  <c r="F18" i="20"/>
  <c r="M17" i="20"/>
  <c r="J17" i="20"/>
  <c r="F17" i="20"/>
  <c r="M16" i="20"/>
  <c r="J16" i="20"/>
  <c r="F16" i="20"/>
  <c r="M15" i="20"/>
  <c r="J15" i="20"/>
  <c r="F15" i="20"/>
  <c r="M14" i="20"/>
  <c r="J14" i="20"/>
  <c r="F14" i="20"/>
  <c r="M13" i="20"/>
  <c r="J13" i="20"/>
  <c r="F13" i="20"/>
  <c r="M12" i="20"/>
  <c r="J12" i="20"/>
  <c r="F12" i="20"/>
  <c r="M11" i="20"/>
  <c r="J11" i="20"/>
  <c r="F11" i="20"/>
  <c r="M10" i="20"/>
  <c r="J10" i="20"/>
  <c r="F10" i="20"/>
  <c r="M9" i="20"/>
  <c r="J9" i="20"/>
  <c r="F9" i="20"/>
  <c r="M8" i="20"/>
  <c r="J8" i="20"/>
  <c r="F8" i="20"/>
  <c r="M7" i="20"/>
  <c r="J7" i="20"/>
  <c r="F7" i="20"/>
  <c r="M6" i="20"/>
  <c r="J6" i="20"/>
  <c r="F6" i="20"/>
  <c r="M33" i="19"/>
  <c r="J33" i="19"/>
  <c r="F33" i="19"/>
  <c r="M32" i="19"/>
  <c r="J32" i="19"/>
  <c r="F32" i="19"/>
  <c r="M31" i="19"/>
  <c r="J31" i="19"/>
  <c r="F31" i="19"/>
  <c r="M30" i="19"/>
  <c r="J30" i="19"/>
  <c r="F30" i="19"/>
  <c r="M29" i="19"/>
  <c r="J29" i="19"/>
  <c r="F29" i="19"/>
  <c r="M28" i="19"/>
  <c r="J28" i="19"/>
  <c r="F28" i="19"/>
  <c r="M27" i="19"/>
  <c r="J27" i="19"/>
  <c r="F27" i="19"/>
  <c r="M26" i="19"/>
  <c r="J26" i="19"/>
  <c r="F26" i="19"/>
  <c r="M25" i="19"/>
  <c r="J25" i="19"/>
  <c r="F25" i="19"/>
  <c r="M24" i="19"/>
  <c r="J24" i="19"/>
  <c r="F24" i="19"/>
  <c r="M23" i="19"/>
  <c r="J23" i="19"/>
  <c r="F23" i="19"/>
  <c r="M22" i="19"/>
  <c r="J22" i="19"/>
  <c r="F22" i="19"/>
  <c r="M21" i="19"/>
  <c r="J21" i="19"/>
  <c r="F21" i="19"/>
  <c r="M20" i="19"/>
  <c r="J20" i="19"/>
  <c r="F20" i="19"/>
  <c r="M19" i="19"/>
  <c r="J19" i="19"/>
  <c r="F19" i="19"/>
  <c r="M18" i="19"/>
  <c r="J18" i="19"/>
  <c r="F18" i="19"/>
  <c r="M17" i="19"/>
  <c r="J17" i="19"/>
  <c r="F17" i="19"/>
  <c r="M16" i="19"/>
  <c r="J16" i="19"/>
  <c r="F16" i="19"/>
  <c r="M15" i="19"/>
  <c r="J15" i="19"/>
  <c r="F15" i="19"/>
  <c r="M14" i="19"/>
  <c r="J14" i="19"/>
  <c r="F14" i="19"/>
  <c r="M13" i="19"/>
  <c r="J13" i="19"/>
  <c r="F13" i="19"/>
  <c r="M12" i="19"/>
  <c r="J12" i="19"/>
  <c r="F12" i="19"/>
  <c r="M11" i="19"/>
  <c r="J11" i="19"/>
  <c r="F11" i="19"/>
  <c r="M10" i="19"/>
  <c r="J10" i="19"/>
  <c r="F10" i="19"/>
  <c r="M9" i="19"/>
  <c r="J9" i="19"/>
  <c r="F9" i="19"/>
  <c r="M8" i="19"/>
  <c r="J8" i="19"/>
  <c r="F8" i="19"/>
  <c r="M7" i="19"/>
  <c r="J7" i="19"/>
  <c r="F7" i="19"/>
  <c r="M6" i="19"/>
  <c r="J6" i="19"/>
  <c r="F6" i="19"/>
  <c r="G168" i="1"/>
  <c r="G169" i="1"/>
  <c r="G170" i="1"/>
  <c r="G171" i="1"/>
  <c r="G172" i="1"/>
  <c r="G173" i="1"/>
  <c r="G167" i="1"/>
  <c r="G135" i="1"/>
  <c r="H36" i="18"/>
  <c r="M33" i="18"/>
  <c r="J33" i="18"/>
  <c r="F33" i="18"/>
  <c r="M32" i="18"/>
  <c r="J32" i="18"/>
  <c r="F32" i="18"/>
  <c r="M31" i="18"/>
  <c r="J31" i="18"/>
  <c r="F31" i="18"/>
  <c r="M30" i="18"/>
  <c r="J30" i="18"/>
  <c r="F30" i="18"/>
  <c r="M29" i="18"/>
  <c r="J29" i="18"/>
  <c r="F29" i="18"/>
  <c r="M28" i="18"/>
  <c r="J28" i="18"/>
  <c r="F28" i="18"/>
  <c r="M27" i="18"/>
  <c r="J27" i="18"/>
  <c r="F27" i="18"/>
  <c r="M26" i="18"/>
  <c r="J26" i="18"/>
  <c r="F26" i="18"/>
  <c r="M25" i="18"/>
  <c r="J25" i="18"/>
  <c r="F25" i="18"/>
  <c r="M24" i="18"/>
  <c r="J24" i="18"/>
  <c r="F24" i="18"/>
  <c r="M23" i="18"/>
  <c r="J23" i="18"/>
  <c r="F23" i="18"/>
  <c r="M22" i="18"/>
  <c r="J22" i="18"/>
  <c r="F22" i="18"/>
  <c r="M21" i="18"/>
  <c r="J21" i="18"/>
  <c r="F21" i="18"/>
  <c r="M20" i="18"/>
  <c r="J20" i="18"/>
  <c r="F20" i="18"/>
  <c r="M19" i="18"/>
  <c r="J19" i="18"/>
  <c r="F19" i="18"/>
  <c r="M18" i="18"/>
  <c r="J18" i="18"/>
  <c r="F18" i="18"/>
  <c r="M17" i="18"/>
  <c r="J17" i="18"/>
  <c r="F17" i="18"/>
  <c r="M16" i="18"/>
  <c r="J16" i="18"/>
  <c r="F16" i="18"/>
  <c r="M15" i="18"/>
  <c r="J15" i="18"/>
  <c r="F15" i="18"/>
  <c r="M14" i="18"/>
  <c r="J14" i="18"/>
  <c r="F14" i="18"/>
  <c r="M13" i="18"/>
  <c r="J13" i="18"/>
  <c r="F13" i="18"/>
  <c r="M12" i="18"/>
  <c r="J12" i="18"/>
  <c r="F12" i="18"/>
  <c r="M11" i="18"/>
  <c r="J11" i="18"/>
  <c r="F11" i="18"/>
  <c r="M10" i="18"/>
  <c r="J10" i="18"/>
  <c r="F10" i="18"/>
  <c r="M9" i="18"/>
  <c r="J9" i="18"/>
  <c r="F9" i="18"/>
  <c r="M8" i="18"/>
  <c r="J8" i="18"/>
  <c r="F8" i="18"/>
  <c r="M7" i="18"/>
  <c r="J7" i="18"/>
  <c r="F7" i="18"/>
  <c r="M6" i="18"/>
  <c r="J6" i="18"/>
  <c r="F6" i="18"/>
  <c r="G134" i="1"/>
  <c r="G133" i="1"/>
  <c r="G132" i="1"/>
  <c r="G131" i="1"/>
  <c r="G130" i="1"/>
  <c r="D22" i="14"/>
  <c r="E22" i="14" s="1"/>
  <c r="H36" i="16"/>
  <c r="H36" i="17"/>
  <c r="M33" i="17"/>
  <c r="J33" i="17"/>
  <c r="F33" i="17"/>
  <c r="M32" i="17"/>
  <c r="J32" i="17"/>
  <c r="F32" i="17"/>
  <c r="M31" i="17"/>
  <c r="J31" i="17"/>
  <c r="F31" i="17"/>
  <c r="M30" i="17"/>
  <c r="J30" i="17"/>
  <c r="F30" i="17"/>
  <c r="M29" i="17"/>
  <c r="J29" i="17"/>
  <c r="F29" i="17"/>
  <c r="M28" i="17"/>
  <c r="J28" i="17"/>
  <c r="F28" i="17"/>
  <c r="M27" i="17"/>
  <c r="J27" i="17"/>
  <c r="F27" i="17"/>
  <c r="M26" i="17"/>
  <c r="J26" i="17"/>
  <c r="F26" i="17"/>
  <c r="M25" i="17"/>
  <c r="J25" i="17"/>
  <c r="F25" i="17"/>
  <c r="M24" i="17"/>
  <c r="J24" i="17"/>
  <c r="F24" i="17"/>
  <c r="M23" i="17"/>
  <c r="J23" i="17"/>
  <c r="F23" i="17"/>
  <c r="M22" i="17"/>
  <c r="J22" i="17"/>
  <c r="F22" i="17"/>
  <c r="M21" i="17"/>
  <c r="J21" i="17"/>
  <c r="F21" i="17"/>
  <c r="M20" i="17"/>
  <c r="J20" i="17"/>
  <c r="F20" i="17"/>
  <c r="M19" i="17"/>
  <c r="J19" i="17"/>
  <c r="F19" i="17"/>
  <c r="M18" i="17"/>
  <c r="J18" i="17"/>
  <c r="F18" i="17"/>
  <c r="M17" i="17"/>
  <c r="J17" i="17"/>
  <c r="F17" i="17"/>
  <c r="M16" i="17"/>
  <c r="J16" i="17"/>
  <c r="F16" i="17"/>
  <c r="M15" i="17"/>
  <c r="J15" i="17"/>
  <c r="F15" i="17"/>
  <c r="M14" i="17"/>
  <c r="J14" i="17"/>
  <c r="F14" i="17"/>
  <c r="M13" i="17"/>
  <c r="J13" i="17"/>
  <c r="F13" i="17"/>
  <c r="M12" i="17"/>
  <c r="J12" i="17"/>
  <c r="F12" i="17"/>
  <c r="M11" i="17"/>
  <c r="J11" i="17"/>
  <c r="F11" i="17"/>
  <c r="M10" i="17"/>
  <c r="J10" i="17"/>
  <c r="F10" i="17"/>
  <c r="M9" i="17"/>
  <c r="J9" i="17"/>
  <c r="F9" i="17"/>
  <c r="M8" i="17"/>
  <c r="J8" i="17"/>
  <c r="F8" i="17"/>
  <c r="M7" i="17"/>
  <c r="J7" i="17"/>
  <c r="F7" i="17"/>
  <c r="M6" i="17"/>
  <c r="J6" i="17"/>
  <c r="F6" i="17"/>
  <c r="M33" i="16"/>
  <c r="J33" i="16"/>
  <c r="F33" i="16"/>
  <c r="M32" i="16"/>
  <c r="J32" i="16"/>
  <c r="F32" i="16"/>
  <c r="M31" i="16"/>
  <c r="J31" i="16"/>
  <c r="F31" i="16"/>
  <c r="M30" i="16"/>
  <c r="J30" i="16"/>
  <c r="F30" i="16"/>
  <c r="M29" i="16"/>
  <c r="J29" i="16"/>
  <c r="F29" i="16"/>
  <c r="M28" i="16"/>
  <c r="J28" i="16"/>
  <c r="F28" i="16"/>
  <c r="M27" i="16"/>
  <c r="J27" i="16"/>
  <c r="F27" i="16"/>
  <c r="M26" i="16"/>
  <c r="J26" i="16"/>
  <c r="F26" i="16"/>
  <c r="M25" i="16"/>
  <c r="J25" i="16"/>
  <c r="F25" i="16"/>
  <c r="M24" i="16"/>
  <c r="J24" i="16"/>
  <c r="F24" i="16"/>
  <c r="M23" i="16"/>
  <c r="J23" i="16"/>
  <c r="F23" i="16"/>
  <c r="M22" i="16"/>
  <c r="J22" i="16"/>
  <c r="F22" i="16"/>
  <c r="M21" i="16"/>
  <c r="J21" i="16"/>
  <c r="F21" i="16"/>
  <c r="M20" i="16"/>
  <c r="J20" i="16"/>
  <c r="F20" i="16"/>
  <c r="M19" i="16"/>
  <c r="J19" i="16"/>
  <c r="F19" i="16"/>
  <c r="M18" i="16"/>
  <c r="J18" i="16"/>
  <c r="F18" i="16"/>
  <c r="M17" i="16"/>
  <c r="J17" i="16"/>
  <c r="F17" i="16"/>
  <c r="M16" i="16"/>
  <c r="J16" i="16"/>
  <c r="F16" i="16"/>
  <c r="M15" i="16"/>
  <c r="J15" i="16"/>
  <c r="F15" i="16"/>
  <c r="M14" i="16"/>
  <c r="J14" i="16"/>
  <c r="F14" i="16"/>
  <c r="M13" i="16"/>
  <c r="J13" i="16"/>
  <c r="F13" i="16"/>
  <c r="M12" i="16"/>
  <c r="J12" i="16"/>
  <c r="F12" i="16"/>
  <c r="M11" i="16"/>
  <c r="J11" i="16"/>
  <c r="F11" i="16"/>
  <c r="M10" i="16"/>
  <c r="J10" i="16"/>
  <c r="F10" i="16"/>
  <c r="M9" i="16"/>
  <c r="J9" i="16"/>
  <c r="F9" i="16"/>
  <c r="M8" i="16"/>
  <c r="J8" i="16"/>
  <c r="F8" i="16"/>
  <c r="M7" i="16"/>
  <c r="J7" i="16"/>
  <c r="F7" i="16"/>
  <c r="M6" i="16"/>
  <c r="J6" i="16"/>
  <c r="F6" i="16"/>
  <c r="H36" i="15"/>
  <c r="M33" i="15"/>
  <c r="J33" i="15"/>
  <c r="F33" i="15"/>
  <c r="M32" i="15"/>
  <c r="J32" i="15"/>
  <c r="F32" i="15"/>
  <c r="M31" i="15"/>
  <c r="J31" i="15"/>
  <c r="F31" i="15"/>
  <c r="M30" i="15"/>
  <c r="J30" i="15"/>
  <c r="F30" i="15"/>
  <c r="M29" i="15"/>
  <c r="J29" i="15"/>
  <c r="F29" i="15"/>
  <c r="M28" i="15"/>
  <c r="J28" i="15"/>
  <c r="F28" i="15"/>
  <c r="M27" i="15"/>
  <c r="J27" i="15"/>
  <c r="F27" i="15"/>
  <c r="M26" i="15"/>
  <c r="J26" i="15"/>
  <c r="F26" i="15"/>
  <c r="M25" i="15"/>
  <c r="J25" i="15"/>
  <c r="F25" i="15"/>
  <c r="M24" i="15"/>
  <c r="J24" i="15"/>
  <c r="F24" i="15"/>
  <c r="M23" i="15"/>
  <c r="J23" i="15"/>
  <c r="F23" i="15"/>
  <c r="M22" i="15"/>
  <c r="J22" i="15"/>
  <c r="F22" i="15"/>
  <c r="M21" i="15"/>
  <c r="J21" i="15"/>
  <c r="F21" i="15"/>
  <c r="M20" i="15"/>
  <c r="J20" i="15"/>
  <c r="F20" i="15"/>
  <c r="M19" i="15"/>
  <c r="J19" i="15"/>
  <c r="F19" i="15"/>
  <c r="M18" i="15"/>
  <c r="J18" i="15"/>
  <c r="F18" i="15"/>
  <c r="M17" i="15"/>
  <c r="J17" i="15"/>
  <c r="F17" i="15"/>
  <c r="M16" i="15"/>
  <c r="J16" i="15"/>
  <c r="F16" i="15"/>
  <c r="M15" i="15"/>
  <c r="J15" i="15"/>
  <c r="F15" i="15"/>
  <c r="M14" i="15"/>
  <c r="J14" i="15"/>
  <c r="F14" i="15"/>
  <c r="M13" i="15"/>
  <c r="J13" i="15"/>
  <c r="F13" i="15"/>
  <c r="M12" i="15"/>
  <c r="J12" i="15"/>
  <c r="F12" i="15"/>
  <c r="M11" i="15"/>
  <c r="J11" i="15"/>
  <c r="F11" i="15"/>
  <c r="M10" i="15"/>
  <c r="J10" i="15"/>
  <c r="F10" i="15"/>
  <c r="M9" i="15"/>
  <c r="J9" i="15"/>
  <c r="F9" i="15"/>
  <c r="M8" i="15"/>
  <c r="J8" i="15"/>
  <c r="F8" i="15"/>
  <c r="M7" i="15"/>
  <c r="J7" i="15"/>
  <c r="F7" i="15"/>
  <c r="M6" i="15"/>
  <c r="J6" i="15"/>
  <c r="F6" i="15"/>
  <c r="H37" i="12"/>
  <c r="I37" i="13"/>
  <c r="H36" i="11"/>
  <c r="H43" i="1"/>
  <c r="C43" i="1"/>
  <c r="F7" i="1"/>
  <c r="F38" i="1"/>
  <c r="F39" i="1" s="1"/>
  <c r="D54" i="1" s="1"/>
  <c r="I6" i="14"/>
  <c r="G13" i="14" s="1"/>
  <c r="B6" i="14"/>
  <c r="J7" i="14" s="1"/>
  <c r="H14" i="14" s="1"/>
  <c r="B8" i="14"/>
  <c r="K7" i="14"/>
  <c r="H15" i="14" s="1"/>
  <c r="B10" i="14"/>
  <c r="L7" i="14" s="1"/>
  <c r="H16" i="14" s="1"/>
  <c r="B12" i="14"/>
  <c r="M6" i="14" s="1"/>
  <c r="G17" i="14" s="1"/>
  <c r="B14" i="14"/>
  <c r="E9" i="14" s="1"/>
  <c r="B16" i="14"/>
  <c r="E10" i="14" s="1"/>
  <c r="E4" i="14"/>
  <c r="D199" i="1"/>
  <c r="G107"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6" i="14"/>
  <c r="G143" i="1"/>
  <c r="G147" i="1"/>
  <c r="J6" i="14"/>
  <c r="G14" i="14" s="1"/>
  <c r="E5" i="14"/>
  <c r="L6" i="14"/>
  <c r="G16" i="14" s="1"/>
  <c r="K6" i="14"/>
  <c r="G15" i="14" s="1"/>
  <c r="F34" i="21" l="1"/>
  <c r="M7" i="14"/>
  <c r="H17" i="14" s="1"/>
  <c r="E8" i="14"/>
  <c r="E7" i="14"/>
  <c r="O6" i="14"/>
  <c r="G19" i="14" s="1"/>
  <c r="N35" i="13"/>
  <c r="M35" i="13" s="1"/>
  <c r="M34" i="17"/>
  <c r="L34" i="17" s="1"/>
  <c r="F34" i="18"/>
  <c r="F36" i="18" s="1"/>
  <c r="J34" i="18"/>
  <c r="I34" i="18" s="1"/>
  <c r="F34" i="22"/>
  <c r="J35" i="12"/>
  <c r="I35" i="12" s="1"/>
  <c r="M34" i="16"/>
  <c r="L34" i="16" s="1"/>
  <c r="M34" i="18"/>
  <c r="L34" i="18" s="1"/>
  <c r="J34" i="22"/>
  <c r="I34" i="22" s="1"/>
  <c r="M35" i="12"/>
  <c r="L35" i="12" s="1"/>
  <c r="F34" i="15"/>
  <c r="E34" i="15" s="1"/>
  <c r="F37" i="15" s="1"/>
  <c r="D121" i="1" s="1"/>
  <c r="D122" i="1" s="1"/>
  <c r="G122" i="1" s="1"/>
  <c r="M34" i="15"/>
  <c r="L34" i="15" s="1"/>
  <c r="J34" i="16"/>
  <c r="I34" i="16" s="1"/>
  <c r="J34" i="20"/>
  <c r="I34" i="20" s="1"/>
  <c r="J34" i="21"/>
  <c r="I34" i="21" s="1"/>
  <c r="F35" i="12"/>
  <c r="G10" i="24"/>
  <c r="M34" i="11"/>
  <c r="L34" i="11" s="1"/>
  <c r="J34" i="11"/>
  <c r="I34" i="11" s="1"/>
  <c r="F34" i="19"/>
  <c r="J34" i="19"/>
  <c r="I34" i="19" s="1"/>
  <c r="K35" i="13"/>
  <c r="J35" i="13" s="1"/>
  <c r="G35" i="13"/>
  <c r="O7" i="14"/>
  <c r="H19" i="14" s="1"/>
  <c r="F34" i="16"/>
  <c r="E34" i="16" s="1"/>
  <c r="F37" i="16" s="1"/>
  <c r="D123" i="1" s="1"/>
  <c r="G123" i="1" s="1"/>
  <c r="F34" i="17"/>
  <c r="E34" i="17" s="1"/>
  <c r="M34" i="19"/>
  <c r="L34" i="19" s="1"/>
  <c r="M34" i="20"/>
  <c r="L34" i="20" s="1"/>
  <c r="F34" i="20"/>
  <c r="M34" i="21"/>
  <c r="L34" i="21" s="1"/>
  <c r="M34" i="22"/>
  <c r="L34" i="22" s="1"/>
  <c r="F34" i="11"/>
  <c r="J34" i="15"/>
  <c r="I34" i="15" s="1"/>
  <c r="J34" i="17"/>
  <c r="I34" i="17" s="1"/>
  <c r="M94" i="1"/>
  <c r="M95" i="1" s="1"/>
  <c r="M80" i="1"/>
  <c r="M81" i="1" s="1"/>
  <c r="M70" i="1"/>
  <c r="D90" i="1"/>
  <c r="D62" i="1"/>
  <c r="E34" i="22"/>
  <c r="F36" i="22"/>
  <c r="F36" i="19"/>
  <c r="E34" i="19"/>
  <c r="F37" i="19" s="1"/>
  <c r="E34" i="21"/>
  <c r="F37" i="21" s="1"/>
  <c r="E35" i="12"/>
  <c r="F35" i="13"/>
  <c r="G38" i="13" s="1"/>
  <c r="D120" i="1" s="1"/>
  <c r="G120" i="1" s="1"/>
  <c r="F36" i="20"/>
  <c r="E34" i="20"/>
  <c r="E34" i="11"/>
  <c r="N6" i="14"/>
  <c r="G18" i="14" s="1"/>
  <c r="G20" i="14" s="1"/>
  <c r="N7" i="14"/>
  <c r="H18" i="14" s="1"/>
  <c r="I7" i="14"/>
  <c r="H13" i="14" s="1"/>
  <c r="E34" i="18" l="1"/>
  <c r="F37" i="18" s="1"/>
  <c r="F36" i="16"/>
  <c r="F37" i="11"/>
  <c r="D117" i="1" s="1"/>
  <c r="F36" i="17"/>
  <c r="F38" i="12"/>
  <c r="D119" i="1" s="1"/>
  <c r="G119" i="1" s="1"/>
  <c r="F36" i="15"/>
  <c r="F37" i="12"/>
  <c r="F37" i="20"/>
  <c r="G37" i="13"/>
  <c r="F37" i="22"/>
  <c r="F36" i="11"/>
  <c r="F37" i="17"/>
  <c r="D124" i="1" s="1"/>
  <c r="G124" i="1" s="1"/>
  <c r="F36" i="21"/>
  <c r="M98" i="1"/>
  <c r="M84" i="1"/>
  <c r="M71" i="1"/>
  <c r="C63" i="1" s="1"/>
  <c r="D63" i="1" s="1"/>
  <c r="G121" i="1"/>
  <c r="G117" i="1"/>
  <c r="M117" i="1" s="1"/>
  <c r="D118" i="1"/>
  <c r="G118" i="1" s="1"/>
  <c r="H20" i="14"/>
  <c r="M85" i="1" l="1"/>
  <c r="D77" i="1" s="1"/>
  <c r="H76" i="1"/>
  <c r="M99" i="1"/>
  <c r="H90" i="1"/>
  <c r="K58" i="1"/>
  <c r="C60" i="1" s="1"/>
  <c r="F62" i="1" s="1"/>
  <c r="H62" i="1"/>
  <c r="K72" i="1" l="1"/>
  <c r="C74" i="1" s="1"/>
  <c r="F76" i="1" s="1"/>
  <c r="D91" i="1"/>
  <c r="K86" i="1"/>
  <c r="C88" i="1" s="1"/>
  <c r="F90" i="1" s="1"/>
</calcChain>
</file>

<file path=xl/sharedStrings.xml><?xml version="1.0" encoding="utf-8"?>
<sst xmlns="http://schemas.openxmlformats.org/spreadsheetml/2006/main" count="927" uniqueCount="255">
  <si>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</si>
  <si>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</si>
  <si>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</si>
  <si>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</si>
  <si>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</si>
  <si>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</si>
  <si>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</si>
  <si>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</si>
  <si>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</si>
  <si>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</si>
  <si>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</si>
  <si>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</si>
  <si>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</si>
  <si>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</si>
  <si>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</si>
  <si>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</si>
  <si>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</si>
  <si>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</si>
  <si>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</si>
  <si>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</si>
  <si>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</si>
  <si>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</si>
  <si>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</si>
  <si>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</si>
  <si>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</si>
  <si>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</si>
  <si>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</si>
  <si>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</si>
  <si>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</si>
  <si>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</si>
  <si>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</si>
  <si>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</si>
  <si>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</si>
  <si>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</si>
  <si>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</si>
  <si>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</si>
  <si>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</si>
  <si>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</si>
  <si>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</si>
  <si>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</si>
  <si>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</si>
  <si>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</si>
  <si>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</si>
  <si>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</si>
  <si>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Violations Observed if any : NA</t>
  </si>
  <si>
    <t>NA</t>
  </si>
  <si>
    <t>South</t>
  </si>
  <si>
    <t xml:space="preserve">Distance from city centre: </t>
  </si>
  <si>
    <t>Plane</t>
  </si>
  <si>
    <t>Projected life of the structure: 60 Years After Completion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</si>
  <si>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</si>
  <si>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</si>
  <si>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</si>
  <si>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</si>
  <si>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</si>
  <si>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</si>
  <si>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</si>
  <si>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</si>
  <si>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</si>
  <si>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</si>
  <si>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</si>
  <si>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</si>
  <si>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</si>
  <si>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</si>
  <si>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</si>
  <si>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</si>
  <si>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</si>
  <si>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</si>
  <si>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</si>
  <si>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</si>
  <si>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</si>
  <si>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</si>
  <si>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</si>
  <si>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</si>
  <si>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</si>
  <si>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</si>
  <si>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</si>
  <si>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</si>
  <si>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</si>
  <si>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</si>
  <si>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</si>
  <si>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</si>
  <si>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</si>
  <si>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</si>
  <si>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</si>
  <si>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</si>
  <si>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</si>
  <si>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</si>
  <si>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</si>
  <si>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</si>
  <si>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</si>
  <si>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</si>
  <si>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</si>
  <si>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Contect Details ( Name &amp; Contect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</si>
  <si>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</si>
  <si>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</si>
  <si>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</si>
  <si>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</si>
  <si>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</si>
  <si>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</si>
  <si>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</si>
  <si>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</si>
  <si>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</si>
  <si>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</si>
  <si>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</si>
  <si>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</si>
  <si>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</si>
  <si>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</si>
  <si>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</si>
  <si>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</si>
  <si>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</si>
  <si>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</si>
  <si>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</si>
  <si>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</si>
  <si>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</si>
  <si>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</si>
  <si>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</si>
  <si>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</si>
  <si>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</si>
  <si>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</si>
  <si>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</si>
  <si>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</si>
  <si>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Approved Layout, Approved Building Plan, CC</t>
  </si>
  <si>
    <t>RERA No.</t>
  </si>
  <si>
    <t>Gross Carpet area</t>
  </si>
  <si>
    <t>Commencement Certificate No.</t>
  </si>
  <si>
    <t xml:space="preserve">Approved Floor plan No.  </t>
  </si>
  <si>
    <t>Axis Sanpada</t>
  </si>
  <si>
    <t>M/s.Jaykali Developers Private Limited</t>
  </si>
  <si>
    <t>Pokhran Road no.2</t>
  </si>
  <si>
    <t>Thane</t>
  </si>
  <si>
    <t>Thane West</t>
  </si>
  <si>
    <t>Next to hyundai Service Centre, Opp. TCS</t>
  </si>
  <si>
    <t xml:space="preserve">S.no.509 &amp; 510 (Pt), </t>
  </si>
  <si>
    <t>Survey No</t>
  </si>
  <si>
    <t>Plot No.</t>
  </si>
  <si>
    <t>Panchpakhadi</t>
  </si>
  <si>
    <t>Developed</t>
  </si>
  <si>
    <t>Upper Class</t>
  </si>
  <si>
    <t xml:space="preserve">Approved usage of the Property: Residential
(Restrictive Covenants in regard to Land Use, if any)                                                                                                                                                </t>
  </si>
  <si>
    <t>N</t>
  </si>
  <si>
    <t>8th &amp; 9th, 11th to 14th, 16th to 19th, 21st to 24th, 26th to 29th, 31st to 34th, 36th to 39th, 41st to 44th, 46th to 49th</t>
  </si>
  <si>
    <t>8th &amp; 9th, 11th to 14th, 16th to 19th, 21st to 24th, 26th to 29th, 31st to 34th, 36th to 39th, 41st to 44th, 46th to 49th Floor</t>
  </si>
  <si>
    <t>10th, 15th, 20th, 25th, 30th, 35th, 40th, 45th, 50th</t>
  </si>
  <si>
    <t>Refuge Area</t>
  </si>
  <si>
    <t>Basement -1 &amp; Basement-2 For Parking</t>
  </si>
  <si>
    <t>St(Pt)/Gr.(Pt) Floor &amp; Podium-1(Pt)/1st(Pt) Floor to Podium-5(Pt)/5th(Pt) Floor For Parking</t>
  </si>
  <si>
    <t>6th/Amenity Floor &amp; 7/Amenity Floor For Fitness Center</t>
  </si>
  <si>
    <t>Chawl</t>
  </si>
  <si>
    <t>Open</t>
  </si>
  <si>
    <t>About 6.4 Km from Thane Railway Station</t>
  </si>
  <si>
    <t>Accessibility to the Project from the City:
(Proximity to civic amenities like school, hospital, market)</t>
  </si>
  <si>
    <t>8,00,000/-</t>
  </si>
  <si>
    <t>Fire Check Floor Between 21st &amp; 22nd Floor</t>
  </si>
  <si>
    <t>Fire Check Floor Between 43rd &amp; 44th Floor</t>
  </si>
  <si>
    <t>Palas Demand for 17000/- on saleable &amp; 60% Loading</t>
  </si>
  <si>
    <t>Shapoorji Pallonji - Northern Lights</t>
  </si>
  <si>
    <t>28/02/2019.</t>
  </si>
  <si>
    <t>Name of the Building</t>
  </si>
  <si>
    <t>Building Type - T1</t>
  </si>
  <si>
    <t>Oyster - Shapoorji Pallonji Northern Lights (Tower T3).</t>
  </si>
  <si>
    <t>Building Type - T3</t>
  </si>
  <si>
    <t>2 BHK</t>
  </si>
  <si>
    <t>1 BHK</t>
  </si>
  <si>
    <t>3 BHK</t>
  </si>
  <si>
    <t>10th, 15th, 20th, 25th, 30th, 35th, 40th, 45th, 50th Floor. ( Part Refuge ).</t>
  </si>
  <si>
    <t>8th &amp; 9th, 11th to 14th, 16th to 19th, 21st Floors.</t>
  </si>
  <si>
    <t>22nd Floors. (Part Terrace area).</t>
  </si>
  <si>
    <t>10th, 15th, 20th Floors.  (Part Refuge area).</t>
  </si>
  <si>
    <t xml:space="preserve">T1 = SRA/ENG/009/Sec-4/STGL/AP   </t>
  </si>
  <si>
    <t xml:space="preserve">T3 = SRA/ENG/011/Sec-4/STGL/AP   </t>
  </si>
  <si>
    <t>4) Legal title of the property is not verified by us.</t>
  </si>
  <si>
    <t>5) Gross carpet area =  Net Carpet area + Fungible area.</t>
  </si>
  <si>
    <t>6) Fungible Area= Enclosed Balcony + Flower Bed + Covered Balcony + Service Slab + Duct + Chajja + Wheather Shed area.</t>
  </si>
  <si>
    <t>Saleable area</t>
  </si>
  <si>
    <t>Recommended rate of the flat Per Sq. Ft. ( on Saleable area)
Including All Other Charges</t>
  </si>
  <si>
    <t>Building Type - T2</t>
  </si>
  <si>
    <t>2BHK</t>
  </si>
  <si>
    <t>1BHK</t>
  </si>
  <si>
    <t>10th, 15th, 20th, 25th, 30th, 35th, 40th, 45th, 50th Floor</t>
  </si>
  <si>
    <t>Omega - Shapoorji Pallonji Northern Lights  (Tower T2)</t>
  </si>
  <si>
    <t>Orion - Shapoorji Pallonji Northern Lights (Tower T1)</t>
  </si>
  <si>
    <t xml:space="preserve">T2 = SRA/ENG/010/Sec-4/STGL/AP   </t>
  </si>
  <si>
    <t>03 Buildings</t>
  </si>
  <si>
    <r>
      <rPr>
        <b/>
        <sz val="11"/>
        <rFont val="Times New Roman"/>
        <family val="1"/>
      </rPr>
      <t>Orion</t>
    </r>
    <r>
      <rPr>
        <sz val="11"/>
        <rFont val="Times New Roman"/>
        <family val="1"/>
      </rPr>
      <t xml:space="preserve"> </t>
    </r>
    <r>
      <rPr>
        <b/>
        <sz val="11"/>
        <rFont val="Times New Roman"/>
        <family val="1"/>
      </rPr>
      <t>(Tower T1)
Omega (Tower T2)</t>
    </r>
    <r>
      <rPr>
        <sz val="11"/>
        <rFont val="Times New Roman"/>
        <family val="1"/>
      </rPr>
      <t xml:space="preserve">
</t>
    </r>
    <r>
      <rPr>
        <b/>
        <sz val="11"/>
        <rFont val="Times New Roman"/>
        <family val="1"/>
      </rPr>
      <t>Oyster</t>
    </r>
    <r>
      <rPr>
        <sz val="11"/>
        <rFont val="Times New Roman"/>
        <family val="1"/>
      </rPr>
      <t xml:space="preserve"> </t>
    </r>
    <r>
      <rPr>
        <b/>
        <sz val="11"/>
        <rFont val="Times New Roman"/>
        <family val="1"/>
      </rPr>
      <t>(Tower T3)</t>
    </r>
  </si>
  <si>
    <t>Orion (Tower T1) = P51700019864
Omega (Tower T2) = P51700019865
Oyster (Tower T3) = P51700020305</t>
  </si>
  <si>
    <r>
      <rPr>
        <sz val="11"/>
        <rFont val="Times New Roman"/>
        <family val="1"/>
      </rPr>
      <t>Orion (Tower T1), Omega (Tower T2), Oyster (Tower T3),</t>
    </r>
    <r>
      <rPr>
        <sz val="11"/>
        <color indexed="8"/>
        <rFont val="Times New Roman"/>
        <family val="1"/>
      </rPr>
      <t xml:space="preserve"> Shapoorji Pallonji - Northern Lights, S.no.509 &amp; 510 (Pt), Pokhran Road no.2, Next to hyundai Service Centre, Opp. TCS, Panchpakhadi, Thane West, Thane.</t>
    </r>
  </si>
  <si>
    <t>Expected Completion
As per RERA</t>
  </si>
  <si>
    <t xml:space="preserve">PHOTOGRAPHS OF PROPERTY : 
</t>
  </si>
  <si>
    <t>Quality of construction: NA</t>
  </si>
  <si>
    <t>Pratiksha</t>
  </si>
  <si>
    <t>Market Research Data</t>
  </si>
  <si>
    <t>Source</t>
  </si>
  <si>
    <t>Distance from proposed property</t>
  </si>
  <si>
    <t>Net Carpet</t>
  </si>
  <si>
    <t>Saleable Area</t>
  </si>
  <si>
    <t>Rate on Saleable</t>
  </si>
  <si>
    <t>Market Value</t>
  </si>
  <si>
    <t>99 Acres</t>
  </si>
  <si>
    <t>Average</t>
  </si>
  <si>
    <t xml:space="preserve">Valuation Adopted </t>
  </si>
  <si>
    <t>Magicbrick</t>
  </si>
  <si>
    <t>Internal Visit was not allowed. Construction details provided by Miss. Prerna Dokwal (8879354812)</t>
  </si>
  <si>
    <t>Excavation in process</t>
  </si>
  <si>
    <t>Excavation Completed</t>
  </si>
  <si>
    <t>Footing in Process</t>
  </si>
  <si>
    <t>Footing Completed</t>
  </si>
  <si>
    <t>Plinth in process</t>
  </si>
  <si>
    <t>Plinth completed</t>
  </si>
  <si>
    <t>3BHK</t>
  </si>
  <si>
    <t>Tower 1, 2 &amp; 3</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</si>
  <si>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</si>
  <si>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</si>
  <si>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</si>
  <si>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</si>
  <si>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</si>
  <si>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</si>
  <si>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</si>
  <si>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</si>
  <si>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</si>
  <si>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</si>
  <si>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</si>
  <si>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</si>
  <si>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</si>
  <si>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</si>
  <si>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</si>
  <si>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</si>
  <si>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</si>
  <si>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</si>
  <si>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</si>
  <si>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</si>
  <si>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</si>
  <si>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</si>
  <si>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</si>
  <si>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</si>
  <si>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</si>
  <si>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</si>
  <si>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</si>
  <si>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</si>
  <si>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Orion (Tower T1) = BA-2 + BA-1 + St(Pt)/Gr.(Pt) + P-1(Pt)/1st(Pt) to P-5(Pt)/5th(Pt) + 6th/Amenity + 7/Amenity + 8th to 50th Floors.</t>
  </si>
  <si>
    <t>Omega (Tower T2) = BA-2 + BA-1 + St(Pt)/Gr.(Pt) + P-1(Pt)/1st(Pt) to P-5(Pt)/5th(Pt)  + 6th/Amenity + 7/Amenity + 8th to 50th Floors.</t>
  </si>
  <si>
    <t>Oyster ( Tower T3) = BA-2 + BA-1 + St(Pt)/Gr.(Pt) + P-1(Pt)/1st(Pt) to P-5(Pt)/5th(Pt)  + 6th/Amenity + 7/Amenity + 8th to 22nd Floors.</t>
  </si>
  <si>
    <t>Material laying at Site: Brick, Sand, Cement etc</t>
  </si>
  <si>
    <t>Wheather the construction is as per approved Building plan : Under Construction</t>
  </si>
  <si>
    <r>
      <rPr>
        <b/>
        <sz val="11"/>
        <color indexed="8"/>
        <rFont val="Times New Roman"/>
        <family val="1"/>
      </rPr>
      <t>Orion (Tower T1</t>
    </r>
    <r>
      <rPr>
        <sz val="11"/>
        <color indexed="8"/>
        <rFont val="Times New Roman"/>
        <family val="1"/>
      </rPr>
      <t xml:space="preserve">) = BA-2 + BA-1 + St(Pt)/Gr.(Pt) +  P-1(Pt)/1st(Pt) to P-5(Pt)/5th(Pt)  + 6th/Amenity + 7/Amenity + 8th to 50th Floors.
</t>
    </r>
    <r>
      <rPr>
        <b/>
        <sz val="11"/>
        <rFont val="Times New Roman"/>
        <family val="1"/>
      </rPr>
      <t>Omega (Tower T2)</t>
    </r>
    <r>
      <rPr>
        <sz val="11"/>
        <color indexed="8"/>
        <rFont val="Times New Roman"/>
        <family val="1"/>
      </rPr>
      <t xml:space="preserve"> = BA-2 + BA-1 + St(Pt)/Gr.(Pt) +  P-1(Pt)/1st(Pt) to P-5(Pt)/5th(Pt)  + 6th/Amenity + 7/Amenity + 8th to 50th Floors.
</t>
    </r>
    <r>
      <rPr>
        <b/>
        <sz val="11"/>
        <color indexed="8"/>
        <rFont val="Times New Roman"/>
        <family val="1"/>
      </rPr>
      <t>Oyster ( Tower T3)</t>
    </r>
    <r>
      <rPr>
        <sz val="11"/>
        <color indexed="8"/>
        <rFont val="Times New Roman"/>
        <family val="1"/>
      </rPr>
      <t xml:space="preserve"> = BA-2 + BA-1 + St(Pt)/Gr.(Pt) +  P-1(Pt)/1st(Pt) to P-5(Pt)/5th(Pt)  + 6th/Amenity + 7/Amenity + 8th to 22nd Floors.</t>
    </r>
  </si>
  <si>
    <t>SRA/ENG/011/Sec-4/STGL/AP                                                                                                                Valid Up to:  This C.C. is further extended from Basement-1 top level i.e. Stilt/Ground bottom level upto Podium5(pt)/ 5th(pt) Top Level of sale building T3 as per approved amended plans dtd.12/08/2021.</t>
  </si>
  <si>
    <t>Location Link</t>
  </si>
  <si>
    <t>https://goo.gl/maps/NcPvJDyjb2dVSpxx7?coh=178572&amp;entry=tt</t>
  </si>
  <si>
    <t xml:space="preserve">Office No. 1031, Wing J, Akshar Business Park, Plot No. 03 Sector 25, Near APMC Market,
Vashi, Navi Mumbai, Maharashtra 400703 TEL: 022-46090378/79/80                                                                                                                  E mail : vsjcapf@gmail.com. Web site : www.vsjadon.com </t>
  </si>
  <si>
    <t>SRA/ENG/009/Sec-4/STGL/AP                                                                                                                Valid Up to:This C.C. is further extended from Basement-1 top level i.e.Stilt/Ground bottom level to Podium 5(Pt)/5th (Pt) floor top level of Sale bldg T1 as per approved amended plans dtd.12/08/2021.</t>
  </si>
  <si>
    <t>SRA/ENG/010/Sec-4/STGL/AP                                                                                                                Valid Up to: This CC is further extended from Podium 5(Pt)/5th (Pt) top level to 7th/Amenity-2 top floor level of Sale Bldg T2 as per approved amended plans dtd.12/08/2021.</t>
  </si>
  <si>
    <t>19.21664,72.97352</t>
  </si>
  <si>
    <t xml:space="preserve">as per mar 2024 arch letter </t>
  </si>
  <si>
    <t xml:space="preserve">Remarks:  
1. T1- Orion, T2- Omega &amp; T3- Oyster = Construction work was stopped. Work is same as last visit(10/06/2024).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Car parking is subjected to authentic documentation.
7. Please Provide Revised Approved CC.
8. We have updated C.C of Tower T3  (on 06/12/2022).
9. We have updated revised CC for Tower T1 &amp; T2 from Rera (On 20/03/2024).
7. Details of project are collected from Mr. Nivis Pereira CRM 9987644427
</t>
  </si>
  <si>
    <t>Orion (Tower T1) = 30/03/2029
Omega (Tower T2) = 30/03/2029
Oyster ( Tower T3) = 30/09/2029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</si>
</sst>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sz val="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1"/>
      <color rgb="FF000000"/>
      <name val="Times New Roman"/>
      <family val="1"/>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2" fillId="0" borderId="0"/>
    <xf numFmtId="0" fontId="23" fillId="0" borderId="0" applyNumberFormat="0" applyFill="0" applyBorder="0" applyAlignment="0" applyProtection="0"/>
  </cellStyleXfs>
  <cellXfs count="219">
    <xf numFmtId="0" fontId="0" fillId="0" borderId="0" xfId="0"/>
    <xf numFmtId="0" fontId="2" fillId="0" borderId="0" xfId="2"/>
    <xf numFmtId="0" fontId="4" fillId="0" borderId="1" xfId="0" applyFont="1" applyBorder="1" applyAlignment="1">
      <alignment vertical="top"/>
    </xf>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1" fontId="13" fillId="0" borderId="2" xfId="0" applyNumberFormat="1" applyFont="1" applyBorder="1" applyAlignment="1">
      <alignment horizontal="center" vertical="top"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3" fillId="0" borderId="0" xfId="0" applyFont="1" applyAlignment="1">
      <alignment vertical="top"/>
    </xf>
    <xf numFmtId="0" fontId="18" fillId="0" borderId="0" xfId="0" applyFont="1" applyAlignment="1">
      <alignment horizontal="left" vertical="top"/>
    </xf>
    <xf numFmtId="0" fontId="19" fillId="0" borderId="0" xfId="0" applyFont="1"/>
    <xf numFmtId="0" fontId="4" fillId="2" borderId="2" xfId="0" applyFont="1" applyFill="1" applyBorder="1" applyAlignment="1">
      <alignment horizontal="left" vertical="top"/>
    </xf>
    <xf numFmtId="0" fontId="17" fillId="0" borderId="0" xfId="0" applyFont="1"/>
    <xf numFmtId="0" fontId="3" fillId="0" borderId="0" xfId="0" applyFont="1" applyAlignment="1">
      <alignment vertical="top"/>
    </xf>
    <xf numFmtId="0" fontId="0" fillId="3" borderId="0" xfId="0" applyFill="1"/>
    <xf numFmtId="1" fontId="10" fillId="0" borderId="5" xfId="0" applyNumberFormat="1" applyFont="1" applyBorder="1" applyAlignment="1">
      <alignment horizontal="center" vertical="center" wrapText="1"/>
    </xf>
    <xf numFmtId="1" fontId="0" fillId="0" borderId="0" xfId="0" applyNumberFormat="1"/>
    <xf numFmtId="0" fontId="3" fillId="0" borderId="0" xfId="0" applyFont="1" applyAlignment="1">
      <alignment horizontal="center" vertical="top" wrapText="1"/>
    </xf>
    <xf numFmtId="14" fontId="0" fillId="0" borderId="0" xfId="0" applyNumberFormat="1"/>
    <xf numFmtId="14" fontId="1" fillId="0" borderId="0" xfId="3" applyNumberFormat="1"/>
    <xf numFmtId="0" fontId="1" fillId="0" borderId="0" xfId="3"/>
    <xf numFmtId="0" fontId="15" fillId="0" borderId="0" xfId="4"/>
    <xf numFmtId="0" fontId="16" fillId="0" borderId="2" xfId="4" applyFont="1" applyBorder="1" applyAlignment="1">
      <alignment horizontal="center" vertical="top" wrapText="1"/>
    </xf>
    <xf numFmtId="0" fontId="15" fillId="0" borderId="2" xfId="4" applyBorder="1" applyAlignment="1">
      <alignment horizontal="center" vertical="center"/>
    </xf>
    <xf numFmtId="1" fontId="15" fillId="0" borderId="2" xfId="4" applyNumberFormat="1" applyBorder="1" applyAlignment="1">
      <alignment horizontal="center" vertical="center"/>
    </xf>
    <xf numFmtId="165" fontId="15" fillId="0" borderId="2" xfId="1" applyNumberFormat="1" applyFont="1" applyBorder="1" applyAlignment="1">
      <alignment horizontal="right" vertical="center"/>
    </xf>
    <xf numFmtId="0" fontId="16" fillId="0" borderId="2" xfId="4" applyFont="1" applyBorder="1" applyAlignment="1">
      <alignment horizontal="center" vertical="center"/>
    </xf>
    <xf numFmtId="1" fontId="17" fillId="0" borderId="2" xfId="4" applyNumberFormat="1" applyFont="1" applyBorder="1" applyAlignment="1">
      <alignment horizontal="center" vertical="center"/>
    </xf>
    <xf numFmtId="0" fontId="1" fillId="0" borderId="2" xfId="3" applyBorder="1" applyAlignment="1">
      <alignment horizontal="center" vertical="center"/>
    </xf>
    <xf numFmtId="0" fontId="20" fillId="0" borderId="0" xfId="3" applyFont="1"/>
    <xf numFmtId="0" fontId="21" fillId="0" borderId="6" xfId="0" applyFont="1" applyBorder="1" applyProtection="1">
      <protection hidden="1"/>
    </xf>
    <xf numFmtId="9" fontId="21" fillId="0" borderId="0" xfId="0" applyNumberFormat="1" applyFont="1" applyProtection="1">
      <protection hidden="1"/>
    </xf>
    <xf numFmtId="9" fontId="21" fillId="0" borderId="7" xfId="0" applyNumberFormat="1" applyFont="1" applyBorder="1" applyProtection="1">
      <protection hidden="1"/>
    </xf>
    <xf numFmtId="0" fontId="21" fillId="0" borderId="8" xfId="0" applyFont="1" applyBorder="1" applyProtection="1">
      <protection hidden="1"/>
    </xf>
    <xf numFmtId="9" fontId="21" fillId="0" borderId="9" xfId="0" applyNumberFormat="1" applyFont="1" applyBorder="1" applyProtection="1">
      <protection hidden="1"/>
    </xf>
    <xf numFmtId="9" fontId="21" fillId="0" borderId="10" xfId="0" applyNumberFormat="1" applyFont="1" applyBorder="1" applyProtection="1">
      <protection hidden="1"/>
    </xf>
    <xf numFmtId="0" fontId="15" fillId="0" borderId="2" xfId="4" applyBorder="1" applyAlignment="1">
      <alignment horizontal="left" vertical="center"/>
    </xf>
    <xf numFmtId="0" fontId="21" fillId="0" borderId="0" xfId="6" applyFont="1" applyProtection="1">
      <protection hidden="1"/>
    </xf>
    <xf numFmtId="9" fontId="21" fillId="0" borderId="0" xfId="6" applyNumberFormat="1" applyFont="1" applyProtection="1">
      <protection hidden="1"/>
    </xf>
    <xf numFmtId="0" fontId="21" fillId="0" borderId="7" xfId="6" applyFont="1" applyBorder="1" applyProtection="1">
      <protection hidden="1"/>
    </xf>
    <xf numFmtId="0" fontId="21" fillId="0" borderId="9" xfId="6" applyFont="1" applyBorder="1" applyProtection="1">
      <protection hidden="1"/>
    </xf>
    <xf numFmtId="9" fontId="21" fillId="0" borderId="9" xfId="6" applyNumberFormat="1" applyFont="1" applyBorder="1" applyProtection="1">
      <protection hidden="1"/>
    </xf>
    <xf numFmtId="0" fontId="18" fillId="0" borderId="19" xfId="5" applyFont="1" applyBorder="1" applyProtection="1">
      <protection hidden="1"/>
    </xf>
    <xf numFmtId="0" fontId="18" fillId="0" borderId="20" xfId="5" applyFont="1" applyBorder="1" applyProtection="1">
      <protection hidden="1"/>
    </xf>
    <xf numFmtId="0" fontId="18" fillId="0" borderId="0" xfId="5" applyFont="1" applyProtection="1">
      <protection hidden="1"/>
    </xf>
    <xf numFmtId="0" fontId="18" fillId="0" borderId="7" xfId="5" applyFont="1" applyBorder="1" applyProtection="1">
      <protection hidden="1"/>
    </xf>
    <xf numFmtId="0" fontId="18" fillId="0" borderId="0" xfId="5" applyFont="1"/>
    <xf numFmtId="0" fontId="18" fillId="0" borderId="7" xfId="5" applyFont="1" applyBorder="1"/>
    <xf numFmtId="1" fontId="22" fillId="0" borderId="7" xfId="6" applyNumberFormat="1" applyBorder="1"/>
    <xf numFmtId="1" fontId="22" fillId="0" borderId="0" xfId="6" applyNumberFormat="1"/>
    <xf numFmtId="166" fontId="22" fillId="0" borderId="0" xfId="6" applyNumberFormat="1"/>
    <xf numFmtId="1" fontId="22" fillId="0" borderId="7" xfId="6" applyNumberFormat="1" applyBorder="1" applyAlignment="1">
      <alignment horizontal="right"/>
    </xf>
    <xf numFmtId="0" fontId="22" fillId="0" borderId="0" xfId="6"/>
    <xf numFmtId="0" fontId="22" fillId="0" borderId="7" xfId="6" applyBorder="1"/>
    <xf numFmtId="1" fontId="22" fillId="0" borderId="10" xfId="6" applyNumberFormat="1" applyBorder="1"/>
    <xf numFmtId="0" fontId="9" fillId="0" borderId="2" xfId="5" applyFont="1" applyBorder="1" applyAlignment="1" applyProtection="1">
      <alignment horizontal="center" wrapText="1"/>
      <protection locked="0"/>
    </xf>
    <xf numFmtId="1" fontId="9" fillId="0" borderId="2" xfId="5" applyNumberFormat="1" applyFont="1" applyBorder="1" applyAlignment="1" applyProtection="1">
      <alignment horizontal="center" wrapText="1"/>
      <protection locked="0"/>
    </xf>
    <xf numFmtId="0" fontId="9" fillId="0" borderId="2" xfId="5" applyFont="1" applyBorder="1" applyAlignment="1" applyProtection="1">
      <alignment horizontal="center" vertical="top" wrapText="1"/>
      <protection locked="0"/>
    </xf>
    <xf numFmtId="0" fontId="9" fillId="0" borderId="2" xfId="5" applyFont="1" applyBorder="1" applyAlignment="1" applyProtection="1">
      <alignment horizontal="center" vertical="top"/>
      <protection locked="0"/>
    </xf>
    <xf numFmtId="14" fontId="4" fillId="0" borderId="2" xfId="0" applyNumberFormat="1" applyFont="1" applyBorder="1" applyAlignment="1">
      <alignment horizontal="center" vertical="top"/>
    </xf>
    <xf numFmtId="2" fontId="0" fillId="0" borderId="0" xfId="0" applyNumberFormat="1"/>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4" fillId="0" borderId="11" xfId="0" applyFont="1" applyBorder="1" applyAlignment="1">
      <alignment horizontal="left" vertical="top" wrapText="1"/>
    </xf>
    <xf numFmtId="0" fontId="3" fillId="0" borderId="1" xfId="0" applyFont="1" applyBorder="1" applyAlignment="1">
      <alignment horizontal="center" vertical="top"/>
    </xf>
    <xf numFmtId="0" fontId="3" fillId="0" borderId="18" xfId="0" applyFont="1" applyBorder="1" applyAlignment="1">
      <alignment horizontal="center" vertical="top"/>
    </xf>
    <xf numFmtId="0" fontId="3" fillId="0" borderId="11" xfId="0" applyFont="1" applyBorder="1" applyAlignment="1">
      <alignment horizontal="center" vertical="top"/>
    </xf>
    <xf numFmtId="0" fontId="5" fillId="0" borderId="1" xfId="0" applyFont="1" applyBorder="1" applyAlignment="1">
      <alignment horizontal="left" vertical="top"/>
    </xf>
    <xf numFmtId="0" fontId="5" fillId="0" borderId="18" xfId="0" applyFont="1" applyBorder="1" applyAlignment="1">
      <alignment horizontal="left" vertical="top"/>
    </xf>
    <xf numFmtId="0" fontId="5" fillId="0" borderId="11" xfId="0" applyFont="1" applyBorder="1" applyAlignment="1">
      <alignment horizontal="left" vertical="top"/>
    </xf>
    <xf numFmtId="14" fontId="4" fillId="0" borderId="1" xfId="0" applyNumberFormat="1" applyFont="1" applyBorder="1" applyAlignment="1">
      <alignment horizontal="left" vertical="top"/>
    </xf>
    <xf numFmtId="14" fontId="4" fillId="0" borderId="18" xfId="0" applyNumberFormat="1" applyFont="1" applyBorder="1" applyAlignment="1">
      <alignment horizontal="left" vertical="top"/>
    </xf>
    <xf numFmtId="14" fontId="4" fillId="0" borderId="11" xfId="0" applyNumberFormat="1" applyFont="1" applyBorder="1" applyAlignment="1">
      <alignment horizontal="left" vertical="top"/>
    </xf>
    <xf numFmtId="0" fontId="4" fillId="0" borderId="1" xfId="0" applyFont="1" applyBorder="1" applyAlignment="1">
      <alignment horizontal="left" vertical="top"/>
    </xf>
    <xf numFmtId="0" fontId="4" fillId="0" borderId="18" xfId="0" applyFont="1" applyBorder="1" applyAlignment="1">
      <alignment horizontal="left" vertical="top"/>
    </xf>
    <xf numFmtId="0" fontId="4" fillId="0" borderId="11" xfId="0" applyFont="1" applyBorder="1" applyAlignment="1">
      <alignment horizontal="left" vertical="top"/>
    </xf>
    <xf numFmtId="14" fontId="4" fillId="2" borderId="1" xfId="0" applyNumberFormat="1" applyFont="1" applyFill="1" applyBorder="1" applyAlignment="1">
      <alignment horizontal="left" vertical="top"/>
    </xf>
    <xf numFmtId="14" fontId="4" fillId="2" borderId="18" xfId="0" applyNumberFormat="1" applyFont="1" applyFill="1" applyBorder="1" applyAlignment="1">
      <alignment horizontal="left" vertical="top"/>
    </xf>
    <xf numFmtId="14" fontId="4" fillId="2" borderId="11" xfId="0" applyNumberFormat="1" applyFont="1" applyFill="1" applyBorder="1" applyAlignment="1">
      <alignment horizontal="left" vertical="top"/>
    </xf>
    <xf numFmtId="0" fontId="10" fillId="2" borderId="1"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1" xfId="0" applyFont="1" applyFill="1" applyBorder="1" applyAlignment="1">
      <alignment horizontal="left" vertical="top" wrapText="1"/>
    </xf>
    <xf numFmtId="0" fontId="5" fillId="0" borderId="1" xfId="0" applyFont="1" applyBorder="1" applyAlignment="1">
      <alignment horizontal="center" vertical="top"/>
    </xf>
    <xf numFmtId="0" fontId="5" fillId="0" borderId="11" xfId="0" applyFont="1" applyBorder="1" applyAlignment="1">
      <alignment horizontal="center"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left" vertical="top"/>
    </xf>
    <xf numFmtId="0" fontId="3" fillId="0" borderId="11" xfId="0" applyFont="1" applyBorder="1" applyAlignment="1">
      <alignment horizontal="left" vertical="top"/>
    </xf>
    <xf numFmtId="0" fontId="9" fillId="0" borderId="1" xfId="0" applyFont="1" applyBorder="1" applyAlignment="1">
      <alignment horizontal="left" vertical="top" wrapText="1"/>
    </xf>
    <xf numFmtId="0" fontId="9" fillId="0" borderId="18" xfId="0" applyFont="1" applyBorder="1" applyAlignment="1">
      <alignment horizontal="left" vertical="top" wrapText="1"/>
    </xf>
    <xf numFmtId="0" fontId="9" fillId="0" borderId="11"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3" xfId="0" applyFont="1" applyBorder="1" applyAlignment="1">
      <alignment horizontal="left" vertical="top" wrapText="1"/>
    </xf>
    <xf numFmtId="0" fontId="4" fillId="0" borderId="17" xfId="0" applyFont="1" applyBorder="1" applyAlignment="1">
      <alignment horizontal="left" vertical="top" wrapText="1"/>
    </xf>
    <xf numFmtId="0" fontId="9" fillId="0" borderId="1" xfId="0" applyFont="1" applyBorder="1" applyAlignment="1">
      <alignment vertical="top"/>
    </xf>
    <xf numFmtId="0" fontId="9" fillId="0" borderId="18" xfId="0" applyFont="1" applyBorder="1" applyAlignment="1">
      <alignment vertical="top"/>
    </xf>
    <xf numFmtId="0" fontId="9" fillId="0" borderId="11" xfId="0" applyFont="1" applyBorder="1" applyAlignment="1">
      <alignment vertical="top"/>
    </xf>
    <xf numFmtId="0" fontId="4" fillId="0" borderId="1"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left"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16" xfId="0" applyFont="1" applyBorder="1" applyAlignment="1">
      <alignment horizontal="left" vertical="top"/>
    </xf>
    <xf numFmtId="0" fontId="4" fillId="0" borderId="3" xfId="0" applyFont="1" applyBorder="1" applyAlignment="1">
      <alignment horizontal="left" vertical="top"/>
    </xf>
    <xf numFmtId="0" fontId="4" fillId="0" borderId="17" xfId="0" applyFont="1" applyBorder="1" applyAlignment="1">
      <alignment horizontal="left" vertical="top"/>
    </xf>
    <xf numFmtId="0" fontId="9" fillId="0" borderId="1" xfId="0" applyFont="1" applyBorder="1" applyAlignment="1">
      <alignment vertical="top" wrapText="1"/>
    </xf>
    <xf numFmtId="0" fontId="9" fillId="0" borderId="18" xfId="0" applyFont="1" applyBorder="1" applyAlignment="1">
      <alignment vertical="top" wrapText="1"/>
    </xf>
    <xf numFmtId="0" fontId="9" fillId="0" borderId="11" xfId="0" applyFont="1" applyBorder="1" applyAlignment="1">
      <alignment vertical="top" wrapText="1"/>
    </xf>
    <xf numFmtId="0" fontId="4" fillId="2" borderId="2" xfId="0" applyFont="1" applyFill="1" applyBorder="1" applyAlignment="1">
      <alignment horizontal="left" vertical="top" wrapText="1"/>
    </xf>
    <xf numFmtId="0" fontId="12" fillId="0" borderId="1" xfId="0" applyFont="1" applyBorder="1" applyAlignment="1">
      <alignment horizontal="center" vertical="top"/>
    </xf>
    <xf numFmtId="0" fontId="12" fillId="0" borderId="18" xfId="0" applyFont="1" applyBorder="1" applyAlignment="1">
      <alignment horizontal="center" vertical="top"/>
    </xf>
    <xf numFmtId="0" fontId="12" fillId="0" borderId="11" xfId="0" applyFont="1" applyBorder="1" applyAlignment="1">
      <alignment horizontal="center" vertical="top"/>
    </xf>
    <xf numFmtId="1" fontId="6" fillId="0" borderId="1"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18" xfId="0" applyNumberFormat="1" applyFont="1" applyBorder="1" applyAlignment="1">
      <alignment horizontal="center" vertical="top" wrapText="1"/>
    </xf>
    <xf numFmtId="1" fontId="6" fillId="0" borderId="11" xfId="0" applyNumberFormat="1" applyFont="1" applyBorder="1" applyAlignment="1">
      <alignment horizontal="center" vertical="top" wrapText="1"/>
    </xf>
    <xf numFmtId="1" fontId="10" fillId="0" borderId="1"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0" fontId="4" fillId="2" borderId="18" xfId="0" applyFont="1" applyFill="1" applyBorder="1" applyAlignment="1">
      <alignment horizontal="left" vertical="top"/>
    </xf>
    <xf numFmtId="0" fontId="4" fillId="2" borderId="11" xfId="0" applyFont="1" applyFill="1" applyBorder="1" applyAlignment="1">
      <alignment horizontal="left" vertical="top"/>
    </xf>
    <xf numFmtId="0" fontId="7" fillId="0" borderId="18" xfId="0" applyFont="1" applyBorder="1" applyAlignment="1">
      <alignment horizontal="left" vertical="top"/>
    </xf>
    <xf numFmtId="0" fontId="7" fillId="0" borderId="11" xfId="0" applyFont="1" applyBorder="1" applyAlignment="1">
      <alignment horizontal="left" vertical="top"/>
    </xf>
    <xf numFmtId="0" fontId="4" fillId="2" borderId="1" xfId="0" applyFont="1" applyFill="1" applyBorder="1" applyAlignment="1">
      <alignment horizontal="left" vertical="top"/>
    </xf>
    <xf numFmtId="0" fontId="5" fillId="0" borderId="1" xfId="0" applyFont="1" applyBorder="1" applyAlignment="1">
      <alignment vertical="top"/>
    </xf>
    <xf numFmtId="0" fontId="5" fillId="0" borderId="18" xfId="0" applyFont="1" applyBorder="1" applyAlignment="1">
      <alignment vertical="top"/>
    </xf>
    <xf numFmtId="0" fontId="5" fillId="0" borderId="11" xfId="0" applyFont="1" applyBorder="1" applyAlignment="1">
      <alignment vertical="top"/>
    </xf>
    <xf numFmtId="0" fontId="8" fillId="0" borderId="12" xfId="2" applyFont="1" applyBorder="1" applyAlignment="1">
      <alignment horizontal="left" vertical="top" wrapText="1"/>
    </xf>
    <xf numFmtId="0" fontId="8" fillId="0" borderId="5" xfId="2" applyFont="1" applyBorder="1" applyAlignment="1">
      <alignment horizontal="left" vertical="top" wrapText="1"/>
    </xf>
    <xf numFmtId="0" fontId="8" fillId="0" borderId="13" xfId="2" applyFont="1" applyBorder="1" applyAlignment="1">
      <alignment horizontal="left" vertical="top" wrapText="1"/>
    </xf>
    <xf numFmtId="0" fontId="4" fillId="0" borderId="2" xfId="0" applyFont="1" applyBorder="1" applyAlignment="1">
      <alignment horizontal="left" vertical="top"/>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5"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1" fontId="10" fillId="0" borderId="18" xfId="0" applyNumberFormat="1" applyFont="1" applyBorder="1" applyAlignment="1">
      <alignment horizontal="center" vertical="center" wrapText="1"/>
    </xf>
    <xf numFmtId="0" fontId="23" fillId="0" borderId="1" xfId="7" applyBorder="1" applyAlignment="1">
      <alignment horizontal="left" vertical="top"/>
    </xf>
    <xf numFmtId="0" fontId="3" fillId="0" borderId="1" xfId="0" applyFont="1" applyBorder="1" applyAlignment="1">
      <alignment horizontal="center" vertical="top" wrapText="1"/>
    </xf>
    <xf numFmtId="0" fontId="3" fillId="0" borderId="18" xfId="0" applyFont="1" applyBorder="1" applyAlignment="1">
      <alignment horizontal="center" vertical="top" wrapText="1"/>
    </xf>
    <xf numFmtId="0" fontId="3" fillId="0" borderId="11" xfId="0" applyFont="1" applyBorder="1" applyAlignment="1">
      <alignment horizontal="center" vertical="top" wrapText="1"/>
    </xf>
    <xf numFmtId="0" fontId="9" fillId="0" borderId="18" xfId="0" applyFont="1" applyBorder="1" applyAlignment="1">
      <alignment horizontal="left" vertical="top"/>
    </xf>
    <xf numFmtId="0" fontId="9" fillId="0" borderId="11" xfId="0" applyFont="1" applyBorder="1" applyAlignment="1">
      <alignment horizontal="left" vertical="top"/>
    </xf>
    <xf numFmtId="0" fontId="4" fillId="2" borderId="1" xfId="0" applyFont="1" applyFill="1" applyBorder="1" applyAlignment="1">
      <alignment horizontal="center" vertical="top"/>
    </xf>
    <xf numFmtId="0" fontId="4" fillId="2" borderId="18" xfId="0" applyFont="1" applyFill="1" applyBorder="1" applyAlignment="1">
      <alignment horizontal="center" vertical="top"/>
    </xf>
    <xf numFmtId="0" fontId="4" fillId="2" borderId="11" xfId="0" applyFont="1" applyFill="1" applyBorder="1" applyAlignment="1">
      <alignment horizontal="center" vertical="top"/>
    </xf>
    <xf numFmtId="0" fontId="4" fillId="0" borderId="1" xfId="0" applyFont="1" applyBorder="1" applyAlignment="1">
      <alignment vertical="top"/>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16" xfId="0" applyFont="1" applyBorder="1" applyAlignment="1">
      <alignment horizontal="left" vertical="top" wrapText="1"/>
    </xf>
    <xf numFmtId="0" fontId="5" fillId="0" borderId="3" xfId="0" applyFont="1" applyBorder="1" applyAlignment="1">
      <alignment horizontal="left" vertical="top" wrapText="1"/>
    </xf>
    <xf numFmtId="0" fontId="5" fillId="0" borderId="17" xfId="0" applyFont="1" applyBorder="1" applyAlignment="1">
      <alignment horizontal="left" vertical="top" wrapText="1"/>
    </xf>
    <xf numFmtId="0" fontId="9" fillId="0" borderId="12" xfId="0" applyFont="1" applyBorder="1" applyAlignment="1">
      <alignment horizontal="left" vertical="top" wrapText="1"/>
    </xf>
    <xf numFmtId="0" fontId="9" fillId="0" borderId="5" xfId="0" applyFont="1" applyBorder="1" applyAlignment="1">
      <alignment horizontal="left" vertical="top" wrapText="1"/>
    </xf>
    <xf numFmtId="0" fontId="9" fillId="0" borderId="13" xfId="0" applyFont="1" applyBorder="1" applyAlignment="1">
      <alignment horizontal="left" vertical="top" wrapText="1"/>
    </xf>
    <xf numFmtId="0" fontId="8" fillId="0" borderId="12"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0" xfId="0" applyFont="1" applyAlignment="1">
      <alignment vertical="top" wrapText="1"/>
    </xf>
    <xf numFmtId="0" fontId="8" fillId="0" borderId="15" xfId="0" applyFont="1" applyBorder="1" applyAlignment="1">
      <alignment vertical="top" wrapText="1"/>
    </xf>
    <xf numFmtId="0" fontId="4" fillId="0" borderId="18" xfId="0" applyFont="1" applyBorder="1" applyAlignment="1">
      <alignment horizontal="center" vertical="top"/>
    </xf>
    <xf numFmtId="0" fontId="9" fillId="0" borderId="2" xfId="5" applyFont="1" applyBorder="1" applyAlignment="1" applyProtection="1">
      <alignment horizontal="center" vertical="top" wrapText="1"/>
      <protection locked="0"/>
    </xf>
    <xf numFmtId="0" fontId="3" fillId="0" borderId="1" xfId="0" applyFont="1" applyBorder="1" applyAlignment="1">
      <alignment vertical="top"/>
    </xf>
    <xf numFmtId="0" fontId="3" fillId="0" borderId="18" xfId="0" applyFont="1" applyBorder="1" applyAlignment="1">
      <alignment vertical="top"/>
    </xf>
    <xf numFmtId="0" fontId="3" fillId="0" borderId="11" xfId="0" applyFont="1" applyBorder="1" applyAlignment="1">
      <alignment vertical="top"/>
    </xf>
    <xf numFmtId="0" fontId="9" fillId="0" borderId="2" xfId="0" applyFont="1" applyBorder="1" applyAlignment="1">
      <alignment horizontal="left" vertical="top"/>
    </xf>
    <xf numFmtId="9" fontId="9" fillId="2" borderId="2" xfId="5" applyNumberFormat="1" applyFont="1" applyFill="1" applyBorder="1" applyAlignment="1" applyProtection="1">
      <alignment horizontal="center" vertical="center" wrapText="1"/>
      <protection hidden="1"/>
    </xf>
    <xf numFmtId="0" fontId="18" fillId="0" borderId="2" xfId="0" applyFont="1" applyBorder="1" applyAlignment="1">
      <alignment horizontal="left" vertical="top" wrapText="1"/>
    </xf>
    <xf numFmtId="1" fontId="3" fillId="0" borderId="1" xfId="0" applyNumberFormat="1" applyFont="1" applyBorder="1" applyAlignment="1">
      <alignment horizontal="center" vertical="top" wrapText="1"/>
    </xf>
    <xf numFmtId="1" fontId="3" fillId="0" borderId="11" xfId="0" applyNumberFormat="1" applyFont="1" applyBorder="1" applyAlignment="1">
      <alignment horizontal="center" vertical="top" wrapText="1"/>
    </xf>
    <xf numFmtId="0" fontId="7" fillId="0" borderId="1" xfId="0" applyFont="1" applyBorder="1" applyAlignment="1">
      <alignment horizontal="left" vertical="top"/>
    </xf>
    <xf numFmtId="0" fontId="3" fillId="2" borderId="1" xfId="0" applyFont="1" applyFill="1" applyBorder="1" applyAlignment="1">
      <alignment horizontal="left" vertical="top"/>
    </xf>
    <xf numFmtId="0" fontId="3" fillId="2" borderId="18" xfId="0" applyFont="1" applyFill="1" applyBorder="1" applyAlignment="1">
      <alignment horizontal="left" vertical="top"/>
    </xf>
    <xf numFmtId="0" fontId="3" fillId="2" borderId="11" xfId="0" applyFont="1" applyFill="1" applyBorder="1" applyAlignment="1">
      <alignment horizontal="left" vertical="top"/>
    </xf>
    <xf numFmtId="0" fontId="3" fillId="0" borderId="1" xfId="0" applyFont="1" applyBorder="1" applyAlignment="1">
      <alignment horizontal="left" vertical="top" wrapText="1"/>
    </xf>
    <xf numFmtId="1" fontId="10" fillId="0" borderId="5"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0" fontId="8" fillId="0" borderId="2" xfId="5" applyFont="1" applyBorder="1" applyAlignment="1" applyProtection="1">
      <alignment horizontal="center" vertical="top" wrapText="1"/>
      <protection locked="0"/>
    </xf>
    <xf numFmtId="0" fontId="8" fillId="0" borderId="2" xfId="5" applyFont="1" applyBorder="1" applyAlignment="1" applyProtection="1">
      <alignment horizontal="left" vertical="top" wrapText="1"/>
      <protection locked="0"/>
    </xf>
    <xf numFmtId="0" fontId="9" fillId="0" borderId="2" xfId="5" applyFont="1" applyBorder="1" applyAlignment="1" applyProtection="1">
      <alignment horizontal="center" vertical="top"/>
      <protection locked="0"/>
    </xf>
    <xf numFmtId="0" fontId="8" fillId="0" borderId="2" xfId="5" applyFont="1" applyBorder="1" applyAlignment="1" applyProtection="1">
      <alignment horizontal="left" vertical="top"/>
      <protection locked="0"/>
    </xf>
    <xf numFmtId="1" fontId="10" fillId="0" borderId="12" xfId="0" applyNumberFormat="1" applyFont="1" applyBorder="1" applyAlignment="1">
      <alignment horizontal="center" vertical="top" wrapText="1"/>
    </xf>
    <xf numFmtId="1" fontId="10" fillId="0" borderId="13" xfId="0" applyNumberFormat="1" applyFont="1" applyBorder="1" applyAlignment="1">
      <alignment horizontal="center" vertical="top" wrapText="1"/>
    </xf>
    <xf numFmtId="1" fontId="10" fillId="0" borderId="14" xfId="0" applyNumberFormat="1" applyFont="1" applyBorder="1" applyAlignment="1">
      <alignment horizontal="center" vertical="top" wrapText="1"/>
    </xf>
    <xf numFmtId="1" fontId="10" fillId="0" borderId="15" xfId="0" applyNumberFormat="1" applyFont="1" applyBorder="1" applyAlignment="1">
      <alignment horizontal="center" vertical="top" wrapText="1"/>
    </xf>
    <xf numFmtId="1" fontId="10" fillId="0" borderId="16" xfId="0" applyNumberFormat="1" applyFont="1" applyBorder="1" applyAlignment="1">
      <alignment horizontal="center" vertical="top" wrapText="1"/>
    </xf>
    <xf numFmtId="1" fontId="10" fillId="0" borderId="17" xfId="0" applyNumberFormat="1" applyFont="1" applyBorder="1" applyAlignment="1">
      <alignment horizontal="center" vertical="top" wrapText="1"/>
    </xf>
    <xf numFmtId="0" fontId="3" fillId="0" borderId="5" xfId="0" applyFont="1" applyBorder="1" applyAlignment="1">
      <alignment horizontal="left" vertical="top" wrapText="1"/>
    </xf>
    <xf numFmtId="0" fontId="16" fillId="0" borderId="2" xfId="4" applyFont="1" applyBorder="1" applyAlignment="1">
      <alignment horizontal="left"/>
    </xf>
    <xf numFmtId="0" fontId="0" fillId="3" borderId="2" xfId="0" applyFill="1" applyBorder="1" applyAlignment="1">
      <alignment horizontal="center" wrapText="1"/>
    </xf>
    <xf numFmtId="0" fontId="16" fillId="0" borderId="2" xfId="0" applyFont="1" applyBorder="1" applyAlignment="1">
      <alignment horizontal="center"/>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7" builtinId="8"/>
    <cellStyle name="Normal" xfId="0" builtinId="0"/>
    <cellStyle name="Normal 2" xfId="6" xr:uid="{00000000-0005-0000-0000-000005000000}"/>
    <cellStyle name="Normal 3" xfId="5" xr:uid="{00000000-0005-0000-0000-000006000000}"/>
    <cellStyle name="Normal 4"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 Id="rId4" Type="http://schemas.openxmlformats.org/officeDocument/2006/relationships/image" Target="../media/image2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5" Type="http://schemas.openxmlformats.org/officeDocument/2006/relationships/image" Target="../media/image26.png"/><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eg"/><Relationship Id="rId1" Type="http://schemas.openxmlformats.org/officeDocument/2006/relationships/image" Target="../media/image27.png"/><Relationship Id="rId5" Type="http://schemas.openxmlformats.org/officeDocument/2006/relationships/image" Target="../media/image31.jpeg"/><Relationship Id="rId4" Type="http://schemas.openxmlformats.org/officeDocument/2006/relationships/image" Target="../media/image30.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464671</xdr:colOff>
      <xdr:row>244</xdr:row>
      <xdr:rowOff>78441</xdr:rowOff>
    </xdr:from>
    <xdr:to>
      <xdr:col>8</xdr:col>
      <xdr:colOff>320134</xdr:colOff>
      <xdr:row>261</xdr:row>
      <xdr:rowOff>79941</xdr:rowOff>
    </xdr:to>
    <xdr:pic>
      <xdr:nvPicPr>
        <xdr:cNvPr id="1874" name="Picture 5">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64671" y="58528323"/>
          <a:ext cx="5492022"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472515</xdr:colOff>
      <xdr:row>262</xdr:row>
      <xdr:rowOff>71344</xdr:rowOff>
    </xdr:from>
    <xdr:to>
      <xdr:col>8</xdr:col>
      <xdr:colOff>383791</xdr:colOff>
      <xdr:row>279</xdr:row>
      <xdr:rowOff>72844</xdr:rowOff>
    </xdr:to>
    <xdr:pic>
      <xdr:nvPicPr>
        <xdr:cNvPr id="1875" name="Picture 6">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72515" y="61950226"/>
          <a:ext cx="5547835"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472099</xdr:colOff>
      <xdr:row>198</xdr:row>
      <xdr:rowOff>30150</xdr:rowOff>
    </xdr:from>
    <xdr:to>
      <xdr:col>21</xdr:col>
      <xdr:colOff>146661</xdr:colOff>
      <xdr:row>200</xdr:row>
      <xdr:rowOff>60743</xdr:rowOff>
    </xdr:to>
    <xdr:sp macro="" textlink="">
      <xdr:nvSpPr>
        <xdr:cNvPr id="27" name="TextBox 165">
          <a:extLst>
            <a:ext uri="{FF2B5EF4-FFF2-40B4-BE49-F238E27FC236}">
              <a16:creationId xmlns:a16="http://schemas.microsoft.com/office/drawing/2014/main" id="{00000000-0008-0000-0000-000019000000}"/>
            </a:ext>
          </a:extLst>
        </xdr:cNvPr>
        <xdr:cNvSpPr txBox="1"/>
      </xdr:nvSpPr>
      <xdr:spPr>
        <a:xfrm>
          <a:off x="11988690" y="49317695"/>
          <a:ext cx="886835"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rgbClr val="FF0000"/>
              </a:solidFill>
            </a:rPr>
            <a:t>T1</a:t>
          </a:r>
        </a:p>
      </xdr:txBody>
    </xdr:sp>
    <xdr:clientData/>
  </xdr:twoCellAnchor>
  <xdr:oneCellAnchor>
    <xdr:from>
      <xdr:col>11</xdr:col>
      <xdr:colOff>112581</xdr:colOff>
      <xdr:row>214</xdr:row>
      <xdr:rowOff>130173</xdr:rowOff>
    </xdr:from>
    <xdr:ext cx="722890" cy="264560"/>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6780081" y="52829400"/>
          <a:ext cx="722890" cy="26456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Tower</a:t>
          </a:r>
          <a:r>
            <a:rPr lang="en-IN" sz="1100" b="0" cap="none" spc="0" baseline="0">
              <a:ln w="0"/>
              <a:solidFill>
                <a:schemeClr val="tx1"/>
              </a:solidFill>
              <a:effectLst>
                <a:outerShdw blurRad="38100" dist="19050" dir="2700000" algn="tl" rotWithShape="0">
                  <a:schemeClr val="dk1">
                    <a:alpha val="40000"/>
                  </a:schemeClr>
                </a:outerShdw>
              </a:effectLst>
            </a:rPr>
            <a:t> 02</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11</xdr:col>
      <xdr:colOff>474026</xdr:colOff>
      <xdr:row>216</xdr:row>
      <xdr:rowOff>13733</xdr:rowOff>
    </xdr:from>
    <xdr:to>
      <xdr:col>12</xdr:col>
      <xdr:colOff>6</xdr:colOff>
      <xdr:row>218</xdr:row>
      <xdr:rowOff>34637</xdr:rowOff>
    </xdr:to>
    <xdr:cxnSp macro="">
      <xdr:nvCxnSpPr>
        <xdr:cNvPr id="18" name="Straight Arrow Connector 17">
          <a:extLst>
            <a:ext uri="{FF2B5EF4-FFF2-40B4-BE49-F238E27FC236}">
              <a16:creationId xmlns:a16="http://schemas.microsoft.com/office/drawing/2014/main" id="{00000000-0008-0000-0000-000012000000}"/>
            </a:ext>
          </a:extLst>
        </xdr:cNvPr>
        <xdr:cNvCxnSpPr>
          <a:stCxn id="17" idx="2"/>
        </xdr:cNvCxnSpPr>
      </xdr:nvCxnSpPr>
      <xdr:spPr>
        <a:xfrm>
          <a:off x="7141526" y="53093960"/>
          <a:ext cx="132116" cy="401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64490</xdr:colOff>
      <xdr:row>202</xdr:row>
      <xdr:rowOff>185324</xdr:rowOff>
    </xdr:from>
    <xdr:ext cx="722890" cy="264560"/>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8549067" y="50491978"/>
          <a:ext cx="722890" cy="26456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Tower</a:t>
          </a:r>
          <a:r>
            <a:rPr lang="en-IN" sz="1100" b="0" cap="none" spc="0" baseline="0">
              <a:ln w="0"/>
              <a:solidFill>
                <a:schemeClr val="tx1"/>
              </a:solidFill>
              <a:effectLst>
                <a:outerShdw blurRad="38100" dist="19050" dir="2700000" algn="tl" rotWithShape="0">
                  <a:schemeClr val="dk1">
                    <a:alpha val="40000"/>
                  </a:schemeClr>
                </a:outerShdw>
              </a:effectLst>
            </a:rPr>
            <a:t> 01</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14</xdr:col>
      <xdr:colOff>425935</xdr:colOff>
      <xdr:row>204</xdr:row>
      <xdr:rowOff>68884</xdr:rowOff>
    </xdr:from>
    <xdr:to>
      <xdr:col>14</xdr:col>
      <xdr:colOff>557385</xdr:colOff>
      <xdr:row>206</xdr:row>
      <xdr:rowOff>89788</xdr:rowOff>
    </xdr:to>
    <xdr:cxnSp macro="">
      <xdr:nvCxnSpPr>
        <xdr:cNvPr id="21" name="Straight Arrow Connector 20">
          <a:extLst>
            <a:ext uri="{FF2B5EF4-FFF2-40B4-BE49-F238E27FC236}">
              <a16:creationId xmlns:a16="http://schemas.microsoft.com/office/drawing/2014/main" id="{00000000-0008-0000-0000-000015000000}"/>
            </a:ext>
          </a:extLst>
        </xdr:cNvPr>
        <xdr:cNvCxnSpPr>
          <a:stCxn id="20" idx="2"/>
        </xdr:cNvCxnSpPr>
      </xdr:nvCxnSpPr>
      <xdr:spPr>
        <a:xfrm>
          <a:off x="8910512" y="50756538"/>
          <a:ext cx="131450" cy="401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81009</xdr:colOff>
      <xdr:row>204</xdr:row>
      <xdr:rowOff>19</xdr:rowOff>
    </xdr:from>
    <xdr:ext cx="722890"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6499394" y="50687673"/>
          <a:ext cx="722890" cy="26456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chemeClr val="tx1"/>
              </a:solidFill>
              <a:effectLst>
                <a:outerShdw blurRad="38100" dist="19050" dir="2700000" algn="tl" rotWithShape="0">
                  <a:schemeClr val="dk1">
                    <a:alpha val="40000"/>
                  </a:schemeClr>
                </a:outerShdw>
              </a:effectLst>
            </a:rPr>
            <a:t>Tower</a:t>
          </a:r>
          <a:r>
            <a:rPr lang="en-IN" sz="1100" b="0" cap="none" spc="0" baseline="0">
              <a:ln w="0"/>
              <a:solidFill>
                <a:schemeClr val="tx1"/>
              </a:solidFill>
              <a:effectLst>
                <a:outerShdw blurRad="38100" dist="19050" dir="2700000" algn="tl" rotWithShape="0">
                  <a:schemeClr val="dk1">
                    <a:alpha val="40000"/>
                  </a:schemeClr>
                </a:outerShdw>
              </a:effectLst>
            </a:rPr>
            <a:t> 02</a:t>
          </a:r>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11</xdr:col>
      <xdr:colOff>197335</xdr:colOff>
      <xdr:row>205</xdr:row>
      <xdr:rowOff>74079</xdr:rowOff>
    </xdr:from>
    <xdr:to>
      <xdr:col>11</xdr:col>
      <xdr:colOff>329451</xdr:colOff>
      <xdr:row>207</xdr:row>
      <xdr:rowOff>94983</xdr:rowOff>
    </xdr:to>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a:off x="6857508" y="50952233"/>
          <a:ext cx="132116" cy="401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428625</xdr:colOff>
      <xdr:row>63</xdr:row>
      <xdr:rowOff>104776</xdr:rowOff>
    </xdr:from>
    <xdr:to>
      <xdr:col>19</xdr:col>
      <xdr:colOff>260625</xdr:colOff>
      <xdr:row>70</xdr:row>
      <xdr:rowOff>41900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8915400" y="18792826"/>
          <a:ext cx="2880000" cy="1337299"/>
        </a:xfrm>
        <a:prstGeom prst="rect">
          <a:avLst/>
        </a:prstGeom>
      </xdr:spPr>
    </xdr:pic>
    <xdr:clientData/>
  </xdr:twoCellAnchor>
  <xdr:twoCellAnchor>
    <xdr:from>
      <xdr:col>11</xdr:col>
      <xdr:colOff>563880</xdr:colOff>
      <xdr:row>199</xdr:row>
      <xdr:rowOff>99060</xdr:rowOff>
    </xdr:from>
    <xdr:to>
      <xdr:col>22</xdr:col>
      <xdr:colOff>205740</xdr:colOff>
      <xdr:row>226</xdr:row>
      <xdr:rowOff>53340</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7221855" y="50314860"/>
          <a:ext cx="6347460" cy="5097780"/>
          <a:chOff x="425862" y="190194"/>
          <a:chExt cx="5909170" cy="4507536"/>
        </a:xfrm>
      </xdr:grpSpPr>
      <xdr:grpSp>
        <xdr:nvGrpSpPr>
          <xdr:cNvPr id="31" name="Group 30">
            <a:extLst>
              <a:ext uri="{FF2B5EF4-FFF2-40B4-BE49-F238E27FC236}">
                <a16:creationId xmlns:a16="http://schemas.microsoft.com/office/drawing/2014/main" id="{00000000-0008-0000-0000-00001F000000}"/>
              </a:ext>
            </a:extLst>
          </xdr:cNvPr>
          <xdr:cNvGrpSpPr/>
        </xdr:nvGrpSpPr>
        <xdr:grpSpPr>
          <a:xfrm>
            <a:off x="1055358" y="2534130"/>
            <a:ext cx="4650179" cy="2163600"/>
            <a:chOff x="1055357" y="2534130"/>
            <a:chExt cx="4650179" cy="2163600"/>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084527" y="2534130"/>
              <a:ext cx="1621009" cy="21636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055357" y="2535728"/>
              <a:ext cx="2880000" cy="2162002"/>
            </a:xfrm>
            <a:prstGeom prst="rect">
              <a:avLst/>
            </a:prstGeom>
            <a:ln>
              <a:solidFill>
                <a:schemeClr val="tx1"/>
              </a:solidFill>
            </a:ln>
          </xdr:spPr>
        </xdr:pic>
      </xdr:grpSp>
      <xdr:grpSp>
        <xdr:nvGrpSpPr>
          <xdr:cNvPr id="33" name="Group 32">
            <a:extLst>
              <a:ext uri="{FF2B5EF4-FFF2-40B4-BE49-F238E27FC236}">
                <a16:creationId xmlns:a16="http://schemas.microsoft.com/office/drawing/2014/main" id="{00000000-0008-0000-0000-000021000000}"/>
              </a:ext>
            </a:extLst>
          </xdr:cNvPr>
          <xdr:cNvGrpSpPr/>
        </xdr:nvGrpSpPr>
        <xdr:grpSpPr>
          <a:xfrm>
            <a:off x="425862" y="190194"/>
            <a:ext cx="5909170" cy="2162002"/>
            <a:chOff x="425862" y="190194"/>
            <a:chExt cx="5909170" cy="2162002"/>
          </a:xfrm>
        </xdr:grpSpPr>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55032" y="190194"/>
              <a:ext cx="2880000" cy="2162002"/>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5862" y="190194"/>
              <a:ext cx="2880000" cy="2162002"/>
            </a:xfrm>
            <a:prstGeom prst="rect">
              <a:avLst/>
            </a:prstGeom>
            <a:ln>
              <a:solidFill>
                <a:schemeClr val="tx1"/>
              </a:solidFill>
            </a:ln>
          </xdr:spPr>
        </xdr:pic>
      </xdr:grpSp>
    </xdr:grpSp>
    <xdr:clientData/>
  </xdr:twoCellAnchor>
  <xdr:twoCellAnchor>
    <xdr:from>
      <xdr:col>11</xdr:col>
      <xdr:colOff>9526</xdr:colOff>
      <xdr:row>201</xdr:row>
      <xdr:rowOff>26670</xdr:rowOff>
    </xdr:from>
    <xdr:to>
      <xdr:col>21</xdr:col>
      <xdr:colOff>53341</xdr:colOff>
      <xdr:row>226</xdr:row>
      <xdr:rowOff>167804</xdr:rowOff>
    </xdr:to>
    <xdr:grpSp>
      <xdr:nvGrpSpPr>
        <xdr:cNvPr id="3" name="Group 2">
          <a:extLst>
            <a:ext uri="{FF2B5EF4-FFF2-40B4-BE49-F238E27FC236}">
              <a16:creationId xmlns:a16="http://schemas.microsoft.com/office/drawing/2014/main" id="{4F754F8D-2E29-E8ED-F28A-041B991ABC9D}"/>
            </a:ext>
          </a:extLst>
        </xdr:cNvPr>
        <xdr:cNvGrpSpPr/>
      </xdr:nvGrpSpPr>
      <xdr:grpSpPr>
        <a:xfrm>
          <a:off x="6667501" y="50623470"/>
          <a:ext cx="6139815" cy="4903634"/>
          <a:chOff x="0" y="412906"/>
          <a:chExt cx="6896141" cy="5170334"/>
        </a:xfrm>
      </xdr:grpSpPr>
      <xdr:grpSp>
        <xdr:nvGrpSpPr>
          <xdr:cNvPr id="4" name="Group 3">
            <a:extLst>
              <a:ext uri="{FF2B5EF4-FFF2-40B4-BE49-F238E27FC236}">
                <a16:creationId xmlns:a16="http://schemas.microsoft.com/office/drawing/2014/main" id="{7EC9A72C-7E49-421D-5F33-86B9F1347D0C}"/>
              </a:ext>
            </a:extLst>
          </xdr:cNvPr>
          <xdr:cNvGrpSpPr/>
        </xdr:nvGrpSpPr>
        <xdr:grpSpPr>
          <a:xfrm>
            <a:off x="0" y="412906"/>
            <a:ext cx="6896141" cy="2520000"/>
            <a:chOff x="0" y="412906"/>
            <a:chExt cx="6896141" cy="2520000"/>
          </a:xfrm>
        </xdr:grpSpPr>
        <xdr:pic>
          <xdr:nvPicPr>
            <xdr:cNvPr id="8" name="Picture 7">
              <a:extLst>
                <a:ext uri="{FF2B5EF4-FFF2-40B4-BE49-F238E27FC236}">
                  <a16:creationId xmlns:a16="http://schemas.microsoft.com/office/drawing/2014/main" id="{152E95D9-8637-EED1-567D-7B7752A1165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0" y="412906"/>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79933692-23AF-1647-6769-1645EBC17DE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539252" y="412906"/>
              <a:ext cx="3356889"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D9BAEF01-BE3E-BA29-D093-D95A1A82A977}"/>
              </a:ext>
            </a:extLst>
          </xdr:cNvPr>
          <xdr:cNvGrpSpPr/>
        </xdr:nvGrpSpPr>
        <xdr:grpSpPr>
          <a:xfrm>
            <a:off x="734429" y="3063240"/>
            <a:ext cx="5427283" cy="2520000"/>
            <a:chOff x="914401" y="3063240"/>
            <a:chExt cx="5427283" cy="2520000"/>
          </a:xfrm>
        </xdr:grpSpPr>
        <xdr:pic>
          <xdr:nvPicPr>
            <xdr:cNvPr id="6" name="Picture 5">
              <a:extLst>
                <a:ext uri="{FF2B5EF4-FFF2-40B4-BE49-F238E27FC236}">
                  <a16:creationId xmlns:a16="http://schemas.microsoft.com/office/drawing/2014/main" id="{98E0BBFA-C015-F022-4596-0AB713938C2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53653" y="3063240"/>
              <a:ext cx="1888031" cy="2520000"/>
            </a:xfrm>
            <a:prstGeom prst="rect">
              <a:avLst/>
            </a:prstGeom>
            <a:ln>
              <a:solidFill>
                <a:schemeClr val="tx1"/>
              </a:solidFill>
            </a:ln>
          </xdr:spPr>
        </xdr:pic>
        <xdr:pic>
          <xdr:nvPicPr>
            <xdr:cNvPr id="7" name="Picture 6">
              <a:extLst>
                <a:ext uri="{FF2B5EF4-FFF2-40B4-BE49-F238E27FC236}">
                  <a16:creationId xmlns:a16="http://schemas.microsoft.com/office/drawing/2014/main" id="{0344F4C4-99C0-4454-FC56-972243E9845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14401" y="3063240"/>
              <a:ext cx="3356889" cy="2520000"/>
            </a:xfrm>
            <a:prstGeom prst="rect">
              <a:avLst/>
            </a:prstGeom>
            <a:ln>
              <a:solidFill>
                <a:schemeClr val="tx1"/>
              </a:solidFill>
            </a:ln>
          </xdr:spPr>
        </xdr:pic>
      </xdr:grpSp>
    </xdr:grpSp>
    <xdr:clientData/>
  </xdr:twoCellAnchor>
  <xdr:twoCellAnchor>
    <xdr:from>
      <xdr:col>0</xdr:col>
      <xdr:colOff>85725</xdr:colOff>
      <xdr:row>200</xdr:row>
      <xdr:rowOff>19050</xdr:rowOff>
    </xdr:from>
    <xdr:to>
      <xdr:col>9</xdr:col>
      <xdr:colOff>361950</xdr:colOff>
      <xdr:row>224</xdr:row>
      <xdr:rowOff>22308</xdr:rowOff>
    </xdr:to>
    <xdr:grpSp>
      <xdr:nvGrpSpPr>
        <xdr:cNvPr id="26" name="Group 25">
          <a:extLst>
            <a:ext uri="{FF2B5EF4-FFF2-40B4-BE49-F238E27FC236}">
              <a16:creationId xmlns:a16="http://schemas.microsoft.com/office/drawing/2014/main" id="{69C312D9-09B4-4569-BF33-3BD14AD8EFC9}"/>
            </a:ext>
          </a:extLst>
        </xdr:cNvPr>
        <xdr:cNvGrpSpPr/>
      </xdr:nvGrpSpPr>
      <xdr:grpSpPr>
        <a:xfrm>
          <a:off x="85725" y="50425350"/>
          <a:ext cx="6248400" cy="4575258"/>
          <a:chOff x="-17932" y="581442"/>
          <a:chExt cx="6929324" cy="5070558"/>
        </a:xfrm>
      </xdr:grpSpPr>
      <xdr:pic>
        <xdr:nvPicPr>
          <xdr:cNvPr id="28" name="Picture 27">
            <a:extLst>
              <a:ext uri="{FF2B5EF4-FFF2-40B4-BE49-F238E27FC236}">
                <a16:creationId xmlns:a16="http://schemas.microsoft.com/office/drawing/2014/main" id="{2B0E99B5-95CC-46C4-8C6D-BB4128F8F9C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932" y="581442"/>
            <a:ext cx="3356889"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E6EA0373-71C5-46A3-980E-5A5D373CEA8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554503" y="581442"/>
            <a:ext cx="3356889"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9D601ECE-709A-481C-BFE6-73D5AEB324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735106" y="3312000"/>
            <a:ext cx="3117111" cy="2340000"/>
          </a:xfrm>
          <a:prstGeom prst="rect">
            <a:avLst/>
          </a:prstGeom>
          <a:ln>
            <a:solidFill>
              <a:schemeClr val="tx1"/>
            </a:solidFill>
          </a:ln>
        </xdr:spPr>
      </xdr:pic>
      <xdr:pic>
        <xdr:nvPicPr>
          <xdr:cNvPr id="38" name="Picture 37">
            <a:extLst>
              <a:ext uri="{FF2B5EF4-FFF2-40B4-BE49-F238E27FC236}">
                <a16:creationId xmlns:a16="http://schemas.microsoft.com/office/drawing/2014/main" id="{8B3DBF6C-E343-43E2-9EFE-FBB07DB7BA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091479" y="3312000"/>
            <a:ext cx="1753172"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298450</xdr:colOff>
      <xdr:row>2</xdr:row>
      <xdr:rowOff>177800</xdr:rowOff>
    </xdr:from>
    <xdr:to>
      <xdr:col>12</xdr:col>
      <xdr:colOff>222250</xdr:colOff>
      <xdr:row>24</xdr:row>
      <xdr:rowOff>120650</xdr:rowOff>
    </xdr:to>
    <xdr:pic>
      <xdr:nvPicPr>
        <xdr:cNvPr id="4267" name="Picture 1">
          <a:extLst>
            <a:ext uri="{FF2B5EF4-FFF2-40B4-BE49-F238E27FC236}">
              <a16:creationId xmlns:a16="http://schemas.microsoft.com/office/drawing/2014/main" id="{00000000-0008-0000-0100-0000AB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3600" y="546100"/>
          <a:ext cx="297180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2</xdr:row>
      <xdr:rowOff>177800</xdr:rowOff>
    </xdr:from>
    <xdr:to>
      <xdr:col>7</xdr:col>
      <xdr:colOff>133350</xdr:colOff>
      <xdr:row>24</xdr:row>
      <xdr:rowOff>120650</xdr:rowOff>
    </xdr:to>
    <xdr:pic>
      <xdr:nvPicPr>
        <xdr:cNvPr id="4268" name="Picture 2">
          <a:extLst>
            <a:ext uri="{FF2B5EF4-FFF2-40B4-BE49-F238E27FC236}">
              <a16:creationId xmlns:a16="http://schemas.microsoft.com/office/drawing/2014/main" id="{00000000-0008-0000-0100-0000AC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6700" y="546100"/>
          <a:ext cx="297180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476250</xdr:colOff>
      <xdr:row>25</xdr:row>
      <xdr:rowOff>177800</xdr:rowOff>
    </xdr:from>
    <xdr:to>
      <xdr:col>11</xdr:col>
      <xdr:colOff>133350</xdr:colOff>
      <xdr:row>45</xdr:row>
      <xdr:rowOff>120650</xdr:rowOff>
    </xdr:to>
    <xdr:pic>
      <xdr:nvPicPr>
        <xdr:cNvPr id="4269" name="Picture 3">
          <a:extLst>
            <a:ext uri="{FF2B5EF4-FFF2-40B4-BE49-F238E27FC236}">
              <a16:creationId xmlns:a16="http://schemas.microsoft.com/office/drawing/2014/main" id="{00000000-0008-0000-0100-0000AD1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41800" y="4781550"/>
          <a:ext cx="2705100"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25</xdr:row>
      <xdr:rowOff>177800</xdr:rowOff>
    </xdr:from>
    <xdr:to>
      <xdr:col>6</xdr:col>
      <xdr:colOff>342900</xdr:colOff>
      <xdr:row>45</xdr:row>
      <xdr:rowOff>120650</xdr:rowOff>
    </xdr:to>
    <xdr:pic>
      <xdr:nvPicPr>
        <xdr:cNvPr id="4270" name="Picture 4">
          <a:extLst>
            <a:ext uri="{FF2B5EF4-FFF2-40B4-BE49-F238E27FC236}">
              <a16:creationId xmlns:a16="http://schemas.microsoft.com/office/drawing/2014/main" id="{00000000-0008-0000-0100-0000AE1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16050" y="4781550"/>
          <a:ext cx="2692400" cy="362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6350</xdr:rowOff>
    </xdr:from>
    <xdr:to>
      <xdr:col>6</xdr:col>
      <xdr:colOff>381000</xdr:colOff>
      <xdr:row>31</xdr:row>
      <xdr:rowOff>177800</xdr:rowOff>
    </xdr:to>
    <xdr:pic>
      <xdr:nvPicPr>
        <xdr:cNvPr id="5293" name="Picture 4">
          <a:extLst>
            <a:ext uri="{FF2B5EF4-FFF2-40B4-BE49-F238E27FC236}">
              <a16:creationId xmlns:a16="http://schemas.microsoft.com/office/drawing/2014/main" id="{00000000-0008-0000-0200-0000AD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550" y="2400300"/>
          <a:ext cx="7092950" cy="3486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6350</xdr:rowOff>
    </xdr:from>
    <xdr:to>
      <xdr:col>6</xdr:col>
      <xdr:colOff>368300</xdr:colOff>
      <xdr:row>48</xdr:row>
      <xdr:rowOff>177800</xdr:rowOff>
    </xdr:to>
    <xdr:pic>
      <xdr:nvPicPr>
        <xdr:cNvPr id="5294" name="Picture 5">
          <a:extLst>
            <a:ext uri="{FF2B5EF4-FFF2-40B4-BE49-F238E27FC236}">
              <a16:creationId xmlns:a16="http://schemas.microsoft.com/office/drawing/2014/main" id="{00000000-0008-0000-0200-0000AE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7550" y="5530850"/>
          <a:ext cx="7080250" cy="3486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539750</xdr:colOff>
      <xdr:row>13</xdr:row>
      <xdr:rowOff>0</xdr:rowOff>
    </xdr:from>
    <xdr:to>
      <xdr:col>16</xdr:col>
      <xdr:colOff>203200</xdr:colOff>
      <xdr:row>31</xdr:row>
      <xdr:rowOff>165100</xdr:rowOff>
    </xdr:to>
    <xdr:pic>
      <xdr:nvPicPr>
        <xdr:cNvPr id="5295" name="Picture 6">
          <a:extLst>
            <a:ext uri="{FF2B5EF4-FFF2-40B4-BE49-F238E27FC236}">
              <a16:creationId xmlns:a16="http://schemas.microsoft.com/office/drawing/2014/main" id="{00000000-0008-0000-0200-0000AF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69250" y="2393950"/>
          <a:ext cx="70866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539750</xdr:colOff>
      <xdr:row>31</xdr:row>
      <xdr:rowOff>139700</xdr:rowOff>
    </xdr:from>
    <xdr:to>
      <xdr:col>16</xdr:col>
      <xdr:colOff>203200</xdr:colOff>
      <xdr:row>50</xdr:row>
      <xdr:rowOff>120650</xdr:rowOff>
    </xdr:to>
    <xdr:pic>
      <xdr:nvPicPr>
        <xdr:cNvPr id="5296" name="Picture 7">
          <a:extLst>
            <a:ext uri="{FF2B5EF4-FFF2-40B4-BE49-F238E27FC236}">
              <a16:creationId xmlns:a16="http://schemas.microsoft.com/office/drawing/2014/main" id="{00000000-0008-0000-0200-0000B01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9250" y="5848350"/>
          <a:ext cx="70866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342900</xdr:colOff>
      <xdr:row>13</xdr:row>
      <xdr:rowOff>19050</xdr:rowOff>
    </xdr:from>
    <xdr:to>
      <xdr:col>28</xdr:col>
      <xdr:colOff>107950</xdr:colOff>
      <xdr:row>32</xdr:row>
      <xdr:rowOff>0</xdr:rowOff>
    </xdr:to>
    <xdr:pic>
      <xdr:nvPicPr>
        <xdr:cNvPr id="5297" name="Picture 8">
          <a:extLst>
            <a:ext uri="{FF2B5EF4-FFF2-40B4-BE49-F238E27FC236}">
              <a16:creationId xmlns:a16="http://schemas.microsoft.com/office/drawing/2014/main" id="{00000000-0008-0000-0200-0000B11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195550" y="2413000"/>
          <a:ext cx="70802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21</xdr:col>
      <xdr:colOff>38100</xdr:colOff>
      <xdr:row>61</xdr:row>
      <xdr:rowOff>76200</xdr:rowOff>
    </xdr:to>
    <xdr:pic>
      <xdr:nvPicPr>
        <xdr:cNvPr id="3278" name="Picture 1">
          <a:extLst>
            <a:ext uri="{FF2B5EF4-FFF2-40B4-BE49-F238E27FC236}">
              <a16:creationId xmlns:a16="http://schemas.microsoft.com/office/drawing/2014/main" id="{00000000-0008-0000-0300-0000CE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0100"/>
          <a:ext cx="13049250" cy="707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12</xdr:row>
      <xdr:rowOff>0</xdr:rowOff>
    </xdr:from>
    <xdr:to>
      <xdr:col>17</xdr:col>
      <xdr:colOff>400050</xdr:colOff>
      <xdr:row>21</xdr:row>
      <xdr:rowOff>57150</xdr:rowOff>
    </xdr:to>
    <xdr:pic>
      <xdr:nvPicPr>
        <xdr:cNvPr id="3279" name="Picture 2">
          <a:extLst>
            <a:ext uri="{FF2B5EF4-FFF2-40B4-BE49-F238E27FC236}">
              <a16:creationId xmlns:a16="http://schemas.microsoft.com/office/drawing/2014/main" id="{00000000-0008-0000-0300-0000CF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53550" y="220980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476250</xdr:colOff>
      <xdr:row>12</xdr:row>
      <xdr:rowOff>0</xdr:rowOff>
    </xdr:from>
    <xdr:to>
      <xdr:col>20</xdr:col>
      <xdr:colOff>266700</xdr:colOff>
      <xdr:row>21</xdr:row>
      <xdr:rowOff>57150</xdr:rowOff>
    </xdr:to>
    <xdr:pic>
      <xdr:nvPicPr>
        <xdr:cNvPr id="3280" name="Picture 3">
          <a:extLst>
            <a:ext uri="{FF2B5EF4-FFF2-40B4-BE49-F238E27FC236}">
              <a16:creationId xmlns:a16="http://schemas.microsoft.com/office/drawing/2014/main" id="{00000000-0008-0000-0300-0000D0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49000" y="220980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12700</xdr:colOff>
      <xdr:row>0</xdr:row>
      <xdr:rowOff>82550</xdr:rowOff>
    </xdr:from>
    <xdr:to>
      <xdr:col>18</xdr:col>
      <xdr:colOff>412750</xdr:colOff>
      <xdr:row>11</xdr:row>
      <xdr:rowOff>146050</xdr:rowOff>
    </xdr:to>
    <xdr:pic>
      <xdr:nvPicPr>
        <xdr:cNvPr id="3281" name="Picture 4">
          <a:extLst>
            <a:ext uri="{FF2B5EF4-FFF2-40B4-BE49-F238E27FC236}">
              <a16:creationId xmlns:a16="http://schemas.microsoft.com/office/drawing/2014/main" id="{00000000-0008-0000-0300-0000D1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75850" y="825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565150</xdr:colOff>
      <xdr:row>0</xdr:row>
      <xdr:rowOff>95250</xdr:rowOff>
    </xdr:from>
    <xdr:to>
      <xdr:col>21</xdr:col>
      <xdr:colOff>355600</xdr:colOff>
      <xdr:row>11</xdr:row>
      <xdr:rowOff>158750</xdr:rowOff>
    </xdr:to>
    <xdr:pic>
      <xdr:nvPicPr>
        <xdr:cNvPr id="3282" name="Picture 5">
          <a:extLst>
            <a:ext uri="{FF2B5EF4-FFF2-40B4-BE49-F238E27FC236}">
              <a16:creationId xmlns:a16="http://schemas.microsoft.com/office/drawing/2014/main" id="{00000000-0008-0000-0300-0000D20C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747500" y="95250"/>
          <a:ext cx="161925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cPvJDyjb2dVSpxx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3"/>
  <sheetViews>
    <sheetView tabSelected="1" view="pageBreakPreview" topLeftCell="A202" zoomScaleNormal="100" zoomScaleSheetLayoutView="100" workbookViewId="0">
      <selection activeCell="M191" sqref="M191"/>
    </sheetView>
  </sheetViews>
  <sheetFormatPr defaultRowHeight="15" x14ac:dyDescent="0.25"/>
  <cols>
    <col min="1" max="1" width="8.7109375" customWidth="1"/>
    <col min="2" max="2" width="11" customWidth="1"/>
    <col min="3" max="3" width="14.42578125" customWidth="1"/>
    <col min="4" max="4" width="7.28515625" customWidth="1"/>
    <col min="5" max="5" width="7.85546875" customWidth="1"/>
    <col min="6" max="6" width="9" customWidth="1"/>
    <col min="7" max="7" width="10.28515625" customWidth="1"/>
    <col min="8" max="8" width="9.85546875" customWidth="1"/>
    <col min="9" max="9" width="11.140625" customWidth="1"/>
    <col min="10" max="10" width="6.7109375" customWidth="1"/>
    <col min="11" max="11" width="3.5703125" customWidth="1"/>
  </cols>
  <sheetData>
    <row r="1" spans="1:10" ht="43.9" customHeight="1" x14ac:dyDescent="0.25">
      <c r="A1" s="165" t="s">
        <v>248</v>
      </c>
      <c r="B1" s="166"/>
      <c r="C1" s="166"/>
      <c r="D1" s="166"/>
      <c r="E1" s="166"/>
      <c r="F1" s="166"/>
      <c r="G1" s="166"/>
      <c r="H1" s="166"/>
      <c r="I1" s="166"/>
      <c r="J1" s="167"/>
    </row>
    <row r="2" spans="1:10" x14ac:dyDescent="0.25">
      <c r="A2" s="76" t="s">
        <v>41</v>
      </c>
      <c r="B2" s="77"/>
      <c r="C2" s="77"/>
      <c r="D2" s="77"/>
      <c r="E2" s="77"/>
      <c r="F2" s="77"/>
      <c r="G2" s="77"/>
      <c r="H2" s="77"/>
      <c r="I2" s="77"/>
      <c r="J2" s="78"/>
    </row>
    <row r="3" spans="1:10" x14ac:dyDescent="0.25">
      <c r="A3" s="79" t="s">
        <v>0</v>
      </c>
      <c r="B3" s="80"/>
      <c r="C3" s="80"/>
      <c r="D3" s="80"/>
      <c r="E3" s="81"/>
      <c r="F3" s="82" t="str">
        <f ca="1">TEXT(TODAY(),"DD/MM/YYYY")</f>
        <v>10/09/2025</v>
      </c>
      <c r="G3" s="83"/>
      <c r="H3" s="83"/>
      <c r="I3" s="83"/>
      <c r="J3" s="84"/>
    </row>
    <row r="4" spans="1:10" x14ac:dyDescent="0.25">
      <c r="A4" s="79" t="s">
        <v>1</v>
      </c>
      <c r="B4" s="80"/>
      <c r="C4" s="80"/>
      <c r="D4" s="80"/>
      <c r="E4" s="81"/>
      <c r="F4" s="85" t="s">
        <v>127</v>
      </c>
      <c r="G4" s="86"/>
      <c r="H4" s="86"/>
      <c r="I4" s="86"/>
      <c r="J4" s="87"/>
    </row>
    <row r="5" spans="1:10" x14ac:dyDescent="0.25">
      <c r="A5" s="79" t="s">
        <v>2</v>
      </c>
      <c r="B5" s="80"/>
      <c r="C5" s="80"/>
      <c r="D5" s="80"/>
      <c r="E5" s="81"/>
      <c r="F5" s="82">
        <v>45906</v>
      </c>
      <c r="G5" s="83"/>
      <c r="H5" s="83"/>
      <c r="I5" s="83"/>
      <c r="J5" s="84"/>
    </row>
    <row r="6" spans="1:10" ht="16.5" customHeight="1" x14ac:dyDescent="0.25">
      <c r="A6" s="79" t="s">
        <v>3</v>
      </c>
      <c r="B6" s="80"/>
      <c r="C6" s="80"/>
      <c r="D6" s="80"/>
      <c r="E6" s="81"/>
      <c r="F6" s="73" t="s">
        <v>128</v>
      </c>
      <c r="G6" s="74"/>
      <c r="H6" s="74"/>
      <c r="I6" s="74"/>
      <c r="J6" s="75"/>
    </row>
    <row r="7" spans="1:10" ht="15" customHeight="1" x14ac:dyDescent="0.25">
      <c r="A7" s="79" t="s">
        <v>4</v>
      </c>
      <c r="B7" s="80"/>
      <c r="C7" s="80"/>
      <c r="D7" s="80"/>
      <c r="E7" s="81"/>
      <c r="F7" s="73" t="str">
        <f>F6</f>
        <v>M/s.Jaykali Developers Private Limited</v>
      </c>
      <c r="G7" s="74"/>
      <c r="H7" s="74"/>
      <c r="I7" s="74"/>
      <c r="J7" s="75"/>
    </row>
    <row r="8" spans="1:10" x14ac:dyDescent="0.25">
      <c r="A8" s="79" t="s">
        <v>5</v>
      </c>
      <c r="B8" s="80"/>
      <c r="C8" s="80"/>
      <c r="D8" s="80"/>
      <c r="E8" s="81"/>
      <c r="F8" s="103" t="s">
        <v>156</v>
      </c>
      <c r="G8" s="104"/>
      <c r="H8" s="104"/>
      <c r="I8" s="104"/>
      <c r="J8" s="105"/>
    </row>
    <row r="9" spans="1:10" x14ac:dyDescent="0.25">
      <c r="A9" s="85" t="s">
        <v>93</v>
      </c>
      <c r="B9" s="80"/>
      <c r="C9" s="80"/>
      <c r="D9" s="80"/>
      <c r="E9" s="81"/>
      <c r="F9" s="85">
        <v>9820761289</v>
      </c>
      <c r="G9" s="86"/>
      <c r="H9" s="86"/>
      <c r="I9" s="86"/>
      <c r="J9" s="87"/>
    </row>
    <row r="10" spans="1:10" ht="45.75" customHeight="1" x14ac:dyDescent="0.25">
      <c r="A10" s="85" t="s">
        <v>158</v>
      </c>
      <c r="B10" s="86"/>
      <c r="C10" s="86"/>
      <c r="D10" s="86"/>
      <c r="E10" s="87"/>
      <c r="F10" s="106" t="s">
        <v>184</v>
      </c>
      <c r="G10" s="168"/>
      <c r="H10" s="168"/>
      <c r="I10" s="168"/>
      <c r="J10" s="169"/>
    </row>
    <row r="11" spans="1:10" x14ac:dyDescent="0.25">
      <c r="A11" s="79" t="s">
        <v>6</v>
      </c>
      <c r="B11" s="80"/>
      <c r="C11" s="80"/>
      <c r="D11" s="80"/>
      <c r="E11" s="81"/>
      <c r="F11" s="106" t="s">
        <v>122</v>
      </c>
      <c r="G11" s="107"/>
      <c r="H11" s="107"/>
      <c r="I11" s="107"/>
      <c r="J11" s="108"/>
    </row>
    <row r="12" spans="1:10" ht="49.5" customHeight="1" x14ac:dyDescent="0.25">
      <c r="A12" s="85" t="s">
        <v>123</v>
      </c>
      <c r="B12" s="86"/>
      <c r="C12" s="86"/>
      <c r="D12" s="86"/>
      <c r="E12" s="87"/>
      <c r="F12" s="106" t="s">
        <v>185</v>
      </c>
      <c r="G12" s="168"/>
      <c r="H12" s="168"/>
      <c r="I12" s="168"/>
      <c r="J12" s="169"/>
    </row>
    <row r="13" spans="1:10" ht="49.5" customHeight="1" x14ac:dyDescent="0.25">
      <c r="A13" s="156" t="s">
        <v>53</v>
      </c>
      <c r="B13" s="156"/>
      <c r="C13" s="73" t="s">
        <v>186</v>
      </c>
      <c r="D13" s="74"/>
      <c r="E13" s="74"/>
      <c r="F13" s="74"/>
      <c r="G13" s="74"/>
      <c r="H13" s="74"/>
      <c r="I13" s="74"/>
      <c r="J13" s="75"/>
    </row>
    <row r="14" spans="1:10" x14ac:dyDescent="0.25">
      <c r="A14" s="2" t="s">
        <v>134</v>
      </c>
      <c r="B14" s="85" t="s">
        <v>133</v>
      </c>
      <c r="C14" s="86"/>
      <c r="D14" s="87"/>
      <c r="E14" s="109" t="s">
        <v>135</v>
      </c>
      <c r="F14" s="110"/>
      <c r="G14" s="21" t="s">
        <v>45</v>
      </c>
      <c r="H14" s="5" t="s">
        <v>54</v>
      </c>
      <c r="I14" s="121" t="s">
        <v>136</v>
      </c>
      <c r="J14" s="122"/>
    </row>
    <row r="15" spans="1:10" x14ac:dyDescent="0.25">
      <c r="A15" s="3" t="s">
        <v>7</v>
      </c>
      <c r="B15" s="85" t="s">
        <v>129</v>
      </c>
      <c r="C15" s="86"/>
      <c r="D15" s="86"/>
      <c r="E15" s="87"/>
      <c r="F15" s="4" t="s">
        <v>55</v>
      </c>
      <c r="G15" s="85" t="s">
        <v>130</v>
      </c>
      <c r="H15" s="86"/>
      <c r="I15" s="86"/>
      <c r="J15" s="87"/>
    </row>
    <row r="16" spans="1:10" x14ac:dyDescent="0.25">
      <c r="A16" s="3" t="s">
        <v>8</v>
      </c>
      <c r="B16" s="85" t="s">
        <v>131</v>
      </c>
      <c r="C16" s="86"/>
      <c r="D16" s="86"/>
      <c r="E16" s="87"/>
      <c r="F16" s="4" t="s">
        <v>56</v>
      </c>
      <c r="G16" s="85">
        <v>400601</v>
      </c>
      <c r="H16" s="86"/>
      <c r="I16" s="86"/>
      <c r="J16" s="87"/>
    </row>
    <row r="17" spans="1:10" ht="32.25" customHeight="1" x14ac:dyDescent="0.25">
      <c r="A17" s="156" t="s">
        <v>57</v>
      </c>
      <c r="B17" s="156"/>
      <c r="C17" s="132" t="s">
        <v>132</v>
      </c>
      <c r="D17" s="132"/>
      <c r="E17" s="132"/>
      <c r="F17" s="111" t="s">
        <v>47</v>
      </c>
      <c r="G17" s="111"/>
      <c r="H17" s="107" t="s">
        <v>150</v>
      </c>
      <c r="I17" s="107"/>
      <c r="J17" s="108"/>
    </row>
    <row r="18" spans="1:10" ht="15" customHeight="1" x14ac:dyDescent="0.25">
      <c r="A18" s="112" t="s">
        <v>151</v>
      </c>
      <c r="B18" s="113"/>
      <c r="C18" s="113"/>
      <c r="D18" s="113"/>
      <c r="E18" s="114"/>
      <c r="F18" s="123" t="s">
        <v>51</v>
      </c>
      <c r="G18" s="124"/>
      <c r="H18" s="124"/>
      <c r="I18" s="124"/>
      <c r="J18" s="125"/>
    </row>
    <row r="19" spans="1:10" x14ac:dyDescent="0.25">
      <c r="A19" s="115"/>
      <c r="B19" s="116"/>
      <c r="C19" s="116"/>
      <c r="D19" s="116"/>
      <c r="E19" s="117"/>
      <c r="F19" s="126"/>
      <c r="G19" s="127"/>
      <c r="H19" s="127"/>
      <c r="I19" s="127"/>
      <c r="J19" s="128"/>
    </row>
    <row r="20" spans="1:10" ht="15" customHeight="1" x14ac:dyDescent="0.25">
      <c r="A20" s="112" t="s">
        <v>94</v>
      </c>
      <c r="B20" s="174"/>
      <c r="C20" s="174"/>
      <c r="D20" s="174"/>
      <c r="E20" s="175"/>
      <c r="F20" s="112" t="s">
        <v>43</v>
      </c>
      <c r="G20" s="113"/>
      <c r="H20" s="113"/>
      <c r="I20" s="113"/>
      <c r="J20" s="114"/>
    </row>
    <row r="21" spans="1:10" x14ac:dyDescent="0.25">
      <c r="A21" s="176"/>
      <c r="B21" s="177"/>
      <c r="C21" s="177"/>
      <c r="D21" s="177"/>
      <c r="E21" s="178"/>
      <c r="F21" s="115"/>
      <c r="G21" s="116"/>
      <c r="H21" s="116"/>
      <c r="I21" s="116"/>
      <c r="J21" s="117"/>
    </row>
    <row r="22" spans="1:10" x14ac:dyDescent="0.25">
      <c r="A22" s="79" t="s">
        <v>9</v>
      </c>
      <c r="B22" s="80"/>
      <c r="C22" s="80"/>
      <c r="D22" s="80"/>
      <c r="E22" s="81"/>
      <c r="F22" s="129" t="s">
        <v>138</v>
      </c>
      <c r="G22" s="130"/>
      <c r="H22" s="130"/>
      <c r="I22" s="130"/>
      <c r="J22" s="131"/>
    </row>
    <row r="23" spans="1:10" x14ac:dyDescent="0.25">
      <c r="A23" s="79" t="s">
        <v>10</v>
      </c>
      <c r="B23" s="80"/>
      <c r="C23" s="80"/>
      <c r="D23" s="80"/>
      <c r="E23" s="81"/>
      <c r="F23" s="118" t="s">
        <v>48</v>
      </c>
      <c r="G23" s="119"/>
      <c r="H23" s="119"/>
      <c r="I23" s="119"/>
      <c r="J23" s="120"/>
    </row>
    <row r="24" spans="1:10" x14ac:dyDescent="0.25">
      <c r="A24" s="79" t="s">
        <v>11</v>
      </c>
      <c r="B24" s="80"/>
      <c r="C24" s="80"/>
      <c r="D24" s="80"/>
      <c r="E24" s="81"/>
      <c r="F24" s="129" t="s">
        <v>137</v>
      </c>
      <c r="G24" s="130"/>
      <c r="H24" s="130"/>
      <c r="I24" s="130"/>
      <c r="J24" s="131"/>
    </row>
    <row r="25" spans="1:10" x14ac:dyDescent="0.25">
      <c r="A25" s="79" t="s">
        <v>27</v>
      </c>
      <c r="B25" s="80"/>
      <c r="C25" s="80"/>
      <c r="D25" s="80"/>
      <c r="E25" s="81"/>
      <c r="F25" s="173" t="s">
        <v>58</v>
      </c>
      <c r="G25" s="151"/>
      <c r="H25" s="151"/>
      <c r="I25" s="151"/>
      <c r="J25" s="152"/>
    </row>
    <row r="26" spans="1:10" x14ac:dyDescent="0.25">
      <c r="A26" s="97" t="s">
        <v>12</v>
      </c>
      <c r="B26" s="98"/>
      <c r="C26" s="97" t="s">
        <v>13</v>
      </c>
      <c r="D26" s="98"/>
      <c r="E26" s="99" t="s">
        <v>14</v>
      </c>
      <c r="F26" s="98"/>
      <c r="G26" s="99" t="s">
        <v>46</v>
      </c>
      <c r="H26" s="100"/>
      <c r="I26" s="97" t="s">
        <v>15</v>
      </c>
      <c r="J26" s="98"/>
    </row>
    <row r="27" spans="1:10" x14ac:dyDescent="0.25">
      <c r="A27" s="99" t="s">
        <v>16</v>
      </c>
      <c r="B27" s="100"/>
      <c r="C27" s="101" t="s">
        <v>45</v>
      </c>
      <c r="D27" s="102"/>
      <c r="E27" s="101" t="s">
        <v>45</v>
      </c>
      <c r="F27" s="102"/>
      <c r="G27" s="101" t="s">
        <v>45</v>
      </c>
      <c r="H27" s="102"/>
      <c r="I27" s="101" t="s">
        <v>45</v>
      </c>
      <c r="J27" s="102"/>
    </row>
    <row r="28" spans="1:10" x14ac:dyDescent="0.25">
      <c r="A28" s="97" t="s">
        <v>17</v>
      </c>
      <c r="B28" s="98"/>
      <c r="C28" s="101" t="s">
        <v>149</v>
      </c>
      <c r="D28" s="102"/>
      <c r="E28" s="101" t="s">
        <v>149</v>
      </c>
      <c r="F28" s="102"/>
      <c r="G28" s="101" t="s">
        <v>129</v>
      </c>
      <c r="H28" s="102"/>
      <c r="I28" s="101" t="s">
        <v>148</v>
      </c>
      <c r="J28" s="102"/>
    </row>
    <row r="29" spans="1:10" x14ac:dyDescent="0.25">
      <c r="A29" s="85" t="s">
        <v>50</v>
      </c>
      <c r="B29" s="86"/>
      <c r="C29" s="86"/>
      <c r="D29" s="86"/>
      <c r="E29" s="86"/>
      <c r="F29" s="86"/>
      <c r="G29" s="86"/>
      <c r="H29" s="86"/>
      <c r="I29" s="86"/>
      <c r="J29" s="87"/>
    </row>
    <row r="30" spans="1:10" x14ac:dyDescent="0.25">
      <c r="A30" s="85" t="s">
        <v>119</v>
      </c>
      <c r="B30" s="86"/>
      <c r="C30" s="86"/>
      <c r="D30" s="86"/>
      <c r="E30" s="86"/>
      <c r="F30" s="86"/>
      <c r="G30" s="86"/>
      <c r="H30" s="86"/>
      <c r="I30" s="86"/>
      <c r="J30" s="87"/>
    </row>
    <row r="31" spans="1:10" x14ac:dyDescent="0.25">
      <c r="A31" s="85" t="s">
        <v>38</v>
      </c>
      <c r="B31" s="87"/>
      <c r="C31" s="103" t="s">
        <v>251</v>
      </c>
      <c r="D31" s="104"/>
      <c r="E31" s="104"/>
      <c r="F31" s="104"/>
      <c r="G31" s="104"/>
      <c r="H31" s="104"/>
      <c r="I31" s="104"/>
      <c r="J31" s="105"/>
    </row>
    <row r="32" spans="1:10" x14ac:dyDescent="0.25">
      <c r="A32" s="85" t="s">
        <v>246</v>
      </c>
      <c r="B32" s="87"/>
      <c r="C32" s="164" t="s">
        <v>247</v>
      </c>
      <c r="D32" s="86"/>
      <c r="E32" s="86"/>
      <c r="F32" s="86"/>
      <c r="G32" s="86"/>
      <c r="H32" s="86"/>
      <c r="I32" s="86"/>
      <c r="J32" s="87"/>
    </row>
    <row r="33" spans="1:10" x14ac:dyDescent="0.25">
      <c r="A33" s="103" t="s">
        <v>18</v>
      </c>
      <c r="B33" s="104"/>
      <c r="C33" s="104"/>
      <c r="D33" s="104"/>
      <c r="E33" s="104"/>
      <c r="F33" s="104"/>
      <c r="G33" s="104"/>
      <c r="H33" s="104"/>
      <c r="I33" s="104"/>
      <c r="J33" s="105"/>
    </row>
    <row r="34" spans="1:10" ht="29.45" customHeight="1" x14ac:dyDescent="0.25">
      <c r="A34" s="179" t="s">
        <v>139</v>
      </c>
      <c r="B34" s="180"/>
      <c r="C34" s="180"/>
      <c r="D34" s="180"/>
      <c r="E34" s="180"/>
      <c r="F34" s="180"/>
      <c r="G34" s="180"/>
      <c r="H34" s="180"/>
      <c r="I34" s="180"/>
      <c r="J34" s="181"/>
    </row>
    <row r="35" spans="1:10" ht="16.5" customHeight="1" x14ac:dyDescent="0.25">
      <c r="A35" s="85" t="s">
        <v>59</v>
      </c>
      <c r="B35" s="80"/>
      <c r="C35" s="80"/>
      <c r="D35" s="80"/>
      <c r="E35" s="81"/>
      <c r="F35" s="73">
        <v>36840.47</v>
      </c>
      <c r="G35" s="74"/>
      <c r="H35" s="74"/>
      <c r="I35" s="74"/>
      <c r="J35" s="75"/>
    </row>
    <row r="36" spans="1:10" x14ac:dyDescent="0.25">
      <c r="A36" s="79" t="s">
        <v>19</v>
      </c>
      <c r="B36" s="80"/>
      <c r="C36" s="80"/>
      <c r="D36" s="80"/>
      <c r="E36" s="81"/>
      <c r="F36" s="85">
        <v>3</v>
      </c>
      <c r="G36" s="86"/>
      <c r="H36" s="86"/>
      <c r="I36" s="86"/>
      <c r="J36" s="87"/>
    </row>
    <row r="37" spans="1:10" x14ac:dyDescent="0.25">
      <c r="A37" s="79" t="s">
        <v>20</v>
      </c>
      <c r="B37" s="80"/>
      <c r="C37" s="80"/>
      <c r="D37" s="80"/>
      <c r="E37" s="81"/>
      <c r="F37" s="85">
        <v>0</v>
      </c>
      <c r="G37" s="86"/>
      <c r="H37" s="86"/>
      <c r="I37" s="86"/>
      <c r="J37" s="87"/>
    </row>
    <row r="38" spans="1:10" x14ac:dyDescent="0.25">
      <c r="A38" s="79" t="s">
        <v>21</v>
      </c>
      <c r="B38" s="80"/>
      <c r="C38" s="80"/>
      <c r="D38" s="80"/>
      <c r="E38" s="81"/>
      <c r="F38" s="85">
        <f>F36+F37</f>
        <v>3</v>
      </c>
      <c r="G38" s="86"/>
      <c r="H38" s="86"/>
      <c r="I38" s="86"/>
      <c r="J38" s="87"/>
    </row>
    <row r="39" spans="1:10" x14ac:dyDescent="0.25">
      <c r="A39" s="85" t="s">
        <v>60</v>
      </c>
      <c r="B39" s="80"/>
      <c r="C39" s="80"/>
      <c r="D39" s="80"/>
      <c r="E39" s="81"/>
      <c r="F39" s="85">
        <f>F35*F38</f>
        <v>110521.41</v>
      </c>
      <c r="G39" s="86"/>
      <c r="H39" s="86"/>
      <c r="I39" s="86"/>
      <c r="J39" s="87"/>
    </row>
    <row r="40" spans="1:10" x14ac:dyDescent="0.25">
      <c r="A40" s="79" t="s">
        <v>22</v>
      </c>
      <c r="B40" s="80"/>
      <c r="C40" s="80"/>
      <c r="D40" s="80"/>
      <c r="E40" s="81"/>
      <c r="F40" s="85" t="s">
        <v>183</v>
      </c>
      <c r="G40" s="86"/>
      <c r="H40" s="86"/>
      <c r="I40" s="86"/>
      <c r="J40" s="87"/>
    </row>
    <row r="41" spans="1:10" x14ac:dyDescent="0.25">
      <c r="A41" s="103" t="s">
        <v>62</v>
      </c>
      <c r="B41" s="104"/>
      <c r="C41" s="104"/>
      <c r="D41" s="104"/>
      <c r="E41" s="104"/>
      <c r="F41" s="104"/>
      <c r="G41" s="104"/>
      <c r="H41" s="104"/>
      <c r="I41" s="104"/>
      <c r="J41" s="105"/>
    </row>
    <row r="42" spans="1:10" ht="15.75" x14ac:dyDescent="0.25">
      <c r="A42" s="73" t="s">
        <v>61</v>
      </c>
      <c r="B42" s="75"/>
      <c r="C42" s="91" t="s">
        <v>169</v>
      </c>
      <c r="D42" s="92"/>
      <c r="E42" s="92"/>
      <c r="F42" s="93"/>
      <c r="G42" s="6" t="s">
        <v>52</v>
      </c>
      <c r="H42" s="88" t="s">
        <v>157</v>
      </c>
      <c r="I42" s="89"/>
      <c r="J42" s="90"/>
    </row>
    <row r="43" spans="1:10" ht="15.75" x14ac:dyDescent="0.25">
      <c r="A43" s="73" t="s">
        <v>126</v>
      </c>
      <c r="B43" s="75"/>
      <c r="C43" s="91" t="str">
        <f>C42</f>
        <v xml:space="preserve">T1 = SRA/ENG/009/Sec-4/STGL/AP   </v>
      </c>
      <c r="D43" s="92"/>
      <c r="E43" s="92"/>
      <c r="F43" s="93"/>
      <c r="G43" s="6" t="s">
        <v>52</v>
      </c>
      <c r="H43" s="88" t="str">
        <f>H42</f>
        <v>28/02/2019.</v>
      </c>
      <c r="I43" s="89"/>
      <c r="J43" s="90"/>
    </row>
    <row r="44" spans="1:10" ht="92.25" customHeight="1" x14ac:dyDescent="0.25">
      <c r="A44" s="73" t="s">
        <v>125</v>
      </c>
      <c r="B44" s="75"/>
      <c r="C44" s="94" t="s">
        <v>249</v>
      </c>
      <c r="D44" s="95"/>
      <c r="E44" s="95"/>
      <c r="F44" s="96"/>
      <c r="G44" s="23" t="s">
        <v>52</v>
      </c>
      <c r="H44" s="88">
        <v>44685</v>
      </c>
      <c r="I44" s="89"/>
      <c r="J44" s="90"/>
    </row>
    <row r="45" spans="1:10" ht="15.75" x14ac:dyDescent="0.25">
      <c r="A45" s="73" t="s">
        <v>61</v>
      </c>
      <c r="B45" s="75"/>
      <c r="C45" s="91" t="s">
        <v>182</v>
      </c>
      <c r="D45" s="92"/>
      <c r="E45" s="92"/>
      <c r="F45" s="93"/>
      <c r="G45" s="6" t="s">
        <v>52</v>
      </c>
      <c r="H45" s="88" t="s">
        <v>157</v>
      </c>
      <c r="I45" s="89"/>
      <c r="J45" s="90"/>
    </row>
    <row r="46" spans="1:10" ht="15.75" x14ac:dyDescent="0.25">
      <c r="A46" s="73" t="s">
        <v>126</v>
      </c>
      <c r="B46" s="75"/>
      <c r="C46" s="91" t="str">
        <f>C45</f>
        <v xml:space="preserve">T2 = SRA/ENG/010/Sec-4/STGL/AP   </v>
      </c>
      <c r="D46" s="92"/>
      <c r="E46" s="92"/>
      <c r="F46" s="93"/>
      <c r="G46" s="6" t="s">
        <v>52</v>
      </c>
      <c r="H46" s="88" t="str">
        <f>H45</f>
        <v>28/02/2019.</v>
      </c>
      <c r="I46" s="89"/>
      <c r="J46" s="90"/>
    </row>
    <row r="47" spans="1:10" ht="74.099999999999994" customHeight="1" x14ac:dyDescent="0.25">
      <c r="A47" s="73" t="s">
        <v>125</v>
      </c>
      <c r="B47" s="75"/>
      <c r="C47" s="94" t="s">
        <v>250</v>
      </c>
      <c r="D47" s="95"/>
      <c r="E47" s="95"/>
      <c r="F47" s="96"/>
      <c r="G47" s="23" t="s">
        <v>52</v>
      </c>
      <c r="H47" s="88">
        <v>44837</v>
      </c>
      <c r="I47" s="89"/>
      <c r="J47" s="90"/>
    </row>
    <row r="48" spans="1:10" ht="15.75" x14ac:dyDescent="0.25">
      <c r="A48" s="73" t="s">
        <v>61</v>
      </c>
      <c r="B48" s="75"/>
      <c r="C48" s="91" t="s">
        <v>170</v>
      </c>
      <c r="D48" s="92"/>
      <c r="E48" s="92"/>
      <c r="F48" s="93"/>
      <c r="G48" s="6" t="s">
        <v>52</v>
      </c>
      <c r="H48" s="88" t="s">
        <v>157</v>
      </c>
      <c r="I48" s="89"/>
      <c r="J48" s="90"/>
    </row>
    <row r="49" spans="1:16" ht="15.75" x14ac:dyDescent="0.25">
      <c r="A49" s="73" t="s">
        <v>126</v>
      </c>
      <c r="B49" s="75"/>
      <c r="C49" s="91" t="str">
        <f>C48</f>
        <v xml:space="preserve">T3 = SRA/ENG/011/Sec-4/STGL/AP   </v>
      </c>
      <c r="D49" s="92"/>
      <c r="E49" s="92"/>
      <c r="F49" s="93"/>
      <c r="G49" s="6" t="s">
        <v>52</v>
      </c>
      <c r="H49" s="88" t="str">
        <f>H48</f>
        <v>28/02/2019.</v>
      </c>
      <c r="I49" s="89"/>
      <c r="J49" s="90"/>
    </row>
    <row r="50" spans="1:16" ht="91.5" customHeight="1" x14ac:dyDescent="0.25">
      <c r="A50" s="73" t="s">
        <v>125</v>
      </c>
      <c r="B50" s="75"/>
      <c r="C50" s="94" t="s">
        <v>245</v>
      </c>
      <c r="D50" s="95"/>
      <c r="E50" s="95"/>
      <c r="F50" s="96"/>
      <c r="G50" s="23" t="s">
        <v>52</v>
      </c>
      <c r="H50" s="88">
        <v>44837</v>
      </c>
      <c r="I50" s="145"/>
      <c r="J50" s="146"/>
    </row>
    <row r="51" spans="1:16" ht="18" customHeight="1" x14ac:dyDescent="0.25">
      <c r="A51" s="73" t="s">
        <v>92</v>
      </c>
      <c r="B51" s="75"/>
      <c r="C51" s="170" t="s">
        <v>45</v>
      </c>
      <c r="D51" s="171"/>
      <c r="E51" s="171"/>
      <c r="F51" s="172"/>
      <c r="G51" s="6" t="s">
        <v>52</v>
      </c>
      <c r="H51" s="88" t="s">
        <v>45</v>
      </c>
      <c r="I51" s="89"/>
      <c r="J51" s="90"/>
    </row>
    <row r="52" spans="1:16" ht="51.6" customHeight="1" x14ac:dyDescent="0.25">
      <c r="A52" s="73" t="s">
        <v>65</v>
      </c>
      <c r="B52" s="75"/>
      <c r="C52" s="71">
        <v>43526</v>
      </c>
      <c r="D52" s="73" t="s">
        <v>187</v>
      </c>
      <c r="E52" s="74"/>
      <c r="F52" s="74"/>
      <c r="G52" s="73" t="s">
        <v>254</v>
      </c>
      <c r="H52" s="74"/>
      <c r="I52" s="74"/>
      <c r="J52" s="75"/>
    </row>
    <row r="53" spans="1:16" ht="19.899999999999999" customHeight="1" x14ac:dyDescent="0.25">
      <c r="A53" s="190" t="s">
        <v>23</v>
      </c>
      <c r="B53" s="191"/>
      <c r="C53" s="191"/>
      <c r="D53" s="191"/>
      <c r="E53" s="191"/>
      <c r="F53" s="191"/>
      <c r="G53" s="191"/>
      <c r="H53" s="191"/>
      <c r="I53" s="191"/>
      <c r="J53" s="192"/>
    </row>
    <row r="54" spans="1:16" ht="19.899999999999999" customHeight="1" x14ac:dyDescent="0.25">
      <c r="A54" s="85" t="s">
        <v>91</v>
      </c>
      <c r="B54" s="86"/>
      <c r="C54" s="87"/>
      <c r="D54" s="99">
        <f>F39</f>
        <v>110521.41</v>
      </c>
      <c r="E54" s="100"/>
      <c r="F54" s="195" t="s">
        <v>120</v>
      </c>
      <c r="G54" s="195"/>
      <c r="H54" s="195"/>
      <c r="I54" s="144">
        <f>326+423</f>
        <v>749</v>
      </c>
      <c r="J54" s="144"/>
    </row>
    <row r="55" spans="1:16" ht="93" customHeight="1" x14ac:dyDescent="0.25">
      <c r="A55" s="99" t="s">
        <v>63</v>
      </c>
      <c r="B55" s="188"/>
      <c r="C55" s="73" t="s">
        <v>244</v>
      </c>
      <c r="D55" s="74"/>
      <c r="E55" s="74"/>
      <c r="F55" s="74"/>
      <c r="G55" s="74"/>
      <c r="H55" s="74"/>
      <c r="I55" s="74"/>
      <c r="J55" s="75"/>
    </row>
    <row r="56" spans="1:16" x14ac:dyDescent="0.25">
      <c r="A56" s="85" t="s">
        <v>189</v>
      </c>
      <c r="B56" s="86"/>
      <c r="C56" s="86"/>
      <c r="D56" s="87"/>
      <c r="E56" s="73" t="s">
        <v>49</v>
      </c>
      <c r="F56" s="74"/>
      <c r="G56" s="74"/>
      <c r="H56" s="74"/>
      <c r="I56" s="74"/>
      <c r="J56" s="75"/>
    </row>
    <row r="57" spans="1:16" ht="15.75" thickBot="1" x14ac:dyDescent="0.3">
      <c r="A57" s="193" t="s">
        <v>242</v>
      </c>
      <c r="B57" s="193"/>
      <c r="C57" s="193"/>
      <c r="D57" s="193"/>
      <c r="E57" s="193"/>
      <c r="F57" s="193"/>
      <c r="G57" s="193"/>
      <c r="H57" s="193"/>
      <c r="I57" s="193"/>
      <c r="J57" s="193"/>
    </row>
    <row r="58" spans="1:16" ht="32.25" customHeight="1" x14ac:dyDescent="0.25">
      <c r="A58" s="205" t="s">
        <v>211</v>
      </c>
      <c r="B58" s="205"/>
      <c r="C58" s="206" t="s">
        <v>239</v>
      </c>
      <c r="D58" s="206"/>
      <c r="E58" s="206"/>
      <c r="F58" s="206"/>
      <c r="G58" s="206"/>
      <c r="H58" s="206"/>
      <c r="I58" s="206"/>
      <c r="J58" s="206"/>
      <c r="K58" s="54" t="str">
        <f ca="1">(IF(C62=0,"Work not yet Started.",IF(D62=25%,"Piling work in process",IF(D62=50%,"Excavation work in process",IF(D62=100%,"Excavation work completed, ","0")))&amp;(IF(C63=0%,"",IF(C63=M64,"Footing work is process",IF(C63=M65,"Footing work Completed",IF(C63=M66,"1st Basement Completed",IF(C63=M67,"1st &amp; 2nd Basement Completed",IF(C63=M68,"1st to 3rd Basement Completed",IF(C63=M69,"1st to 4th Basement Completed",IF(C63=M70,"Plinth work is process",IF(C63=M71,"Plinth work completed","0")))))))))))&amp;(IF(C64&gt;0,", RCC upto "&amp;C64&amp;" Slab completed",""))&amp;(IF(C65&gt;0,", Brickwork upto "&amp;C65&amp;" Floor completed"," "))&amp;(IF(C66&gt;0,", Internal Plaster upto "&amp;C66&amp;" Floor completed"," "))&amp;(IF(C67&gt;0,", External Plaster upto "&amp;C67&amp;" Floor completed"," "))&amp;(IF(C68&gt;0,", Flooring upto "&amp;C68&amp;" Floor completed"," "))&amp;(IF(C69&gt;0,", Painting upto "&amp;C69&amp;" Floor completed"," "))&amp;(IF(C70&gt;0,", Finishing upto "&amp;C70&amp;" Floor completed"," ")))</f>
        <v xml:space="preserve">Excavation work completed, Plinth work completed, RCC upto 9 Slab completed      </v>
      </c>
      <c r="L58" s="54"/>
      <c r="M58" s="55"/>
    </row>
    <row r="59" spans="1:16" ht="15.75" customHeight="1" x14ac:dyDescent="0.25">
      <c r="A59" s="70" t="s">
        <v>212</v>
      </c>
      <c r="B59" s="70">
        <v>2</v>
      </c>
      <c r="C59" s="70" t="s">
        <v>213</v>
      </c>
      <c r="D59" s="207">
        <v>1</v>
      </c>
      <c r="E59" s="207"/>
      <c r="F59" s="70" t="s">
        <v>214</v>
      </c>
      <c r="G59" s="70">
        <v>0</v>
      </c>
      <c r="H59" s="70" t="s">
        <v>215</v>
      </c>
      <c r="I59" s="207">
        <f ca="1">--TRIM(RIGHT(SUBSTITUTE(LEFT(C58,_xlfn.AGGREGATE(16,6,FIND({0,1,2,3,4,5,6,7,8,9},C58,ROW(INDIRECT("1:"&amp;LEN(C58)))),1))," ",REPT(" ",LEN(C58))),LEN(C58)))</f>
        <v>50</v>
      </c>
      <c r="J59" s="207"/>
      <c r="K59" s="56" t="s">
        <v>216</v>
      </c>
      <c r="L59" s="56"/>
      <c r="M59" s="57"/>
    </row>
    <row r="60" spans="1:16" x14ac:dyDescent="0.25">
      <c r="A60" s="208" t="s">
        <v>217</v>
      </c>
      <c r="B60" s="208"/>
      <c r="C60" s="206" t="str">
        <f ca="1">K58</f>
        <v xml:space="preserve">Excavation work completed, Plinth work completed, RCC upto 9 Slab completed      </v>
      </c>
      <c r="D60" s="206"/>
      <c r="E60" s="206"/>
      <c r="F60" s="206"/>
      <c r="G60" s="206"/>
      <c r="H60" s="206"/>
      <c r="I60" s="206"/>
      <c r="J60" s="206"/>
      <c r="K60" s="56" t="s">
        <v>218</v>
      </c>
      <c r="L60" s="56"/>
      <c r="M60" s="57"/>
    </row>
    <row r="61" spans="1:16" ht="15.75" customHeight="1" x14ac:dyDescent="0.25">
      <c r="A61" s="189" t="s">
        <v>33</v>
      </c>
      <c r="B61" s="189"/>
      <c r="C61" s="69" t="s">
        <v>219</v>
      </c>
      <c r="D61" s="189" t="s">
        <v>220</v>
      </c>
      <c r="E61" s="189"/>
      <c r="F61" s="189" t="s">
        <v>221</v>
      </c>
      <c r="G61" s="189"/>
      <c r="H61" s="189" t="s">
        <v>222</v>
      </c>
      <c r="I61" s="189"/>
      <c r="J61" s="189"/>
      <c r="K61" s="49" t="s">
        <v>223</v>
      </c>
      <c r="L61" s="58"/>
      <c r="M61" s="59">
        <f ca="1">I59*25%</f>
        <v>12.5</v>
      </c>
    </row>
    <row r="62" spans="1:16" ht="15.75" customHeight="1" x14ac:dyDescent="0.25">
      <c r="A62" s="189" t="s">
        <v>224</v>
      </c>
      <c r="B62" s="189"/>
      <c r="C62" s="67">
        <f ca="1">M63</f>
        <v>50</v>
      </c>
      <c r="D62" s="194">
        <f ca="1">((100/I59)*C62)/100</f>
        <v>1</v>
      </c>
      <c r="E62" s="194"/>
      <c r="F62" s="194">
        <f ca="1">(IF(C60=K59,"100%",IF(C60=K60,"100%",(((C63/I59*10)+(40/(D59+G59+I59)*C64)+(7.5/(I59)*C65)+(7.5/(I59)*C66)+(10/I59*C67)+(10/I59*C68)+(5/I59*C69)+(5/I59*C70)+(5/I59*C71))/100))))</f>
        <v>0.17058823529411765</v>
      </c>
      <c r="G62" s="194"/>
      <c r="H62" s="194">
        <f ca="1">((((C62/I59)*20)+((C63/I59)*25)+(30/(I59+G59+D59)*C64)+(5/I59*C65)+(5/I59*C66)+(5/I59*C67)+(5/I59*C68)+(0/I59*C69)+(0/I59*C70)+(5/I59*C71))/100)</f>
        <v>0.50294117647058822</v>
      </c>
      <c r="I62" s="194"/>
      <c r="J62" s="194"/>
      <c r="K62" s="49" t="s">
        <v>203</v>
      </c>
      <c r="L62" s="50"/>
      <c r="M62" s="51">
        <f ca="1">I59*50%</f>
        <v>25</v>
      </c>
    </row>
    <row r="63" spans="1:16" ht="15.75" customHeight="1" x14ac:dyDescent="0.25">
      <c r="A63" s="189" t="s">
        <v>34</v>
      </c>
      <c r="B63" s="189"/>
      <c r="C63" s="68">
        <f ca="1">M71</f>
        <v>50</v>
      </c>
      <c r="D63" s="194">
        <f ca="1">((100/I59)*C63)/100</f>
        <v>1</v>
      </c>
      <c r="E63" s="194"/>
      <c r="F63" s="194"/>
      <c r="G63" s="194"/>
      <c r="H63" s="194"/>
      <c r="I63" s="194"/>
      <c r="J63" s="194"/>
      <c r="K63" s="49" t="s">
        <v>204</v>
      </c>
      <c r="L63" s="50"/>
      <c r="M63" s="51">
        <f ca="1">I59</f>
        <v>50</v>
      </c>
      <c r="P63" t="s">
        <v>252</v>
      </c>
    </row>
    <row r="64" spans="1:16" ht="15.75" customHeight="1" x14ac:dyDescent="0.25">
      <c r="A64" s="207" t="s">
        <v>225</v>
      </c>
      <c r="B64" s="207"/>
      <c r="C64" s="68">
        <v>9</v>
      </c>
      <c r="D64" s="194">
        <f ca="1">((100/(D59+G59+I59))*C64)/100</f>
        <v>0.1764705882352941</v>
      </c>
      <c r="E64" s="194"/>
      <c r="F64" s="194"/>
      <c r="G64" s="194"/>
      <c r="H64" s="194"/>
      <c r="I64" s="194"/>
      <c r="J64" s="194"/>
      <c r="K64" s="49" t="s">
        <v>205</v>
      </c>
      <c r="L64" s="50"/>
      <c r="M64" s="60">
        <f ca="1">(IF(B59=0,I59/4,(I59/(B59+4))))</f>
        <v>8.3333333333333339</v>
      </c>
    </row>
    <row r="65" spans="1:13" ht="15.75" customHeight="1" x14ac:dyDescent="0.25">
      <c r="A65" s="189" t="s">
        <v>226</v>
      </c>
      <c r="B65" s="189" t="s">
        <v>227</v>
      </c>
      <c r="C65" s="67">
        <v>0</v>
      </c>
      <c r="D65" s="194">
        <f ca="1">((100/I59)*C65)/100</f>
        <v>0</v>
      </c>
      <c r="E65" s="194"/>
      <c r="F65" s="194"/>
      <c r="G65" s="194"/>
      <c r="H65" s="194"/>
      <c r="I65" s="194"/>
      <c r="J65" s="194"/>
      <c r="K65" s="49" t="s">
        <v>206</v>
      </c>
      <c r="L65" s="50"/>
      <c r="M65" s="60">
        <f ca="1">(IF(B59=0,I59/4+M64,(I59/(B59+4)+M64)))</f>
        <v>16.666666666666668</v>
      </c>
    </row>
    <row r="66" spans="1:13" ht="15.75" customHeight="1" x14ac:dyDescent="0.25">
      <c r="A66" s="189" t="s">
        <v>228</v>
      </c>
      <c r="B66" s="189" t="s">
        <v>227</v>
      </c>
      <c r="C66" s="67">
        <v>0</v>
      </c>
      <c r="D66" s="194">
        <f ca="1">((100/I59)*C66)/100</f>
        <v>0</v>
      </c>
      <c r="E66" s="194"/>
      <c r="F66" s="194"/>
      <c r="G66" s="194"/>
      <c r="H66" s="194"/>
      <c r="I66" s="194"/>
      <c r="J66" s="194"/>
      <c r="K66" s="49" t="s">
        <v>229</v>
      </c>
      <c r="L66" s="61"/>
      <c r="M66" s="60">
        <f ca="1">(IF(B59=0,0,(I59/(B59+4)+M65)))</f>
        <v>25</v>
      </c>
    </row>
    <row r="67" spans="1:13" ht="15.75" customHeight="1" x14ac:dyDescent="0.25">
      <c r="A67" s="189" t="s">
        <v>230</v>
      </c>
      <c r="B67" s="189" t="s">
        <v>231</v>
      </c>
      <c r="C67" s="67">
        <v>0</v>
      </c>
      <c r="D67" s="194">
        <f ca="1">((100/(I59))*C67)/100</f>
        <v>0</v>
      </c>
      <c r="E67" s="194"/>
      <c r="F67" s="194"/>
      <c r="G67" s="194"/>
      <c r="H67" s="194"/>
      <c r="I67" s="194"/>
      <c r="J67" s="194"/>
      <c r="K67" s="49" t="s">
        <v>232</v>
      </c>
      <c r="L67" s="61"/>
      <c r="M67" s="60">
        <f ca="1">(IF(B59&gt;1,(I59/(B59+4)+M66),0))</f>
        <v>33.333333333333336</v>
      </c>
    </row>
    <row r="68" spans="1:13" ht="15.75" customHeight="1" x14ac:dyDescent="0.25">
      <c r="A68" s="189" t="s">
        <v>233</v>
      </c>
      <c r="B68" s="189" t="s">
        <v>233</v>
      </c>
      <c r="C68" s="67">
        <v>0</v>
      </c>
      <c r="D68" s="194">
        <f ca="1">((100/I59)*C68)/100</f>
        <v>0</v>
      </c>
      <c r="E68" s="194"/>
      <c r="F68" s="194"/>
      <c r="G68" s="194"/>
      <c r="H68" s="194"/>
      <c r="I68" s="194"/>
      <c r="J68" s="194"/>
      <c r="K68" s="49" t="s">
        <v>234</v>
      </c>
      <c r="L68" s="62"/>
      <c r="M68" s="63">
        <f>(IF(B59&gt;2,(I59/(B59+4)+M67),0))</f>
        <v>0</v>
      </c>
    </row>
    <row r="69" spans="1:13" ht="15.75" customHeight="1" x14ac:dyDescent="0.25">
      <c r="A69" s="189" t="s">
        <v>235</v>
      </c>
      <c r="B69" s="189"/>
      <c r="C69" s="67">
        <v>0</v>
      </c>
      <c r="D69" s="194">
        <f ca="1">((100/I59)*C69)/100</f>
        <v>0</v>
      </c>
      <c r="E69" s="194"/>
      <c r="F69" s="194"/>
      <c r="G69" s="194"/>
      <c r="H69" s="194"/>
      <c r="I69" s="194"/>
      <c r="J69" s="194"/>
      <c r="K69" s="49" t="s">
        <v>236</v>
      </c>
      <c r="L69" s="64"/>
      <c r="M69" s="65">
        <f>(IF(B59&gt;3,(I59/(B59+4)+M68),0))</f>
        <v>0</v>
      </c>
    </row>
    <row r="70" spans="1:13" ht="15.75" customHeight="1" x14ac:dyDescent="0.25">
      <c r="A70" s="189" t="s">
        <v>237</v>
      </c>
      <c r="B70" s="189" t="s">
        <v>237</v>
      </c>
      <c r="C70" s="67">
        <v>0</v>
      </c>
      <c r="D70" s="194">
        <f ca="1">((100/(I59))*C70)/100</f>
        <v>0</v>
      </c>
      <c r="E70" s="194"/>
      <c r="F70" s="194"/>
      <c r="G70" s="194"/>
      <c r="H70" s="194"/>
      <c r="I70" s="194"/>
      <c r="J70" s="194"/>
      <c r="K70" s="49" t="s">
        <v>207</v>
      </c>
      <c r="L70" s="50"/>
      <c r="M70" s="60">
        <f ca="1">(IF(B59=0,I59/4+M65,(I59/(B59+4)+M65+MAX(0,M66-M65)+MAX(0,M67-M66)+MAX(0,M68-M67)+MAX(0,M69-M68))))</f>
        <v>41.666666666666664</v>
      </c>
    </row>
    <row r="71" spans="1:13" ht="15.75" customHeight="1" thickBot="1" x14ac:dyDescent="0.3">
      <c r="A71" s="189" t="s">
        <v>238</v>
      </c>
      <c r="B71" s="189"/>
      <c r="C71" s="67">
        <v>0</v>
      </c>
      <c r="D71" s="194">
        <f ca="1">((100/(I59))*C71)/100</f>
        <v>0</v>
      </c>
      <c r="E71" s="194"/>
      <c r="F71" s="194"/>
      <c r="G71" s="194"/>
      <c r="H71" s="194"/>
      <c r="I71" s="194"/>
      <c r="J71" s="194"/>
      <c r="K71" s="52" t="s">
        <v>208</v>
      </c>
      <c r="L71" s="53"/>
      <c r="M71" s="66">
        <f ca="1">(IF(B59=0,I59/4+M70,(I59/(B59+4)+M70)))</f>
        <v>50</v>
      </c>
    </row>
    <row r="72" spans="1:13" ht="29.25" customHeight="1" x14ac:dyDescent="0.25">
      <c r="A72" s="205" t="s">
        <v>211</v>
      </c>
      <c r="B72" s="205"/>
      <c r="C72" s="206" t="s">
        <v>240</v>
      </c>
      <c r="D72" s="206"/>
      <c r="E72" s="206"/>
      <c r="F72" s="206"/>
      <c r="G72" s="206"/>
      <c r="H72" s="206"/>
      <c r="I72" s="206"/>
      <c r="J72" s="206"/>
      <c r="K72" s="54" t="str">
        <f ca="1">(IF(C76=0,"Work not yet Started.",IF(D76=25%,"Piling work in process",IF(D76=50%,"Excavation work in process",IF(D76=100%,"Excavation work completed, ","0")))&amp;(IF(C77=0%,"",IF(C77=M78,"Footing work is process",IF(C77=M79,"Footing work Completed",IF(C77=M80,"1st Basement Completed",IF(C77=M81,"1st &amp; 2nd Basement Completed",IF(C77=M82,"1st to 3rd Basement Completed",IF(C77=M83,"1st to 4th Basement Completed",IF(C77=M84,"Plinth work is process",IF(C77=M85,"Plinth work completed","0")))))))))))&amp;(IF(C78&gt;0,", RCC upto "&amp;C78&amp;" Slab completed",""))&amp;(IF(C79&gt;0,", Brickwork upto "&amp;C79&amp;" Floor completed"," "))&amp;(IF(C80&gt;0,", Internal Plaster upto "&amp;C80&amp;" Floor completed"," "))&amp;(IF(C81&gt;0,", External Plaster upto "&amp;C81&amp;" Floor completed"," "))&amp;(IF(C82&gt;0,", Flooring upto "&amp;C82&amp;" Floor completed"," "))&amp;(IF(C83&gt;0,", Painting upto "&amp;C83&amp;" Floor completed"," "))&amp;(IF(C84&gt;0,", Finishing upto "&amp;C84&amp;" Floor completed"," ")))</f>
        <v xml:space="preserve">Excavation work completed, Plinth work completed, RCC upto 9 Slab completed, Brickwork upto 3 Floor completed , External Plaster upto 3 Floor completed   </v>
      </c>
      <c r="L72" s="54"/>
      <c r="M72" s="55"/>
    </row>
    <row r="73" spans="1:13" ht="15.75" customHeight="1" x14ac:dyDescent="0.25">
      <c r="A73" s="70" t="s">
        <v>212</v>
      </c>
      <c r="B73" s="70">
        <v>2</v>
      </c>
      <c r="C73" s="70" t="s">
        <v>213</v>
      </c>
      <c r="D73" s="207">
        <v>1</v>
      </c>
      <c r="E73" s="207"/>
      <c r="F73" s="70" t="s">
        <v>214</v>
      </c>
      <c r="G73" s="70">
        <v>0</v>
      </c>
      <c r="H73" s="70" t="s">
        <v>215</v>
      </c>
      <c r="I73" s="207">
        <f ca="1">--TRIM(RIGHT(SUBSTITUTE(LEFT(C72,_xlfn.AGGREGATE(16,6,FIND({0,1,2,3,4,5,6,7,8,9},C72,ROW(INDIRECT("1:"&amp;LEN(C72)))),1))," ",REPT(" ",LEN(C72))),LEN(C72)))</f>
        <v>50</v>
      </c>
      <c r="J73" s="207"/>
      <c r="K73" s="56" t="s">
        <v>216</v>
      </c>
      <c r="L73" s="56"/>
      <c r="M73" s="57"/>
    </row>
    <row r="74" spans="1:13" ht="32.25" customHeight="1" x14ac:dyDescent="0.25">
      <c r="A74" s="208" t="s">
        <v>217</v>
      </c>
      <c r="B74" s="208"/>
      <c r="C74" s="206" t="str">
        <f ca="1">K72</f>
        <v xml:space="preserve">Excavation work completed, Plinth work completed, RCC upto 9 Slab completed, Brickwork upto 3 Floor completed , External Plaster upto 3 Floor completed   </v>
      </c>
      <c r="D74" s="206"/>
      <c r="E74" s="206"/>
      <c r="F74" s="206"/>
      <c r="G74" s="206"/>
      <c r="H74" s="206"/>
      <c r="I74" s="206"/>
      <c r="J74" s="206"/>
      <c r="K74" s="56" t="s">
        <v>218</v>
      </c>
      <c r="L74" s="56"/>
      <c r="M74" s="57"/>
    </row>
    <row r="75" spans="1:13" ht="15.75" customHeight="1" x14ac:dyDescent="0.25">
      <c r="A75" s="189" t="s">
        <v>33</v>
      </c>
      <c r="B75" s="189"/>
      <c r="C75" s="69" t="s">
        <v>219</v>
      </c>
      <c r="D75" s="189" t="s">
        <v>220</v>
      </c>
      <c r="E75" s="189"/>
      <c r="F75" s="189" t="s">
        <v>221</v>
      </c>
      <c r="G75" s="189"/>
      <c r="H75" s="189" t="s">
        <v>222</v>
      </c>
      <c r="I75" s="189"/>
      <c r="J75" s="189"/>
      <c r="K75" s="49" t="s">
        <v>223</v>
      </c>
      <c r="L75" s="58"/>
      <c r="M75" s="59">
        <f ca="1">I73*25%</f>
        <v>12.5</v>
      </c>
    </row>
    <row r="76" spans="1:13" ht="15.75" customHeight="1" x14ac:dyDescent="0.25">
      <c r="A76" s="189" t="s">
        <v>224</v>
      </c>
      <c r="B76" s="189"/>
      <c r="C76" s="67">
        <f ca="1">M77</f>
        <v>50</v>
      </c>
      <c r="D76" s="194">
        <f ca="1">((100/I73)*C76)/100</f>
        <v>1</v>
      </c>
      <c r="E76" s="194"/>
      <c r="F76" s="194">
        <f ca="1">(IF(C74=K73,"100%",IF(C74=K74,"100%",(((C77/I73*10)+(40/(D73+G73+I73)*C78)+(7.5/(I73)*C79)+(7.5/(I73)*C80)+(10/I73*C81)+(10/I73*C82)+(5/I73*C83)+(5/I73*C84)+(5/I73*C85))/100))))</f>
        <v>0.18108823529411766</v>
      </c>
      <c r="G76" s="194"/>
      <c r="H76" s="194">
        <f ca="1">((((C76/I73)*20)+((C77/I73)*25)+(30/(I73+G73+D73)*C78)+(5/I73*C79)+(5/I73*C80)+(5/I73*C81)+(5/I73*C82)+(0/I73*C83)+(0/I73*C84)+(5/I73*C85))/100)</f>
        <v>0.50894117647058823</v>
      </c>
      <c r="I76" s="194"/>
      <c r="J76" s="194"/>
      <c r="K76" s="49" t="s">
        <v>203</v>
      </c>
      <c r="L76" s="50"/>
      <c r="M76" s="51">
        <f ca="1">I73*50%</f>
        <v>25</v>
      </c>
    </row>
    <row r="77" spans="1:13" ht="15.75" customHeight="1" x14ac:dyDescent="0.25">
      <c r="A77" s="189" t="s">
        <v>34</v>
      </c>
      <c r="B77" s="189"/>
      <c r="C77" s="68">
        <v>50</v>
      </c>
      <c r="D77" s="194">
        <f ca="1">((100/I73)*C77)/100</f>
        <v>1</v>
      </c>
      <c r="E77" s="194"/>
      <c r="F77" s="194"/>
      <c r="G77" s="194"/>
      <c r="H77" s="194"/>
      <c r="I77" s="194"/>
      <c r="J77" s="194"/>
      <c r="K77" s="49" t="s">
        <v>204</v>
      </c>
      <c r="L77" s="50"/>
      <c r="M77" s="51">
        <f ca="1">I73</f>
        <v>50</v>
      </c>
    </row>
    <row r="78" spans="1:13" ht="15.75" customHeight="1" x14ac:dyDescent="0.25">
      <c r="A78" s="207" t="s">
        <v>225</v>
      </c>
      <c r="B78" s="207"/>
      <c r="C78" s="68">
        <v>9</v>
      </c>
      <c r="D78" s="194">
        <f ca="1">((100/(D73+G73+I73))*C78)/100</f>
        <v>0.1764705882352941</v>
      </c>
      <c r="E78" s="194"/>
      <c r="F78" s="194"/>
      <c r="G78" s="194"/>
      <c r="H78" s="194"/>
      <c r="I78" s="194"/>
      <c r="J78" s="194"/>
      <c r="K78" s="49" t="s">
        <v>205</v>
      </c>
      <c r="L78" s="50"/>
      <c r="M78" s="60">
        <f ca="1">(IF(B73=0,I73/4,(I73/(B73+4))))</f>
        <v>8.3333333333333339</v>
      </c>
    </row>
    <row r="79" spans="1:13" ht="15.75" customHeight="1" x14ac:dyDescent="0.25">
      <c r="A79" s="189" t="s">
        <v>226</v>
      </c>
      <c r="B79" s="189" t="s">
        <v>227</v>
      </c>
      <c r="C79" s="67">
        <v>3</v>
      </c>
      <c r="D79" s="194">
        <f ca="1">((100/I73)*C79)/100</f>
        <v>0.06</v>
      </c>
      <c r="E79" s="194"/>
      <c r="F79" s="194"/>
      <c r="G79" s="194"/>
      <c r="H79" s="194"/>
      <c r="I79" s="194"/>
      <c r="J79" s="194"/>
      <c r="K79" s="49" t="s">
        <v>206</v>
      </c>
      <c r="L79" s="50"/>
      <c r="M79" s="60">
        <f ca="1">(IF(B73=0,I73/4+M78,(I73/(B73+4)+M78)))</f>
        <v>16.666666666666668</v>
      </c>
    </row>
    <row r="80" spans="1:13" ht="15.75" customHeight="1" x14ac:dyDescent="0.25">
      <c r="A80" s="189" t="s">
        <v>228</v>
      </c>
      <c r="B80" s="189" t="s">
        <v>227</v>
      </c>
      <c r="C80" s="67">
        <v>0</v>
      </c>
      <c r="D80" s="194">
        <f ca="1">((100/I73)*C80)/100</f>
        <v>0</v>
      </c>
      <c r="E80" s="194"/>
      <c r="F80" s="194"/>
      <c r="G80" s="194"/>
      <c r="H80" s="194"/>
      <c r="I80" s="194"/>
      <c r="J80" s="194"/>
      <c r="K80" s="49" t="s">
        <v>229</v>
      </c>
      <c r="L80" s="61"/>
      <c r="M80" s="60">
        <f ca="1">(IF(B73=0,0,(I73/(B73+4)+M79)))</f>
        <v>25</v>
      </c>
    </row>
    <row r="81" spans="1:13" ht="15.75" customHeight="1" x14ac:dyDescent="0.25">
      <c r="A81" s="207" t="s">
        <v>230</v>
      </c>
      <c r="B81" s="207" t="s">
        <v>231</v>
      </c>
      <c r="C81" s="67">
        <v>3</v>
      </c>
      <c r="D81" s="194">
        <f ca="1">((100/(I73))*C81)/100</f>
        <v>0.06</v>
      </c>
      <c r="E81" s="194"/>
      <c r="F81" s="194"/>
      <c r="G81" s="194"/>
      <c r="H81" s="194"/>
      <c r="I81" s="194"/>
      <c r="J81" s="194"/>
      <c r="K81" s="49" t="s">
        <v>232</v>
      </c>
      <c r="L81" s="61"/>
      <c r="M81" s="60">
        <f ca="1">(IF(B73&gt;1,(I73/(B73+4)+M80),0))</f>
        <v>33.333333333333336</v>
      </c>
    </row>
    <row r="82" spans="1:13" ht="15.75" customHeight="1" x14ac:dyDescent="0.25">
      <c r="A82" s="189" t="s">
        <v>233</v>
      </c>
      <c r="B82" s="189" t="s">
        <v>233</v>
      </c>
      <c r="C82" s="67">
        <v>0</v>
      </c>
      <c r="D82" s="194">
        <f ca="1">((100/I73)*C82)/100</f>
        <v>0</v>
      </c>
      <c r="E82" s="194"/>
      <c r="F82" s="194"/>
      <c r="G82" s="194"/>
      <c r="H82" s="194"/>
      <c r="I82" s="194"/>
      <c r="J82" s="194"/>
      <c r="K82" s="49" t="s">
        <v>234</v>
      </c>
      <c r="L82" s="62"/>
      <c r="M82" s="63">
        <f>(IF(B73&gt;2,(I73/(B73+4)+M81),0))</f>
        <v>0</v>
      </c>
    </row>
    <row r="83" spans="1:13" ht="15.75" customHeight="1" x14ac:dyDescent="0.25">
      <c r="A83" s="189" t="s">
        <v>235</v>
      </c>
      <c r="B83" s="189"/>
      <c r="C83" s="67">
        <v>0</v>
      </c>
      <c r="D83" s="194">
        <f ca="1">((100/I73)*C83)/100</f>
        <v>0</v>
      </c>
      <c r="E83" s="194"/>
      <c r="F83" s="194"/>
      <c r="G83" s="194"/>
      <c r="H83" s="194"/>
      <c r="I83" s="194"/>
      <c r="J83" s="194"/>
      <c r="K83" s="49" t="s">
        <v>236</v>
      </c>
      <c r="L83" s="64"/>
      <c r="M83" s="65">
        <f>(IF(B73&gt;3,(I73/(B73+4)+M82),0))</f>
        <v>0</v>
      </c>
    </row>
    <row r="84" spans="1:13" ht="15.75" customHeight="1" x14ac:dyDescent="0.25">
      <c r="A84" s="189" t="s">
        <v>237</v>
      </c>
      <c r="B84" s="189" t="s">
        <v>237</v>
      </c>
      <c r="C84" s="67">
        <v>0</v>
      </c>
      <c r="D84" s="194">
        <f ca="1">((100/(I73))*C84)/100</f>
        <v>0</v>
      </c>
      <c r="E84" s="194"/>
      <c r="F84" s="194"/>
      <c r="G84" s="194"/>
      <c r="H84" s="194"/>
      <c r="I84" s="194"/>
      <c r="J84" s="194"/>
      <c r="K84" s="49" t="s">
        <v>207</v>
      </c>
      <c r="L84" s="50"/>
      <c r="M84" s="60">
        <f ca="1">(IF(B73=0,I73/4+M79,(I73/(B73+4)+M79+MAX(0,M80-M79)+MAX(0,M81-M80)+MAX(0,M82-M81)+MAX(0,M83-M82))))</f>
        <v>41.666666666666664</v>
      </c>
    </row>
    <row r="85" spans="1:13" ht="15.75" customHeight="1" thickBot="1" x14ac:dyDescent="0.3">
      <c r="A85" s="189" t="s">
        <v>238</v>
      </c>
      <c r="B85" s="189"/>
      <c r="C85" s="67">
        <v>0</v>
      </c>
      <c r="D85" s="194">
        <f ca="1">((100/(I73))*C85)/100</f>
        <v>0</v>
      </c>
      <c r="E85" s="194"/>
      <c r="F85" s="194"/>
      <c r="G85" s="194"/>
      <c r="H85" s="194"/>
      <c r="I85" s="194"/>
      <c r="J85" s="194"/>
      <c r="K85" s="52" t="s">
        <v>208</v>
      </c>
      <c r="L85" s="53"/>
      <c r="M85" s="66">
        <f ca="1">(IF(B73=0,I73/4+M84,(I73/(B73+4)+M84)))</f>
        <v>50</v>
      </c>
    </row>
    <row r="86" spans="1:13" ht="33" customHeight="1" x14ac:dyDescent="0.25">
      <c r="A86" s="205" t="s">
        <v>211</v>
      </c>
      <c r="B86" s="205"/>
      <c r="C86" s="206" t="s">
        <v>241</v>
      </c>
      <c r="D86" s="206"/>
      <c r="E86" s="206"/>
      <c r="F86" s="206"/>
      <c r="G86" s="206"/>
      <c r="H86" s="206"/>
      <c r="I86" s="206"/>
      <c r="J86" s="206"/>
      <c r="K86" s="54" t="str">
        <f ca="1">(IF(C90=0,"Work not yet Started.",IF(D90=25%,"Piling work in process",IF(D90=50%,"Excavation work in process",IF(D90=100%,"Excavation work completed, ","0")))&amp;(IF(C91=0%,"",IF(C91=M92,"Footing work is process",IF(C91=M93,"Footing work Completed",IF(C91=M94,"1st Basement Completed",IF(C91=M95,"1st &amp; 2nd Basement Completed",IF(C91=M96,"1st to 3rd Basement Completed",IF(C91=M97,"1st to 4th Basement Completed",IF(C91=M98,"Plinth work is process",IF(C91=M99,"Plinth work completed","0")))))))))))&amp;(IF(C92&gt;0,", RCC upto "&amp;C92&amp;" Slab completed",""))&amp;(IF(C93&gt;0,", Brickwork upto "&amp;C93&amp;" Floor completed"," "))&amp;(IF(C94&gt;0,", Internal Plaster upto "&amp;C94&amp;" Floor completed"," "))&amp;(IF(C95&gt;0,", External Plaster upto "&amp;C95&amp;" Floor completed"," "))&amp;(IF(C96&gt;0,", Flooring upto "&amp;C96&amp;" Floor completed"," "))&amp;(IF(C97&gt;0,", Painting upto "&amp;C97&amp;" Floor completed"," "))&amp;(IF(C98&gt;0,", Finishing upto "&amp;C98&amp;" Floor completed"," ")))</f>
        <v xml:space="preserve">Excavation work completed, Plinth work completed, RCC upto 6 Slab completed      </v>
      </c>
      <c r="L86" s="54"/>
      <c r="M86" s="55"/>
    </row>
    <row r="87" spans="1:13" ht="15.75" customHeight="1" x14ac:dyDescent="0.25">
      <c r="A87" s="70" t="s">
        <v>212</v>
      </c>
      <c r="B87" s="70">
        <v>2</v>
      </c>
      <c r="C87" s="70" t="s">
        <v>213</v>
      </c>
      <c r="D87" s="207">
        <v>1</v>
      </c>
      <c r="E87" s="207"/>
      <c r="F87" s="70" t="s">
        <v>214</v>
      </c>
      <c r="G87" s="70">
        <v>0</v>
      </c>
      <c r="H87" s="70" t="s">
        <v>215</v>
      </c>
      <c r="I87" s="207">
        <f ca="1">--TRIM(RIGHT(SUBSTITUTE(LEFT(C86,_xlfn.AGGREGATE(16,6,FIND({0,1,2,3,4,5,6,7,8,9},C86,ROW(INDIRECT("1:"&amp;LEN(C86)))),1))," ",REPT(" ",LEN(C86))),LEN(C86)))</f>
        <v>22</v>
      </c>
      <c r="J87" s="207"/>
      <c r="K87" s="56" t="s">
        <v>216</v>
      </c>
      <c r="L87" s="56"/>
      <c r="M87" s="57"/>
    </row>
    <row r="88" spans="1:13" ht="15.75" customHeight="1" x14ac:dyDescent="0.25">
      <c r="A88" s="208" t="s">
        <v>217</v>
      </c>
      <c r="B88" s="208"/>
      <c r="C88" s="206" t="str">
        <f ca="1">K86</f>
        <v xml:space="preserve">Excavation work completed, Plinth work completed, RCC upto 6 Slab completed      </v>
      </c>
      <c r="D88" s="206"/>
      <c r="E88" s="206"/>
      <c r="F88" s="206"/>
      <c r="G88" s="206"/>
      <c r="H88" s="206"/>
      <c r="I88" s="206"/>
      <c r="J88" s="206"/>
      <c r="K88" s="56" t="s">
        <v>218</v>
      </c>
      <c r="L88" s="56"/>
      <c r="M88" s="57"/>
    </row>
    <row r="89" spans="1:13" ht="15.75" customHeight="1" x14ac:dyDescent="0.25">
      <c r="A89" s="189" t="s">
        <v>33</v>
      </c>
      <c r="B89" s="189"/>
      <c r="C89" s="69" t="s">
        <v>219</v>
      </c>
      <c r="D89" s="189" t="s">
        <v>220</v>
      </c>
      <c r="E89" s="189"/>
      <c r="F89" s="189" t="s">
        <v>221</v>
      </c>
      <c r="G89" s="189"/>
      <c r="H89" s="189" t="s">
        <v>222</v>
      </c>
      <c r="I89" s="189"/>
      <c r="J89" s="189"/>
      <c r="K89" s="49" t="s">
        <v>223</v>
      </c>
      <c r="L89" s="58"/>
      <c r="M89" s="59">
        <f ca="1">I87*25%</f>
        <v>5.5</v>
      </c>
    </row>
    <row r="90" spans="1:13" ht="15.75" customHeight="1" x14ac:dyDescent="0.25">
      <c r="A90" s="189" t="s">
        <v>224</v>
      </c>
      <c r="B90" s="189"/>
      <c r="C90" s="67">
        <f ca="1">M91</f>
        <v>22</v>
      </c>
      <c r="D90" s="194">
        <f ca="1">((100/I87)*C90)/100</f>
        <v>1.0000000000000002</v>
      </c>
      <c r="E90" s="194"/>
      <c r="F90" s="194">
        <f ca="1">(IF(C88=K87,"100%",IF(C88=K88,"100%",(((C91/I87*10)+(40/(D87+G87+I87)*C92)+(7.5/(I87)*C93)+(7.5/(I87)*C94)+(10/I87*C95)+(10/I87*C96)+(5/I87*C97)+(5/I87*C98)+(5/I87*C99))/100))))</f>
        <v>0.20434782608695654</v>
      </c>
      <c r="G90" s="194"/>
      <c r="H90" s="194">
        <f ca="1">((((C90/I87)*20)+((C91/I87)*25)+(30/(I87+G87+D87)*C92)+(5/I87*C93)+(5/I87*C94)+(5/I87*C95)+(5/I87*C96)+(0/I87*C97)+(0/I87*C98)+(5/I87*C99))/100)</f>
        <v>0.52826086956521745</v>
      </c>
      <c r="I90" s="194"/>
      <c r="J90" s="194"/>
      <c r="K90" s="49" t="s">
        <v>203</v>
      </c>
      <c r="L90" s="50"/>
      <c r="M90" s="51">
        <f ca="1">I87*50%</f>
        <v>11</v>
      </c>
    </row>
    <row r="91" spans="1:13" ht="15.75" customHeight="1" x14ac:dyDescent="0.25">
      <c r="A91" s="189" t="s">
        <v>34</v>
      </c>
      <c r="B91" s="189"/>
      <c r="C91" s="68">
        <v>22</v>
      </c>
      <c r="D91" s="194">
        <f ca="1">((100/I87)*C91)/100</f>
        <v>1.0000000000000002</v>
      </c>
      <c r="E91" s="194"/>
      <c r="F91" s="194"/>
      <c r="G91" s="194"/>
      <c r="H91" s="194"/>
      <c r="I91" s="194"/>
      <c r="J91" s="194"/>
      <c r="K91" s="49" t="s">
        <v>204</v>
      </c>
      <c r="L91" s="50"/>
      <c r="M91" s="51">
        <f ca="1">I87</f>
        <v>22</v>
      </c>
    </row>
    <row r="92" spans="1:13" ht="15.75" customHeight="1" x14ac:dyDescent="0.25">
      <c r="A92" s="207" t="s">
        <v>225</v>
      </c>
      <c r="B92" s="207"/>
      <c r="C92" s="68">
        <v>6</v>
      </c>
      <c r="D92" s="194">
        <f ca="1">((100/(D87+G87+I87))*C92)/100</f>
        <v>0.2608695652173913</v>
      </c>
      <c r="E92" s="194"/>
      <c r="F92" s="194"/>
      <c r="G92" s="194"/>
      <c r="H92" s="194"/>
      <c r="I92" s="194"/>
      <c r="J92" s="194"/>
      <c r="K92" s="49" t="s">
        <v>205</v>
      </c>
      <c r="L92" s="50"/>
      <c r="M92" s="60">
        <f ca="1">(IF(B87=0,I87/4,(I87/(B87+4))))</f>
        <v>3.6666666666666665</v>
      </c>
    </row>
    <row r="93" spans="1:13" ht="15.75" customHeight="1" x14ac:dyDescent="0.25">
      <c r="A93" s="189" t="s">
        <v>226</v>
      </c>
      <c r="B93" s="189" t="s">
        <v>227</v>
      </c>
      <c r="C93" s="67">
        <v>0</v>
      </c>
      <c r="D93" s="194">
        <f ca="1">((100/I87)*C93)/100</f>
        <v>0</v>
      </c>
      <c r="E93" s="194"/>
      <c r="F93" s="194"/>
      <c r="G93" s="194"/>
      <c r="H93" s="194"/>
      <c r="I93" s="194"/>
      <c r="J93" s="194"/>
      <c r="K93" s="49" t="s">
        <v>206</v>
      </c>
      <c r="L93" s="50"/>
      <c r="M93" s="60">
        <f ca="1">(IF(B87=0,I87/4+M92,(I87/(B87+4)+M92)))</f>
        <v>7.333333333333333</v>
      </c>
    </row>
    <row r="94" spans="1:13" ht="15.75" customHeight="1" x14ac:dyDescent="0.25">
      <c r="A94" s="189" t="s">
        <v>228</v>
      </c>
      <c r="B94" s="189" t="s">
        <v>227</v>
      </c>
      <c r="C94" s="67">
        <v>0</v>
      </c>
      <c r="D94" s="194">
        <f ca="1">((100/I87)*C94)/100</f>
        <v>0</v>
      </c>
      <c r="E94" s="194"/>
      <c r="F94" s="194"/>
      <c r="G94" s="194"/>
      <c r="H94" s="194"/>
      <c r="I94" s="194"/>
      <c r="J94" s="194"/>
      <c r="K94" s="49" t="s">
        <v>229</v>
      </c>
      <c r="L94" s="61"/>
      <c r="M94" s="60">
        <f ca="1">(IF(B87=0,0,(I87/(B87+4)+M93)))</f>
        <v>11</v>
      </c>
    </row>
    <row r="95" spans="1:13" ht="15.75" customHeight="1" x14ac:dyDescent="0.25">
      <c r="A95" s="189" t="s">
        <v>230</v>
      </c>
      <c r="B95" s="189" t="s">
        <v>231</v>
      </c>
      <c r="C95" s="67">
        <v>0</v>
      </c>
      <c r="D95" s="194">
        <f ca="1">((100/(I87))*C95)/100</f>
        <v>0</v>
      </c>
      <c r="E95" s="194"/>
      <c r="F95" s="194"/>
      <c r="G95" s="194"/>
      <c r="H95" s="194"/>
      <c r="I95" s="194"/>
      <c r="J95" s="194"/>
      <c r="K95" s="49" t="s">
        <v>232</v>
      </c>
      <c r="L95" s="61"/>
      <c r="M95" s="60">
        <f ca="1">(IF(B87&gt;1,(I87/(B87+4)+M94),0))</f>
        <v>14.666666666666666</v>
      </c>
    </row>
    <row r="96" spans="1:13" ht="15.75" customHeight="1" x14ac:dyDescent="0.25">
      <c r="A96" s="189" t="s">
        <v>233</v>
      </c>
      <c r="B96" s="189" t="s">
        <v>233</v>
      </c>
      <c r="C96" s="67">
        <v>0</v>
      </c>
      <c r="D96" s="194">
        <f ca="1">((100/I87)*C96)/100</f>
        <v>0</v>
      </c>
      <c r="E96" s="194"/>
      <c r="F96" s="194"/>
      <c r="G96" s="194"/>
      <c r="H96" s="194"/>
      <c r="I96" s="194"/>
      <c r="J96" s="194"/>
      <c r="K96" s="49" t="s">
        <v>234</v>
      </c>
      <c r="L96" s="62"/>
      <c r="M96" s="63">
        <f>(IF(B87&gt;2,(I87/(B87+4)+M95),0))</f>
        <v>0</v>
      </c>
    </row>
    <row r="97" spans="1:13" ht="15.75" customHeight="1" x14ac:dyDescent="0.25">
      <c r="A97" s="189" t="s">
        <v>235</v>
      </c>
      <c r="B97" s="189"/>
      <c r="C97" s="67">
        <v>0</v>
      </c>
      <c r="D97" s="194">
        <f ca="1">((100/I87)*C97)/100</f>
        <v>0</v>
      </c>
      <c r="E97" s="194"/>
      <c r="F97" s="194"/>
      <c r="G97" s="194"/>
      <c r="H97" s="194"/>
      <c r="I97" s="194"/>
      <c r="J97" s="194"/>
      <c r="K97" s="49" t="s">
        <v>236</v>
      </c>
      <c r="L97" s="64"/>
      <c r="M97" s="65">
        <f>(IF(B87&gt;3,(I87/(B87+4)+M96),0))</f>
        <v>0</v>
      </c>
    </row>
    <row r="98" spans="1:13" ht="15.75" customHeight="1" x14ac:dyDescent="0.25">
      <c r="A98" s="189" t="s">
        <v>237</v>
      </c>
      <c r="B98" s="189" t="s">
        <v>237</v>
      </c>
      <c r="C98" s="67">
        <v>0</v>
      </c>
      <c r="D98" s="194">
        <f ca="1">((100/(I87))*C98)/100</f>
        <v>0</v>
      </c>
      <c r="E98" s="194"/>
      <c r="F98" s="194"/>
      <c r="G98" s="194"/>
      <c r="H98" s="194"/>
      <c r="I98" s="194"/>
      <c r="J98" s="194"/>
      <c r="K98" s="49" t="s">
        <v>207</v>
      </c>
      <c r="L98" s="50"/>
      <c r="M98" s="60">
        <f ca="1">(IF(B87=0,I87/4+M93,(I87/(B87+4)+M93+MAX(0,M94-M93)+MAX(0,M95-M94)+MAX(0,M96-M95)+MAX(0,M97-M96))))</f>
        <v>18.333333333333336</v>
      </c>
    </row>
    <row r="99" spans="1:13" ht="15.75" customHeight="1" thickBot="1" x14ac:dyDescent="0.3">
      <c r="A99" s="189" t="s">
        <v>238</v>
      </c>
      <c r="B99" s="189"/>
      <c r="C99" s="67">
        <v>0</v>
      </c>
      <c r="D99" s="194">
        <f ca="1">((100/(I87))*C99)/100</f>
        <v>0</v>
      </c>
      <c r="E99" s="194"/>
      <c r="F99" s="194"/>
      <c r="G99" s="194"/>
      <c r="H99" s="194"/>
      <c r="I99" s="194"/>
      <c r="J99" s="194"/>
      <c r="K99" s="52" t="s">
        <v>208</v>
      </c>
      <c r="L99" s="53"/>
      <c r="M99" s="66">
        <f ca="1">(IF(B87=0,I87/4+M98,(I87/(B87+4)+M98)))</f>
        <v>22.000000000000004</v>
      </c>
    </row>
    <row r="100" spans="1:13" x14ac:dyDescent="0.25">
      <c r="A100" s="126" t="s">
        <v>243</v>
      </c>
      <c r="B100" s="127"/>
      <c r="C100" s="127"/>
      <c r="D100" s="127"/>
      <c r="E100" s="127"/>
      <c r="F100" s="127"/>
      <c r="G100" s="127"/>
      <c r="H100" s="127"/>
      <c r="I100" s="127"/>
      <c r="J100" s="128"/>
    </row>
    <row r="101" spans="1:13" x14ac:dyDescent="0.25">
      <c r="A101" s="85" t="s">
        <v>44</v>
      </c>
      <c r="B101" s="86"/>
      <c r="C101" s="86"/>
      <c r="D101" s="86"/>
      <c r="E101" s="86"/>
      <c r="F101" s="86"/>
      <c r="G101" s="86"/>
      <c r="H101" s="86"/>
      <c r="I101" s="86"/>
      <c r="J101" s="87"/>
    </row>
    <row r="102" spans="1:13" ht="15" customHeight="1" x14ac:dyDescent="0.25">
      <c r="A102" s="182" t="s">
        <v>64</v>
      </c>
      <c r="B102" s="183"/>
      <c r="C102" s="183"/>
      <c r="D102" s="183"/>
      <c r="E102" s="183"/>
      <c r="F102" s="183"/>
      <c r="G102" s="183"/>
      <c r="H102" s="183"/>
      <c r="I102" s="183"/>
      <c r="J102" s="184"/>
    </row>
    <row r="103" spans="1:13" x14ac:dyDescent="0.25">
      <c r="A103" s="185"/>
      <c r="B103" s="186"/>
      <c r="C103" s="186"/>
      <c r="D103" s="186"/>
      <c r="E103" s="186"/>
      <c r="F103" s="186"/>
      <c r="G103" s="186"/>
      <c r="H103" s="186"/>
      <c r="I103" s="186"/>
      <c r="J103" s="187"/>
    </row>
    <row r="104" spans="1:13" x14ac:dyDescent="0.25">
      <c r="A104" s="198" t="s">
        <v>24</v>
      </c>
      <c r="B104" s="147"/>
      <c r="C104" s="147"/>
      <c r="D104" s="147"/>
      <c r="E104" s="147"/>
      <c r="F104" s="147"/>
      <c r="G104" s="147"/>
      <c r="H104" s="147"/>
      <c r="I104" s="147"/>
      <c r="J104" s="148"/>
    </row>
    <row r="105" spans="1:13" ht="30.75" customHeight="1" x14ac:dyDescent="0.25">
      <c r="A105" s="202" t="s">
        <v>175</v>
      </c>
      <c r="B105" s="104"/>
      <c r="C105" s="104"/>
      <c r="D105" s="104"/>
      <c r="E105" s="104"/>
      <c r="F105" s="105"/>
      <c r="G105" s="199">
        <v>17000</v>
      </c>
      <c r="H105" s="200"/>
      <c r="I105" s="200"/>
      <c r="J105" s="201"/>
    </row>
    <row r="106" spans="1:13" x14ac:dyDescent="0.25">
      <c r="A106" s="85" t="s">
        <v>87</v>
      </c>
      <c r="B106" s="80"/>
      <c r="C106" s="80"/>
      <c r="D106" s="80"/>
      <c r="E106" s="80"/>
      <c r="F106" s="81"/>
      <c r="G106" s="94" t="s">
        <v>152</v>
      </c>
      <c r="H106" s="95"/>
      <c r="I106" s="95"/>
      <c r="J106" s="96"/>
    </row>
    <row r="107" spans="1:13" s="1" customFormat="1" x14ac:dyDescent="0.25">
      <c r="A107" s="103" t="s">
        <v>95</v>
      </c>
      <c r="B107" s="147"/>
      <c r="C107" s="147"/>
      <c r="D107" s="147"/>
      <c r="E107" s="147"/>
      <c r="F107" s="148"/>
      <c r="G107" s="149">
        <f>G105*0.8</f>
        <v>13600</v>
      </c>
      <c r="H107" s="145"/>
      <c r="I107" s="145"/>
      <c r="J107" s="146"/>
    </row>
    <row r="108" spans="1:13" s="1" customFormat="1" ht="18.75" x14ac:dyDescent="0.25">
      <c r="A108" s="133" t="s">
        <v>96</v>
      </c>
      <c r="B108" s="134"/>
      <c r="C108" s="134"/>
      <c r="D108" s="134"/>
      <c r="E108" s="134"/>
      <c r="F108" s="134"/>
      <c r="G108" s="134"/>
      <c r="H108" s="134"/>
      <c r="I108" s="134"/>
      <c r="J108" s="135"/>
    </row>
    <row r="109" spans="1:13" x14ac:dyDescent="0.25">
      <c r="A109" s="76" t="s">
        <v>42</v>
      </c>
      <c r="B109" s="77"/>
      <c r="C109" s="77"/>
      <c r="D109" s="77"/>
      <c r="E109" s="77"/>
      <c r="F109" s="77"/>
      <c r="G109" s="77"/>
      <c r="H109" s="77"/>
      <c r="I109" s="77"/>
      <c r="J109" s="78"/>
    </row>
    <row r="110" spans="1:13" ht="40.5" customHeight="1" x14ac:dyDescent="0.25">
      <c r="A110" s="139" t="s">
        <v>31</v>
      </c>
      <c r="B110" s="141"/>
      <c r="C110" s="7" t="s">
        <v>28</v>
      </c>
      <c r="D110" s="196" t="s">
        <v>124</v>
      </c>
      <c r="E110" s="197"/>
      <c r="F110" s="14" t="s">
        <v>29</v>
      </c>
      <c r="G110" s="7" t="s">
        <v>174</v>
      </c>
      <c r="H110" s="7" t="s">
        <v>30</v>
      </c>
      <c r="I110" s="139" t="s">
        <v>97</v>
      </c>
      <c r="J110" s="141"/>
    </row>
    <row r="111" spans="1:13" ht="19.149999999999999" customHeight="1" x14ac:dyDescent="0.25">
      <c r="A111" s="136" t="s">
        <v>181</v>
      </c>
      <c r="B111" s="137"/>
      <c r="C111" s="137"/>
      <c r="D111" s="137"/>
      <c r="E111" s="137"/>
      <c r="F111" s="137"/>
      <c r="G111" s="137"/>
      <c r="H111" s="137"/>
      <c r="I111" s="137"/>
      <c r="J111" s="138"/>
    </row>
    <row r="112" spans="1:13" ht="19.149999999999999" customHeight="1" x14ac:dyDescent="0.25">
      <c r="A112" s="136" t="s">
        <v>159</v>
      </c>
      <c r="B112" s="137"/>
      <c r="C112" s="137"/>
      <c r="D112" s="137"/>
      <c r="E112" s="137"/>
      <c r="F112" s="137"/>
      <c r="G112" s="137"/>
      <c r="H112" s="137"/>
      <c r="I112" s="137"/>
      <c r="J112" s="138"/>
    </row>
    <row r="113" spans="1:13" ht="19.149999999999999" customHeight="1" x14ac:dyDescent="0.25">
      <c r="A113" s="136" t="s">
        <v>145</v>
      </c>
      <c r="B113" s="137"/>
      <c r="C113" s="137"/>
      <c r="D113" s="137"/>
      <c r="E113" s="137"/>
      <c r="F113" s="137"/>
      <c r="G113" s="137"/>
      <c r="H113" s="137"/>
      <c r="I113" s="137"/>
      <c r="J113" s="138"/>
    </row>
    <row r="114" spans="1:13" ht="19.149999999999999" customHeight="1" x14ac:dyDescent="0.25">
      <c r="A114" s="139" t="s">
        <v>146</v>
      </c>
      <c r="B114" s="140"/>
      <c r="C114" s="140"/>
      <c r="D114" s="140"/>
      <c r="E114" s="140"/>
      <c r="F114" s="140"/>
      <c r="G114" s="140"/>
      <c r="H114" s="140"/>
      <c r="I114" s="140"/>
      <c r="J114" s="141"/>
    </row>
    <row r="115" spans="1:13" ht="19.149999999999999" customHeight="1" x14ac:dyDescent="0.25">
      <c r="A115" s="136" t="s">
        <v>147</v>
      </c>
      <c r="B115" s="137"/>
      <c r="C115" s="137"/>
      <c r="D115" s="137"/>
      <c r="E115" s="137"/>
      <c r="F115" s="137"/>
      <c r="G115" s="137"/>
      <c r="H115" s="137"/>
      <c r="I115" s="137"/>
      <c r="J115" s="138"/>
    </row>
    <row r="116" spans="1:13" ht="33" customHeight="1" x14ac:dyDescent="0.25">
      <c r="A116" s="139" t="s">
        <v>142</v>
      </c>
      <c r="B116" s="140"/>
      <c r="C116" s="140"/>
      <c r="D116" s="140"/>
      <c r="E116" s="140"/>
      <c r="F116" s="140"/>
      <c r="G116" s="140"/>
      <c r="H116" s="140"/>
      <c r="I116" s="140"/>
      <c r="J116" s="141"/>
    </row>
    <row r="117" spans="1:13" ht="18.600000000000001" customHeight="1" x14ac:dyDescent="0.25">
      <c r="A117" s="142">
        <v>1</v>
      </c>
      <c r="B117" s="143"/>
      <c r="C117" s="13" t="s">
        <v>162</v>
      </c>
      <c r="D117" s="142">
        <f>'1 &amp; 2'!F37</f>
        <v>600.88953599999991</v>
      </c>
      <c r="E117" s="143"/>
      <c r="F117" s="13">
        <v>0</v>
      </c>
      <c r="G117" s="13">
        <f>D117*1.6</f>
        <v>961.42325759999994</v>
      </c>
      <c r="H117" s="13" t="s">
        <v>140</v>
      </c>
      <c r="I117" s="209" t="s">
        <v>141</v>
      </c>
      <c r="J117" s="210"/>
      <c r="M117" s="72">
        <f>G117/D117</f>
        <v>1.6</v>
      </c>
    </row>
    <row r="118" spans="1:13" ht="18.600000000000001" customHeight="1" x14ac:dyDescent="0.25">
      <c r="A118" s="142">
        <v>2</v>
      </c>
      <c r="B118" s="143"/>
      <c r="C118" s="13" t="s">
        <v>162</v>
      </c>
      <c r="D118" s="142">
        <f>D117</f>
        <v>600.88953599999991</v>
      </c>
      <c r="E118" s="143"/>
      <c r="F118" s="13">
        <v>0</v>
      </c>
      <c r="G118" s="13">
        <f t="shared" ref="G118:G124" si="0">D118*1.6</f>
        <v>961.42325759999994</v>
      </c>
      <c r="H118" s="13" t="s">
        <v>140</v>
      </c>
      <c r="I118" s="211"/>
      <c r="J118" s="212"/>
    </row>
    <row r="119" spans="1:13" ht="18.600000000000001" customHeight="1" x14ac:dyDescent="0.25">
      <c r="A119" s="142">
        <v>3</v>
      </c>
      <c r="B119" s="143"/>
      <c r="C119" s="13" t="s">
        <v>163</v>
      </c>
      <c r="D119" s="142">
        <f>'3'!F38</f>
        <v>480.76867799999997</v>
      </c>
      <c r="E119" s="143"/>
      <c r="F119" s="13">
        <v>0</v>
      </c>
      <c r="G119" s="13">
        <f t="shared" si="0"/>
        <v>769.22988480000004</v>
      </c>
      <c r="H119" s="13" t="s">
        <v>140</v>
      </c>
      <c r="I119" s="211"/>
      <c r="J119" s="212"/>
    </row>
    <row r="120" spans="1:13" ht="18.600000000000001" customHeight="1" x14ac:dyDescent="0.25">
      <c r="A120" s="142">
        <v>4</v>
      </c>
      <c r="B120" s="143"/>
      <c r="C120" s="13" t="s">
        <v>162</v>
      </c>
      <c r="D120" s="142">
        <f>'4'!G38</f>
        <v>670.40882999999985</v>
      </c>
      <c r="E120" s="143"/>
      <c r="F120" s="13">
        <v>0</v>
      </c>
      <c r="G120" s="13">
        <f t="shared" si="0"/>
        <v>1072.6541279999999</v>
      </c>
      <c r="H120" s="13" t="s">
        <v>140</v>
      </c>
      <c r="I120" s="211"/>
      <c r="J120" s="212"/>
    </row>
    <row r="121" spans="1:13" ht="18.600000000000001" customHeight="1" x14ac:dyDescent="0.25">
      <c r="A121" s="142">
        <v>5</v>
      </c>
      <c r="B121" s="143"/>
      <c r="C121" s="13" t="s">
        <v>162</v>
      </c>
      <c r="D121" s="142">
        <f>'5 &amp; 6'!F37</f>
        <v>610.38338399999998</v>
      </c>
      <c r="E121" s="143"/>
      <c r="F121" s="13">
        <v>0</v>
      </c>
      <c r="G121" s="13">
        <f t="shared" si="0"/>
        <v>976.61341440000001</v>
      </c>
      <c r="H121" s="13" t="s">
        <v>140</v>
      </c>
      <c r="I121" s="211"/>
      <c r="J121" s="212"/>
    </row>
    <row r="122" spans="1:13" ht="18.600000000000001" customHeight="1" x14ac:dyDescent="0.25">
      <c r="A122" s="142">
        <v>6</v>
      </c>
      <c r="B122" s="143"/>
      <c r="C122" s="13" t="s">
        <v>162</v>
      </c>
      <c r="D122" s="142">
        <f>D121</f>
        <v>610.38338399999998</v>
      </c>
      <c r="E122" s="143"/>
      <c r="F122" s="13">
        <v>0</v>
      </c>
      <c r="G122" s="13">
        <f t="shared" si="0"/>
        <v>976.61341440000001</v>
      </c>
      <c r="H122" s="13" t="s">
        <v>140</v>
      </c>
      <c r="I122" s="211"/>
      <c r="J122" s="212"/>
    </row>
    <row r="123" spans="1:13" ht="18.600000000000001" customHeight="1" x14ac:dyDescent="0.25">
      <c r="A123" s="142">
        <v>7</v>
      </c>
      <c r="B123" s="143"/>
      <c r="C123" s="13" t="s">
        <v>163</v>
      </c>
      <c r="D123" s="142">
        <f>'7'!F37</f>
        <v>504.20728800000006</v>
      </c>
      <c r="E123" s="143"/>
      <c r="F123" s="13">
        <v>0</v>
      </c>
      <c r="G123" s="13">
        <f t="shared" si="0"/>
        <v>806.7316608000001</v>
      </c>
      <c r="H123" s="13" t="s">
        <v>140</v>
      </c>
      <c r="I123" s="211"/>
      <c r="J123" s="212"/>
    </row>
    <row r="124" spans="1:13" ht="18.600000000000001" customHeight="1" x14ac:dyDescent="0.25">
      <c r="A124" s="142">
        <v>8</v>
      </c>
      <c r="B124" s="143"/>
      <c r="C124" s="13" t="s">
        <v>162</v>
      </c>
      <c r="D124" s="142">
        <f>'8'!F37</f>
        <v>678.91238999999973</v>
      </c>
      <c r="E124" s="143"/>
      <c r="F124" s="13">
        <v>0</v>
      </c>
      <c r="G124" s="13">
        <f t="shared" si="0"/>
        <v>1086.2598239999995</v>
      </c>
      <c r="H124" s="13" t="s">
        <v>140</v>
      </c>
      <c r="I124" s="213"/>
      <c r="J124" s="214"/>
    </row>
    <row r="125" spans="1:13" ht="15.75" x14ac:dyDescent="0.25">
      <c r="A125" s="136" t="s">
        <v>153</v>
      </c>
      <c r="B125" s="137"/>
      <c r="C125" s="137"/>
      <c r="D125" s="137"/>
      <c r="E125" s="137"/>
      <c r="F125" s="137"/>
      <c r="G125" s="137"/>
      <c r="H125" s="137"/>
      <c r="I125" s="137"/>
      <c r="J125" s="138"/>
    </row>
    <row r="126" spans="1:13" ht="15.75" x14ac:dyDescent="0.25">
      <c r="A126" s="136" t="s">
        <v>154</v>
      </c>
      <c r="B126" s="137"/>
      <c r="C126" s="137"/>
      <c r="D126" s="137"/>
      <c r="E126" s="137"/>
      <c r="F126" s="137"/>
      <c r="G126" s="137"/>
      <c r="H126" s="137"/>
      <c r="I126" s="137"/>
      <c r="J126" s="138"/>
    </row>
    <row r="127" spans="1:13" ht="15.75" x14ac:dyDescent="0.25">
      <c r="A127" s="136" t="s">
        <v>165</v>
      </c>
      <c r="B127" s="137"/>
      <c r="C127" s="137"/>
      <c r="D127" s="137"/>
      <c r="E127" s="137"/>
      <c r="F127" s="137"/>
      <c r="G127" s="137"/>
      <c r="H127" s="137"/>
      <c r="I127" s="137"/>
      <c r="J127" s="138"/>
    </row>
    <row r="128" spans="1:13" ht="15.75" x14ac:dyDescent="0.25">
      <c r="A128" s="142">
        <v>1</v>
      </c>
      <c r="B128" s="143"/>
      <c r="C128" s="142" t="s">
        <v>144</v>
      </c>
      <c r="D128" s="163"/>
      <c r="E128" s="163"/>
      <c r="F128" s="163"/>
      <c r="G128" s="163"/>
      <c r="H128" s="143"/>
      <c r="I128" s="157" t="s">
        <v>143</v>
      </c>
      <c r="J128" s="158"/>
    </row>
    <row r="129" spans="1:10" ht="15.75" x14ac:dyDescent="0.25">
      <c r="A129" s="142">
        <v>2</v>
      </c>
      <c r="B129" s="143"/>
      <c r="C129" s="142" t="s">
        <v>144</v>
      </c>
      <c r="D129" s="163"/>
      <c r="E129" s="163"/>
      <c r="F129" s="163"/>
      <c r="G129" s="163"/>
      <c r="H129" s="143"/>
      <c r="I129" s="159"/>
      <c r="J129" s="160"/>
    </row>
    <row r="130" spans="1:10" ht="15.75" x14ac:dyDescent="0.25">
      <c r="A130" s="142">
        <v>3</v>
      </c>
      <c r="B130" s="143"/>
      <c r="C130" s="13" t="s">
        <v>163</v>
      </c>
      <c r="D130" s="142">
        <v>480.76867799999997</v>
      </c>
      <c r="E130" s="143"/>
      <c r="F130" s="13">
        <v>0</v>
      </c>
      <c r="G130" s="13">
        <f t="shared" ref="G130:G135" si="1">D130*1.6</f>
        <v>769.22988480000004</v>
      </c>
      <c r="H130" s="13" t="s">
        <v>140</v>
      </c>
      <c r="I130" s="159"/>
      <c r="J130" s="160"/>
    </row>
    <row r="131" spans="1:10" ht="15.75" x14ac:dyDescent="0.25">
      <c r="A131" s="142">
        <v>4</v>
      </c>
      <c r="B131" s="143"/>
      <c r="C131" s="13" t="s">
        <v>162</v>
      </c>
      <c r="D131" s="142">
        <v>670.40882999999985</v>
      </c>
      <c r="E131" s="143"/>
      <c r="F131" s="13">
        <v>0</v>
      </c>
      <c r="G131" s="13">
        <f t="shared" si="1"/>
        <v>1072.6541279999999</v>
      </c>
      <c r="H131" s="13" t="s">
        <v>140</v>
      </c>
      <c r="I131" s="159"/>
      <c r="J131" s="160"/>
    </row>
    <row r="132" spans="1:10" ht="15.75" x14ac:dyDescent="0.25">
      <c r="A132" s="142">
        <v>5</v>
      </c>
      <c r="B132" s="143"/>
      <c r="C132" s="13" t="s">
        <v>162</v>
      </c>
      <c r="D132" s="142">
        <v>610.38338399999998</v>
      </c>
      <c r="E132" s="143"/>
      <c r="F132" s="13">
        <v>0</v>
      </c>
      <c r="G132" s="13">
        <f t="shared" si="1"/>
        <v>976.61341440000001</v>
      </c>
      <c r="H132" s="13" t="s">
        <v>140</v>
      </c>
      <c r="I132" s="159"/>
      <c r="J132" s="160"/>
    </row>
    <row r="133" spans="1:10" ht="15.75" x14ac:dyDescent="0.25">
      <c r="A133" s="142">
        <v>6</v>
      </c>
      <c r="B133" s="143"/>
      <c r="C133" s="13" t="s">
        <v>162</v>
      </c>
      <c r="D133" s="142">
        <v>610.38338399999998</v>
      </c>
      <c r="E133" s="143"/>
      <c r="F133" s="13">
        <v>0</v>
      </c>
      <c r="G133" s="13">
        <f t="shared" si="1"/>
        <v>976.61341440000001</v>
      </c>
      <c r="H133" s="13" t="s">
        <v>140</v>
      </c>
      <c r="I133" s="159"/>
      <c r="J133" s="160"/>
    </row>
    <row r="134" spans="1:10" ht="15.75" x14ac:dyDescent="0.25">
      <c r="A134" s="142">
        <v>7</v>
      </c>
      <c r="B134" s="143"/>
      <c r="C134" s="13" t="s">
        <v>163</v>
      </c>
      <c r="D134" s="142">
        <v>504.20728800000006</v>
      </c>
      <c r="E134" s="143"/>
      <c r="F134" s="13">
        <v>0</v>
      </c>
      <c r="G134" s="13">
        <f t="shared" si="1"/>
        <v>806.7316608000001</v>
      </c>
      <c r="H134" s="13" t="s">
        <v>140</v>
      </c>
      <c r="I134" s="159"/>
      <c r="J134" s="160"/>
    </row>
    <row r="135" spans="1:10" ht="15.75" x14ac:dyDescent="0.25">
      <c r="A135" s="142">
        <v>8</v>
      </c>
      <c r="B135" s="143"/>
      <c r="C135" s="13" t="s">
        <v>162</v>
      </c>
      <c r="D135" s="142">
        <v>678.91238999999973</v>
      </c>
      <c r="E135" s="143"/>
      <c r="F135" s="13">
        <v>0</v>
      </c>
      <c r="G135" s="13">
        <f t="shared" si="1"/>
        <v>1086.2598239999995</v>
      </c>
      <c r="H135" s="13" t="s">
        <v>140</v>
      </c>
      <c r="I135" s="161"/>
      <c r="J135" s="162"/>
    </row>
    <row r="136" spans="1:10" ht="15.75" x14ac:dyDescent="0.25">
      <c r="A136" s="136" t="s">
        <v>180</v>
      </c>
      <c r="B136" s="137"/>
      <c r="C136" s="137"/>
      <c r="D136" s="137"/>
      <c r="E136" s="137"/>
      <c r="F136" s="137"/>
      <c r="G136" s="137"/>
      <c r="H136" s="137"/>
      <c r="I136" s="137"/>
      <c r="J136" s="138"/>
    </row>
    <row r="137" spans="1:10" ht="15.75" x14ac:dyDescent="0.25">
      <c r="A137" s="136" t="s">
        <v>176</v>
      </c>
      <c r="B137" s="137"/>
      <c r="C137" s="137"/>
      <c r="D137" s="137"/>
      <c r="E137" s="137"/>
      <c r="F137" s="137"/>
      <c r="G137" s="137"/>
      <c r="H137" s="137"/>
      <c r="I137" s="137"/>
      <c r="J137" s="138"/>
    </row>
    <row r="138" spans="1:10" ht="15.75" x14ac:dyDescent="0.25">
      <c r="A138" s="136" t="s">
        <v>145</v>
      </c>
      <c r="B138" s="137"/>
      <c r="C138" s="137"/>
      <c r="D138" s="137"/>
      <c r="E138" s="137"/>
      <c r="F138" s="137"/>
      <c r="G138" s="137"/>
      <c r="H138" s="137"/>
      <c r="I138" s="137"/>
      <c r="J138" s="138"/>
    </row>
    <row r="139" spans="1:10" ht="15.75" x14ac:dyDescent="0.25">
      <c r="A139" s="139" t="s">
        <v>146</v>
      </c>
      <c r="B139" s="140"/>
      <c r="C139" s="140"/>
      <c r="D139" s="140"/>
      <c r="E139" s="140"/>
      <c r="F139" s="140"/>
      <c r="G139" s="140"/>
      <c r="H139" s="140"/>
      <c r="I139" s="140"/>
      <c r="J139" s="141"/>
    </row>
    <row r="140" spans="1:10" ht="15.75" x14ac:dyDescent="0.25">
      <c r="A140" s="136" t="s">
        <v>147</v>
      </c>
      <c r="B140" s="137"/>
      <c r="C140" s="137"/>
      <c r="D140" s="137"/>
      <c r="E140" s="137"/>
      <c r="F140" s="137"/>
      <c r="G140" s="137"/>
      <c r="H140" s="137"/>
      <c r="I140" s="137"/>
      <c r="J140" s="138"/>
    </row>
    <row r="141" spans="1:10" ht="33.75" customHeight="1" x14ac:dyDescent="0.25">
      <c r="A141" s="139" t="s">
        <v>142</v>
      </c>
      <c r="B141" s="140"/>
      <c r="C141" s="140"/>
      <c r="D141" s="140"/>
      <c r="E141" s="140"/>
      <c r="F141" s="140"/>
      <c r="G141" s="140"/>
      <c r="H141" s="140"/>
      <c r="I141" s="140"/>
      <c r="J141" s="141"/>
    </row>
    <row r="142" spans="1:10" ht="17.25" customHeight="1" x14ac:dyDescent="0.25">
      <c r="A142" s="142">
        <v>1</v>
      </c>
      <c r="B142" s="143"/>
      <c r="C142" s="13" t="s">
        <v>177</v>
      </c>
      <c r="D142" s="142">
        <v>600.88953599999991</v>
      </c>
      <c r="E142" s="143"/>
      <c r="F142" s="13">
        <v>0</v>
      </c>
      <c r="G142" s="13">
        <f>D142*1.6</f>
        <v>961.42325759999994</v>
      </c>
      <c r="H142" s="13" t="s">
        <v>140</v>
      </c>
      <c r="I142" s="157" t="s">
        <v>141</v>
      </c>
      <c r="J142" s="158"/>
    </row>
    <row r="143" spans="1:10" ht="18" customHeight="1" x14ac:dyDescent="0.25">
      <c r="A143" s="142">
        <v>2</v>
      </c>
      <c r="B143" s="143"/>
      <c r="C143" s="13" t="s">
        <v>177</v>
      </c>
      <c r="D143" s="142">
        <v>600.88953599999991</v>
      </c>
      <c r="E143" s="143"/>
      <c r="F143" s="13">
        <v>0</v>
      </c>
      <c r="G143" s="13">
        <f t="shared" ref="G143:G149" si="2">D143*1.6</f>
        <v>961.42325759999994</v>
      </c>
      <c r="H143" s="13" t="s">
        <v>140</v>
      </c>
      <c r="I143" s="159"/>
      <c r="J143" s="160"/>
    </row>
    <row r="144" spans="1:10" ht="16.5" customHeight="1" x14ac:dyDescent="0.25">
      <c r="A144" s="142">
        <v>3</v>
      </c>
      <c r="B144" s="143"/>
      <c r="C144" s="13" t="s">
        <v>178</v>
      </c>
      <c r="D144" s="142">
        <v>480.76867799999997</v>
      </c>
      <c r="E144" s="143"/>
      <c r="F144" s="13">
        <v>0</v>
      </c>
      <c r="G144" s="13">
        <f t="shared" si="2"/>
        <v>769.22988480000004</v>
      </c>
      <c r="H144" s="13" t="s">
        <v>140</v>
      </c>
      <c r="I144" s="159"/>
      <c r="J144" s="160"/>
    </row>
    <row r="145" spans="1:10" ht="16.5" customHeight="1" x14ac:dyDescent="0.25">
      <c r="A145" s="142">
        <v>4</v>
      </c>
      <c r="B145" s="143"/>
      <c r="C145" s="13" t="s">
        <v>177</v>
      </c>
      <c r="D145" s="142">
        <v>670.40882999999985</v>
      </c>
      <c r="E145" s="143"/>
      <c r="F145" s="13">
        <v>0</v>
      </c>
      <c r="G145" s="13">
        <f t="shared" si="2"/>
        <v>1072.6541279999999</v>
      </c>
      <c r="H145" s="13" t="s">
        <v>140</v>
      </c>
      <c r="I145" s="159"/>
      <c r="J145" s="160"/>
    </row>
    <row r="146" spans="1:10" ht="18.75" customHeight="1" x14ac:dyDescent="0.25">
      <c r="A146" s="142">
        <v>5</v>
      </c>
      <c r="B146" s="143"/>
      <c r="C146" s="13" t="s">
        <v>177</v>
      </c>
      <c r="D146" s="142">
        <v>610.38338399999998</v>
      </c>
      <c r="E146" s="143"/>
      <c r="F146" s="13">
        <v>0</v>
      </c>
      <c r="G146" s="13">
        <f t="shared" si="2"/>
        <v>976.61341440000001</v>
      </c>
      <c r="H146" s="13" t="s">
        <v>140</v>
      </c>
      <c r="I146" s="159"/>
      <c r="J146" s="160"/>
    </row>
    <row r="147" spans="1:10" ht="18" customHeight="1" x14ac:dyDescent="0.25">
      <c r="A147" s="142">
        <v>6</v>
      </c>
      <c r="B147" s="143"/>
      <c r="C147" s="13" t="s">
        <v>177</v>
      </c>
      <c r="D147" s="142">
        <v>610.38338399999998</v>
      </c>
      <c r="E147" s="143"/>
      <c r="F147" s="13">
        <v>0</v>
      </c>
      <c r="G147" s="13">
        <f t="shared" si="2"/>
        <v>976.61341440000001</v>
      </c>
      <c r="H147" s="13" t="s">
        <v>140</v>
      </c>
      <c r="I147" s="159"/>
      <c r="J147" s="160"/>
    </row>
    <row r="148" spans="1:10" ht="16.5" customHeight="1" x14ac:dyDescent="0.25">
      <c r="A148" s="142">
        <v>7</v>
      </c>
      <c r="B148" s="143"/>
      <c r="C148" s="13" t="s">
        <v>178</v>
      </c>
      <c r="D148" s="142">
        <v>504.20728800000006</v>
      </c>
      <c r="E148" s="143"/>
      <c r="F148" s="13">
        <v>0</v>
      </c>
      <c r="G148" s="13">
        <f t="shared" si="2"/>
        <v>806.7316608000001</v>
      </c>
      <c r="H148" s="13" t="s">
        <v>140</v>
      </c>
      <c r="I148" s="159"/>
      <c r="J148" s="160"/>
    </row>
    <row r="149" spans="1:10" ht="21" customHeight="1" x14ac:dyDescent="0.25">
      <c r="A149" s="142">
        <v>8</v>
      </c>
      <c r="B149" s="143"/>
      <c r="C149" s="13" t="s">
        <v>177</v>
      </c>
      <c r="D149" s="142">
        <v>678.91238999999973</v>
      </c>
      <c r="E149" s="143"/>
      <c r="F149" s="13">
        <v>0</v>
      </c>
      <c r="G149" s="13">
        <f t="shared" si="2"/>
        <v>1086.2598239999995</v>
      </c>
      <c r="H149" s="13" t="s">
        <v>140</v>
      </c>
      <c r="I149" s="161"/>
      <c r="J149" s="162"/>
    </row>
    <row r="150" spans="1:10" ht="15.75" x14ac:dyDescent="0.25">
      <c r="A150" s="136" t="s">
        <v>153</v>
      </c>
      <c r="B150" s="137"/>
      <c r="C150" s="137"/>
      <c r="D150" s="137"/>
      <c r="E150" s="137"/>
      <c r="F150" s="137"/>
      <c r="G150" s="137"/>
      <c r="H150" s="137"/>
      <c r="I150" s="137"/>
      <c r="J150" s="138"/>
    </row>
    <row r="151" spans="1:10" ht="15.75" x14ac:dyDescent="0.25">
      <c r="A151" s="136" t="s">
        <v>154</v>
      </c>
      <c r="B151" s="137"/>
      <c r="C151" s="137"/>
      <c r="D151" s="137"/>
      <c r="E151" s="137"/>
      <c r="F151" s="137"/>
      <c r="G151" s="137"/>
      <c r="H151" s="137"/>
      <c r="I151" s="137"/>
      <c r="J151" s="138"/>
    </row>
    <row r="152" spans="1:10" ht="15.75" x14ac:dyDescent="0.25">
      <c r="A152" s="136" t="s">
        <v>179</v>
      </c>
      <c r="B152" s="137"/>
      <c r="C152" s="137"/>
      <c r="D152" s="137"/>
      <c r="E152" s="137"/>
      <c r="F152" s="137"/>
      <c r="G152" s="137"/>
      <c r="H152" s="137"/>
      <c r="I152" s="137"/>
      <c r="J152" s="138"/>
    </row>
    <row r="153" spans="1:10" ht="15.75" x14ac:dyDescent="0.25">
      <c r="A153" s="142">
        <v>1</v>
      </c>
      <c r="B153" s="143"/>
      <c r="C153" s="142" t="s">
        <v>144</v>
      </c>
      <c r="D153" s="163"/>
      <c r="E153" s="163"/>
      <c r="F153" s="163"/>
      <c r="G153" s="163"/>
      <c r="H153" s="143"/>
      <c r="I153" s="157" t="s">
        <v>143</v>
      </c>
      <c r="J153" s="158"/>
    </row>
    <row r="154" spans="1:10" ht="15.75" x14ac:dyDescent="0.25">
      <c r="A154" s="142">
        <v>2</v>
      </c>
      <c r="B154" s="143"/>
      <c r="C154" s="142" t="s">
        <v>144</v>
      </c>
      <c r="D154" s="163"/>
      <c r="E154" s="163"/>
      <c r="F154" s="163"/>
      <c r="G154" s="163"/>
      <c r="H154" s="143"/>
      <c r="I154" s="159"/>
      <c r="J154" s="160"/>
    </row>
    <row r="155" spans="1:10" ht="15.75" x14ac:dyDescent="0.25">
      <c r="A155" s="142">
        <v>3</v>
      </c>
      <c r="B155" s="143"/>
      <c r="C155" s="13" t="s">
        <v>178</v>
      </c>
      <c r="D155" s="142">
        <v>480.76867799999997</v>
      </c>
      <c r="E155" s="143"/>
      <c r="F155" s="13">
        <v>0</v>
      </c>
      <c r="G155" s="13">
        <f t="shared" ref="G155:G160" si="3">D155*1.6</f>
        <v>769.22988480000004</v>
      </c>
      <c r="H155" s="13" t="s">
        <v>140</v>
      </c>
      <c r="I155" s="159"/>
      <c r="J155" s="160"/>
    </row>
    <row r="156" spans="1:10" ht="15.75" x14ac:dyDescent="0.25">
      <c r="A156" s="142">
        <v>4</v>
      </c>
      <c r="B156" s="143"/>
      <c r="C156" s="13" t="s">
        <v>177</v>
      </c>
      <c r="D156" s="142">
        <v>670.40882999999985</v>
      </c>
      <c r="E156" s="143"/>
      <c r="F156" s="13">
        <v>0</v>
      </c>
      <c r="G156" s="13">
        <f t="shared" si="3"/>
        <v>1072.6541279999999</v>
      </c>
      <c r="H156" s="13" t="s">
        <v>140</v>
      </c>
      <c r="I156" s="159"/>
      <c r="J156" s="160"/>
    </row>
    <row r="157" spans="1:10" ht="15.75" x14ac:dyDescent="0.25">
      <c r="A157" s="142">
        <v>5</v>
      </c>
      <c r="B157" s="143"/>
      <c r="C157" s="13" t="s">
        <v>177</v>
      </c>
      <c r="D157" s="142">
        <v>610.38338399999998</v>
      </c>
      <c r="E157" s="143"/>
      <c r="F157" s="13">
        <v>0</v>
      </c>
      <c r="G157" s="13">
        <f t="shared" si="3"/>
        <v>976.61341440000001</v>
      </c>
      <c r="H157" s="13" t="s">
        <v>140</v>
      </c>
      <c r="I157" s="159"/>
      <c r="J157" s="160"/>
    </row>
    <row r="158" spans="1:10" ht="15.75" x14ac:dyDescent="0.25">
      <c r="A158" s="142">
        <v>6</v>
      </c>
      <c r="B158" s="143"/>
      <c r="C158" s="13" t="s">
        <v>177</v>
      </c>
      <c r="D158" s="142">
        <v>610.38338399999998</v>
      </c>
      <c r="E158" s="143"/>
      <c r="F158" s="13">
        <v>0</v>
      </c>
      <c r="G158" s="13">
        <f t="shared" si="3"/>
        <v>976.61341440000001</v>
      </c>
      <c r="H158" s="13" t="s">
        <v>140</v>
      </c>
      <c r="I158" s="159"/>
      <c r="J158" s="160"/>
    </row>
    <row r="159" spans="1:10" ht="15.75" x14ac:dyDescent="0.25">
      <c r="A159" s="142">
        <v>7</v>
      </c>
      <c r="B159" s="143"/>
      <c r="C159" s="13" t="s">
        <v>178</v>
      </c>
      <c r="D159" s="142">
        <v>504.20728800000006</v>
      </c>
      <c r="E159" s="143"/>
      <c r="F159" s="13">
        <v>0</v>
      </c>
      <c r="G159" s="13">
        <f t="shared" si="3"/>
        <v>806.7316608000001</v>
      </c>
      <c r="H159" s="13" t="s">
        <v>140</v>
      </c>
      <c r="I159" s="159"/>
      <c r="J159" s="160"/>
    </row>
    <row r="160" spans="1:10" ht="15.75" x14ac:dyDescent="0.25">
      <c r="A160" s="142">
        <v>8</v>
      </c>
      <c r="B160" s="143"/>
      <c r="C160" s="13" t="s">
        <v>177</v>
      </c>
      <c r="D160" s="142">
        <v>678.91238999999973</v>
      </c>
      <c r="E160" s="143"/>
      <c r="F160" s="13">
        <v>0</v>
      </c>
      <c r="G160" s="13">
        <f t="shared" si="3"/>
        <v>1086.2598239999995</v>
      </c>
      <c r="H160" s="13" t="s">
        <v>140</v>
      </c>
      <c r="I160" s="161"/>
      <c r="J160" s="162"/>
    </row>
    <row r="161" spans="1:10" ht="15.75" x14ac:dyDescent="0.25">
      <c r="A161" s="136" t="s">
        <v>160</v>
      </c>
      <c r="B161" s="137"/>
      <c r="C161" s="137"/>
      <c r="D161" s="137"/>
      <c r="E161" s="137"/>
      <c r="F161" s="137"/>
      <c r="G161" s="137"/>
      <c r="H161" s="137"/>
      <c r="I161" s="137"/>
      <c r="J161" s="138"/>
    </row>
    <row r="162" spans="1:10" ht="15.75" x14ac:dyDescent="0.25">
      <c r="A162" s="136" t="s">
        <v>161</v>
      </c>
      <c r="B162" s="137"/>
      <c r="C162" s="137"/>
      <c r="D162" s="137"/>
      <c r="E162" s="137"/>
      <c r="F162" s="137"/>
      <c r="G162" s="137"/>
      <c r="H162" s="137"/>
      <c r="I162" s="137"/>
      <c r="J162" s="138"/>
    </row>
    <row r="163" spans="1:10" ht="15.75" x14ac:dyDescent="0.25">
      <c r="A163" s="136" t="s">
        <v>145</v>
      </c>
      <c r="B163" s="137"/>
      <c r="C163" s="137"/>
      <c r="D163" s="137"/>
      <c r="E163" s="137"/>
      <c r="F163" s="137"/>
      <c r="G163" s="137"/>
      <c r="H163" s="137"/>
      <c r="I163" s="137"/>
      <c r="J163" s="138"/>
    </row>
    <row r="164" spans="1:10" ht="15.75" x14ac:dyDescent="0.25">
      <c r="A164" s="139" t="s">
        <v>146</v>
      </c>
      <c r="B164" s="140"/>
      <c r="C164" s="140"/>
      <c r="D164" s="140"/>
      <c r="E164" s="140"/>
      <c r="F164" s="140"/>
      <c r="G164" s="140"/>
      <c r="H164" s="140"/>
      <c r="I164" s="140"/>
      <c r="J164" s="141"/>
    </row>
    <row r="165" spans="1:10" ht="15.75" x14ac:dyDescent="0.25">
      <c r="A165" s="136" t="s">
        <v>147</v>
      </c>
      <c r="B165" s="137"/>
      <c r="C165" s="137"/>
      <c r="D165" s="137"/>
      <c r="E165" s="137"/>
      <c r="F165" s="137"/>
      <c r="G165" s="137"/>
      <c r="H165" s="137"/>
      <c r="I165" s="137"/>
      <c r="J165" s="138"/>
    </row>
    <row r="166" spans="1:10" ht="15.75" x14ac:dyDescent="0.25">
      <c r="A166" s="136" t="s">
        <v>166</v>
      </c>
      <c r="B166" s="137"/>
      <c r="C166" s="137"/>
      <c r="D166" s="137"/>
      <c r="E166" s="137"/>
      <c r="F166" s="137"/>
      <c r="G166" s="137"/>
      <c r="H166" s="137"/>
      <c r="I166" s="137"/>
      <c r="J166" s="138"/>
    </row>
    <row r="167" spans="1:10" ht="15.75" customHeight="1" x14ac:dyDescent="0.25">
      <c r="A167" s="142">
        <v>1</v>
      </c>
      <c r="B167" s="143"/>
      <c r="C167" s="13" t="s">
        <v>162</v>
      </c>
      <c r="D167" s="142">
        <v>606</v>
      </c>
      <c r="E167" s="143"/>
      <c r="F167" s="27">
        <v>0</v>
      </c>
      <c r="G167" s="13">
        <f>D167*1.6</f>
        <v>969.6</v>
      </c>
      <c r="H167" s="13" t="s">
        <v>140</v>
      </c>
      <c r="I167" s="157" t="str">
        <f>A166</f>
        <v>8th &amp; 9th, 11th to 14th, 16th to 19th, 21st Floors.</v>
      </c>
      <c r="J167" s="158"/>
    </row>
    <row r="168" spans="1:10" ht="15.75" x14ac:dyDescent="0.25">
      <c r="A168" s="142">
        <v>2</v>
      </c>
      <c r="B168" s="143"/>
      <c r="C168" s="13" t="s">
        <v>163</v>
      </c>
      <c r="D168" s="142">
        <v>428</v>
      </c>
      <c r="E168" s="143"/>
      <c r="F168" s="27">
        <v>0</v>
      </c>
      <c r="G168" s="13">
        <f t="shared" ref="G168:G173" si="4">D168*1.6</f>
        <v>684.80000000000007</v>
      </c>
      <c r="H168" s="13" t="s">
        <v>140</v>
      </c>
      <c r="I168" s="159"/>
      <c r="J168" s="160"/>
    </row>
    <row r="169" spans="1:10" ht="15.75" x14ac:dyDescent="0.25">
      <c r="A169" s="142">
        <v>3</v>
      </c>
      <c r="B169" s="143"/>
      <c r="C169" s="13" t="s">
        <v>162</v>
      </c>
      <c r="D169" s="142">
        <v>606</v>
      </c>
      <c r="E169" s="143"/>
      <c r="F169" s="27">
        <v>0</v>
      </c>
      <c r="G169" s="13">
        <f t="shared" si="4"/>
        <v>969.6</v>
      </c>
      <c r="H169" s="13" t="s">
        <v>140</v>
      </c>
      <c r="I169" s="159"/>
      <c r="J169" s="160"/>
    </row>
    <row r="170" spans="1:10" ht="15.75" customHeight="1" x14ac:dyDescent="0.25">
      <c r="A170" s="142">
        <v>4</v>
      </c>
      <c r="B170" s="143"/>
      <c r="C170" s="13" t="s">
        <v>162</v>
      </c>
      <c r="D170" s="142">
        <v>655</v>
      </c>
      <c r="E170" s="143"/>
      <c r="F170" s="13">
        <v>0</v>
      </c>
      <c r="G170" s="13">
        <f t="shared" si="4"/>
        <v>1048</v>
      </c>
      <c r="H170" s="13" t="s">
        <v>140</v>
      </c>
      <c r="I170" s="159"/>
      <c r="J170" s="160"/>
    </row>
    <row r="171" spans="1:10" ht="15.75" x14ac:dyDescent="0.25">
      <c r="A171" s="142">
        <v>5</v>
      </c>
      <c r="B171" s="143"/>
      <c r="C171" s="13" t="s">
        <v>162</v>
      </c>
      <c r="D171" s="142">
        <v>655</v>
      </c>
      <c r="E171" s="143"/>
      <c r="F171" s="27">
        <v>0</v>
      </c>
      <c r="G171" s="13">
        <f t="shared" si="4"/>
        <v>1048</v>
      </c>
      <c r="H171" s="13" t="s">
        <v>140</v>
      </c>
      <c r="I171" s="159"/>
      <c r="J171" s="160"/>
    </row>
    <row r="172" spans="1:10" ht="15.75" x14ac:dyDescent="0.25">
      <c r="A172" s="142">
        <v>6</v>
      </c>
      <c r="B172" s="143"/>
      <c r="C172" s="13" t="s">
        <v>163</v>
      </c>
      <c r="D172" s="142">
        <v>491</v>
      </c>
      <c r="E172" s="143"/>
      <c r="F172" s="13">
        <v>0</v>
      </c>
      <c r="G172" s="13">
        <f t="shared" si="4"/>
        <v>785.6</v>
      </c>
      <c r="H172" s="13" t="s">
        <v>140</v>
      </c>
      <c r="I172" s="159"/>
      <c r="J172" s="160"/>
    </row>
    <row r="173" spans="1:10" ht="15.75" x14ac:dyDescent="0.25">
      <c r="A173" s="142">
        <v>7</v>
      </c>
      <c r="B173" s="143"/>
      <c r="C173" s="13" t="s">
        <v>164</v>
      </c>
      <c r="D173" s="142">
        <v>1011</v>
      </c>
      <c r="E173" s="143"/>
      <c r="F173" s="27">
        <v>0</v>
      </c>
      <c r="G173" s="13">
        <f t="shared" si="4"/>
        <v>1617.6000000000001</v>
      </c>
      <c r="H173" s="13" t="s">
        <v>140</v>
      </c>
      <c r="I173" s="161"/>
      <c r="J173" s="162"/>
    </row>
    <row r="174" spans="1:10" ht="15.75" x14ac:dyDescent="0.25">
      <c r="A174" s="136" t="s">
        <v>168</v>
      </c>
      <c r="B174" s="137"/>
      <c r="C174" s="137"/>
      <c r="D174" s="137"/>
      <c r="E174" s="137"/>
      <c r="F174" s="137"/>
      <c r="G174" s="137"/>
      <c r="H174" s="137"/>
      <c r="I174" s="137"/>
      <c r="J174" s="138"/>
    </row>
    <row r="175" spans="1:10" ht="15.75" x14ac:dyDescent="0.25">
      <c r="A175" s="142">
        <v>1</v>
      </c>
      <c r="B175" s="143"/>
      <c r="C175" s="13" t="s">
        <v>162</v>
      </c>
      <c r="D175" s="142">
        <v>606</v>
      </c>
      <c r="E175" s="143"/>
      <c r="F175" s="27">
        <v>0</v>
      </c>
      <c r="G175" s="13">
        <f>D175*1.6</f>
        <v>969.6</v>
      </c>
      <c r="H175" s="13" t="s">
        <v>140</v>
      </c>
      <c r="I175" s="157" t="str">
        <f>A174</f>
        <v>10th, 15th, 20th Floors.  (Part Refuge area).</v>
      </c>
      <c r="J175" s="158"/>
    </row>
    <row r="176" spans="1:10" ht="15.75" x14ac:dyDescent="0.25">
      <c r="A176" s="142">
        <v>2</v>
      </c>
      <c r="B176" s="143"/>
      <c r="C176" s="142" t="s">
        <v>144</v>
      </c>
      <c r="D176" s="163"/>
      <c r="E176" s="163"/>
      <c r="F176" s="163"/>
      <c r="G176" s="163"/>
      <c r="H176" s="143"/>
      <c r="I176" s="159"/>
      <c r="J176" s="160"/>
    </row>
    <row r="177" spans="1:10" ht="15.75" x14ac:dyDescent="0.25">
      <c r="A177" s="142">
        <v>3</v>
      </c>
      <c r="B177" s="143"/>
      <c r="C177" s="142" t="str">
        <f>C176</f>
        <v>Refuge Area</v>
      </c>
      <c r="D177" s="163"/>
      <c r="E177" s="163"/>
      <c r="F177" s="163"/>
      <c r="G177" s="163"/>
      <c r="H177" s="143"/>
      <c r="I177" s="159"/>
      <c r="J177" s="160"/>
    </row>
    <row r="178" spans="1:10" ht="15.75" x14ac:dyDescent="0.25">
      <c r="A178" s="142">
        <v>4</v>
      </c>
      <c r="B178" s="143"/>
      <c r="C178" s="13" t="s">
        <v>162</v>
      </c>
      <c r="D178" s="142">
        <v>655</v>
      </c>
      <c r="E178" s="143"/>
      <c r="F178" s="27">
        <v>0</v>
      </c>
      <c r="G178" s="13">
        <f>D178*1.6</f>
        <v>1048</v>
      </c>
      <c r="H178" s="13" t="s">
        <v>140</v>
      </c>
      <c r="I178" s="159"/>
      <c r="J178" s="160"/>
    </row>
    <row r="179" spans="1:10" ht="15.75" x14ac:dyDescent="0.25">
      <c r="A179" s="142">
        <v>5</v>
      </c>
      <c r="B179" s="143"/>
      <c r="C179" s="13" t="s">
        <v>162</v>
      </c>
      <c r="D179" s="142">
        <v>655</v>
      </c>
      <c r="E179" s="143"/>
      <c r="F179" s="27">
        <v>0</v>
      </c>
      <c r="G179" s="13">
        <f>D179*1.6</f>
        <v>1048</v>
      </c>
      <c r="H179" s="13" t="s">
        <v>140</v>
      </c>
      <c r="I179" s="159"/>
      <c r="J179" s="160"/>
    </row>
    <row r="180" spans="1:10" ht="15.75" x14ac:dyDescent="0.25">
      <c r="A180" s="142">
        <v>6</v>
      </c>
      <c r="B180" s="143"/>
      <c r="C180" s="13" t="s">
        <v>163</v>
      </c>
      <c r="D180" s="142">
        <v>491</v>
      </c>
      <c r="E180" s="143"/>
      <c r="F180" s="13">
        <v>0</v>
      </c>
      <c r="G180" s="13">
        <f>D180*1.6</f>
        <v>785.6</v>
      </c>
      <c r="H180" s="13" t="s">
        <v>140</v>
      </c>
      <c r="I180" s="159"/>
      <c r="J180" s="160"/>
    </row>
    <row r="181" spans="1:10" ht="15.75" x14ac:dyDescent="0.25">
      <c r="A181" s="142">
        <v>7</v>
      </c>
      <c r="B181" s="143"/>
      <c r="C181" s="13" t="s">
        <v>164</v>
      </c>
      <c r="D181" s="142">
        <v>1011</v>
      </c>
      <c r="E181" s="143"/>
      <c r="F181" s="13">
        <v>0</v>
      </c>
      <c r="G181" s="13">
        <f>D181*1.6</f>
        <v>1617.6000000000001</v>
      </c>
      <c r="H181" s="13" t="s">
        <v>140</v>
      </c>
      <c r="I181" s="161"/>
      <c r="J181" s="162"/>
    </row>
    <row r="182" spans="1:10" ht="15.75" x14ac:dyDescent="0.25">
      <c r="A182" s="136" t="s">
        <v>153</v>
      </c>
      <c r="B182" s="137"/>
      <c r="C182" s="137"/>
      <c r="D182" s="137"/>
      <c r="E182" s="137"/>
      <c r="F182" s="137"/>
      <c r="G182" s="137"/>
      <c r="H182" s="137"/>
      <c r="I182" s="137"/>
      <c r="J182" s="138"/>
    </row>
    <row r="183" spans="1:10" ht="15.75" x14ac:dyDescent="0.25">
      <c r="A183" s="136" t="s">
        <v>167</v>
      </c>
      <c r="B183" s="137"/>
      <c r="C183" s="137"/>
      <c r="D183" s="137"/>
      <c r="E183" s="137"/>
      <c r="F183" s="137"/>
      <c r="G183" s="137"/>
      <c r="H183" s="137"/>
      <c r="I183" s="137"/>
      <c r="J183" s="138"/>
    </row>
    <row r="184" spans="1:10" ht="15.75" x14ac:dyDescent="0.25">
      <c r="A184" s="142">
        <v>1</v>
      </c>
      <c r="B184" s="143"/>
      <c r="C184" s="13" t="s">
        <v>162</v>
      </c>
      <c r="D184" s="142">
        <v>606</v>
      </c>
      <c r="E184" s="143"/>
      <c r="F184" s="27">
        <v>0</v>
      </c>
      <c r="G184" s="13">
        <f>D184*1.6</f>
        <v>969.6</v>
      </c>
      <c r="H184" s="13" t="s">
        <v>140</v>
      </c>
      <c r="I184" s="157" t="str">
        <f>A183</f>
        <v>22nd Floors. (Part Terrace area).</v>
      </c>
      <c r="J184" s="158"/>
    </row>
    <row r="185" spans="1:10" ht="15.75" x14ac:dyDescent="0.25">
      <c r="A185" s="142">
        <v>2</v>
      </c>
      <c r="B185" s="143"/>
      <c r="C185" s="157" t="s">
        <v>69</v>
      </c>
      <c r="D185" s="203"/>
      <c r="E185" s="203"/>
      <c r="F185" s="203"/>
      <c r="G185" s="203"/>
      <c r="H185" s="158"/>
      <c r="I185" s="159"/>
      <c r="J185" s="160"/>
    </row>
    <row r="186" spans="1:10" ht="15.75" x14ac:dyDescent="0.25">
      <c r="A186" s="142">
        <v>3</v>
      </c>
      <c r="B186" s="143"/>
      <c r="C186" s="161"/>
      <c r="D186" s="204"/>
      <c r="E186" s="204"/>
      <c r="F186" s="204"/>
      <c r="G186" s="204"/>
      <c r="H186" s="162"/>
      <c r="I186" s="159"/>
      <c r="J186" s="160"/>
    </row>
    <row r="187" spans="1:10" ht="15.75" x14ac:dyDescent="0.25">
      <c r="A187" s="142">
        <v>4</v>
      </c>
      <c r="B187" s="143"/>
      <c r="C187" s="13" t="s">
        <v>162</v>
      </c>
      <c r="D187" s="142">
        <v>655</v>
      </c>
      <c r="E187" s="143"/>
      <c r="F187" s="27">
        <v>0</v>
      </c>
      <c r="G187" s="13">
        <f>D187*1.6</f>
        <v>1048</v>
      </c>
      <c r="H187" s="13" t="s">
        <v>140</v>
      </c>
      <c r="I187" s="159"/>
      <c r="J187" s="160"/>
    </row>
    <row r="188" spans="1:10" ht="15.75" x14ac:dyDescent="0.25">
      <c r="A188" s="142">
        <v>5</v>
      </c>
      <c r="B188" s="143"/>
      <c r="C188" s="13" t="s">
        <v>162</v>
      </c>
      <c r="D188" s="142">
        <v>655</v>
      </c>
      <c r="E188" s="143"/>
      <c r="F188" s="27">
        <v>0</v>
      </c>
      <c r="G188" s="13">
        <f>D188*1.6</f>
        <v>1048</v>
      </c>
      <c r="H188" s="13" t="s">
        <v>140</v>
      </c>
      <c r="I188" s="159"/>
      <c r="J188" s="160"/>
    </row>
    <row r="189" spans="1:10" ht="15.75" x14ac:dyDescent="0.25">
      <c r="A189" s="142">
        <v>6</v>
      </c>
      <c r="B189" s="143"/>
      <c r="C189" s="13" t="s">
        <v>163</v>
      </c>
      <c r="D189" s="142">
        <v>491</v>
      </c>
      <c r="E189" s="143"/>
      <c r="F189" s="13">
        <v>0</v>
      </c>
      <c r="G189" s="13">
        <f>D189*1.6</f>
        <v>785.6</v>
      </c>
      <c r="H189" s="13" t="s">
        <v>140</v>
      </c>
      <c r="I189" s="159"/>
      <c r="J189" s="160"/>
    </row>
    <row r="190" spans="1:10" ht="15.75" x14ac:dyDescent="0.25">
      <c r="A190" s="142">
        <v>7</v>
      </c>
      <c r="B190" s="143"/>
      <c r="C190" s="13" t="s">
        <v>164</v>
      </c>
      <c r="D190" s="142">
        <v>1011</v>
      </c>
      <c r="E190" s="143"/>
      <c r="F190" s="13">
        <v>0</v>
      </c>
      <c r="G190" s="13">
        <f>D190*1.6</f>
        <v>1617.6000000000001</v>
      </c>
      <c r="H190" s="13" t="s">
        <v>140</v>
      </c>
      <c r="I190" s="161"/>
      <c r="J190" s="162"/>
    </row>
    <row r="191" spans="1:10" ht="171.75" customHeight="1" x14ac:dyDescent="0.25">
      <c r="A191" s="153" t="s">
        <v>253</v>
      </c>
      <c r="B191" s="154"/>
      <c r="C191" s="154"/>
      <c r="D191" s="154"/>
      <c r="E191" s="154"/>
      <c r="F191" s="154"/>
      <c r="G191" s="154"/>
      <c r="H191" s="154"/>
      <c r="I191" s="154"/>
      <c r="J191" s="155"/>
    </row>
    <row r="192" spans="1:10" ht="16.5" customHeight="1" x14ac:dyDescent="0.25">
      <c r="A192" s="150" t="s">
        <v>25</v>
      </c>
      <c r="B192" s="151"/>
      <c r="C192" s="151"/>
      <c r="D192" s="151"/>
      <c r="E192" s="151"/>
      <c r="F192" s="151"/>
      <c r="G192" s="151"/>
      <c r="H192" s="151"/>
      <c r="I192" s="151"/>
      <c r="J192" s="152"/>
    </row>
    <row r="193" spans="1:10" x14ac:dyDescent="0.25">
      <c r="A193" s="79" t="s">
        <v>32</v>
      </c>
      <c r="B193" s="80"/>
      <c r="C193" s="80"/>
      <c r="D193" s="80"/>
      <c r="E193" s="80"/>
      <c r="F193" s="80"/>
      <c r="G193" s="80"/>
      <c r="H193" s="80"/>
      <c r="I193" s="80"/>
      <c r="J193" s="81"/>
    </row>
    <row r="194" spans="1:10" x14ac:dyDescent="0.25">
      <c r="A194" s="150" t="s">
        <v>26</v>
      </c>
      <c r="B194" s="151"/>
      <c r="C194" s="151"/>
      <c r="D194" s="151"/>
      <c r="E194" s="151"/>
      <c r="F194" s="151"/>
      <c r="G194" s="151"/>
      <c r="H194" s="151"/>
      <c r="I194" s="151"/>
      <c r="J194" s="152"/>
    </row>
    <row r="195" spans="1:10" x14ac:dyDescent="0.25">
      <c r="A195" s="156" t="s">
        <v>37</v>
      </c>
      <c r="B195" s="156"/>
      <c r="C195" s="156"/>
      <c r="D195" s="156"/>
      <c r="E195" s="156"/>
      <c r="F195" s="156"/>
      <c r="G195" s="156"/>
      <c r="H195" s="156"/>
      <c r="I195" s="156"/>
      <c r="J195" s="156"/>
    </row>
    <row r="196" spans="1:10" x14ac:dyDescent="0.25">
      <c r="A196" s="126" t="s">
        <v>171</v>
      </c>
      <c r="B196" s="127"/>
      <c r="C196" s="127"/>
      <c r="D196" s="127"/>
      <c r="E196" s="127"/>
      <c r="F196" s="127"/>
      <c r="G196" s="127"/>
      <c r="H196" s="127"/>
      <c r="I196" s="127"/>
      <c r="J196" s="128"/>
    </row>
    <row r="197" spans="1:10" x14ac:dyDescent="0.25">
      <c r="A197" s="85" t="s">
        <v>172</v>
      </c>
      <c r="B197" s="86"/>
      <c r="C197" s="86"/>
      <c r="D197" s="86"/>
      <c r="E197" s="86"/>
      <c r="F197" s="86"/>
      <c r="G197" s="86"/>
      <c r="H197" s="86"/>
      <c r="I197" s="86"/>
      <c r="J197" s="87"/>
    </row>
    <row r="198" spans="1:10" ht="35.25" customHeight="1" x14ac:dyDescent="0.25">
      <c r="A198" s="73" t="s">
        <v>173</v>
      </c>
      <c r="B198" s="74"/>
      <c r="C198" s="74"/>
      <c r="D198" s="74"/>
      <c r="E198" s="74"/>
      <c r="F198" s="74"/>
      <c r="G198" s="74"/>
      <c r="H198" s="74"/>
      <c r="I198" s="74"/>
      <c r="J198" s="75"/>
    </row>
    <row r="199" spans="1:10" x14ac:dyDescent="0.25">
      <c r="A199" s="20" t="s">
        <v>188</v>
      </c>
      <c r="B199" s="19"/>
      <c r="C199" s="19"/>
      <c r="D199" s="25" t="str">
        <f>F8</f>
        <v>Shapoorji Pallonji - Northern Lights</v>
      </c>
      <c r="G199" s="19"/>
      <c r="H199" s="215" t="s">
        <v>210</v>
      </c>
      <c r="I199" s="215"/>
      <c r="J199" s="215"/>
    </row>
    <row r="200" spans="1:10" x14ac:dyDescent="0.25">
      <c r="A200" s="19"/>
      <c r="B200" s="19"/>
      <c r="C200" s="19"/>
      <c r="D200" s="29"/>
      <c r="E200" s="29"/>
      <c r="F200" s="29"/>
      <c r="G200" s="29"/>
      <c r="H200" s="19"/>
      <c r="I200" s="19"/>
      <c r="J200" s="29"/>
    </row>
    <row r="201" spans="1:10" x14ac:dyDescent="0.25">
      <c r="J201" s="29"/>
    </row>
    <row r="202" spans="1:10" x14ac:dyDescent="0.25">
      <c r="J202" s="29"/>
    </row>
    <row r="203" spans="1:10" x14ac:dyDescent="0.25">
      <c r="J203" s="29"/>
    </row>
    <row r="204" spans="1:10" x14ac:dyDescent="0.25">
      <c r="J204" s="29"/>
    </row>
    <row r="205" spans="1:10" x14ac:dyDescent="0.25">
      <c r="J205" s="29"/>
    </row>
    <row r="206" spans="1:10" x14ac:dyDescent="0.25">
      <c r="J206" s="29"/>
    </row>
    <row r="207" spans="1:10" x14ac:dyDescent="0.25">
      <c r="J207" s="29"/>
    </row>
    <row r="208" spans="1:10" x14ac:dyDescent="0.25">
      <c r="J208" s="29"/>
    </row>
    <row r="209" spans="10:10" x14ac:dyDescent="0.25">
      <c r="J209" s="19"/>
    </row>
    <row r="210" spans="10:10" ht="15" customHeight="1" x14ac:dyDescent="0.25">
      <c r="J210" s="19"/>
    </row>
    <row r="243" spans="1:1" x14ac:dyDescent="0.25">
      <c r="A243" s="22" t="s">
        <v>121</v>
      </c>
    </row>
  </sheetData>
  <mergeCells count="385">
    <mergeCell ref="H199:J199"/>
    <mergeCell ref="A98:B98"/>
    <mergeCell ref="D98:E98"/>
    <mergeCell ref="A99:B99"/>
    <mergeCell ref="D99:E99"/>
    <mergeCell ref="C55:J55"/>
    <mergeCell ref="A88:B88"/>
    <mergeCell ref="C88:J88"/>
    <mergeCell ref="A89:B89"/>
    <mergeCell ref="D89:E89"/>
    <mergeCell ref="F89:G89"/>
    <mergeCell ref="H89:J89"/>
    <mergeCell ref="A90:B90"/>
    <mergeCell ref="D90:E90"/>
    <mergeCell ref="F90:G99"/>
    <mergeCell ref="H90:J99"/>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83:B83"/>
    <mergeCell ref="D83:E83"/>
    <mergeCell ref="A84:B84"/>
    <mergeCell ref="D84:E84"/>
    <mergeCell ref="A85:B85"/>
    <mergeCell ref="D85:E85"/>
    <mergeCell ref="A86:B86"/>
    <mergeCell ref="C86:J86"/>
    <mergeCell ref="D87:E87"/>
    <mergeCell ref="I87:J87"/>
    <mergeCell ref="D73:E73"/>
    <mergeCell ref="I73:J73"/>
    <mergeCell ref="A74:B74"/>
    <mergeCell ref="C74:J74"/>
    <mergeCell ref="A75:B75"/>
    <mergeCell ref="D75:E75"/>
    <mergeCell ref="F75:G75"/>
    <mergeCell ref="H75:J75"/>
    <mergeCell ref="A76:B76"/>
    <mergeCell ref="D76:E76"/>
    <mergeCell ref="F76:G85"/>
    <mergeCell ref="H76:J85"/>
    <mergeCell ref="A77:B77"/>
    <mergeCell ref="D77:E77"/>
    <mergeCell ref="A78:B78"/>
    <mergeCell ref="D78:E78"/>
    <mergeCell ref="A79:B79"/>
    <mergeCell ref="D79:E79"/>
    <mergeCell ref="A80:B80"/>
    <mergeCell ref="D80:E80"/>
    <mergeCell ref="A81:B81"/>
    <mergeCell ref="D81:E81"/>
    <mergeCell ref="A82:B82"/>
    <mergeCell ref="D82:E82"/>
    <mergeCell ref="A68:B68"/>
    <mergeCell ref="D68:E68"/>
    <mergeCell ref="A69:B69"/>
    <mergeCell ref="D69:E69"/>
    <mergeCell ref="A70:B70"/>
    <mergeCell ref="D70:E70"/>
    <mergeCell ref="A71:B71"/>
    <mergeCell ref="D71:E71"/>
    <mergeCell ref="A72:B72"/>
    <mergeCell ref="C72:J72"/>
    <mergeCell ref="I167:J173"/>
    <mergeCell ref="A138:J138"/>
    <mergeCell ref="A139:J139"/>
    <mergeCell ref="A158:B158"/>
    <mergeCell ref="D158:E158"/>
    <mergeCell ref="A156:B156"/>
    <mergeCell ref="A152:J152"/>
    <mergeCell ref="A153:B153"/>
    <mergeCell ref="C153:H153"/>
    <mergeCell ref="A157:B157"/>
    <mergeCell ref="D168:E168"/>
    <mergeCell ref="D169:E169"/>
    <mergeCell ref="A167:B167"/>
    <mergeCell ref="A163:J163"/>
    <mergeCell ref="A171:B171"/>
    <mergeCell ref="A172:B172"/>
    <mergeCell ref="A168:B168"/>
    <mergeCell ref="A149:B149"/>
    <mergeCell ref="A169:B169"/>
    <mergeCell ref="A170:B170"/>
    <mergeCell ref="I153:J160"/>
    <mergeCell ref="A159:B159"/>
    <mergeCell ref="D159:E159"/>
    <mergeCell ref="A151:J151"/>
    <mergeCell ref="D157:E157"/>
    <mergeCell ref="A58:B58"/>
    <mergeCell ref="C58:J58"/>
    <mergeCell ref="D59:E59"/>
    <mergeCell ref="I59:J59"/>
    <mergeCell ref="A60:B60"/>
    <mergeCell ref="C60:J60"/>
    <mergeCell ref="A61:B61"/>
    <mergeCell ref="D61:E61"/>
    <mergeCell ref="F61:G61"/>
    <mergeCell ref="H61:J61"/>
    <mergeCell ref="A134:B134"/>
    <mergeCell ref="D62:E62"/>
    <mergeCell ref="F62:G71"/>
    <mergeCell ref="H62:J71"/>
    <mergeCell ref="A63:B63"/>
    <mergeCell ref="D63:E63"/>
    <mergeCell ref="A64:B64"/>
    <mergeCell ref="A127:J127"/>
    <mergeCell ref="I117:J124"/>
    <mergeCell ref="A125:J125"/>
    <mergeCell ref="A120:B120"/>
    <mergeCell ref="D65:E65"/>
    <mergeCell ref="A66:B66"/>
    <mergeCell ref="D181:E181"/>
    <mergeCell ref="A164:J164"/>
    <mergeCell ref="D155:E155"/>
    <mergeCell ref="D147:E147"/>
    <mergeCell ref="A148:B148"/>
    <mergeCell ref="A147:B147"/>
    <mergeCell ref="A178:B178"/>
    <mergeCell ref="A166:J166"/>
    <mergeCell ref="A150:J150"/>
    <mergeCell ref="A174:J174"/>
    <mergeCell ref="A175:B175"/>
    <mergeCell ref="D172:E172"/>
    <mergeCell ref="D170:E170"/>
    <mergeCell ref="A160:B160"/>
    <mergeCell ref="D171:E171"/>
    <mergeCell ref="D178:E178"/>
    <mergeCell ref="A179:B179"/>
    <mergeCell ref="D179:E179"/>
    <mergeCell ref="A165:J165"/>
    <mergeCell ref="I175:J181"/>
    <mergeCell ref="C176:H176"/>
    <mergeCell ref="C177:H177"/>
    <mergeCell ref="D167:E167"/>
    <mergeCell ref="D160:E160"/>
    <mergeCell ref="C185:H186"/>
    <mergeCell ref="D187:E187"/>
    <mergeCell ref="D188:E188"/>
    <mergeCell ref="D189:E189"/>
    <mergeCell ref="D190:E190"/>
    <mergeCell ref="D173:E173"/>
    <mergeCell ref="D180:E180"/>
    <mergeCell ref="D175:E175"/>
    <mergeCell ref="A182:J182"/>
    <mergeCell ref="I184:J190"/>
    <mergeCell ref="A185:B185"/>
    <mergeCell ref="A186:B186"/>
    <mergeCell ref="A187:B187"/>
    <mergeCell ref="A188:B188"/>
    <mergeCell ref="A189:B189"/>
    <mergeCell ref="A190:B190"/>
    <mergeCell ref="A173:B173"/>
    <mergeCell ref="A177:B177"/>
    <mergeCell ref="A180:B180"/>
    <mergeCell ref="A176:B176"/>
    <mergeCell ref="A183:J183"/>
    <mergeCell ref="A184:B184"/>
    <mergeCell ref="D184:E184"/>
    <mergeCell ref="A181:B181"/>
    <mergeCell ref="A161:J161"/>
    <mergeCell ref="A162:J162"/>
    <mergeCell ref="A135:B135"/>
    <mergeCell ref="A140:J140"/>
    <mergeCell ref="I142:J149"/>
    <mergeCell ref="D142:E142"/>
    <mergeCell ref="A141:J141"/>
    <mergeCell ref="A143:B143"/>
    <mergeCell ref="D143:E143"/>
    <mergeCell ref="A144:B144"/>
    <mergeCell ref="D144:E144"/>
    <mergeCell ref="D156:E156"/>
    <mergeCell ref="D145:E145"/>
    <mergeCell ref="A146:B146"/>
    <mergeCell ref="D146:E146"/>
    <mergeCell ref="A154:B154"/>
    <mergeCell ref="C154:H154"/>
    <mergeCell ref="A155:B155"/>
    <mergeCell ref="D149:E149"/>
    <mergeCell ref="A145:B145"/>
    <mergeCell ref="A136:J136"/>
    <mergeCell ref="A137:J137"/>
    <mergeCell ref="A142:B142"/>
    <mergeCell ref="D148:E148"/>
    <mergeCell ref="D133:E133"/>
    <mergeCell ref="D135:E135"/>
    <mergeCell ref="A131:B131"/>
    <mergeCell ref="D131:E131"/>
    <mergeCell ref="A132:B132"/>
    <mergeCell ref="A130:B130"/>
    <mergeCell ref="D134:E134"/>
    <mergeCell ref="A121:B121"/>
    <mergeCell ref="D123:E123"/>
    <mergeCell ref="A124:B124"/>
    <mergeCell ref="D124:E124"/>
    <mergeCell ref="D117:E117"/>
    <mergeCell ref="H49:J49"/>
    <mergeCell ref="A106:F106"/>
    <mergeCell ref="D110:E110"/>
    <mergeCell ref="H45:J45"/>
    <mergeCell ref="A100:J100"/>
    <mergeCell ref="A101:J101"/>
    <mergeCell ref="F40:J40"/>
    <mergeCell ref="A40:E40"/>
    <mergeCell ref="D52:F52"/>
    <mergeCell ref="H43:J43"/>
    <mergeCell ref="A41:J41"/>
    <mergeCell ref="A46:B46"/>
    <mergeCell ref="A45:B45"/>
    <mergeCell ref="C45:F45"/>
    <mergeCell ref="A50:B50"/>
    <mergeCell ref="A104:J104"/>
    <mergeCell ref="G105:J105"/>
    <mergeCell ref="A112:J112"/>
    <mergeCell ref="A105:F105"/>
    <mergeCell ref="C50:F50"/>
    <mergeCell ref="D64:E64"/>
    <mergeCell ref="D66:E66"/>
    <mergeCell ref="A67:B67"/>
    <mergeCell ref="G106:J106"/>
    <mergeCell ref="A111:J111"/>
    <mergeCell ref="A110:B110"/>
    <mergeCell ref="A102:J103"/>
    <mergeCell ref="H48:J48"/>
    <mergeCell ref="C49:F49"/>
    <mergeCell ref="H42:J42"/>
    <mergeCell ref="C46:F46"/>
    <mergeCell ref="H46:J46"/>
    <mergeCell ref="A56:D56"/>
    <mergeCell ref="D54:E54"/>
    <mergeCell ref="A52:B52"/>
    <mergeCell ref="A54:C54"/>
    <mergeCell ref="A55:B55"/>
    <mergeCell ref="A47:B47"/>
    <mergeCell ref="A49:B49"/>
    <mergeCell ref="A62:B62"/>
    <mergeCell ref="A53:J53"/>
    <mergeCell ref="E56:J56"/>
    <mergeCell ref="A57:J57"/>
    <mergeCell ref="A65:B65"/>
    <mergeCell ref="D67:E67"/>
    <mergeCell ref="F54:H54"/>
    <mergeCell ref="C48:F48"/>
    <mergeCell ref="A1:J1"/>
    <mergeCell ref="A10:E10"/>
    <mergeCell ref="F10:J10"/>
    <mergeCell ref="A13:B13"/>
    <mergeCell ref="C13:J13"/>
    <mergeCell ref="A51:B51"/>
    <mergeCell ref="F38:J38"/>
    <mergeCell ref="A38:E38"/>
    <mergeCell ref="C51:F51"/>
    <mergeCell ref="F24:J24"/>
    <mergeCell ref="A26:B26"/>
    <mergeCell ref="C26:D26"/>
    <mergeCell ref="E26:F26"/>
    <mergeCell ref="G27:H27"/>
    <mergeCell ref="A6:E6"/>
    <mergeCell ref="F6:J6"/>
    <mergeCell ref="A17:B17"/>
    <mergeCell ref="E27:F27"/>
    <mergeCell ref="A22:E22"/>
    <mergeCell ref="F7:J7"/>
    <mergeCell ref="F12:J12"/>
    <mergeCell ref="F25:J25"/>
    <mergeCell ref="A20:E21"/>
    <mergeCell ref="A34:J34"/>
    <mergeCell ref="A28:B28"/>
    <mergeCell ref="C28:D28"/>
    <mergeCell ref="F37:J37"/>
    <mergeCell ref="A29:J29"/>
    <mergeCell ref="A35:E35"/>
    <mergeCell ref="A31:B31"/>
    <mergeCell ref="E28:F28"/>
    <mergeCell ref="G28:H28"/>
    <mergeCell ref="I28:J28"/>
    <mergeCell ref="A32:B32"/>
    <mergeCell ref="C32:J32"/>
    <mergeCell ref="C31:J31"/>
    <mergeCell ref="A197:J197"/>
    <mergeCell ref="D118:E118"/>
    <mergeCell ref="A193:J193"/>
    <mergeCell ref="A194:J194"/>
    <mergeCell ref="A191:J191"/>
    <mergeCell ref="A195:J195"/>
    <mergeCell ref="A192:J192"/>
    <mergeCell ref="A126:J126"/>
    <mergeCell ref="A119:B119"/>
    <mergeCell ref="A118:B118"/>
    <mergeCell ref="D121:E121"/>
    <mergeCell ref="A128:B128"/>
    <mergeCell ref="A129:B129"/>
    <mergeCell ref="A122:B122"/>
    <mergeCell ref="D122:E122"/>
    <mergeCell ref="D120:E120"/>
    <mergeCell ref="I128:J135"/>
    <mergeCell ref="C128:H128"/>
    <mergeCell ref="D119:E119"/>
    <mergeCell ref="A123:B123"/>
    <mergeCell ref="D132:E132"/>
    <mergeCell ref="D130:E130"/>
    <mergeCell ref="C129:H129"/>
    <mergeCell ref="A133:B133"/>
    <mergeCell ref="G16:J16"/>
    <mergeCell ref="F20:J21"/>
    <mergeCell ref="G15:J15"/>
    <mergeCell ref="F18:J19"/>
    <mergeCell ref="F22:J22"/>
    <mergeCell ref="C17:E17"/>
    <mergeCell ref="A108:J108"/>
    <mergeCell ref="A109:J109"/>
    <mergeCell ref="A196:J196"/>
    <mergeCell ref="A113:J113"/>
    <mergeCell ref="A114:J114"/>
    <mergeCell ref="A115:J115"/>
    <mergeCell ref="A116:J116"/>
    <mergeCell ref="I110:J110"/>
    <mergeCell ref="A117:B117"/>
    <mergeCell ref="A39:E39"/>
    <mergeCell ref="F39:J39"/>
    <mergeCell ref="G52:J52"/>
    <mergeCell ref="I54:J54"/>
    <mergeCell ref="H44:J44"/>
    <mergeCell ref="H47:J47"/>
    <mergeCell ref="H50:J50"/>
    <mergeCell ref="A107:F107"/>
    <mergeCell ref="G107:J107"/>
    <mergeCell ref="E14:F14"/>
    <mergeCell ref="A12:E12"/>
    <mergeCell ref="A37:E37"/>
    <mergeCell ref="A42:B42"/>
    <mergeCell ref="F9:J9"/>
    <mergeCell ref="F17:G17"/>
    <mergeCell ref="A18:E19"/>
    <mergeCell ref="A33:J33"/>
    <mergeCell ref="A36:E36"/>
    <mergeCell ref="F36:J36"/>
    <mergeCell ref="F35:J35"/>
    <mergeCell ref="I27:J27"/>
    <mergeCell ref="A27:B27"/>
    <mergeCell ref="H17:J17"/>
    <mergeCell ref="A23:E23"/>
    <mergeCell ref="A30:J30"/>
    <mergeCell ref="F23:J23"/>
    <mergeCell ref="A24:E24"/>
    <mergeCell ref="A25:E25"/>
    <mergeCell ref="I14:J14"/>
    <mergeCell ref="A9:E9"/>
    <mergeCell ref="B16:E16"/>
    <mergeCell ref="A11:E11"/>
    <mergeCell ref="B14:D14"/>
    <mergeCell ref="A198:J198"/>
    <mergeCell ref="A2:J2"/>
    <mergeCell ref="A3:E3"/>
    <mergeCell ref="F3:J3"/>
    <mergeCell ref="A4:E4"/>
    <mergeCell ref="F4:J4"/>
    <mergeCell ref="H51:J51"/>
    <mergeCell ref="A8:E8"/>
    <mergeCell ref="A5:E5"/>
    <mergeCell ref="F5:J5"/>
    <mergeCell ref="A7:E7"/>
    <mergeCell ref="A48:B48"/>
    <mergeCell ref="C42:F42"/>
    <mergeCell ref="A43:B43"/>
    <mergeCell ref="C43:F43"/>
    <mergeCell ref="C44:F44"/>
    <mergeCell ref="A44:B44"/>
    <mergeCell ref="I26:J26"/>
    <mergeCell ref="G26:H26"/>
    <mergeCell ref="C27:D27"/>
    <mergeCell ref="C47:F47"/>
    <mergeCell ref="F8:J8"/>
    <mergeCell ref="F11:J11"/>
    <mergeCell ref="B15:E15"/>
  </mergeCells>
  <phoneticPr fontId="0" type="noConversion"/>
  <hyperlinks>
    <hyperlink ref="C32" r:id="rId1" xr:uid="{00000000-0004-0000-0000-000000000000}"/>
  </hyperlinks>
  <pageMargins left="0.35433070866141736" right="0.35433070866141736"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3" manualBreakCount="3">
    <brk id="57" max="16383" man="1"/>
    <brk id="198" max="16383" man="1"/>
    <brk id="241"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37"/>
  <sheetViews>
    <sheetView topLeftCell="A16" workbookViewId="0">
      <selection activeCell="L222" sqref="L222"/>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5.4</v>
      </c>
      <c r="E6" s="8">
        <v>2.4</v>
      </c>
      <c r="F6" s="8">
        <f>D6*E6</f>
        <v>12.96</v>
      </c>
      <c r="G6" s="8" t="s">
        <v>88</v>
      </c>
      <c r="H6" s="8">
        <v>2.65</v>
      </c>
      <c r="I6" s="8">
        <v>0.88</v>
      </c>
      <c r="J6" s="8">
        <f>H6*I6</f>
        <v>2.3319999999999999</v>
      </c>
      <c r="K6" s="8"/>
      <c r="L6" s="8"/>
      <c r="M6" s="8">
        <f>K6*L6</f>
        <v>0</v>
      </c>
    </row>
    <row r="7" spans="2:13" x14ac:dyDescent="0.25">
      <c r="C7" s="8"/>
      <c r="D7" s="8">
        <v>2.6</v>
      </c>
      <c r="E7" s="8">
        <v>1.03</v>
      </c>
      <c r="F7" s="8">
        <f t="shared" ref="F7:F33" si="0">D7*E7</f>
        <v>2.6780000000000004</v>
      </c>
      <c r="G7" s="8" t="s">
        <v>89</v>
      </c>
      <c r="H7" s="8">
        <v>1.7</v>
      </c>
      <c r="I7" s="8">
        <v>0.92</v>
      </c>
      <c r="J7" s="8">
        <f t="shared" ref="J7:J29" si="1">H7*I7</f>
        <v>1.5640000000000001</v>
      </c>
      <c r="K7" s="8"/>
      <c r="L7" s="8"/>
      <c r="M7" s="8">
        <f t="shared" ref="M7:M29" si="2">K7*L7</f>
        <v>0</v>
      </c>
    </row>
    <row r="8" spans="2:13" x14ac:dyDescent="0.25">
      <c r="C8" s="8"/>
      <c r="D8" s="8">
        <v>1.1499999999999999</v>
      </c>
      <c r="E8" s="8">
        <v>0.7</v>
      </c>
      <c r="F8" s="8">
        <f t="shared" si="0"/>
        <v>0.80499999999999994</v>
      </c>
      <c r="G8" s="8"/>
      <c r="H8" s="8">
        <v>1.7</v>
      </c>
      <c r="I8" s="8">
        <v>1.1000000000000001</v>
      </c>
      <c r="J8" s="8">
        <f t="shared" si="1"/>
        <v>1.87</v>
      </c>
      <c r="K8" s="8"/>
      <c r="L8" s="8"/>
      <c r="M8" s="8">
        <f t="shared" si="2"/>
        <v>0</v>
      </c>
    </row>
    <row r="9" spans="2:13" x14ac:dyDescent="0.25">
      <c r="C9" s="8" t="s">
        <v>76</v>
      </c>
      <c r="D9" s="8">
        <v>2.15</v>
      </c>
      <c r="E9" s="8">
        <v>2.7</v>
      </c>
      <c r="F9" s="8">
        <f t="shared" si="0"/>
        <v>5.8049999999999997</v>
      </c>
      <c r="G9" s="8" t="s">
        <v>88</v>
      </c>
      <c r="H9" s="8"/>
      <c r="I9" s="8"/>
      <c r="J9" s="8">
        <f t="shared" si="1"/>
        <v>0</v>
      </c>
      <c r="K9" s="8"/>
      <c r="L9" s="8"/>
      <c r="M9" s="8">
        <f t="shared" si="2"/>
        <v>0</v>
      </c>
    </row>
    <row r="10" spans="2:13" x14ac:dyDescent="0.25">
      <c r="C10" s="8"/>
      <c r="D10" s="8"/>
      <c r="E10" s="8"/>
      <c r="F10" s="8">
        <f t="shared" si="0"/>
        <v>0</v>
      </c>
      <c r="G10" s="8" t="s">
        <v>89</v>
      </c>
      <c r="H10" s="8">
        <v>0.9</v>
      </c>
      <c r="I10" s="8">
        <v>2.15</v>
      </c>
      <c r="J10" s="8">
        <f t="shared" si="1"/>
        <v>1.9350000000000001</v>
      </c>
      <c r="K10" s="8"/>
      <c r="L10" s="8"/>
      <c r="M10" s="8">
        <f t="shared" si="2"/>
        <v>0</v>
      </c>
    </row>
    <row r="11" spans="2:13" x14ac:dyDescent="0.25">
      <c r="C11" s="8"/>
      <c r="D11" s="8"/>
      <c r="E11" s="8"/>
      <c r="F11" s="8">
        <f t="shared" si="0"/>
        <v>0</v>
      </c>
      <c r="G11" s="8"/>
      <c r="H11" s="8">
        <v>0.9</v>
      </c>
      <c r="I11" s="8">
        <v>2.65</v>
      </c>
      <c r="J11" s="8">
        <f t="shared" si="1"/>
        <v>2.3849999999999998</v>
      </c>
      <c r="K11" s="8"/>
      <c r="L11" s="8"/>
      <c r="M11" s="8">
        <f t="shared" si="2"/>
        <v>0</v>
      </c>
    </row>
    <row r="12" spans="2:13" x14ac:dyDescent="0.25">
      <c r="C12" s="8"/>
      <c r="D12" s="8"/>
      <c r="E12" s="8"/>
      <c r="F12" s="8">
        <f t="shared" si="0"/>
        <v>0</v>
      </c>
      <c r="G12" s="8"/>
      <c r="H12" s="8">
        <v>0.52</v>
      </c>
      <c r="I12" s="8">
        <v>3.05</v>
      </c>
      <c r="J12" s="8">
        <f t="shared" si="1"/>
        <v>1.5859999999999999</v>
      </c>
      <c r="K12" s="8"/>
      <c r="L12" s="8"/>
      <c r="M12" s="8">
        <f t="shared" si="2"/>
        <v>0</v>
      </c>
    </row>
    <row r="13" spans="2:13" x14ac:dyDescent="0.25">
      <c r="C13" s="8" t="s">
        <v>74</v>
      </c>
      <c r="D13" s="8">
        <v>3.05</v>
      </c>
      <c r="E13" s="8">
        <v>2.4</v>
      </c>
      <c r="F13" s="8">
        <f t="shared" si="0"/>
        <v>7.3199999999999994</v>
      </c>
      <c r="G13" s="8" t="s">
        <v>88</v>
      </c>
      <c r="H13" s="8"/>
      <c r="I13" s="8"/>
      <c r="J13" s="8">
        <f t="shared" si="1"/>
        <v>0</v>
      </c>
      <c r="K13" s="8"/>
      <c r="L13" s="8"/>
      <c r="M13" s="8">
        <f t="shared" si="2"/>
        <v>0</v>
      </c>
    </row>
    <row r="14" spans="2:13" x14ac:dyDescent="0.25">
      <c r="C14" s="8"/>
      <c r="D14" s="8">
        <v>1.2</v>
      </c>
      <c r="E14" s="8">
        <v>0.75</v>
      </c>
      <c r="F14" s="8">
        <f t="shared" si="0"/>
        <v>0.89999999999999991</v>
      </c>
      <c r="G14" s="8" t="s">
        <v>89</v>
      </c>
      <c r="H14" s="8"/>
      <c r="I14" s="8"/>
      <c r="J14" s="8">
        <f t="shared" si="1"/>
        <v>0</v>
      </c>
      <c r="K14" s="8"/>
      <c r="L14" s="8"/>
      <c r="M14" s="8">
        <f t="shared" si="2"/>
        <v>0</v>
      </c>
    </row>
    <row r="15" spans="2:13" x14ac:dyDescent="0.25">
      <c r="C15" s="8"/>
      <c r="D15" s="8">
        <v>1.2</v>
      </c>
      <c r="E15" s="8">
        <v>0.6</v>
      </c>
      <c r="F15" s="8">
        <f t="shared" si="0"/>
        <v>0.72</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3.05</v>
      </c>
      <c r="E17" s="8">
        <v>2.4</v>
      </c>
      <c r="F17" s="8">
        <f t="shared" si="0"/>
        <v>7.3199999999999994</v>
      </c>
      <c r="G17" s="8" t="s">
        <v>88</v>
      </c>
      <c r="H17" s="8"/>
      <c r="I17" s="8"/>
      <c r="J17" s="8">
        <f t="shared" si="1"/>
        <v>0</v>
      </c>
      <c r="K17" s="8"/>
      <c r="L17" s="8"/>
      <c r="M17" s="8">
        <f t="shared" si="2"/>
        <v>0</v>
      </c>
    </row>
    <row r="18" spans="3:13" x14ac:dyDescent="0.25">
      <c r="C18" s="8"/>
      <c r="D18" s="8">
        <v>1.2</v>
      </c>
      <c r="E18" s="8">
        <v>1.25</v>
      </c>
      <c r="F18" s="8">
        <f t="shared" si="0"/>
        <v>1.5</v>
      </c>
      <c r="G18" s="8" t="s">
        <v>89</v>
      </c>
      <c r="H18" s="8"/>
      <c r="I18" s="8"/>
      <c r="J18" s="8">
        <f t="shared" si="1"/>
        <v>0</v>
      </c>
      <c r="K18" s="8"/>
      <c r="L18" s="8"/>
      <c r="M18" s="8">
        <f t="shared" si="2"/>
        <v>0</v>
      </c>
    </row>
    <row r="19" spans="3:13" x14ac:dyDescent="0.25">
      <c r="C19" s="8"/>
      <c r="D19" s="8">
        <v>1.6</v>
      </c>
      <c r="E19" s="8">
        <v>0.93</v>
      </c>
      <c r="F19" s="8">
        <f t="shared" si="0"/>
        <v>1.4880000000000002</v>
      </c>
      <c r="G19" s="8"/>
      <c r="H19" s="8"/>
      <c r="I19" s="8"/>
      <c r="J19" s="8">
        <f t="shared" si="1"/>
        <v>0</v>
      </c>
      <c r="K19" s="8"/>
      <c r="L19" s="8"/>
      <c r="M19" s="8">
        <f t="shared" si="2"/>
        <v>0</v>
      </c>
    </row>
    <row r="20" spans="3:13" x14ac:dyDescent="0.25">
      <c r="C20" s="8" t="s">
        <v>75</v>
      </c>
      <c r="D20" s="8">
        <v>2.35</v>
      </c>
      <c r="E20" s="8">
        <v>0.5</v>
      </c>
      <c r="F20" s="8">
        <f t="shared" si="0"/>
        <v>1.175</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2.4500000000000002</v>
      </c>
      <c r="E23" s="8">
        <v>1.35</v>
      </c>
      <c r="F23" s="8">
        <f t="shared" si="0"/>
        <v>3.3075000000000006</v>
      </c>
      <c r="G23" s="8" t="s">
        <v>90</v>
      </c>
      <c r="H23" s="8"/>
      <c r="I23" s="8"/>
      <c r="J23" s="8">
        <f t="shared" si="1"/>
        <v>0</v>
      </c>
      <c r="K23" s="8"/>
      <c r="L23" s="8"/>
      <c r="M23" s="8">
        <f t="shared" si="2"/>
        <v>0</v>
      </c>
    </row>
    <row r="24" spans="3:13" x14ac:dyDescent="0.25">
      <c r="C24" s="8" t="s">
        <v>82</v>
      </c>
      <c r="D24" s="8">
        <v>1.55</v>
      </c>
      <c r="E24" s="8">
        <v>2.4</v>
      </c>
      <c r="F24" s="8">
        <f t="shared" si="0"/>
        <v>3.7199999999999998</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v>1.85</v>
      </c>
      <c r="E27" s="8">
        <v>0.92</v>
      </c>
      <c r="F27" s="8">
        <f t="shared" si="0"/>
        <v>1.7020000000000002</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553.2749819999998</v>
      </c>
      <c r="F34" s="8">
        <f>SUM(F6:F33)</f>
        <v>51.400499999999987</v>
      </c>
      <c r="G34" s="8"/>
      <c r="H34" s="8"/>
      <c r="I34" s="8">
        <f>J34*10.764</f>
        <v>125.63740799999999</v>
      </c>
      <c r="J34" s="8">
        <f>SUM(J6:J33)</f>
        <v>11.672000000000001</v>
      </c>
      <c r="K34" s="8"/>
      <c r="L34" s="8">
        <f>M34*10.764</f>
        <v>0</v>
      </c>
      <c r="M34" s="8">
        <f>SUM(M6:M33)</f>
        <v>0</v>
      </c>
    </row>
    <row r="36" spans="3:13" x14ac:dyDescent="0.25">
      <c r="F36">
        <f>F34+J34</f>
        <v>63.072499999999991</v>
      </c>
      <c r="H36" s="24">
        <f>57.93+6.19+1.47+3.35</f>
        <v>68.94</v>
      </c>
    </row>
    <row r="37" spans="3:13" x14ac:dyDescent="0.25">
      <c r="F37">
        <f>E34+I34</f>
        <v>678.91238999999973</v>
      </c>
    </row>
  </sheetData>
  <mergeCells count="4">
    <mergeCell ref="D2:E2"/>
    <mergeCell ref="D4:F4"/>
    <mergeCell ref="H4:J4"/>
    <mergeCell ref="K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37"/>
  <sheetViews>
    <sheetView topLeftCell="A22" workbookViewId="0">
      <selection activeCell="J37" sqref="J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0.85</v>
      </c>
      <c r="E6" s="8">
        <v>1.1499999999999999</v>
      </c>
      <c r="F6" s="8">
        <f>D6*E6</f>
        <v>0.97749999999999992</v>
      </c>
      <c r="G6" s="8" t="s">
        <v>88</v>
      </c>
      <c r="H6" s="8"/>
      <c r="I6" s="8"/>
      <c r="J6" s="8">
        <f>H6*I6</f>
        <v>0</v>
      </c>
      <c r="K6" s="8"/>
      <c r="L6" s="8"/>
      <c r="M6" s="8">
        <f>K6*L6</f>
        <v>0</v>
      </c>
    </row>
    <row r="7" spans="2:13" x14ac:dyDescent="0.25">
      <c r="C7" s="8"/>
      <c r="D7" s="8">
        <v>2.4</v>
      </c>
      <c r="E7" s="8">
        <v>4.9000000000000004</v>
      </c>
      <c r="F7" s="8">
        <f t="shared" ref="F7:F33" si="0">D7*E7</f>
        <v>11.76</v>
      </c>
      <c r="G7" s="8" t="s">
        <v>89</v>
      </c>
      <c r="H7" s="8">
        <v>2.4</v>
      </c>
      <c r="I7" s="8">
        <v>0.87</v>
      </c>
      <c r="J7" s="8">
        <f t="shared" ref="J7:J29" si="1">H7*I7</f>
        <v>2.0880000000000001</v>
      </c>
      <c r="K7" s="8"/>
      <c r="L7" s="8"/>
      <c r="M7" s="8">
        <f t="shared" ref="M7:M29" si="2">K7*L7</f>
        <v>0</v>
      </c>
    </row>
    <row r="8" spans="2:13" x14ac:dyDescent="0.25">
      <c r="C8" s="8"/>
      <c r="D8" s="8">
        <v>0.87</v>
      </c>
      <c r="E8" s="8">
        <v>0.85</v>
      </c>
      <c r="F8" s="8">
        <f t="shared" si="0"/>
        <v>0.73949999999999994</v>
      </c>
      <c r="G8" s="8"/>
      <c r="H8" s="8">
        <v>2.4</v>
      </c>
      <c r="I8" s="8">
        <v>0.9</v>
      </c>
      <c r="J8" s="8">
        <f t="shared" si="1"/>
        <v>2.16</v>
      </c>
      <c r="K8" s="8"/>
      <c r="L8" s="8"/>
      <c r="M8" s="8">
        <f t="shared" si="2"/>
        <v>0</v>
      </c>
    </row>
    <row r="9" spans="2:13" x14ac:dyDescent="0.25">
      <c r="C9" s="8" t="s">
        <v>76</v>
      </c>
      <c r="D9" s="8">
        <v>2.15</v>
      </c>
      <c r="E9" s="8">
        <v>2.15</v>
      </c>
      <c r="F9" s="8">
        <f t="shared" si="0"/>
        <v>4.6224999999999996</v>
      </c>
      <c r="G9" s="8" t="s">
        <v>88</v>
      </c>
      <c r="H9" s="8"/>
      <c r="I9" s="8"/>
      <c r="J9" s="8">
        <f t="shared" si="1"/>
        <v>0</v>
      </c>
      <c r="K9" s="8"/>
      <c r="L9" s="8"/>
      <c r="M9" s="8">
        <f t="shared" si="2"/>
        <v>0</v>
      </c>
    </row>
    <row r="10" spans="2:13" x14ac:dyDescent="0.25">
      <c r="C10" s="8"/>
      <c r="D10" s="8">
        <v>1.03</v>
      </c>
      <c r="E10" s="8">
        <v>1.55</v>
      </c>
      <c r="F10" s="8">
        <f t="shared" si="0"/>
        <v>1.5965</v>
      </c>
      <c r="G10" s="8" t="s">
        <v>89</v>
      </c>
      <c r="H10" s="8">
        <v>2.15</v>
      </c>
      <c r="I10" s="8">
        <v>0.9</v>
      </c>
      <c r="J10" s="8">
        <f t="shared" si="1"/>
        <v>1.9350000000000001</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74</v>
      </c>
      <c r="D13" s="8">
        <v>2.15</v>
      </c>
      <c r="E13" s="8">
        <v>2.4500000000000002</v>
      </c>
      <c r="F13" s="8">
        <f t="shared" si="0"/>
        <v>5.2675000000000001</v>
      </c>
      <c r="G13" s="8" t="s">
        <v>88</v>
      </c>
      <c r="H13" s="8">
        <v>1.1000000000000001</v>
      </c>
      <c r="I13" s="8">
        <v>0.85</v>
      </c>
      <c r="J13" s="8">
        <f t="shared" si="1"/>
        <v>0.93500000000000005</v>
      </c>
      <c r="K13" s="8"/>
      <c r="L13" s="8"/>
      <c r="M13" s="8">
        <f t="shared" si="2"/>
        <v>0</v>
      </c>
    </row>
    <row r="14" spans="2:13" x14ac:dyDescent="0.25">
      <c r="C14" s="8"/>
      <c r="D14" s="8">
        <v>1</v>
      </c>
      <c r="E14" s="8">
        <v>1.2</v>
      </c>
      <c r="F14" s="8">
        <f t="shared" si="0"/>
        <v>1.2</v>
      </c>
      <c r="G14" s="8" t="s">
        <v>89</v>
      </c>
      <c r="H14" s="8">
        <v>1.2</v>
      </c>
      <c r="I14" s="8">
        <v>0.6</v>
      </c>
      <c r="J14" s="8">
        <f t="shared" si="1"/>
        <v>0.72</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0.93</v>
      </c>
      <c r="E17" s="8">
        <v>1</v>
      </c>
      <c r="F17" s="8">
        <f t="shared" si="0"/>
        <v>0.93</v>
      </c>
      <c r="G17" s="8" t="s">
        <v>88</v>
      </c>
      <c r="H17" s="8">
        <v>1.45</v>
      </c>
      <c r="I17" s="8">
        <v>0.65</v>
      </c>
      <c r="J17" s="8">
        <f t="shared" si="1"/>
        <v>0.9425</v>
      </c>
      <c r="K17" s="8"/>
      <c r="L17" s="8"/>
      <c r="M17" s="8">
        <f t="shared" si="2"/>
        <v>0</v>
      </c>
    </row>
    <row r="18" spans="3:13" x14ac:dyDescent="0.25">
      <c r="C18" s="8"/>
      <c r="D18" s="8">
        <v>2.4</v>
      </c>
      <c r="E18" s="8">
        <v>3.05</v>
      </c>
      <c r="F18" s="8">
        <f t="shared" si="0"/>
        <v>7.3199999999999994</v>
      </c>
      <c r="G18" s="8" t="s">
        <v>89</v>
      </c>
      <c r="H18" s="8">
        <v>2.4</v>
      </c>
      <c r="I18" s="8">
        <v>0.6</v>
      </c>
      <c r="J18" s="8">
        <f t="shared" si="1"/>
        <v>1.44</v>
      </c>
      <c r="K18" s="8"/>
      <c r="L18" s="8"/>
      <c r="M18" s="8">
        <f t="shared" si="2"/>
        <v>0</v>
      </c>
    </row>
    <row r="19" spans="3:13" x14ac:dyDescent="0.25">
      <c r="C19" s="8"/>
      <c r="D19" s="8">
        <v>0.8</v>
      </c>
      <c r="E19" s="8">
        <v>1.55</v>
      </c>
      <c r="F19" s="8">
        <f t="shared" si="0"/>
        <v>1.2400000000000002</v>
      </c>
      <c r="G19" s="8"/>
      <c r="H19" s="8">
        <v>2.4</v>
      </c>
      <c r="I19" s="8">
        <v>0.9</v>
      </c>
      <c r="J19" s="8">
        <f t="shared" si="1"/>
        <v>2.16</v>
      </c>
      <c r="K19" s="8"/>
      <c r="L19" s="8"/>
      <c r="M19" s="8">
        <f t="shared" si="2"/>
        <v>0</v>
      </c>
    </row>
    <row r="20" spans="3:13" x14ac:dyDescent="0.25">
      <c r="C20" s="8" t="s">
        <v>75</v>
      </c>
      <c r="D20" s="8"/>
      <c r="E20" s="8"/>
      <c r="F20" s="8">
        <f t="shared" si="0"/>
        <v>0</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1.35</v>
      </c>
      <c r="E23" s="8">
        <v>2.4500000000000002</v>
      </c>
      <c r="F23" s="8">
        <f t="shared" si="0"/>
        <v>3.3075000000000006</v>
      </c>
      <c r="G23" s="8" t="s">
        <v>90</v>
      </c>
      <c r="H23" s="8"/>
      <c r="I23" s="8"/>
      <c r="J23" s="8">
        <f t="shared" si="1"/>
        <v>0</v>
      </c>
      <c r="K23" s="8"/>
      <c r="L23" s="8"/>
      <c r="M23" s="8">
        <f t="shared" si="2"/>
        <v>0</v>
      </c>
    </row>
    <row r="24" spans="3:13" x14ac:dyDescent="0.25">
      <c r="C24" s="8" t="s">
        <v>82</v>
      </c>
      <c r="D24" s="8">
        <v>2.4</v>
      </c>
      <c r="E24" s="8">
        <v>1.35</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v>1.85</v>
      </c>
      <c r="E27" s="8">
        <v>0.93</v>
      </c>
      <c r="F27" s="8">
        <f t="shared" si="0"/>
        <v>1.7205000000000001</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472.77102599999989</v>
      </c>
      <c r="F34" s="8">
        <f>SUM(F6:F33)</f>
        <v>43.921499999999995</v>
      </c>
      <c r="G34" s="8"/>
      <c r="H34" s="8"/>
      <c r="I34" s="8">
        <f>J34*10.764</f>
        <v>133.26370199999999</v>
      </c>
      <c r="J34" s="8">
        <f>SUM(J6:J33)</f>
        <v>12.3805</v>
      </c>
      <c r="K34" s="8"/>
      <c r="L34" s="8">
        <f>M34*10.764</f>
        <v>0</v>
      </c>
      <c r="M34" s="8">
        <f>SUM(M6:M33)</f>
        <v>0</v>
      </c>
    </row>
    <row r="36" spans="3:13" x14ac:dyDescent="0.25">
      <c r="F36">
        <f>F34+J34</f>
        <v>56.301999999999992</v>
      </c>
      <c r="H36" s="24">
        <f>57.93+6.19+1.47+3.35</f>
        <v>68.94</v>
      </c>
    </row>
    <row r="37" spans="3:13" x14ac:dyDescent="0.25">
      <c r="F37">
        <f>E34+I34</f>
        <v>606.03472799999986</v>
      </c>
    </row>
  </sheetData>
  <mergeCells count="4">
    <mergeCell ref="D2:E2"/>
    <mergeCell ref="D4:F4"/>
    <mergeCell ref="H4:J4"/>
    <mergeCell ref="K4:M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37"/>
  <sheetViews>
    <sheetView topLeftCell="A22" workbookViewId="0">
      <selection activeCell="F37" sqref="F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2.4</v>
      </c>
      <c r="E6" s="8">
        <v>4.3499999999999996</v>
      </c>
      <c r="F6" s="8">
        <f>D6*E6</f>
        <v>10.44</v>
      </c>
      <c r="G6" s="8" t="s">
        <v>88</v>
      </c>
      <c r="H6" s="8"/>
      <c r="I6" s="8"/>
      <c r="J6" s="8">
        <f>H6*I6</f>
        <v>0</v>
      </c>
      <c r="K6" s="8"/>
      <c r="L6" s="8"/>
      <c r="M6" s="8">
        <f>K6*L6</f>
        <v>0</v>
      </c>
    </row>
    <row r="7" spans="2:13" x14ac:dyDescent="0.25">
      <c r="C7" s="8"/>
      <c r="D7" s="8">
        <v>0.7</v>
      </c>
      <c r="E7" s="8">
        <v>1.1499999999999999</v>
      </c>
      <c r="F7" s="8">
        <f t="shared" ref="F7:F33" si="0">D7*E7</f>
        <v>0.80499999999999994</v>
      </c>
      <c r="G7" s="8" t="s">
        <v>89</v>
      </c>
      <c r="H7" s="8">
        <v>2.85</v>
      </c>
      <c r="I7" s="8">
        <v>0.87</v>
      </c>
      <c r="J7" s="8">
        <f t="shared" ref="J7:J29" si="1">H7*I7</f>
        <v>2.4795000000000003</v>
      </c>
      <c r="K7" s="8"/>
      <c r="L7" s="8"/>
      <c r="M7" s="8">
        <f t="shared" ref="M7:M29" si="2">K7*L7</f>
        <v>0</v>
      </c>
    </row>
    <row r="8" spans="2:13" x14ac:dyDescent="0.25">
      <c r="C8" s="8"/>
      <c r="D8" s="8">
        <v>1.03</v>
      </c>
      <c r="E8" s="8">
        <v>0.85</v>
      </c>
      <c r="F8" s="8">
        <f t="shared" si="0"/>
        <v>0.87549999999999994</v>
      </c>
      <c r="G8" s="8"/>
      <c r="H8" s="8">
        <v>2.85</v>
      </c>
      <c r="I8" s="8">
        <v>0.9</v>
      </c>
      <c r="J8" s="8">
        <f t="shared" si="1"/>
        <v>2.5649999999999999</v>
      </c>
      <c r="K8" s="8"/>
      <c r="L8" s="8"/>
      <c r="M8" s="8">
        <f t="shared" si="2"/>
        <v>0</v>
      </c>
    </row>
    <row r="9" spans="2:13" x14ac:dyDescent="0.25">
      <c r="C9" s="8" t="s">
        <v>76</v>
      </c>
      <c r="D9" s="8">
        <v>2.1800000000000002</v>
      </c>
      <c r="E9" s="8">
        <v>2.15</v>
      </c>
      <c r="F9" s="8">
        <f t="shared" si="0"/>
        <v>4.6870000000000003</v>
      </c>
      <c r="G9" s="8" t="s">
        <v>88</v>
      </c>
      <c r="H9" s="8"/>
      <c r="I9" s="8"/>
      <c r="J9" s="8">
        <f t="shared" si="1"/>
        <v>0</v>
      </c>
      <c r="K9" s="8"/>
      <c r="L9" s="8"/>
      <c r="M9" s="8">
        <f t="shared" si="2"/>
        <v>0</v>
      </c>
    </row>
    <row r="10" spans="2:13" x14ac:dyDescent="0.25">
      <c r="C10" s="8"/>
      <c r="D10" s="8">
        <v>1.03</v>
      </c>
      <c r="E10" s="8">
        <v>1.35</v>
      </c>
      <c r="F10" s="8">
        <f t="shared" si="0"/>
        <v>1.3905000000000001</v>
      </c>
      <c r="G10" s="8" t="s">
        <v>89</v>
      </c>
      <c r="H10" s="8">
        <v>2.15</v>
      </c>
      <c r="I10" s="8">
        <v>0.9</v>
      </c>
      <c r="J10" s="8">
        <f t="shared" si="1"/>
        <v>1.9350000000000001</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74</v>
      </c>
      <c r="D13" s="8">
        <v>2.4</v>
      </c>
      <c r="E13" s="8">
        <v>0.8</v>
      </c>
      <c r="F13" s="8">
        <f t="shared" si="0"/>
        <v>1.92</v>
      </c>
      <c r="G13" s="8" t="s">
        <v>88</v>
      </c>
      <c r="H13" s="8">
        <v>1.6</v>
      </c>
      <c r="I13" s="8">
        <v>0.65</v>
      </c>
      <c r="J13" s="8">
        <f t="shared" si="1"/>
        <v>1.04</v>
      </c>
      <c r="K13" s="8"/>
      <c r="L13" s="8"/>
      <c r="M13" s="8">
        <f t="shared" si="2"/>
        <v>0</v>
      </c>
    </row>
    <row r="14" spans="2:13" x14ac:dyDescent="0.25">
      <c r="C14" s="8"/>
      <c r="D14" s="8">
        <v>0.8</v>
      </c>
      <c r="E14" s="8">
        <v>1.3</v>
      </c>
      <c r="F14" s="8">
        <f t="shared" si="0"/>
        <v>1.04</v>
      </c>
      <c r="G14" s="8" t="s">
        <v>89</v>
      </c>
      <c r="H14" s="8">
        <v>3.05</v>
      </c>
      <c r="I14" s="8">
        <v>0.9</v>
      </c>
      <c r="J14" s="8">
        <f t="shared" si="1"/>
        <v>2.7450000000000001</v>
      </c>
      <c r="K14" s="8"/>
      <c r="L14" s="8"/>
      <c r="M14" s="8">
        <f t="shared" si="2"/>
        <v>0</v>
      </c>
    </row>
    <row r="15" spans="2:13" x14ac:dyDescent="0.25">
      <c r="C15" s="8"/>
      <c r="D15" s="8"/>
      <c r="E15" s="8"/>
      <c r="F15" s="8">
        <f t="shared" si="0"/>
        <v>0</v>
      </c>
      <c r="G15" s="8"/>
      <c r="H15" s="8">
        <v>2.2999999999999998</v>
      </c>
      <c r="I15" s="8">
        <v>0.6</v>
      </c>
      <c r="J15" s="8">
        <f t="shared" si="1"/>
        <v>1.38</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c r="E17" s="8"/>
      <c r="F17" s="8">
        <f t="shared" si="0"/>
        <v>0</v>
      </c>
      <c r="G17" s="8" t="s">
        <v>88</v>
      </c>
      <c r="H17" s="8"/>
      <c r="I17" s="8"/>
      <c r="J17" s="8">
        <f t="shared" si="1"/>
        <v>0</v>
      </c>
      <c r="K17" s="8"/>
      <c r="L17" s="8"/>
      <c r="M17" s="8">
        <f t="shared" si="2"/>
        <v>0</v>
      </c>
    </row>
    <row r="18" spans="3:13" x14ac:dyDescent="0.25">
      <c r="C18" s="8"/>
      <c r="D18" s="8"/>
      <c r="E18" s="8"/>
      <c r="F18" s="8">
        <f t="shared" si="0"/>
        <v>0</v>
      </c>
      <c r="G18" s="8" t="s">
        <v>89</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75</v>
      </c>
      <c r="D20" s="8"/>
      <c r="E20" s="8"/>
      <c r="F20" s="8">
        <f t="shared" si="0"/>
        <v>0</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v>
      </c>
      <c r="E23" s="8">
        <v>1.35</v>
      </c>
      <c r="F23" s="8">
        <f t="shared" si="0"/>
        <v>3.24</v>
      </c>
      <c r="G23" s="8" t="s">
        <v>90</v>
      </c>
      <c r="H23" s="8"/>
      <c r="I23" s="8"/>
      <c r="J23" s="8">
        <f t="shared" si="1"/>
        <v>0</v>
      </c>
      <c r="K23" s="8"/>
      <c r="L23" s="8"/>
      <c r="M23" s="8">
        <f t="shared" si="2"/>
        <v>0</v>
      </c>
    </row>
    <row r="24" spans="3:13" x14ac:dyDescent="0.25">
      <c r="C24" s="8" t="s">
        <v>82</v>
      </c>
      <c r="D24" s="8">
        <v>2.4</v>
      </c>
      <c r="E24" s="8">
        <v>1.35</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c r="E27" s="8"/>
      <c r="F27" s="8">
        <f t="shared" si="0"/>
        <v>0</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297.49543200000005</v>
      </c>
      <c r="F34" s="8">
        <f>SUM(F6:F33)</f>
        <v>27.638000000000005</v>
      </c>
      <c r="G34" s="8"/>
      <c r="H34" s="8"/>
      <c r="I34" s="8">
        <f>J34*10.764</f>
        <v>130.723398</v>
      </c>
      <c r="J34" s="8">
        <f>SUM(J6:J33)</f>
        <v>12.144500000000001</v>
      </c>
      <c r="K34" s="8"/>
      <c r="L34" s="8">
        <f>M34*10.764</f>
        <v>0</v>
      </c>
      <c r="M34" s="8">
        <f>SUM(M6:M33)</f>
        <v>0</v>
      </c>
    </row>
    <row r="36" spans="3:13" x14ac:dyDescent="0.25">
      <c r="F36">
        <f>F34+J34</f>
        <v>39.782500000000006</v>
      </c>
      <c r="H36" s="24"/>
    </row>
    <row r="37" spans="3:13" x14ac:dyDescent="0.25">
      <c r="F37" s="28">
        <f>E34+I34</f>
        <v>428.21883000000003</v>
      </c>
    </row>
  </sheetData>
  <mergeCells count="4">
    <mergeCell ref="D2:E2"/>
    <mergeCell ref="D4:F4"/>
    <mergeCell ref="H4:J4"/>
    <mergeCell ref="K4:M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37"/>
  <sheetViews>
    <sheetView topLeftCell="A19" workbookViewId="0">
      <selection activeCell="F37" sqref="F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2.4</v>
      </c>
      <c r="E6" s="8">
        <v>4.9000000000000004</v>
      </c>
      <c r="F6" s="8">
        <f>D6*E6</f>
        <v>11.76</v>
      </c>
      <c r="G6" s="8" t="s">
        <v>88</v>
      </c>
      <c r="H6" s="8"/>
      <c r="I6" s="8"/>
      <c r="J6" s="8">
        <f>H6*I6</f>
        <v>0</v>
      </c>
      <c r="K6" s="8"/>
      <c r="L6" s="8"/>
      <c r="M6" s="8">
        <f>K6*L6</f>
        <v>0</v>
      </c>
    </row>
    <row r="7" spans="2:13" x14ac:dyDescent="0.25">
      <c r="C7" s="8"/>
      <c r="D7" s="8">
        <v>1.03</v>
      </c>
      <c r="E7" s="8">
        <v>1</v>
      </c>
      <c r="F7" s="8">
        <f t="shared" ref="F7:F33" si="0">D7*E7</f>
        <v>1.03</v>
      </c>
      <c r="G7" s="8" t="s">
        <v>89</v>
      </c>
      <c r="H7" s="8">
        <v>2.4</v>
      </c>
      <c r="I7" s="8">
        <v>0.88</v>
      </c>
      <c r="J7" s="8">
        <f t="shared" ref="J7:J29" si="1">H7*I7</f>
        <v>2.1120000000000001</v>
      </c>
      <c r="K7" s="8"/>
      <c r="L7" s="8"/>
      <c r="M7" s="8">
        <f t="shared" ref="M7:M29" si="2">K7*L7</f>
        <v>0</v>
      </c>
    </row>
    <row r="8" spans="2:13" x14ac:dyDescent="0.25">
      <c r="C8" s="8"/>
      <c r="D8" s="8">
        <v>2.5</v>
      </c>
      <c r="E8" s="8">
        <v>2.35</v>
      </c>
      <c r="F8" s="8">
        <f t="shared" si="0"/>
        <v>5.875</v>
      </c>
      <c r="G8" s="8"/>
      <c r="H8" s="8">
        <v>2.4</v>
      </c>
      <c r="I8" s="8">
        <v>0.9</v>
      </c>
      <c r="J8" s="8">
        <f t="shared" si="1"/>
        <v>2.16</v>
      </c>
      <c r="K8" s="8"/>
      <c r="L8" s="8"/>
      <c r="M8" s="8">
        <f t="shared" si="2"/>
        <v>0</v>
      </c>
    </row>
    <row r="9" spans="2:13" x14ac:dyDescent="0.25">
      <c r="C9" s="8" t="s">
        <v>76</v>
      </c>
      <c r="D9" s="8">
        <v>2.17</v>
      </c>
      <c r="E9" s="8">
        <v>2.15</v>
      </c>
      <c r="F9" s="8">
        <f t="shared" si="0"/>
        <v>4.6654999999999998</v>
      </c>
      <c r="G9" s="8" t="s">
        <v>88</v>
      </c>
      <c r="H9" s="8">
        <v>2.15</v>
      </c>
      <c r="I9" s="8">
        <v>0.9</v>
      </c>
      <c r="J9" s="8">
        <f t="shared" si="1"/>
        <v>1.9350000000000001</v>
      </c>
      <c r="K9" s="8"/>
      <c r="L9" s="8"/>
      <c r="M9" s="8">
        <f t="shared" si="2"/>
        <v>0</v>
      </c>
    </row>
    <row r="10" spans="2:13" x14ac:dyDescent="0.25">
      <c r="C10" s="8"/>
      <c r="D10" s="8">
        <v>1.03</v>
      </c>
      <c r="E10" s="8">
        <v>1.55</v>
      </c>
      <c r="F10" s="8">
        <f t="shared" si="0"/>
        <v>1.5965</v>
      </c>
      <c r="G10" s="8" t="s">
        <v>89</v>
      </c>
      <c r="H10" s="8"/>
      <c r="I10" s="8"/>
      <c r="J10" s="8">
        <f t="shared" si="1"/>
        <v>0</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74</v>
      </c>
      <c r="D13" s="8">
        <v>2.15</v>
      </c>
      <c r="E13" s="8">
        <v>2.4500000000000002</v>
      </c>
      <c r="F13" s="8">
        <f t="shared" si="0"/>
        <v>5.2675000000000001</v>
      </c>
      <c r="G13" s="8" t="s">
        <v>88</v>
      </c>
      <c r="H13" s="8">
        <v>1.1000000000000001</v>
      </c>
      <c r="I13" s="8">
        <v>0.9</v>
      </c>
      <c r="J13" s="8">
        <f t="shared" si="1"/>
        <v>0.9900000000000001</v>
      </c>
      <c r="K13" s="8"/>
      <c r="L13" s="8"/>
      <c r="M13" s="8">
        <f t="shared" si="2"/>
        <v>0</v>
      </c>
    </row>
    <row r="14" spans="2:13" x14ac:dyDescent="0.25">
      <c r="C14" s="8"/>
      <c r="D14" s="8">
        <v>1.05</v>
      </c>
      <c r="E14" s="8">
        <v>1.2</v>
      </c>
      <c r="F14" s="8">
        <f t="shared" si="0"/>
        <v>1.26</v>
      </c>
      <c r="G14" s="8" t="s">
        <v>89</v>
      </c>
      <c r="H14" s="8">
        <v>1.2</v>
      </c>
      <c r="I14" s="8">
        <v>0.6</v>
      </c>
      <c r="J14" s="8">
        <f t="shared" si="1"/>
        <v>0.72</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2.4</v>
      </c>
      <c r="E17" s="8">
        <v>3.05</v>
      </c>
      <c r="F17" s="8">
        <f t="shared" si="0"/>
        <v>7.3199999999999994</v>
      </c>
      <c r="G17" s="8" t="s">
        <v>88</v>
      </c>
      <c r="H17" s="8">
        <v>1.55</v>
      </c>
      <c r="I17" s="8">
        <v>0.65</v>
      </c>
      <c r="J17" s="8">
        <f t="shared" si="1"/>
        <v>1.0075000000000001</v>
      </c>
      <c r="K17" s="8"/>
      <c r="L17" s="8"/>
      <c r="M17" s="8">
        <f t="shared" si="2"/>
        <v>0</v>
      </c>
    </row>
    <row r="18" spans="3:13" x14ac:dyDescent="0.25">
      <c r="C18" s="8"/>
      <c r="D18" s="8">
        <v>0.8</v>
      </c>
      <c r="E18" s="8">
        <v>1.35</v>
      </c>
      <c r="F18" s="8">
        <f t="shared" si="0"/>
        <v>1.08</v>
      </c>
      <c r="G18" s="8" t="s">
        <v>89</v>
      </c>
      <c r="H18" s="8">
        <v>0.9</v>
      </c>
      <c r="I18" s="8">
        <v>3.05</v>
      </c>
      <c r="J18" s="8">
        <f t="shared" si="1"/>
        <v>2.7450000000000001</v>
      </c>
      <c r="K18" s="8"/>
      <c r="L18" s="8"/>
      <c r="M18" s="8">
        <f t="shared" si="2"/>
        <v>0</v>
      </c>
    </row>
    <row r="19" spans="3:13" x14ac:dyDescent="0.25">
      <c r="C19" s="8"/>
      <c r="D19" s="8">
        <v>0.93</v>
      </c>
      <c r="E19" s="8">
        <v>1.3</v>
      </c>
      <c r="F19" s="8">
        <f t="shared" si="0"/>
        <v>1.2090000000000001</v>
      </c>
      <c r="G19" s="8"/>
      <c r="H19" s="8">
        <v>0.4</v>
      </c>
      <c r="I19" s="8">
        <v>0.5</v>
      </c>
      <c r="J19" s="8">
        <f t="shared" si="1"/>
        <v>0.2</v>
      </c>
      <c r="K19" s="8"/>
      <c r="L19" s="8"/>
      <c r="M19" s="8">
        <f t="shared" si="2"/>
        <v>0</v>
      </c>
    </row>
    <row r="20" spans="3:13" x14ac:dyDescent="0.25">
      <c r="C20" s="8" t="s">
        <v>75</v>
      </c>
      <c r="D20" s="8"/>
      <c r="E20" s="8"/>
      <c r="F20" s="8">
        <f t="shared" si="0"/>
        <v>0</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v>
      </c>
      <c r="E23" s="8">
        <v>1.35</v>
      </c>
      <c r="F23" s="8">
        <f t="shared" si="0"/>
        <v>3.24</v>
      </c>
      <c r="G23" s="8" t="s">
        <v>90</v>
      </c>
      <c r="H23" s="8"/>
      <c r="I23" s="8"/>
      <c r="J23" s="8">
        <f t="shared" si="1"/>
        <v>0</v>
      </c>
      <c r="K23" s="8"/>
      <c r="L23" s="8"/>
      <c r="M23" s="8">
        <f t="shared" si="2"/>
        <v>0</v>
      </c>
    </row>
    <row r="24" spans="3:13" x14ac:dyDescent="0.25">
      <c r="C24" s="8" t="s">
        <v>82</v>
      </c>
      <c r="D24" s="8">
        <v>2.4</v>
      </c>
      <c r="E24" s="8">
        <v>1.35</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v>1.5</v>
      </c>
      <c r="E27" s="8">
        <v>0.93</v>
      </c>
      <c r="F27" s="8">
        <f t="shared" si="0"/>
        <v>1.395</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526.77401399999997</v>
      </c>
      <c r="F34" s="8">
        <f>SUM(F6:F33)</f>
        <v>48.938500000000005</v>
      </c>
      <c r="G34" s="8"/>
      <c r="H34" s="8"/>
      <c r="I34" s="8">
        <f>J34*10.764</f>
        <v>127.76329799999998</v>
      </c>
      <c r="J34" s="8">
        <f>SUM(J6:J33)</f>
        <v>11.869499999999999</v>
      </c>
      <c r="K34" s="8"/>
      <c r="L34" s="8">
        <f>M34*10.764</f>
        <v>0</v>
      </c>
      <c r="M34" s="8">
        <f>SUM(M6:M33)</f>
        <v>0</v>
      </c>
    </row>
    <row r="36" spans="3:13" x14ac:dyDescent="0.25">
      <c r="F36">
        <f>F34+J34</f>
        <v>60.808000000000007</v>
      </c>
      <c r="H36" s="24"/>
    </row>
    <row r="37" spans="3:13" x14ac:dyDescent="0.25">
      <c r="F37" s="28">
        <f>E34+I34</f>
        <v>654.53731199999993</v>
      </c>
    </row>
  </sheetData>
  <mergeCells count="4">
    <mergeCell ref="D2:E2"/>
    <mergeCell ref="D4:F4"/>
    <mergeCell ref="H4:J4"/>
    <mergeCell ref="K4: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M37"/>
  <sheetViews>
    <sheetView topLeftCell="A25" workbookViewId="0">
      <selection activeCell="F37" sqref="F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3.3</v>
      </c>
      <c r="E6" s="8">
        <v>3.05</v>
      </c>
      <c r="F6" s="8">
        <f>D6*E6</f>
        <v>10.065</v>
      </c>
      <c r="G6" s="8" t="s">
        <v>88</v>
      </c>
      <c r="H6" s="8"/>
      <c r="I6" s="8"/>
      <c r="J6" s="8">
        <f>H6*I6</f>
        <v>0</v>
      </c>
      <c r="K6" s="8"/>
      <c r="L6" s="8"/>
      <c r="M6" s="8">
        <f>K6*L6</f>
        <v>0</v>
      </c>
    </row>
    <row r="7" spans="2:13" x14ac:dyDescent="0.25">
      <c r="C7" s="8"/>
      <c r="D7" s="8"/>
      <c r="E7" s="8"/>
      <c r="F7" s="8">
        <f t="shared" ref="F7:F33" si="0">D7*E7</f>
        <v>0</v>
      </c>
      <c r="G7" s="8" t="s">
        <v>89</v>
      </c>
      <c r="H7" s="8">
        <v>3.05</v>
      </c>
      <c r="I7" s="8">
        <v>1.4</v>
      </c>
      <c r="J7" s="8">
        <f t="shared" ref="J7:J29" si="1">H7*I7</f>
        <v>4.2699999999999996</v>
      </c>
      <c r="K7" s="8"/>
      <c r="L7" s="8"/>
      <c r="M7" s="8">
        <f t="shared" ref="M7:M29" si="2">K7*L7</f>
        <v>0</v>
      </c>
    </row>
    <row r="8" spans="2:13" x14ac:dyDescent="0.25">
      <c r="C8" s="8"/>
      <c r="D8" s="8"/>
      <c r="E8" s="8"/>
      <c r="F8" s="8">
        <f t="shared" si="0"/>
        <v>0</v>
      </c>
      <c r="G8" s="8"/>
      <c r="H8" s="8">
        <v>3.05</v>
      </c>
      <c r="I8" s="8">
        <v>0.9</v>
      </c>
      <c r="J8" s="8">
        <f t="shared" si="1"/>
        <v>2.7450000000000001</v>
      </c>
      <c r="K8" s="8"/>
      <c r="L8" s="8"/>
      <c r="M8" s="8">
        <f t="shared" si="2"/>
        <v>0</v>
      </c>
    </row>
    <row r="9" spans="2:13" x14ac:dyDescent="0.25">
      <c r="C9" s="8" t="s">
        <v>76</v>
      </c>
      <c r="D9" s="8">
        <v>2.15</v>
      </c>
      <c r="E9" s="8">
        <v>2.15</v>
      </c>
      <c r="F9" s="8">
        <f t="shared" si="0"/>
        <v>4.6224999999999996</v>
      </c>
      <c r="G9" s="8" t="s">
        <v>88</v>
      </c>
      <c r="H9" s="8"/>
      <c r="I9" s="8"/>
      <c r="J9" s="8">
        <f t="shared" si="1"/>
        <v>0</v>
      </c>
      <c r="K9" s="8"/>
      <c r="L9" s="8"/>
      <c r="M9" s="8">
        <f t="shared" si="2"/>
        <v>0</v>
      </c>
    </row>
    <row r="10" spans="2:13" x14ac:dyDescent="0.25">
      <c r="C10" s="8"/>
      <c r="D10" s="8">
        <v>0.9</v>
      </c>
      <c r="E10" s="8">
        <v>1.3</v>
      </c>
      <c r="F10" s="8">
        <f t="shared" si="0"/>
        <v>1.1700000000000002</v>
      </c>
      <c r="G10" s="8" t="s">
        <v>89</v>
      </c>
      <c r="H10" s="8">
        <v>2.15</v>
      </c>
      <c r="I10" s="8">
        <v>0.9</v>
      </c>
      <c r="J10" s="8">
        <f t="shared" si="1"/>
        <v>1.9350000000000001</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74</v>
      </c>
      <c r="D13" s="8">
        <v>2.4</v>
      </c>
      <c r="E13" s="8">
        <v>3.05</v>
      </c>
      <c r="F13" s="8">
        <f t="shared" si="0"/>
        <v>7.3199999999999994</v>
      </c>
      <c r="G13" s="8" t="s">
        <v>88</v>
      </c>
      <c r="H13" s="8">
        <v>2.35</v>
      </c>
      <c r="I13" s="8">
        <v>0.6</v>
      </c>
      <c r="J13" s="8">
        <f t="shared" si="1"/>
        <v>1.41</v>
      </c>
      <c r="K13" s="8"/>
      <c r="L13" s="8"/>
      <c r="M13" s="8">
        <f t="shared" si="2"/>
        <v>0</v>
      </c>
    </row>
    <row r="14" spans="2:13" x14ac:dyDescent="0.25">
      <c r="C14" s="8"/>
      <c r="D14" s="8">
        <v>1</v>
      </c>
      <c r="E14" s="8">
        <v>1.35</v>
      </c>
      <c r="F14" s="8">
        <f t="shared" si="0"/>
        <v>1.35</v>
      </c>
      <c r="G14" s="8" t="s">
        <v>89</v>
      </c>
      <c r="H14" s="8">
        <v>1.65</v>
      </c>
      <c r="I14" s="8">
        <v>0.85</v>
      </c>
      <c r="J14" s="8">
        <f t="shared" si="1"/>
        <v>1.4024999999999999</v>
      </c>
      <c r="K14" s="8"/>
      <c r="L14" s="8"/>
      <c r="M14" s="8">
        <f t="shared" si="2"/>
        <v>0</v>
      </c>
    </row>
    <row r="15" spans="2:13" x14ac:dyDescent="0.25">
      <c r="C15" s="8"/>
      <c r="D15" s="8"/>
      <c r="E15" s="8"/>
      <c r="F15" s="8">
        <f t="shared" si="0"/>
        <v>0</v>
      </c>
      <c r="G15" s="8"/>
      <c r="H15" s="8">
        <v>3.05</v>
      </c>
      <c r="I15" s="8">
        <v>0.9</v>
      </c>
      <c r="J15" s="8">
        <f t="shared" si="1"/>
        <v>2.7450000000000001</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c r="E17" s="8"/>
      <c r="F17" s="8">
        <f t="shared" si="0"/>
        <v>0</v>
      </c>
      <c r="G17" s="8" t="s">
        <v>88</v>
      </c>
      <c r="H17" s="8"/>
      <c r="I17" s="8"/>
      <c r="J17" s="8">
        <f t="shared" si="1"/>
        <v>0</v>
      </c>
      <c r="K17" s="8"/>
      <c r="L17" s="8"/>
      <c r="M17" s="8">
        <f t="shared" si="2"/>
        <v>0</v>
      </c>
    </row>
    <row r="18" spans="3:13" x14ac:dyDescent="0.25">
      <c r="C18" s="8"/>
      <c r="D18" s="8"/>
      <c r="E18" s="8"/>
      <c r="F18" s="8">
        <f t="shared" si="0"/>
        <v>0</v>
      </c>
      <c r="G18" s="8" t="s">
        <v>89</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75</v>
      </c>
      <c r="D20" s="8"/>
      <c r="E20" s="8"/>
      <c r="F20" s="8">
        <f t="shared" si="0"/>
        <v>0</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1.35</v>
      </c>
      <c r="E23" s="8">
        <v>2.4500000000000002</v>
      </c>
      <c r="F23" s="8">
        <f t="shared" si="0"/>
        <v>3.3075000000000006</v>
      </c>
      <c r="G23" s="8" t="s">
        <v>90</v>
      </c>
      <c r="H23" s="8"/>
      <c r="I23" s="8"/>
      <c r="J23" s="8">
        <f t="shared" si="1"/>
        <v>0</v>
      </c>
      <c r="K23" s="8"/>
      <c r="L23" s="8"/>
      <c r="M23" s="8">
        <f t="shared" si="2"/>
        <v>0</v>
      </c>
    </row>
    <row r="24" spans="3:13" x14ac:dyDescent="0.25">
      <c r="C24" s="8" t="s">
        <v>82</v>
      </c>
      <c r="D24" s="8">
        <v>1.35</v>
      </c>
      <c r="E24" s="8">
        <v>2.4</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c r="E27" s="8"/>
      <c r="F27" s="8">
        <f t="shared" si="0"/>
        <v>0</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334.49130000000002</v>
      </c>
      <c r="F34" s="8">
        <f>SUM(F6:F33)</f>
        <v>31.075000000000003</v>
      </c>
      <c r="G34" s="8"/>
      <c r="H34" s="8"/>
      <c r="I34" s="8">
        <f>J34*10.764</f>
        <v>156.15872999999999</v>
      </c>
      <c r="J34" s="8">
        <f>SUM(J6:J33)</f>
        <v>14.5075</v>
      </c>
      <c r="K34" s="8"/>
      <c r="L34" s="8">
        <f>M34*10.764</f>
        <v>0</v>
      </c>
      <c r="M34" s="8">
        <f>SUM(M6:M33)</f>
        <v>0</v>
      </c>
    </row>
    <row r="36" spans="3:13" x14ac:dyDescent="0.25">
      <c r="F36">
        <f>F34+J34</f>
        <v>45.582500000000003</v>
      </c>
      <c r="H36" s="24"/>
    </row>
    <row r="37" spans="3:13" x14ac:dyDescent="0.25">
      <c r="F37" s="28">
        <f>E34+I34</f>
        <v>490.65003000000002</v>
      </c>
    </row>
  </sheetData>
  <mergeCells count="4">
    <mergeCell ref="D2:E2"/>
    <mergeCell ref="D4:F4"/>
    <mergeCell ref="H4:J4"/>
    <mergeCell ref="K4:M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M37"/>
  <sheetViews>
    <sheetView topLeftCell="A31" workbookViewId="0">
      <selection activeCell="F37" sqref="F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3.65</v>
      </c>
      <c r="E6" s="8">
        <v>5.0999999999999996</v>
      </c>
      <c r="F6" s="8">
        <f>D6*E6</f>
        <v>18.614999999999998</v>
      </c>
      <c r="G6" s="8" t="s">
        <v>88</v>
      </c>
      <c r="H6" s="8"/>
      <c r="I6" s="8"/>
      <c r="J6" s="8">
        <f>H6*I6</f>
        <v>0</v>
      </c>
      <c r="K6" s="8"/>
      <c r="L6" s="8"/>
      <c r="M6" s="8">
        <f>K6*L6</f>
        <v>0</v>
      </c>
    </row>
    <row r="7" spans="2:13" x14ac:dyDescent="0.25">
      <c r="C7" s="8"/>
      <c r="D7" s="8">
        <v>1.55</v>
      </c>
      <c r="E7" s="8">
        <v>1.5</v>
      </c>
      <c r="F7" s="8">
        <f t="shared" ref="F7:F33" si="0">D7*E7</f>
        <v>2.3250000000000002</v>
      </c>
      <c r="G7" s="8" t="s">
        <v>89</v>
      </c>
      <c r="H7" s="8">
        <v>3.65</v>
      </c>
      <c r="I7" s="8">
        <v>1.35</v>
      </c>
      <c r="J7" s="8">
        <f t="shared" ref="J7:J29" si="1">H7*I7</f>
        <v>4.9275000000000002</v>
      </c>
      <c r="K7" s="8"/>
      <c r="L7" s="8"/>
      <c r="M7" s="8">
        <f t="shared" ref="M7:M29" si="2">K7*L7</f>
        <v>0</v>
      </c>
    </row>
    <row r="8" spans="2:13" x14ac:dyDescent="0.25">
      <c r="C8" s="8"/>
      <c r="D8" s="8"/>
      <c r="E8" s="8"/>
      <c r="F8" s="8">
        <f t="shared" si="0"/>
        <v>0</v>
      </c>
      <c r="G8" s="8"/>
      <c r="H8" s="8">
        <v>3.9</v>
      </c>
      <c r="I8" s="8">
        <v>0.9</v>
      </c>
      <c r="J8" s="8">
        <f t="shared" si="1"/>
        <v>3.51</v>
      </c>
      <c r="K8" s="8"/>
      <c r="L8" s="8"/>
      <c r="M8" s="8">
        <f t="shared" si="2"/>
        <v>0</v>
      </c>
    </row>
    <row r="9" spans="2:13" x14ac:dyDescent="0.25">
      <c r="C9" s="8" t="s">
        <v>76</v>
      </c>
      <c r="D9" s="8">
        <v>3.2</v>
      </c>
      <c r="E9" s="8">
        <v>2.25</v>
      </c>
      <c r="F9" s="8">
        <f t="shared" si="0"/>
        <v>7.2</v>
      </c>
      <c r="G9" s="8" t="s">
        <v>88</v>
      </c>
      <c r="H9" s="8">
        <v>1.25</v>
      </c>
      <c r="I9" s="8">
        <v>0.6</v>
      </c>
      <c r="J9" s="8">
        <f t="shared" si="1"/>
        <v>0.75</v>
      </c>
      <c r="K9" s="8"/>
      <c r="L9" s="8"/>
      <c r="M9" s="8">
        <f t="shared" si="2"/>
        <v>0</v>
      </c>
    </row>
    <row r="10" spans="2:13" x14ac:dyDescent="0.25">
      <c r="C10" s="8"/>
      <c r="D10" s="8"/>
      <c r="E10" s="8"/>
      <c r="F10" s="8">
        <f t="shared" si="0"/>
        <v>0</v>
      </c>
      <c r="G10" s="8" t="s">
        <v>89</v>
      </c>
      <c r="H10" s="8">
        <v>2</v>
      </c>
      <c r="I10" s="8">
        <v>0.9</v>
      </c>
      <c r="J10" s="8">
        <f t="shared" si="1"/>
        <v>1.8</v>
      </c>
      <c r="K10" s="8"/>
      <c r="L10" s="8"/>
      <c r="M10" s="8">
        <f t="shared" si="2"/>
        <v>0</v>
      </c>
    </row>
    <row r="11" spans="2:13" x14ac:dyDescent="0.25">
      <c r="C11" s="8"/>
      <c r="D11" s="8"/>
      <c r="E11" s="8"/>
      <c r="F11" s="8">
        <f t="shared" si="0"/>
        <v>0</v>
      </c>
      <c r="G11" s="8"/>
      <c r="H11" s="8"/>
      <c r="I11" s="8"/>
      <c r="J11" s="8">
        <f t="shared" si="1"/>
        <v>0</v>
      </c>
      <c r="K11" s="8"/>
      <c r="L11" s="8"/>
      <c r="M11" s="8">
        <f t="shared" si="2"/>
        <v>0</v>
      </c>
    </row>
    <row r="12" spans="2:13" x14ac:dyDescent="0.25">
      <c r="C12" s="8"/>
      <c r="D12" s="8"/>
      <c r="E12" s="8"/>
      <c r="F12" s="8">
        <f t="shared" si="0"/>
        <v>0</v>
      </c>
      <c r="G12" s="8"/>
      <c r="H12" s="8"/>
      <c r="I12" s="8"/>
      <c r="J12" s="8">
        <f t="shared" si="1"/>
        <v>0</v>
      </c>
      <c r="K12" s="8"/>
      <c r="L12" s="8"/>
      <c r="M12" s="8">
        <f t="shared" si="2"/>
        <v>0</v>
      </c>
    </row>
    <row r="13" spans="2:13" x14ac:dyDescent="0.25">
      <c r="C13" s="8" t="s">
        <v>74</v>
      </c>
      <c r="D13" s="8">
        <v>3.2</v>
      </c>
      <c r="E13" s="8">
        <v>3.44</v>
      </c>
      <c r="F13" s="8">
        <f t="shared" si="0"/>
        <v>11.008000000000001</v>
      </c>
      <c r="G13" s="8" t="s">
        <v>88</v>
      </c>
      <c r="H13" s="8">
        <v>1.25</v>
      </c>
      <c r="I13" s="8">
        <v>0.5</v>
      </c>
      <c r="J13" s="8">
        <f t="shared" si="1"/>
        <v>0.625</v>
      </c>
      <c r="K13" s="8"/>
      <c r="L13" s="8"/>
      <c r="M13" s="8">
        <f t="shared" si="2"/>
        <v>0</v>
      </c>
    </row>
    <row r="14" spans="2:13" x14ac:dyDescent="0.25">
      <c r="C14" s="8"/>
      <c r="D14" s="8">
        <v>0.95</v>
      </c>
      <c r="E14" s="8">
        <v>1.65</v>
      </c>
      <c r="F14" s="8">
        <f t="shared" si="0"/>
        <v>1.5674999999999999</v>
      </c>
      <c r="G14" s="8" t="s">
        <v>89</v>
      </c>
      <c r="H14" s="8">
        <v>1.7</v>
      </c>
      <c r="I14" s="8">
        <v>0.9</v>
      </c>
      <c r="J14" s="8">
        <f t="shared" si="1"/>
        <v>1.53</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3.2</v>
      </c>
      <c r="E17" s="8">
        <v>3.4</v>
      </c>
      <c r="F17" s="8">
        <f t="shared" si="0"/>
        <v>10.88</v>
      </c>
      <c r="G17" s="8" t="s">
        <v>88</v>
      </c>
      <c r="H17" s="8">
        <v>2.25</v>
      </c>
      <c r="I17" s="8">
        <v>0.9</v>
      </c>
      <c r="J17" s="8">
        <f t="shared" si="1"/>
        <v>2.0249999999999999</v>
      </c>
      <c r="K17" s="8"/>
      <c r="L17" s="8"/>
      <c r="M17" s="8">
        <f t="shared" si="2"/>
        <v>0</v>
      </c>
    </row>
    <row r="18" spans="3:13" x14ac:dyDescent="0.25">
      <c r="C18" s="8"/>
      <c r="D18" s="8"/>
      <c r="E18" s="8"/>
      <c r="F18" s="8">
        <f t="shared" si="0"/>
        <v>0</v>
      </c>
      <c r="G18" s="8" t="s">
        <v>89</v>
      </c>
      <c r="H18" s="8"/>
      <c r="I18" s="8"/>
      <c r="J18" s="8">
        <f t="shared" si="1"/>
        <v>0</v>
      </c>
      <c r="K18" s="8"/>
      <c r="L18" s="8"/>
      <c r="M18" s="8">
        <f t="shared" si="2"/>
        <v>0</v>
      </c>
    </row>
    <row r="19" spans="3:13" x14ac:dyDescent="0.25">
      <c r="C19" s="8"/>
      <c r="D19" s="8"/>
      <c r="E19" s="8"/>
      <c r="F19" s="8">
        <f t="shared" si="0"/>
        <v>0</v>
      </c>
      <c r="G19" s="8"/>
      <c r="H19" s="8"/>
      <c r="I19" s="8"/>
      <c r="J19" s="8">
        <f t="shared" si="1"/>
        <v>0</v>
      </c>
      <c r="K19" s="8"/>
      <c r="L19" s="8"/>
      <c r="M19" s="8">
        <f t="shared" si="2"/>
        <v>0</v>
      </c>
    </row>
    <row r="20" spans="3:13" x14ac:dyDescent="0.25">
      <c r="C20" s="8" t="s">
        <v>75</v>
      </c>
      <c r="D20" s="8">
        <v>3.2</v>
      </c>
      <c r="E20" s="8">
        <v>3.4</v>
      </c>
      <c r="F20" s="8">
        <f t="shared" si="0"/>
        <v>10.88</v>
      </c>
      <c r="G20" s="8" t="s">
        <v>88</v>
      </c>
      <c r="H20" s="8">
        <v>3.2</v>
      </c>
      <c r="I20" s="8">
        <v>0.9</v>
      </c>
      <c r="J20" s="8">
        <f t="shared" si="1"/>
        <v>2.8800000000000003</v>
      </c>
      <c r="K20" s="8"/>
      <c r="L20" s="8"/>
      <c r="M20" s="8">
        <f t="shared" si="2"/>
        <v>0</v>
      </c>
    </row>
    <row r="21" spans="3:13" x14ac:dyDescent="0.25">
      <c r="C21" s="8"/>
      <c r="D21" s="8">
        <v>1.95</v>
      </c>
      <c r="E21" s="8">
        <v>1.05</v>
      </c>
      <c r="F21" s="8">
        <f t="shared" si="0"/>
        <v>2.0474999999999999</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1.55</v>
      </c>
      <c r="E23" s="8">
        <v>2.4500000000000002</v>
      </c>
      <c r="F23" s="8">
        <f t="shared" si="0"/>
        <v>3.7975000000000003</v>
      </c>
      <c r="G23" s="8" t="s">
        <v>90</v>
      </c>
      <c r="H23" s="8"/>
      <c r="I23" s="8"/>
      <c r="J23" s="8">
        <f t="shared" si="1"/>
        <v>0</v>
      </c>
      <c r="K23" s="8"/>
      <c r="L23" s="8"/>
      <c r="M23" s="8">
        <f t="shared" si="2"/>
        <v>0</v>
      </c>
    </row>
    <row r="24" spans="3:13" x14ac:dyDescent="0.25">
      <c r="C24" s="8" t="s">
        <v>82</v>
      </c>
      <c r="D24" s="8">
        <v>1.55</v>
      </c>
      <c r="E24" s="8">
        <v>2.4500000000000002</v>
      </c>
      <c r="F24" s="8">
        <f t="shared" si="0"/>
        <v>3.7975000000000003</v>
      </c>
      <c r="G24" s="8" t="s">
        <v>90</v>
      </c>
      <c r="H24" s="8"/>
      <c r="I24" s="8"/>
      <c r="J24" s="8">
        <f t="shared" si="1"/>
        <v>0</v>
      </c>
      <c r="K24" s="8"/>
      <c r="L24" s="8"/>
      <c r="M24" s="8">
        <f t="shared" si="2"/>
        <v>0</v>
      </c>
    </row>
    <row r="25" spans="3:13" x14ac:dyDescent="0.25">
      <c r="C25" s="8" t="s">
        <v>83</v>
      </c>
      <c r="D25" s="8">
        <v>1.55</v>
      </c>
      <c r="E25" s="8">
        <v>2.4500000000000002</v>
      </c>
      <c r="F25" s="8">
        <f t="shared" si="0"/>
        <v>3.7975000000000003</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c r="E27" s="8"/>
      <c r="F27" s="8">
        <f t="shared" si="0"/>
        <v>0</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817.15444200000002</v>
      </c>
      <c r="F34" s="8">
        <f>SUM(F6:F33)</f>
        <v>75.915500000000009</v>
      </c>
      <c r="G34" s="8"/>
      <c r="H34" s="8"/>
      <c r="I34" s="8">
        <f>J34*10.764</f>
        <v>194.26328999999998</v>
      </c>
      <c r="J34" s="8">
        <f>SUM(J6:J33)</f>
        <v>18.047499999999999</v>
      </c>
      <c r="K34" s="8"/>
      <c r="L34" s="8">
        <f>M34*10.764</f>
        <v>0</v>
      </c>
      <c r="M34" s="8">
        <f>SUM(M6:M33)</f>
        <v>0</v>
      </c>
    </row>
    <row r="36" spans="3:13" x14ac:dyDescent="0.25">
      <c r="F36">
        <f>F34+J34</f>
        <v>93.963000000000008</v>
      </c>
      <c r="H36" s="24"/>
    </row>
    <row r="37" spans="3:13" x14ac:dyDescent="0.25">
      <c r="F37" s="28">
        <f>E34+I34</f>
        <v>1011.417732</v>
      </c>
    </row>
  </sheetData>
  <mergeCells count="4">
    <mergeCell ref="D2:E2"/>
    <mergeCell ref="D4:F4"/>
    <mergeCell ref="H4:J4"/>
    <mergeCell ref="K4:M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7"/>
  <sheetViews>
    <sheetView topLeftCell="A25" workbookViewId="0">
      <selection activeCell="C27" sqref="C27"/>
    </sheetView>
  </sheetViews>
  <sheetFormatPr defaultRowHeight="15" x14ac:dyDescent="0.25"/>
  <cols>
    <col min="1" max="1" width="10.28515625" bestFit="1" customWidth="1"/>
  </cols>
  <sheetData>
    <row r="2" spans="1:14" x14ac:dyDescent="0.25">
      <c r="B2" s="26" t="s">
        <v>155</v>
      </c>
      <c r="C2" s="26"/>
      <c r="D2" s="26"/>
      <c r="E2" s="26"/>
      <c r="F2" s="26"/>
    </row>
    <row r="4" spans="1:14" x14ac:dyDescent="0.25">
      <c r="A4" s="30">
        <v>44119</v>
      </c>
      <c r="B4" t="s">
        <v>190</v>
      </c>
      <c r="N4" t="s">
        <v>202</v>
      </c>
    </row>
    <row r="27" spans="1:2" x14ac:dyDescent="0.25">
      <c r="A27" s="30">
        <v>44218</v>
      </c>
      <c r="B27" t="s">
        <v>190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workbookViewId="0">
      <selection activeCell="C7" sqref="C7"/>
    </sheetView>
  </sheetViews>
  <sheetFormatPr defaultColWidth="8.7109375" defaultRowHeight="15" x14ac:dyDescent="0.25"/>
  <cols>
    <col min="1" max="1" width="10.28515625" style="32" bestFit="1" customWidth="1"/>
    <col min="2" max="2" width="22.140625" style="32" customWidth="1"/>
    <col min="3" max="3" width="37" style="32" customWidth="1"/>
    <col min="4" max="5" width="11.42578125" style="32" customWidth="1"/>
    <col min="6" max="6" width="14" style="32" customWidth="1"/>
    <col min="7" max="7" width="20" style="32" customWidth="1"/>
    <col min="8" max="8" width="16.42578125" style="32" customWidth="1"/>
    <col min="9" max="16384" width="8.7109375" style="32"/>
  </cols>
  <sheetData>
    <row r="1" spans="1:9" x14ac:dyDescent="0.25">
      <c r="A1" s="31"/>
    </row>
    <row r="2" spans="1:9" x14ac:dyDescent="0.25">
      <c r="A2" s="33"/>
      <c r="B2" s="33"/>
      <c r="C2" s="33"/>
      <c r="D2" s="33"/>
      <c r="E2" s="33"/>
      <c r="F2" s="33"/>
      <c r="G2" s="33"/>
      <c r="H2" s="33"/>
    </row>
    <row r="3" spans="1:9" x14ac:dyDescent="0.25">
      <c r="A3" s="33"/>
      <c r="B3" s="216" t="s">
        <v>191</v>
      </c>
      <c r="C3" s="216"/>
      <c r="D3" s="216"/>
      <c r="E3" s="216"/>
      <c r="F3" s="216"/>
      <c r="G3" s="216"/>
      <c r="H3" s="216"/>
    </row>
    <row r="4" spans="1:9" x14ac:dyDescent="0.25">
      <c r="A4" s="33"/>
      <c r="B4" s="34" t="s">
        <v>192</v>
      </c>
      <c r="C4" s="34" t="s">
        <v>193</v>
      </c>
      <c r="D4" s="34" t="s">
        <v>86</v>
      </c>
      <c r="E4" s="34" t="s">
        <v>194</v>
      </c>
      <c r="F4" s="34" t="s">
        <v>195</v>
      </c>
      <c r="G4" s="34" t="s">
        <v>196</v>
      </c>
      <c r="H4" s="34" t="s">
        <v>197</v>
      </c>
    </row>
    <row r="5" spans="1:9" x14ac:dyDescent="0.25">
      <c r="A5" s="33"/>
      <c r="B5" s="35" t="s">
        <v>198</v>
      </c>
      <c r="C5" s="48" t="s">
        <v>156</v>
      </c>
      <c r="D5" s="35" t="s">
        <v>177</v>
      </c>
      <c r="E5" s="35">
        <v>542</v>
      </c>
      <c r="F5" s="36">
        <f>E5*1.6</f>
        <v>867.2</v>
      </c>
      <c r="G5" s="36">
        <f>H5/F4:F5</f>
        <v>14414.20664206642</v>
      </c>
      <c r="H5" s="37">
        <v>12500000</v>
      </c>
    </row>
    <row r="6" spans="1:9" x14ac:dyDescent="0.25">
      <c r="A6" s="33"/>
      <c r="B6" s="35" t="s">
        <v>198</v>
      </c>
      <c r="C6" s="48" t="s">
        <v>156</v>
      </c>
      <c r="D6" s="35" t="s">
        <v>177</v>
      </c>
      <c r="E6" s="35">
        <v>980.7</v>
      </c>
      <c r="F6" s="36">
        <f>E6*1.6</f>
        <v>1569.1200000000001</v>
      </c>
      <c r="G6" s="36">
        <f>H6/F5:F6</f>
        <v>16059.957173447536</v>
      </c>
      <c r="H6" s="37">
        <v>25200000</v>
      </c>
    </row>
    <row r="7" spans="1:9" x14ac:dyDescent="0.25">
      <c r="A7" s="33"/>
      <c r="B7" s="35" t="s">
        <v>201</v>
      </c>
      <c r="C7" s="48" t="s">
        <v>156</v>
      </c>
      <c r="D7" s="35" t="s">
        <v>209</v>
      </c>
      <c r="E7" s="35"/>
      <c r="F7" s="36">
        <v>1154</v>
      </c>
      <c r="G7" s="36">
        <f>H7/F6:F7</f>
        <v>18197.573656845754</v>
      </c>
      <c r="H7" s="37">
        <v>21000000</v>
      </c>
    </row>
    <row r="8" spans="1:9" x14ac:dyDescent="0.25">
      <c r="A8" s="33"/>
      <c r="B8" s="35" t="s">
        <v>198</v>
      </c>
      <c r="C8" s="48" t="s">
        <v>156</v>
      </c>
      <c r="D8" s="35" t="s">
        <v>178</v>
      </c>
      <c r="E8" s="35"/>
      <c r="F8" s="36">
        <v>640</v>
      </c>
      <c r="G8" s="36">
        <f>H8/F7:F8</f>
        <v>18750</v>
      </c>
      <c r="H8" s="37">
        <v>12000000</v>
      </c>
    </row>
    <row r="9" spans="1:9" x14ac:dyDescent="0.25">
      <c r="A9" s="33"/>
      <c r="B9" s="35" t="s">
        <v>198</v>
      </c>
      <c r="C9" s="48" t="s">
        <v>156</v>
      </c>
      <c r="D9" s="35" t="s">
        <v>177</v>
      </c>
      <c r="E9" s="35"/>
      <c r="F9" s="36">
        <v>687</v>
      </c>
      <c r="G9" s="36">
        <f>H9/F8:F9</f>
        <v>17467.248908296944</v>
      </c>
      <c r="H9" s="37">
        <v>12000000</v>
      </c>
    </row>
    <row r="10" spans="1:9" x14ac:dyDescent="0.25">
      <c r="A10" s="33"/>
      <c r="B10" s="38" t="s">
        <v>199</v>
      </c>
      <c r="C10" s="35"/>
      <c r="D10" s="35"/>
      <c r="E10" s="35"/>
      <c r="F10" s="35"/>
      <c r="G10" s="39">
        <f>AVERAGE(G5:G9)</f>
        <v>16977.797276131329</v>
      </c>
      <c r="H10" s="35"/>
    </row>
    <row r="11" spans="1:9" x14ac:dyDescent="0.25">
      <c r="B11" s="38" t="s">
        <v>200</v>
      </c>
      <c r="C11" s="35"/>
      <c r="D11" s="35"/>
      <c r="E11" s="35"/>
      <c r="F11" s="40"/>
      <c r="G11" s="38">
        <v>17000</v>
      </c>
      <c r="H11" s="38"/>
      <c r="I11" s="41"/>
    </row>
  </sheetData>
  <mergeCells count="1">
    <mergeCell ref="B3:H3"/>
  </mergeCells>
  <phoneticPr fontId="1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2"/>
  <sheetViews>
    <sheetView workbookViewId="0">
      <selection activeCell="Q2" sqref="Q2"/>
    </sheetView>
  </sheetViews>
  <sheetFormatPr defaultRowHeight="15" x14ac:dyDescent="0.25"/>
  <cols>
    <col min="2" max="2" width="11.7109375" customWidth="1"/>
  </cols>
  <sheetData>
    <row r="2" spans="1:15" x14ac:dyDescent="0.25">
      <c r="A2" t="s">
        <v>98</v>
      </c>
      <c r="B2" s="15" t="s">
        <v>118</v>
      </c>
      <c r="C2" s="15">
        <v>50</v>
      </c>
    </row>
    <row r="3" spans="1:15" x14ac:dyDescent="0.25">
      <c r="B3" t="s">
        <v>99</v>
      </c>
      <c r="C3" t="s">
        <v>100</v>
      </c>
    </row>
    <row r="4" spans="1:15" x14ac:dyDescent="0.25">
      <c r="A4" t="s">
        <v>101</v>
      </c>
      <c r="B4" s="8">
        <v>10</v>
      </c>
      <c r="C4" s="8">
        <v>6</v>
      </c>
      <c r="E4">
        <f>(100/B4)*C4</f>
        <v>60</v>
      </c>
    </row>
    <row r="5" spans="1:15" x14ac:dyDescent="0.25">
      <c r="A5" t="s">
        <v>102</v>
      </c>
      <c r="B5" t="s">
        <v>103</v>
      </c>
      <c r="C5" t="s">
        <v>104</v>
      </c>
      <c r="E5">
        <f>(100/B6)*C6</f>
        <v>0</v>
      </c>
      <c r="I5" s="8" t="s">
        <v>105</v>
      </c>
      <c r="J5" s="8" t="s">
        <v>106</v>
      </c>
      <c r="K5" s="8" t="s">
        <v>107</v>
      </c>
      <c r="L5" s="8" t="s">
        <v>36</v>
      </c>
      <c r="M5" s="8" t="s">
        <v>39</v>
      </c>
      <c r="N5" s="8" t="s">
        <v>108</v>
      </c>
      <c r="O5" s="8" t="s">
        <v>40</v>
      </c>
    </row>
    <row r="6" spans="1:15" x14ac:dyDescent="0.25">
      <c r="B6" s="8">
        <f>C2+1</f>
        <v>51</v>
      </c>
      <c r="C6" s="8">
        <v>0</v>
      </c>
      <c r="E6">
        <f>(100/B8)*C8</f>
        <v>0</v>
      </c>
      <c r="F6" s="16" t="s">
        <v>109</v>
      </c>
      <c r="I6" s="16">
        <f>C4</f>
        <v>6</v>
      </c>
      <c r="J6" s="16">
        <f>40/B6*C6</f>
        <v>0</v>
      </c>
      <c r="K6" s="16">
        <f>15/B8*C8</f>
        <v>0</v>
      </c>
      <c r="L6" s="16">
        <f>10/B10*C10</f>
        <v>0</v>
      </c>
      <c r="M6" s="16">
        <f>10/B12*C12</f>
        <v>0</v>
      </c>
      <c r="N6" s="16">
        <f>5/B14*C14</f>
        <v>0</v>
      </c>
      <c r="O6" s="16">
        <f>5/B16*C16</f>
        <v>0</v>
      </c>
    </row>
    <row r="7" spans="1:15" x14ac:dyDescent="0.25">
      <c r="A7" t="s">
        <v>110</v>
      </c>
      <c r="B7" t="s">
        <v>111</v>
      </c>
      <c r="C7" t="s">
        <v>112</v>
      </c>
      <c r="E7">
        <f>(100/B10)*C10</f>
        <v>0</v>
      </c>
      <c r="F7" s="8" t="s">
        <v>113</v>
      </c>
      <c r="G7" s="8"/>
      <c r="H7" s="8"/>
      <c r="I7" s="8">
        <f>I6+20</f>
        <v>26</v>
      </c>
      <c r="J7" s="8">
        <f>30/B6*C6</f>
        <v>0</v>
      </c>
      <c r="K7" s="8">
        <f>15/B8*C8</f>
        <v>0</v>
      </c>
      <c r="L7" s="8">
        <f>10/B10*C10</f>
        <v>0</v>
      </c>
      <c r="M7" s="8">
        <f>5/B12*C12</f>
        <v>0</v>
      </c>
      <c r="N7" s="8">
        <f>5/B14*C14</f>
        <v>0</v>
      </c>
      <c r="O7" s="8">
        <f>5/B16*C16</f>
        <v>0</v>
      </c>
    </row>
    <row r="8" spans="1:15" x14ac:dyDescent="0.25">
      <c r="B8" s="8">
        <f>C2</f>
        <v>50</v>
      </c>
      <c r="C8" s="8">
        <v>0</v>
      </c>
      <c r="E8">
        <f>(100/B12)*C12</f>
        <v>0</v>
      </c>
    </row>
    <row r="9" spans="1:15" x14ac:dyDescent="0.25">
      <c r="A9" t="s">
        <v>114</v>
      </c>
      <c r="B9" t="s">
        <v>111</v>
      </c>
      <c r="C9" t="s">
        <v>112</v>
      </c>
      <c r="E9">
        <f>(100/B14)*C14</f>
        <v>0</v>
      </c>
    </row>
    <row r="10" spans="1:15" x14ac:dyDescent="0.25">
      <c r="B10" s="8">
        <f>C2</f>
        <v>50</v>
      </c>
      <c r="C10" s="8">
        <v>0</v>
      </c>
      <c r="E10">
        <f>(100/B16)*C16</f>
        <v>0</v>
      </c>
    </row>
    <row r="11" spans="1:15" x14ac:dyDescent="0.25">
      <c r="A11" t="s">
        <v>39</v>
      </c>
      <c r="B11" t="s">
        <v>111</v>
      </c>
      <c r="C11" t="s">
        <v>112</v>
      </c>
    </row>
    <row r="12" spans="1:15" x14ac:dyDescent="0.25">
      <c r="B12" s="8">
        <f>C2</f>
        <v>50</v>
      </c>
      <c r="C12" s="8">
        <v>0</v>
      </c>
      <c r="F12" s="8"/>
      <c r="G12" s="8" t="s">
        <v>109</v>
      </c>
      <c r="H12" s="8" t="s">
        <v>115</v>
      </c>
      <c r="L12" t="s">
        <v>116</v>
      </c>
    </row>
    <row r="13" spans="1:15" ht="30" x14ac:dyDescent="0.25">
      <c r="A13" s="17" t="s">
        <v>108</v>
      </c>
      <c r="B13" t="s">
        <v>111</v>
      </c>
      <c r="C13" t="s">
        <v>112</v>
      </c>
      <c r="F13" s="8" t="s">
        <v>34</v>
      </c>
      <c r="G13" s="8">
        <f>I6</f>
        <v>6</v>
      </c>
      <c r="H13" s="8">
        <f>I7</f>
        <v>26</v>
      </c>
      <c r="J13" s="42" t="s">
        <v>203</v>
      </c>
      <c r="L13" s="43">
        <v>0.01</v>
      </c>
      <c r="M13" s="44">
        <v>0.02</v>
      </c>
    </row>
    <row r="14" spans="1:15" x14ac:dyDescent="0.25">
      <c r="B14" s="8">
        <f>C2</f>
        <v>50</v>
      </c>
      <c r="C14" s="8">
        <v>0</v>
      </c>
      <c r="F14" s="8" t="s">
        <v>35</v>
      </c>
      <c r="G14" s="8">
        <f>J6</f>
        <v>0</v>
      </c>
      <c r="H14" s="8">
        <f>J7</f>
        <v>0</v>
      </c>
      <c r="J14" s="42" t="s">
        <v>204</v>
      </c>
      <c r="L14" s="43">
        <v>0.02</v>
      </c>
      <c r="M14" s="44">
        <v>0.04</v>
      </c>
    </row>
    <row r="15" spans="1:15" x14ac:dyDescent="0.25">
      <c r="A15" t="s">
        <v>40</v>
      </c>
      <c r="B15" t="s">
        <v>111</v>
      </c>
      <c r="C15" t="s">
        <v>112</v>
      </c>
      <c r="F15" s="8" t="s">
        <v>107</v>
      </c>
      <c r="G15" s="8">
        <f>K6</f>
        <v>0</v>
      </c>
      <c r="H15" s="8">
        <f>K7</f>
        <v>0</v>
      </c>
      <c r="J15" s="42" t="s">
        <v>205</v>
      </c>
      <c r="L15" s="43">
        <v>0.04</v>
      </c>
      <c r="M15" s="44">
        <v>0.08</v>
      </c>
    </row>
    <row r="16" spans="1:15" x14ac:dyDescent="0.25">
      <c r="B16" s="8">
        <f>C2</f>
        <v>50</v>
      </c>
      <c r="C16" s="8">
        <v>0</v>
      </c>
      <c r="F16" s="8" t="s">
        <v>36</v>
      </c>
      <c r="G16" s="8">
        <f>L6</f>
        <v>0</v>
      </c>
      <c r="H16" s="8">
        <f>L7</f>
        <v>0</v>
      </c>
      <c r="J16" s="42" t="s">
        <v>206</v>
      </c>
      <c r="L16" s="43">
        <v>0.05</v>
      </c>
      <c r="M16" s="44">
        <v>0.15</v>
      </c>
    </row>
    <row r="17" spans="3:13" x14ac:dyDescent="0.25">
      <c r="F17" s="8" t="s">
        <v>39</v>
      </c>
      <c r="G17" s="8">
        <f>M6</f>
        <v>0</v>
      </c>
      <c r="H17" s="8">
        <f>M7</f>
        <v>0</v>
      </c>
      <c r="J17" s="42" t="s">
        <v>207</v>
      </c>
      <c r="L17" s="43">
        <v>7.0000000000000007E-2</v>
      </c>
      <c r="M17" s="44">
        <v>0.2</v>
      </c>
    </row>
    <row r="18" spans="3:13" ht="30.75" thickBot="1" x14ac:dyDescent="0.3">
      <c r="F18" s="18" t="s">
        <v>108</v>
      </c>
      <c r="G18" s="8">
        <f>N6</f>
        <v>0</v>
      </c>
      <c r="H18" s="8">
        <f>N7</f>
        <v>0</v>
      </c>
      <c r="J18" s="45" t="s">
        <v>208</v>
      </c>
      <c r="K18" s="10"/>
      <c r="L18" s="46">
        <v>0.1</v>
      </c>
      <c r="M18" s="47">
        <v>0.3</v>
      </c>
    </row>
    <row r="19" spans="3:13" x14ac:dyDescent="0.25">
      <c r="F19" s="8" t="s">
        <v>40</v>
      </c>
      <c r="G19" s="8">
        <f>O6</f>
        <v>0</v>
      </c>
      <c r="H19" s="8">
        <f>O7</f>
        <v>0</v>
      </c>
    </row>
    <row r="20" spans="3:13" x14ac:dyDescent="0.25">
      <c r="F20" s="8" t="s">
        <v>117</v>
      </c>
      <c r="G20" s="8">
        <f>G13+G14+G15+G16+G17+G18+G19</f>
        <v>6</v>
      </c>
      <c r="H20" s="8">
        <f>H13+H14+H15+H16+H17+H18+H19</f>
        <v>26</v>
      </c>
    </row>
    <row r="22" spans="3:13" x14ac:dyDescent="0.25">
      <c r="C22">
        <v>700</v>
      </c>
      <c r="D22">
        <f>C22*1.5</f>
        <v>1050</v>
      </c>
      <c r="E22">
        <f>F22/D22</f>
        <v>10476.190476190477</v>
      </c>
      <c r="F22">
        <v>11000000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7"/>
  <sheetViews>
    <sheetView workbookViewId="0">
      <selection activeCell="F37" sqref="F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4.9000000000000004</v>
      </c>
      <c r="E6" s="8">
        <v>2.4</v>
      </c>
      <c r="F6" s="8">
        <f>D6*E6</f>
        <v>11.76</v>
      </c>
      <c r="G6" s="8" t="s">
        <v>88</v>
      </c>
      <c r="H6" s="8">
        <v>2.4</v>
      </c>
      <c r="I6" s="8">
        <v>0.9</v>
      </c>
      <c r="J6" s="8">
        <f>H6*I6</f>
        <v>2.16</v>
      </c>
      <c r="K6" s="8"/>
      <c r="L6" s="8"/>
      <c r="M6" s="8">
        <f>K6*L6</f>
        <v>0</v>
      </c>
    </row>
    <row r="7" spans="2:13" x14ac:dyDescent="0.25">
      <c r="C7" s="8"/>
      <c r="D7" s="8">
        <v>0.85</v>
      </c>
      <c r="E7" s="8">
        <v>1.02</v>
      </c>
      <c r="F7" s="8">
        <f t="shared" ref="F7:F33" si="0">D7*E7</f>
        <v>0.86699999999999999</v>
      </c>
      <c r="G7" s="8" t="s">
        <v>89</v>
      </c>
      <c r="H7" s="8">
        <v>1.1000000000000001</v>
      </c>
      <c r="I7" s="8">
        <v>0.9</v>
      </c>
      <c r="J7" s="8">
        <f t="shared" ref="J7:J29" si="1">H7*I7</f>
        <v>0.9900000000000001</v>
      </c>
      <c r="K7" s="8"/>
      <c r="L7" s="8"/>
      <c r="M7" s="8">
        <f t="shared" ref="M7:M29" si="2">K7*L7</f>
        <v>0</v>
      </c>
    </row>
    <row r="8" spans="2:13" x14ac:dyDescent="0.25">
      <c r="C8" s="8"/>
      <c r="D8" s="8"/>
      <c r="E8" s="8"/>
      <c r="F8" s="8">
        <f t="shared" si="0"/>
        <v>0</v>
      </c>
      <c r="G8" s="8"/>
      <c r="H8" s="8">
        <v>1.5</v>
      </c>
      <c r="I8" s="8">
        <v>0.65</v>
      </c>
      <c r="J8" s="8">
        <f t="shared" si="1"/>
        <v>0.97500000000000009</v>
      </c>
      <c r="K8" s="8"/>
      <c r="L8" s="8"/>
      <c r="M8" s="8">
        <f t="shared" si="2"/>
        <v>0</v>
      </c>
    </row>
    <row r="9" spans="2:13" x14ac:dyDescent="0.25">
      <c r="C9" s="8" t="s">
        <v>76</v>
      </c>
      <c r="D9" s="8">
        <v>2.15</v>
      </c>
      <c r="E9" s="8">
        <v>2.15</v>
      </c>
      <c r="F9" s="8">
        <f t="shared" si="0"/>
        <v>4.6224999999999996</v>
      </c>
      <c r="G9" s="8" t="s">
        <v>88</v>
      </c>
      <c r="H9" s="8"/>
      <c r="I9" s="8"/>
      <c r="J9" s="8">
        <f t="shared" si="1"/>
        <v>0</v>
      </c>
      <c r="K9" s="8"/>
      <c r="L9" s="8"/>
      <c r="M9" s="8">
        <f t="shared" si="2"/>
        <v>0</v>
      </c>
    </row>
    <row r="10" spans="2:13" x14ac:dyDescent="0.25">
      <c r="C10" s="8"/>
      <c r="D10" s="8">
        <v>1.51</v>
      </c>
      <c r="E10" s="8">
        <v>1.02</v>
      </c>
      <c r="F10" s="8">
        <f t="shared" si="0"/>
        <v>1.5402</v>
      </c>
      <c r="G10" s="8" t="s">
        <v>89</v>
      </c>
      <c r="H10" s="8">
        <v>0.9</v>
      </c>
      <c r="I10" s="8">
        <v>2.15</v>
      </c>
      <c r="J10" s="8">
        <f t="shared" si="1"/>
        <v>1.9350000000000001</v>
      </c>
      <c r="K10" s="8"/>
      <c r="L10" s="8"/>
      <c r="M10" s="8">
        <f t="shared" si="2"/>
        <v>0</v>
      </c>
    </row>
    <row r="11" spans="2:13" x14ac:dyDescent="0.25">
      <c r="C11" s="8"/>
      <c r="D11" s="8"/>
      <c r="E11" s="8"/>
      <c r="F11" s="8">
        <f t="shared" si="0"/>
        <v>0</v>
      </c>
      <c r="G11" s="8"/>
      <c r="H11" s="8">
        <v>0.9</v>
      </c>
      <c r="I11" s="8">
        <v>3.05</v>
      </c>
      <c r="J11" s="8">
        <f t="shared" si="1"/>
        <v>2.7450000000000001</v>
      </c>
      <c r="K11" s="8"/>
      <c r="L11" s="8"/>
      <c r="M11" s="8">
        <f t="shared" si="2"/>
        <v>0</v>
      </c>
    </row>
    <row r="12" spans="2:13" x14ac:dyDescent="0.25">
      <c r="C12" s="8"/>
      <c r="D12" s="8"/>
      <c r="E12" s="8"/>
      <c r="F12" s="8">
        <f t="shared" si="0"/>
        <v>0</v>
      </c>
      <c r="G12" s="8"/>
      <c r="H12" s="8">
        <v>0.9</v>
      </c>
      <c r="I12" s="8">
        <v>2.4</v>
      </c>
      <c r="J12" s="8">
        <f t="shared" si="1"/>
        <v>2.16</v>
      </c>
      <c r="K12" s="8"/>
      <c r="L12" s="8"/>
      <c r="M12" s="8">
        <f t="shared" si="2"/>
        <v>0</v>
      </c>
    </row>
    <row r="13" spans="2:13" x14ac:dyDescent="0.25">
      <c r="C13" s="8" t="s">
        <v>74</v>
      </c>
      <c r="D13" s="8">
        <v>2.4500000000000002</v>
      </c>
      <c r="E13" s="8">
        <v>2.15</v>
      </c>
      <c r="F13" s="8">
        <f t="shared" si="0"/>
        <v>5.2675000000000001</v>
      </c>
      <c r="G13" s="8" t="s">
        <v>88</v>
      </c>
      <c r="H13" s="8"/>
      <c r="I13" s="8"/>
      <c r="J13" s="8">
        <f t="shared" si="1"/>
        <v>0</v>
      </c>
      <c r="K13" s="8"/>
      <c r="L13" s="8"/>
      <c r="M13" s="8">
        <f t="shared" si="2"/>
        <v>0</v>
      </c>
    </row>
    <row r="14" spans="2:13" x14ac:dyDescent="0.25">
      <c r="C14" s="8"/>
      <c r="D14" s="8">
        <v>1.2</v>
      </c>
      <c r="E14" s="8">
        <v>1.05</v>
      </c>
      <c r="F14" s="8">
        <f t="shared" si="0"/>
        <v>1.26</v>
      </c>
      <c r="G14" s="8" t="s">
        <v>89</v>
      </c>
      <c r="H14" s="8"/>
      <c r="I14" s="8"/>
      <c r="J14" s="8">
        <f t="shared" si="1"/>
        <v>0</v>
      </c>
      <c r="K14" s="8"/>
      <c r="L14" s="8"/>
      <c r="M14" s="8">
        <f t="shared" si="2"/>
        <v>0</v>
      </c>
    </row>
    <row r="15" spans="2:13" x14ac:dyDescent="0.25">
      <c r="C15" s="8"/>
      <c r="D15" s="8">
        <v>1.2</v>
      </c>
      <c r="E15" s="8">
        <v>0.6</v>
      </c>
      <c r="F15" s="8">
        <f t="shared" si="0"/>
        <v>0.72</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3.05</v>
      </c>
      <c r="E17" s="8">
        <v>2.4</v>
      </c>
      <c r="F17" s="8">
        <f t="shared" si="0"/>
        <v>7.3199999999999994</v>
      </c>
      <c r="G17" s="8" t="s">
        <v>88</v>
      </c>
      <c r="H17" s="8"/>
      <c r="I17" s="8"/>
      <c r="J17" s="8">
        <f t="shared" si="1"/>
        <v>0</v>
      </c>
      <c r="K17" s="8"/>
      <c r="L17" s="8"/>
      <c r="M17" s="8">
        <f t="shared" si="2"/>
        <v>0</v>
      </c>
    </row>
    <row r="18" spans="3:13" x14ac:dyDescent="0.25">
      <c r="C18" s="8"/>
      <c r="D18" s="8">
        <v>1.4</v>
      </c>
      <c r="E18" s="8">
        <v>0.8</v>
      </c>
      <c r="F18" s="8">
        <f t="shared" si="0"/>
        <v>1.1199999999999999</v>
      </c>
      <c r="G18" s="8" t="s">
        <v>89</v>
      </c>
      <c r="H18" s="8"/>
      <c r="I18" s="8"/>
      <c r="J18" s="8">
        <f t="shared" si="1"/>
        <v>0</v>
      </c>
      <c r="K18" s="8"/>
      <c r="L18" s="8"/>
      <c r="M18" s="8">
        <f t="shared" si="2"/>
        <v>0</v>
      </c>
    </row>
    <row r="19" spans="3:13" x14ac:dyDescent="0.25">
      <c r="C19" s="8"/>
      <c r="D19" s="8">
        <v>1.23</v>
      </c>
      <c r="E19" s="8">
        <v>0.93</v>
      </c>
      <c r="F19" s="8">
        <f t="shared" si="0"/>
        <v>1.1439000000000001</v>
      </c>
      <c r="G19" s="8"/>
      <c r="H19" s="8"/>
      <c r="I19" s="8"/>
      <c r="J19" s="8">
        <f t="shared" si="1"/>
        <v>0</v>
      </c>
      <c r="K19" s="8"/>
      <c r="L19" s="8"/>
      <c r="M19" s="8">
        <f t="shared" si="2"/>
        <v>0</v>
      </c>
    </row>
    <row r="20" spans="3:13" x14ac:dyDescent="0.25">
      <c r="C20" s="8" t="s">
        <v>75</v>
      </c>
      <c r="D20" s="8">
        <v>2.4</v>
      </c>
      <c r="E20" s="8">
        <v>0.5</v>
      </c>
      <c r="F20" s="8">
        <f t="shared" si="0"/>
        <v>1.2</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2.4500000000000002</v>
      </c>
      <c r="E23" s="8">
        <v>1.35</v>
      </c>
      <c r="F23" s="8">
        <f t="shared" si="0"/>
        <v>3.3075000000000006</v>
      </c>
      <c r="G23" s="8" t="s">
        <v>90</v>
      </c>
      <c r="H23" s="8"/>
      <c r="I23" s="8"/>
      <c r="J23" s="8">
        <f t="shared" si="1"/>
        <v>0</v>
      </c>
      <c r="K23" s="8"/>
      <c r="L23" s="8"/>
      <c r="M23" s="8">
        <f t="shared" si="2"/>
        <v>0</v>
      </c>
    </row>
    <row r="24" spans="3:13" x14ac:dyDescent="0.25">
      <c r="C24" s="8" t="s">
        <v>82</v>
      </c>
      <c r="D24" s="8">
        <v>1.35</v>
      </c>
      <c r="E24" s="8">
        <v>2.4</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v>1.62</v>
      </c>
      <c r="E27" s="8">
        <v>0.92</v>
      </c>
      <c r="F27" s="8">
        <f t="shared" si="0"/>
        <v>1.4904000000000002</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482.86227599999989</v>
      </c>
      <c r="F34" s="8">
        <f>SUM(F6:F33)</f>
        <v>44.858999999999995</v>
      </c>
      <c r="G34" s="8"/>
      <c r="H34" s="8"/>
      <c r="I34" s="8">
        <f>J34*10.764</f>
        <v>118.02726</v>
      </c>
      <c r="J34" s="8">
        <f>SUM(J6:J33)</f>
        <v>10.965</v>
      </c>
      <c r="K34" s="8"/>
      <c r="L34" s="8">
        <f>M34*10.764</f>
        <v>0</v>
      </c>
      <c r="M34" s="8">
        <f>SUM(M6:M33)</f>
        <v>0</v>
      </c>
    </row>
    <row r="36" spans="3:13" x14ac:dyDescent="0.25">
      <c r="F36">
        <f>F34+J34</f>
        <v>55.823999999999998</v>
      </c>
      <c r="H36" s="24">
        <f>50.44+5.05+1.61+3.2</f>
        <v>60.3</v>
      </c>
    </row>
    <row r="37" spans="3:13" x14ac:dyDescent="0.25">
      <c r="F37">
        <f>E34+I34</f>
        <v>600.88953599999991</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8"/>
  <sheetViews>
    <sheetView topLeftCell="A19" workbookViewId="0">
      <selection activeCell="F37" sqref="F37"/>
    </sheetView>
  </sheetViews>
  <sheetFormatPr defaultRowHeight="15" x14ac:dyDescent="0.25"/>
  <sheetData>
    <row r="3" spans="2:13" x14ac:dyDescent="0.25">
      <c r="C3" s="11" t="s">
        <v>85</v>
      </c>
      <c r="D3" s="217"/>
      <c r="E3" s="217"/>
    </row>
    <row r="4" spans="2:13" x14ac:dyDescent="0.25">
      <c r="E4" s="10"/>
      <c r="F4" s="10"/>
      <c r="G4" s="10"/>
      <c r="H4" s="10"/>
      <c r="I4" s="10"/>
      <c r="J4" s="10"/>
    </row>
    <row r="5" spans="2:13" x14ac:dyDescent="0.25">
      <c r="B5" s="11" t="s">
        <v>86</v>
      </c>
      <c r="C5" s="9" t="s">
        <v>66</v>
      </c>
      <c r="D5" s="218" t="s">
        <v>67</v>
      </c>
      <c r="E5" s="218"/>
      <c r="F5" s="218"/>
      <c r="G5" s="12"/>
      <c r="H5" s="218" t="s">
        <v>68</v>
      </c>
      <c r="I5" s="218"/>
      <c r="J5" s="218"/>
      <c r="K5" s="218" t="s">
        <v>69</v>
      </c>
      <c r="L5" s="218"/>
      <c r="M5" s="218"/>
    </row>
    <row r="6" spans="2:13" x14ac:dyDescent="0.25">
      <c r="B6" s="11">
        <v>1</v>
      </c>
      <c r="C6" s="9"/>
      <c r="D6" s="9" t="s">
        <v>70</v>
      </c>
      <c r="E6" s="9" t="s">
        <v>71</v>
      </c>
      <c r="F6" s="9" t="s">
        <v>72</v>
      </c>
      <c r="G6" s="9"/>
      <c r="H6" s="9" t="s">
        <v>70</v>
      </c>
      <c r="I6" s="9" t="s">
        <v>71</v>
      </c>
      <c r="J6" s="9" t="s">
        <v>72</v>
      </c>
      <c r="K6" s="9" t="s">
        <v>70</v>
      </c>
      <c r="L6" s="9" t="s">
        <v>71</v>
      </c>
      <c r="M6" s="9" t="s">
        <v>72</v>
      </c>
    </row>
    <row r="7" spans="2:13" x14ac:dyDescent="0.25">
      <c r="C7" s="8" t="s">
        <v>73</v>
      </c>
      <c r="D7" s="8">
        <v>4.3499999999999996</v>
      </c>
      <c r="E7" s="8">
        <v>2.4</v>
      </c>
      <c r="F7" s="8">
        <f>D7*E7</f>
        <v>10.44</v>
      </c>
      <c r="G7" s="8" t="s">
        <v>88</v>
      </c>
      <c r="H7" s="8">
        <v>2.85</v>
      </c>
      <c r="I7" s="8">
        <v>0.87</v>
      </c>
      <c r="J7" s="8">
        <f>H7*I7</f>
        <v>2.4795000000000003</v>
      </c>
      <c r="K7" s="8"/>
      <c r="L7" s="8"/>
      <c r="M7" s="8">
        <f>K7*L7</f>
        <v>0</v>
      </c>
    </row>
    <row r="8" spans="2:13" x14ac:dyDescent="0.25">
      <c r="C8" s="8"/>
      <c r="D8" s="8">
        <v>0.85</v>
      </c>
      <c r="E8" s="8">
        <v>1.02</v>
      </c>
      <c r="F8" s="8">
        <f t="shared" ref="F8:F34" si="0">D8*E8</f>
        <v>0.86699999999999999</v>
      </c>
      <c r="G8" s="8" t="s">
        <v>89</v>
      </c>
      <c r="H8" s="8">
        <v>1.55</v>
      </c>
      <c r="I8" s="8">
        <v>0.65</v>
      </c>
      <c r="J8" s="8">
        <f t="shared" ref="J8:J34" si="1">H8*I8</f>
        <v>1.0075000000000001</v>
      </c>
      <c r="K8" s="8"/>
      <c r="L8" s="8"/>
      <c r="M8" s="8">
        <f t="shared" ref="M8:M34" si="2">K8*L8</f>
        <v>0</v>
      </c>
    </row>
    <row r="9" spans="2:13" x14ac:dyDescent="0.25">
      <c r="C9" s="8"/>
      <c r="D9" s="8"/>
      <c r="E9" s="8"/>
      <c r="F9" s="8">
        <f t="shared" si="0"/>
        <v>0</v>
      </c>
      <c r="G9" s="8"/>
      <c r="H9" s="8"/>
      <c r="I9" s="8"/>
      <c r="J9" s="8">
        <f t="shared" si="1"/>
        <v>0</v>
      </c>
      <c r="K9" s="8"/>
      <c r="L9" s="8"/>
      <c r="M9" s="8">
        <f t="shared" si="2"/>
        <v>0</v>
      </c>
    </row>
    <row r="10" spans="2:13" x14ac:dyDescent="0.25">
      <c r="C10" s="8" t="s">
        <v>76</v>
      </c>
      <c r="D10" s="8">
        <v>2.15</v>
      </c>
      <c r="E10" s="8">
        <v>2.1800000000000002</v>
      </c>
      <c r="F10" s="8">
        <f t="shared" si="0"/>
        <v>4.6870000000000003</v>
      </c>
      <c r="G10" s="8" t="s">
        <v>88</v>
      </c>
      <c r="H10" s="8">
        <v>0.9</v>
      </c>
      <c r="I10" s="8">
        <v>2.15</v>
      </c>
      <c r="J10" s="8">
        <f t="shared" si="1"/>
        <v>1.9350000000000001</v>
      </c>
      <c r="K10" s="8"/>
      <c r="L10" s="8"/>
      <c r="M10" s="8">
        <f t="shared" si="2"/>
        <v>0</v>
      </c>
    </row>
    <row r="11" spans="2:13" x14ac:dyDescent="0.25">
      <c r="C11" s="8"/>
      <c r="D11" s="8">
        <v>1.55</v>
      </c>
      <c r="E11" s="8">
        <v>1.02</v>
      </c>
      <c r="F11" s="8">
        <f t="shared" si="0"/>
        <v>1.5810000000000002</v>
      </c>
      <c r="G11" s="8" t="s">
        <v>89</v>
      </c>
      <c r="H11" s="8">
        <v>0.9</v>
      </c>
      <c r="I11" s="8">
        <v>2.85</v>
      </c>
      <c r="J11" s="8">
        <f t="shared" si="1"/>
        <v>2.5649999999999999</v>
      </c>
      <c r="K11" s="8"/>
      <c r="L11" s="8"/>
      <c r="M11" s="8">
        <f t="shared" si="2"/>
        <v>0</v>
      </c>
    </row>
    <row r="12" spans="2:13" x14ac:dyDescent="0.25">
      <c r="C12" s="8"/>
      <c r="D12" s="8"/>
      <c r="E12" s="8"/>
      <c r="F12" s="8">
        <f t="shared" si="0"/>
        <v>0</v>
      </c>
      <c r="G12" s="8"/>
      <c r="H12" s="8">
        <v>0.9</v>
      </c>
      <c r="I12" s="8">
        <v>3.05</v>
      </c>
      <c r="J12" s="8">
        <f t="shared" si="1"/>
        <v>2.7450000000000001</v>
      </c>
      <c r="K12" s="8"/>
      <c r="L12" s="8"/>
      <c r="M12" s="8">
        <f t="shared" si="2"/>
        <v>0</v>
      </c>
    </row>
    <row r="13" spans="2:13" x14ac:dyDescent="0.25">
      <c r="C13" s="8"/>
      <c r="D13" s="8"/>
      <c r="E13" s="8"/>
      <c r="F13" s="8">
        <f t="shared" si="0"/>
        <v>0</v>
      </c>
      <c r="G13" s="8"/>
      <c r="H13" s="8"/>
      <c r="I13" s="8"/>
      <c r="J13" s="8">
        <f t="shared" si="1"/>
        <v>0</v>
      </c>
      <c r="K13" s="8"/>
      <c r="L13" s="8"/>
      <c r="M13" s="8">
        <f t="shared" si="2"/>
        <v>0</v>
      </c>
    </row>
    <row r="14" spans="2:13" x14ac:dyDescent="0.25">
      <c r="C14" s="8" t="s">
        <v>74</v>
      </c>
      <c r="D14" s="8">
        <v>3.05</v>
      </c>
      <c r="E14" s="8">
        <v>2.4</v>
      </c>
      <c r="F14" s="8">
        <f t="shared" si="0"/>
        <v>7.3199999999999994</v>
      </c>
      <c r="G14" s="8" t="s">
        <v>88</v>
      </c>
      <c r="H14" s="8"/>
      <c r="I14" s="8"/>
      <c r="J14" s="8">
        <f t="shared" si="1"/>
        <v>0</v>
      </c>
      <c r="K14" s="8"/>
      <c r="L14" s="8"/>
      <c r="M14" s="8">
        <f t="shared" si="2"/>
        <v>0</v>
      </c>
    </row>
    <row r="15" spans="2:13" x14ac:dyDescent="0.25">
      <c r="C15" s="8"/>
      <c r="D15" s="8">
        <v>1.35</v>
      </c>
      <c r="E15" s="8">
        <v>0.8</v>
      </c>
      <c r="F15" s="8">
        <f t="shared" si="0"/>
        <v>1.08</v>
      </c>
      <c r="G15" s="8" t="s">
        <v>89</v>
      </c>
      <c r="H15" s="8"/>
      <c r="I15" s="8"/>
      <c r="J15" s="8">
        <f t="shared" si="1"/>
        <v>0</v>
      </c>
      <c r="K15" s="8"/>
      <c r="L15" s="8"/>
      <c r="M15" s="8">
        <f t="shared" si="2"/>
        <v>0</v>
      </c>
    </row>
    <row r="16" spans="2:13" x14ac:dyDescent="0.25">
      <c r="C16" s="8"/>
      <c r="D16" s="8">
        <v>2.35</v>
      </c>
      <c r="E16" s="8">
        <v>0.6</v>
      </c>
      <c r="F16" s="8">
        <f t="shared" si="0"/>
        <v>1.41</v>
      </c>
      <c r="G16" s="8"/>
      <c r="H16" s="8"/>
      <c r="I16" s="8"/>
      <c r="J16" s="8">
        <f t="shared" si="1"/>
        <v>0</v>
      </c>
      <c r="K16" s="8"/>
      <c r="L16" s="8"/>
      <c r="M16" s="8">
        <f t="shared" si="2"/>
        <v>0</v>
      </c>
    </row>
    <row r="17" spans="3:13" x14ac:dyDescent="0.25">
      <c r="C17" s="8"/>
      <c r="D17" s="8"/>
      <c r="E17" s="8"/>
      <c r="F17" s="8">
        <f t="shared" si="0"/>
        <v>0</v>
      </c>
      <c r="G17" s="8"/>
      <c r="H17" s="8"/>
      <c r="I17" s="8"/>
      <c r="J17" s="8">
        <f t="shared" si="1"/>
        <v>0</v>
      </c>
      <c r="K17" s="8"/>
      <c r="L17" s="8"/>
      <c r="M17" s="8">
        <f t="shared" si="2"/>
        <v>0</v>
      </c>
    </row>
    <row r="18" spans="3:13" x14ac:dyDescent="0.25">
      <c r="C18" s="8" t="s">
        <v>75</v>
      </c>
      <c r="D18" s="8"/>
      <c r="E18" s="8"/>
      <c r="F18" s="8">
        <f t="shared" si="0"/>
        <v>0</v>
      </c>
      <c r="G18" s="8" t="s">
        <v>88</v>
      </c>
      <c r="H18" s="8"/>
      <c r="I18" s="8"/>
      <c r="J18" s="8">
        <f t="shared" si="1"/>
        <v>0</v>
      </c>
      <c r="K18" s="8"/>
      <c r="L18" s="8"/>
      <c r="M18" s="8">
        <f t="shared" si="2"/>
        <v>0</v>
      </c>
    </row>
    <row r="19" spans="3:13" x14ac:dyDescent="0.25">
      <c r="C19" s="8"/>
      <c r="D19" s="8"/>
      <c r="E19" s="8"/>
      <c r="F19" s="8">
        <f t="shared" si="0"/>
        <v>0</v>
      </c>
      <c r="G19" s="8" t="s">
        <v>89</v>
      </c>
      <c r="H19" s="8"/>
      <c r="I19" s="8"/>
      <c r="J19" s="8">
        <f t="shared" si="1"/>
        <v>0</v>
      </c>
      <c r="K19" s="8"/>
      <c r="L19" s="8"/>
      <c r="M19" s="8">
        <f t="shared" si="2"/>
        <v>0</v>
      </c>
    </row>
    <row r="20" spans="3:13" x14ac:dyDescent="0.25">
      <c r="C20" s="8"/>
      <c r="D20" s="8"/>
      <c r="E20" s="8"/>
      <c r="F20" s="8">
        <f t="shared" si="0"/>
        <v>0</v>
      </c>
      <c r="G20" s="8"/>
      <c r="H20" s="8"/>
      <c r="I20" s="8"/>
      <c r="J20" s="8">
        <f t="shared" si="1"/>
        <v>0</v>
      </c>
      <c r="K20" s="8"/>
      <c r="L20" s="8"/>
      <c r="M20" s="8">
        <f t="shared" si="2"/>
        <v>0</v>
      </c>
    </row>
    <row r="21" spans="3:13" x14ac:dyDescent="0.25">
      <c r="C21" s="8" t="s">
        <v>75</v>
      </c>
      <c r="D21" s="8"/>
      <c r="E21" s="8"/>
      <c r="F21" s="8">
        <f t="shared" si="0"/>
        <v>0</v>
      </c>
      <c r="G21" s="8" t="s">
        <v>88</v>
      </c>
      <c r="H21" s="8"/>
      <c r="I21" s="8"/>
      <c r="J21" s="8">
        <f t="shared" si="1"/>
        <v>0</v>
      </c>
      <c r="K21" s="8"/>
      <c r="L21" s="8"/>
      <c r="M21" s="8">
        <f t="shared" si="2"/>
        <v>0</v>
      </c>
    </row>
    <row r="22" spans="3:13" x14ac:dyDescent="0.25">
      <c r="C22" s="8"/>
      <c r="D22" s="8"/>
      <c r="E22" s="8"/>
      <c r="F22" s="8">
        <f t="shared" si="0"/>
        <v>0</v>
      </c>
      <c r="G22" s="8" t="s">
        <v>89</v>
      </c>
      <c r="H22" s="8"/>
      <c r="I22" s="8"/>
      <c r="J22" s="8">
        <f t="shared" si="1"/>
        <v>0</v>
      </c>
      <c r="K22" s="8"/>
      <c r="L22" s="8"/>
      <c r="M22" s="8">
        <f t="shared" si="2"/>
        <v>0</v>
      </c>
    </row>
    <row r="23" spans="3:13" x14ac:dyDescent="0.25">
      <c r="C23" s="8"/>
      <c r="D23" s="8"/>
      <c r="E23" s="8"/>
      <c r="F23" s="8">
        <f t="shared" si="0"/>
        <v>0</v>
      </c>
      <c r="G23" s="8"/>
      <c r="H23" s="8"/>
      <c r="I23" s="8"/>
      <c r="J23" s="8">
        <f t="shared" si="1"/>
        <v>0</v>
      </c>
      <c r="K23" s="8"/>
      <c r="L23" s="8"/>
      <c r="M23" s="8">
        <f t="shared" si="2"/>
        <v>0</v>
      </c>
    </row>
    <row r="24" spans="3:13" x14ac:dyDescent="0.25">
      <c r="C24" s="8" t="s">
        <v>81</v>
      </c>
      <c r="D24" s="8">
        <v>1.35</v>
      </c>
      <c r="E24" s="8">
        <v>2.4</v>
      </c>
      <c r="F24" s="8">
        <f t="shared" si="0"/>
        <v>3.24</v>
      </c>
      <c r="G24" s="8" t="s">
        <v>90</v>
      </c>
      <c r="H24" s="8"/>
      <c r="I24" s="8"/>
      <c r="J24" s="8">
        <f t="shared" si="1"/>
        <v>0</v>
      </c>
      <c r="K24" s="8"/>
      <c r="L24" s="8"/>
      <c r="M24" s="8">
        <f t="shared" si="2"/>
        <v>0</v>
      </c>
    </row>
    <row r="25" spans="3:13" x14ac:dyDescent="0.25">
      <c r="C25" s="8" t="s">
        <v>82</v>
      </c>
      <c r="D25" s="8">
        <v>2.4500000000000002</v>
      </c>
      <c r="E25" s="8">
        <v>1.35</v>
      </c>
      <c r="F25" s="8">
        <f t="shared" si="0"/>
        <v>3.3075000000000006</v>
      </c>
      <c r="G25" s="8" t="s">
        <v>90</v>
      </c>
      <c r="H25" s="8"/>
      <c r="I25" s="8"/>
      <c r="J25" s="8">
        <f t="shared" si="1"/>
        <v>0</v>
      </c>
      <c r="K25" s="8"/>
      <c r="L25" s="8"/>
      <c r="M25" s="8">
        <f t="shared" si="2"/>
        <v>0</v>
      </c>
    </row>
    <row r="26" spans="3:13" x14ac:dyDescent="0.25">
      <c r="C26" s="8" t="s">
        <v>83</v>
      </c>
      <c r="D26" s="8"/>
      <c r="E26" s="8"/>
      <c r="F26" s="8">
        <f t="shared" si="0"/>
        <v>0</v>
      </c>
      <c r="G26" s="8" t="s">
        <v>90</v>
      </c>
      <c r="H26" s="8"/>
      <c r="I26" s="8"/>
      <c r="J26" s="8">
        <f t="shared" si="1"/>
        <v>0</v>
      </c>
      <c r="K26" s="8"/>
      <c r="L26" s="8"/>
      <c r="M26" s="8">
        <f t="shared" si="2"/>
        <v>0</v>
      </c>
    </row>
    <row r="27" spans="3:13" x14ac:dyDescent="0.25">
      <c r="C27" s="8"/>
      <c r="D27" s="8"/>
      <c r="E27" s="8"/>
      <c r="F27" s="8">
        <f t="shared" si="0"/>
        <v>0</v>
      </c>
      <c r="G27" s="8"/>
      <c r="H27" s="8"/>
      <c r="I27" s="8"/>
      <c r="J27" s="8">
        <f t="shared" si="1"/>
        <v>0</v>
      </c>
      <c r="K27" s="8"/>
      <c r="L27" s="8"/>
      <c r="M27" s="8">
        <f t="shared" si="2"/>
        <v>0</v>
      </c>
    </row>
    <row r="28" spans="3:13" x14ac:dyDescent="0.25">
      <c r="C28" s="8" t="s">
        <v>77</v>
      </c>
      <c r="D28" s="8"/>
      <c r="E28" s="8"/>
      <c r="F28" s="8">
        <f t="shared" si="0"/>
        <v>0</v>
      </c>
      <c r="G28" s="8"/>
      <c r="H28" s="8"/>
      <c r="I28" s="8"/>
      <c r="J28" s="8">
        <f t="shared" si="1"/>
        <v>0</v>
      </c>
      <c r="K28" s="8"/>
      <c r="L28" s="8"/>
      <c r="M28" s="8">
        <f t="shared" si="2"/>
        <v>0</v>
      </c>
    </row>
    <row r="29" spans="3:13" x14ac:dyDescent="0.25">
      <c r="C29" s="8" t="s">
        <v>78</v>
      </c>
      <c r="D29" s="8"/>
      <c r="E29" s="8"/>
      <c r="F29" s="8">
        <f t="shared" si="0"/>
        <v>0</v>
      </c>
      <c r="G29" s="8"/>
      <c r="H29" s="8"/>
      <c r="I29" s="8"/>
      <c r="J29" s="8">
        <f t="shared" si="1"/>
        <v>0</v>
      </c>
      <c r="K29" s="8"/>
      <c r="L29" s="8"/>
      <c r="M29" s="8">
        <f t="shared" si="2"/>
        <v>0</v>
      </c>
    </row>
    <row r="30" spans="3:13" x14ac:dyDescent="0.25">
      <c r="C30" s="8" t="s">
        <v>79</v>
      </c>
      <c r="D30" s="8"/>
      <c r="E30" s="8"/>
      <c r="F30" s="8">
        <f t="shared" si="0"/>
        <v>0</v>
      </c>
      <c r="G30" s="8"/>
      <c r="H30" s="8"/>
      <c r="I30" s="8"/>
      <c r="J30" s="8">
        <f t="shared" si="1"/>
        <v>0</v>
      </c>
      <c r="K30" s="8"/>
      <c r="L30" s="8"/>
      <c r="M30" s="8">
        <f t="shared" si="2"/>
        <v>0</v>
      </c>
    </row>
    <row r="31" spans="3:13" x14ac:dyDescent="0.25">
      <c r="C31" s="8" t="s">
        <v>80</v>
      </c>
      <c r="D31" s="8"/>
      <c r="E31" s="8"/>
      <c r="F31" s="8">
        <f t="shared" si="0"/>
        <v>0</v>
      </c>
      <c r="G31" s="8"/>
      <c r="H31" s="8"/>
      <c r="I31" s="8"/>
      <c r="J31" s="8">
        <f t="shared" si="1"/>
        <v>0</v>
      </c>
      <c r="K31" s="8"/>
      <c r="L31" s="8"/>
      <c r="M31" s="8">
        <f t="shared" si="2"/>
        <v>0</v>
      </c>
    </row>
    <row r="32" spans="3:13" x14ac:dyDescent="0.25">
      <c r="C32" s="8"/>
      <c r="D32" s="8"/>
      <c r="E32" s="8"/>
      <c r="F32" s="8">
        <f t="shared" si="0"/>
        <v>0</v>
      </c>
      <c r="G32" s="8"/>
      <c r="H32" s="8"/>
      <c r="I32" s="8"/>
      <c r="J32" s="8">
        <f t="shared" si="1"/>
        <v>0</v>
      </c>
      <c r="K32" s="8"/>
      <c r="L32" s="8"/>
      <c r="M32" s="8">
        <f t="shared" si="2"/>
        <v>0</v>
      </c>
    </row>
    <row r="33" spans="3:13" x14ac:dyDescent="0.25">
      <c r="C33" s="8"/>
      <c r="D33" s="8"/>
      <c r="E33" s="8"/>
      <c r="F33" s="8">
        <f t="shared" si="0"/>
        <v>0</v>
      </c>
      <c r="G33" s="8"/>
      <c r="H33" s="8"/>
      <c r="I33" s="8"/>
      <c r="J33" s="8">
        <f t="shared" si="1"/>
        <v>0</v>
      </c>
      <c r="K33" s="8"/>
      <c r="L33" s="8"/>
      <c r="M33" s="8">
        <f t="shared" si="2"/>
        <v>0</v>
      </c>
    </row>
    <row r="34" spans="3:13" x14ac:dyDescent="0.25">
      <c r="C34" s="8"/>
      <c r="D34" s="8"/>
      <c r="E34" s="8"/>
      <c r="F34" s="8">
        <f t="shared" si="0"/>
        <v>0</v>
      </c>
      <c r="G34" s="8"/>
      <c r="H34" s="8"/>
      <c r="I34" s="8"/>
      <c r="J34" s="8">
        <f t="shared" si="1"/>
        <v>0</v>
      </c>
      <c r="K34" s="8"/>
      <c r="L34" s="8"/>
      <c r="M34" s="8">
        <f t="shared" si="2"/>
        <v>0</v>
      </c>
    </row>
    <row r="35" spans="3:13" x14ac:dyDescent="0.25">
      <c r="C35" s="8" t="s">
        <v>84</v>
      </c>
      <c r="D35" s="8"/>
      <c r="E35" s="8">
        <f>F35*10.764</f>
        <v>365.24942999999996</v>
      </c>
      <c r="F35" s="8">
        <f>SUM(F7:F34)</f>
        <v>33.932499999999997</v>
      </c>
      <c r="G35" s="8"/>
      <c r="H35" s="8"/>
      <c r="I35" s="8">
        <f>J35*10.764</f>
        <v>115.51924799999999</v>
      </c>
      <c r="J35" s="8">
        <f>SUM(J7:J34)</f>
        <v>10.731999999999999</v>
      </c>
      <c r="K35" s="8"/>
      <c r="L35" s="8">
        <f>M35*10.764</f>
        <v>0</v>
      </c>
      <c r="M35" s="8">
        <f>SUM(M7:M34)</f>
        <v>0</v>
      </c>
    </row>
    <row r="37" spans="3:13" x14ac:dyDescent="0.25">
      <c r="F37">
        <f>F35+J35</f>
        <v>44.664499999999997</v>
      </c>
      <c r="H37" s="24">
        <f>37.83+4.24+1.61+3.41</f>
        <v>47.09</v>
      </c>
    </row>
    <row r="38" spans="3:13" x14ac:dyDescent="0.25">
      <c r="F38">
        <f>E35+I35</f>
        <v>480.76867799999997</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8"/>
  <sheetViews>
    <sheetView topLeftCell="A28" workbookViewId="0">
      <selection activeCell="I37" sqref="I37"/>
    </sheetView>
  </sheetViews>
  <sheetFormatPr defaultRowHeight="15" x14ac:dyDescent="0.25"/>
  <sheetData>
    <row r="3" spans="3:14" x14ac:dyDescent="0.25">
      <c r="D3" s="11" t="s">
        <v>85</v>
      </c>
      <c r="E3" s="217"/>
      <c r="F3" s="217"/>
    </row>
    <row r="4" spans="3:14" x14ac:dyDescent="0.25">
      <c r="F4" s="10"/>
      <c r="G4" s="10"/>
      <c r="H4" s="10"/>
      <c r="I4" s="10"/>
      <c r="J4" s="10"/>
      <c r="K4" s="10"/>
    </row>
    <row r="5" spans="3:14" x14ac:dyDescent="0.25">
      <c r="C5" s="11" t="s">
        <v>86</v>
      </c>
      <c r="D5" s="9" t="s">
        <v>66</v>
      </c>
      <c r="E5" s="218" t="s">
        <v>67</v>
      </c>
      <c r="F5" s="218"/>
      <c r="G5" s="218"/>
      <c r="H5" s="12"/>
      <c r="I5" s="218" t="s">
        <v>68</v>
      </c>
      <c r="J5" s="218"/>
      <c r="K5" s="218"/>
      <c r="L5" s="218" t="s">
        <v>69</v>
      </c>
      <c r="M5" s="218"/>
      <c r="N5" s="218"/>
    </row>
    <row r="6" spans="3:14" x14ac:dyDescent="0.25">
      <c r="C6" s="11">
        <v>1</v>
      </c>
      <c r="D6" s="9"/>
      <c r="E6" s="9" t="s">
        <v>70</v>
      </c>
      <c r="F6" s="9" t="s">
        <v>71</v>
      </c>
      <c r="G6" s="9" t="s">
        <v>72</v>
      </c>
      <c r="H6" s="9"/>
      <c r="I6" s="9" t="s">
        <v>70</v>
      </c>
      <c r="J6" s="9" t="s">
        <v>71</v>
      </c>
      <c r="K6" s="9" t="s">
        <v>72</v>
      </c>
      <c r="L6" s="9" t="s">
        <v>70</v>
      </c>
      <c r="M6" s="9" t="s">
        <v>71</v>
      </c>
      <c r="N6" s="9" t="s">
        <v>72</v>
      </c>
    </row>
    <row r="7" spans="3:14" x14ac:dyDescent="0.25">
      <c r="D7" s="8" t="s">
        <v>73</v>
      </c>
      <c r="E7" s="8">
        <v>5.4</v>
      </c>
      <c r="F7" s="8">
        <v>2.4</v>
      </c>
      <c r="G7" s="8">
        <f>E7*F7</f>
        <v>12.96</v>
      </c>
      <c r="H7" s="8" t="s">
        <v>88</v>
      </c>
      <c r="I7" s="8">
        <v>1.7</v>
      </c>
      <c r="J7" s="8">
        <v>0.6</v>
      </c>
      <c r="K7" s="8">
        <f>I7*J7</f>
        <v>1.02</v>
      </c>
      <c r="L7" s="8"/>
      <c r="M7" s="8"/>
      <c r="N7" s="8">
        <f>L7*M7</f>
        <v>0</v>
      </c>
    </row>
    <row r="8" spans="3:14" x14ac:dyDescent="0.25">
      <c r="D8" s="8"/>
      <c r="E8" s="8">
        <v>2.6</v>
      </c>
      <c r="F8" s="8">
        <v>1.02</v>
      </c>
      <c r="G8" s="8">
        <f t="shared" ref="G8:G34" si="0">E8*F8</f>
        <v>2.6520000000000001</v>
      </c>
      <c r="H8" s="8" t="s">
        <v>89</v>
      </c>
      <c r="I8" s="8">
        <v>2.65</v>
      </c>
      <c r="J8" s="8">
        <v>0.87</v>
      </c>
      <c r="K8" s="8">
        <f t="shared" ref="K8:K34" si="1">I8*J8</f>
        <v>2.3054999999999999</v>
      </c>
      <c r="L8" s="8"/>
      <c r="M8" s="8"/>
      <c r="N8" s="8">
        <f t="shared" ref="N8:N34" si="2">L8*M8</f>
        <v>0</v>
      </c>
    </row>
    <row r="9" spans="3:14" x14ac:dyDescent="0.25">
      <c r="D9" s="8"/>
      <c r="E9" s="8"/>
      <c r="F9" s="8"/>
      <c r="G9" s="8">
        <f t="shared" si="0"/>
        <v>0</v>
      </c>
      <c r="H9" s="8"/>
      <c r="I9" s="8">
        <v>1.7</v>
      </c>
      <c r="J9" s="8">
        <v>1.1000000000000001</v>
      </c>
      <c r="K9" s="8">
        <f t="shared" si="1"/>
        <v>1.87</v>
      </c>
      <c r="L9" s="8"/>
      <c r="M9" s="8"/>
      <c r="N9" s="8">
        <f t="shared" si="2"/>
        <v>0</v>
      </c>
    </row>
    <row r="10" spans="3:14" x14ac:dyDescent="0.25">
      <c r="D10" s="8" t="s">
        <v>76</v>
      </c>
      <c r="E10" s="8">
        <v>2.15</v>
      </c>
      <c r="F10" s="8">
        <v>2.7</v>
      </c>
      <c r="G10" s="8">
        <f t="shared" si="0"/>
        <v>5.8049999999999997</v>
      </c>
      <c r="H10" s="8" t="s">
        <v>88</v>
      </c>
      <c r="I10" s="8"/>
      <c r="J10" s="8"/>
      <c r="K10" s="8">
        <f t="shared" si="1"/>
        <v>0</v>
      </c>
      <c r="L10" s="8"/>
      <c r="M10" s="8"/>
      <c r="N10" s="8">
        <f t="shared" si="2"/>
        <v>0</v>
      </c>
    </row>
    <row r="11" spans="3:14" x14ac:dyDescent="0.25">
      <c r="D11" s="8"/>
      <c r="E11" s="8"/>
      <c r="F11" s="8"/>
      <c r="G11" s="8">
        <f t="shared" si="0"/>
        <v>0</v>
      </c>
      <c r="H11" s="8" t="s">
        <v>89</v>
      </c>
      <c r="I11" s="8">
        <v>0.9</v>
      </c>
      <c r="J11" s="8">
        <v>2.15</v>
      </c>
      <c r="K11" s="8">
        <f t="shared" si="1"/>
        <v>1.9350000000000001</v>
      </c>
      <c r="L11" s="8"/>
      <c r="M11" s="8"/>
      <c r="N11" s="8">
        <f t="shared" si="2"/>
        <v>0</v>
      </c>
    </row>
    <row r="12" spans="3:14" x14ac:dyDescent="0.25">
      <c r="D12" s="8"/>
      <c r="E12" s="8"/>
      <c r="F12" s="8"/>
      <c r="G12" s="8">
        <f t="shared" si="0"/>
        <v>0</v>
      </c>
      <c r="H12" s="8"/>
      <c r="I12" s="8">
        <v>0.9</v>
      </c>
      <c r="J12" s="8">
        <v>2.65</v>
      </c>
      <c r="K12" s="8">
        <f t="shared" si="1"/>
        <v>2.3849999999999998</v>
      </c>
      <c r="L12" s="8"/>
      <c r="M12" s="8"/>
      <c r="N12" s="8">
        <f t="shared" si="2"/>
        <v>0</v>
      </c>
    </row>
    <row r="13" spans="3:14" x14ac:dyDescent="0.25">
      <c r="D13" s="8"/>
      <c r="E13" s="8"/>
      <c r="F13" s="8"/>
      <c r="G13" s="8">
        <f t="shared" si="0"/>
        <v>0</v>
      </c>
      <c r="H13" s="8"/>
      <c r="I13" s="8">
        <v>0.56999999999999995</v>
      </c>
      <c r="J13" s="8">
        <v>3.05</v>
      </c>
      <c r="K13" s="8">
        <f t="shared" si="1"/>
        <v>1.7384999999999997</v>
      </c>
      <c r="L13" s="8"/>
      <c r="M13" s="8"/>
      <c r="N13" s="8">
        <f t="shared" si="2"/>
        <v>0</v>
      </c>
    </row>
    <row r="14" spans="3:14" x14ac:dyDescent="0.25">
      <c r="D14" s="8" t="s">
        <v>74</v>
      </c>
      <c r="E14" s="8">
        <v>3.05</v>
      </c>
      <c r="F14" s="8">
        <v>2.4500000000000002</v>
      </c>
      <c r="G14" s="8">
        <f t="shared" si="0"/>
        <v>7.4725000000000001</v>
      </c>
      <c r="H14" s="8" t="s">
        <v>88</v>
      </c>
      <c r="I14" s="8"/>
      <c r="J14" s="8"/>
      <c r="K14" s="8">
        <f t="shared" si="1"/>
        <v>0</v>
      </c>
      <c r="L14" s="8"/>
      <c r="M14" s="8"/>
      <c r="N14" s="8">
        <f t="shared" si="2"/>
        <v>0</v>
      </c>
    </row>
    <row r="15" spans="3:14" x14ac:dyDescent="0.25">
      <c r="D15" s="8"/>
      <c r="E15" s="8">
        <v>1.2</v>
      </c>
      <c r="F15" s="8">
        <v>0.75</v>
      </c>
      <c r="G15" s="8">
        <f t="shared" si="0"/>
        <v>0.89999999999999991</v>
      </c>
      <c r="H15" s="8" t="s">
        <v>89</v>
      </c>
      <c r="I15" s="8"/>
      <c r="J15" s="8"/>
      <c r="K15" s="8">
        <f t="shared" si="1"/>
        <v>0</v>
      </c>
      <c r="L15" s="8"/>
      <c r="M15" s="8"/>
      <c r="N15" s="8">
        <f t="shared" si="2"/>
        <v>0</v>
      </c>
    </row>
    <row r="16" spans="3:14" x14ac:dyDescent="0.25">
      <c r="D16" s="8"/>
      <c r="E16" s="8">
        <v>1.2</v>
      </c>
      <c r="F16" s="8">
        <v>0.6</v>
      </c>
      <c r="G16" s="8">
        <f t="shared" si="0"/>
        <v>0.72</v>
      </c>
      <c r="H16" s="8"/>
      <c r="I16" s="8"/>
      <c r="J16" s="8"/>
      <c r="K16" s="8">
        <f t="shared" si="1"/>
        <v>0</v>
      </c>
      <c r="L16" s="8"/>
      <c r="M16" s="8"/>
      <c r="N16" s="8">
        <f t="shared" si="2"/>
        <v>0</v>
      </c>
    </row>
    <row r="17" spans="4:14" x14ac:dyDescent="0.25">
      <c r="D17" s="8"/>
      <c r="E17" s="8"/>
      <c r="F17" s="8"/>
      <c r="G17" s="8">
        <f t="shared" si="0"/>
        <v>0</v>
      </c>
      <c r="H17" s="8"/>
      <c r="I17" s="8"/>
      <c r="J17" s="8"/>
      <c r="K17" s="8">
        <f t="shared" si="1"/>
        <v>0</v>
      </c>
      <c r="L17" s="8"/>
      <c r="M17" s="8"/>
      <c r="N17" s="8">
        <f t="shared" si="2"/>
        <v>0</v>
      </c>
    </row>
    <row r="18" spans="4:14" x14ac:dyDescent="0.25">
      <c r="D18" s="8" t="s">
        <v>75</v>
      </c>
      <c r="E18" s="8">
        <v>3.05</v>
      </c>
      <c r="F18" s="8">
        <v>2.4</v>
      </c>
      <c r="G18" s="8">
        <f t="shared" si="0"/>
        <v>7.3199999999999994</v>
      </c>
      <c r="H18" s="8" t="s">
        <v>88</v>
      </c>
      <c r="I18" s="8"/>
      <c r="J18" s="8"/>
      <c r="K18" s="8">
        <f t="shared" si="1"/>
        <v>0</v>
      </c>
      <c r="L18" s="8"/>
      <c r="M18" s="8"/>
      <c r="N18" s="8">
        <f t="shared" si="2"/>
        <v>0</v>
      </c>
    </row>
    <row r="19" spans="4:14" x14ac:dyDescent="0.25">
      <c r="D19" s="8"/>
      <c r="E19" s="8">
        <v>1.2</v>
      </c>
      <c r="F19" s="8">
        <v>1.25</v>
      </c>
      <c r="G19" s="8">
        <f t="shared" si="0"/>
        <v>1.5</v>
      </c>
      <c r="H19" s="8" t="s">
        <v>89</v>
      </c>
      <c r="I19" s="8"/>
      <c r="J19" s="8"/>
      <c r="K19" s="8">
        <f t="shared" si="1"/>
        <v>0</v>
      </c>
      <c r="L19" s="8"/>
      <c r="M19" s="8"/>
      <c r="N19" s="8">
        <f t="shared" si="2"/>
        <v>0</v>
      </c>
    </row>
    <row r="20" spans="4:14" x14ac:dyDescent="0.25">
      <c r="D20" s="8"/>
      <c r="E20" s="8">
        <v>1.6</v>
      </c>
      <c r="F20" s="8">
        <v>0.92</v>
      </c>
      <c r="G20" s="8">
        <f t="shared" si="0"/>
        <v>1.4720000000000002</v>
      </c>
      <c r="H20" s="8"/>
      <c r="I20" s="8"/>
      <c r="J20" s="8"/>
      <c r="K20" s="8">
        <f t="shared" si="1"/>
        <v>0</v>
      </c>
      <c r="L20" s="8"/>
      <c r="M20" s="8"/>
      <c r="N20" s="8">
        <f t="shared" si="2"/>
        <v>0</v>
      </c>
    </row>
    <row r="21" spans="4:14" x14ac:dyDescent="0.25">
      <c r="D21" s="8" t="s">
        <v>75</v>
      </c>
      <c r="E21" s="8">
        <v>2.35</v>
      </c>
      <c r="F21" s="8">
        <v>0.5</v>
      </c>
      <c r="G21" s="8">
        <f t="shared" si="0"/>
        <v>1.175</v>
      </c>
      <c r="H21" s="8" t="s">
        <v>88</v>
      </c>
      <c r="I21" s="8"/>
      <c r="J21" s="8"/>
      <c r="K21" s="8">
        <f t="shared" si="1"/>
        <v>0</v>
      </c>
      <c r="L21" s="8"/>
      <c r="M21" s="8"/>
      <c r="N21" s="8">
        <f t="shared" si="2"/>
        <v>0</v>
      </c>
    </row>
    <row r="22" spans="4:14" x14ac:dyDescent="0.25">
      <c r="D22" s="8"/>
      <c r="E22" s="8"/>
      <c r="F22" s="8"/>
      <c r="G22" s="8">
        <f t="shared" si="0"/>
        <v>0</v>
      </c>
      <c r="H22" s="8" t="s">
        <v>89</v>
      </c>
      <c r="I22" s="8"/>
      <c r="J22" s="8"/>
      <c r="K22" s="8">
        <f t="shared" si="1"/>
        <v>0</v>
      </c>
      <c r="L22" s="8"/>
      <c r="M22" s="8"/>
      <c r="N22" s="8">
        <f t="shared" si="2"/>
        <v>0</v>
      </c>
    </row>
    <row r="23" spans="4:14" x14ac:dyDescent="0.25">
      <c r="D23" s="8"/>
      <c r="E23" s="8"/>
      <c r="F23" s="8"/>
      <c r="G23" s="8">
        <f t="shared" si="0"/>
        <v>0</v>
      </c>
      <c r="H23" s="8"/>
      <c r="I23" s="8"/>
      <c r="J23" s="8"/>
      <c r="K23" s="8">
        <f t="shared" si="1"/>
        <v>0</v>
      </c>
      <c r="L23" s="8"/>
      <c r="M23" s="8"/>
      <c r="N23" s="8">
        <f t="shared" si="2"/>
        <v>0</v>
      </c>
    </row>
    <row r="24" spans="4:14" x14ac:dyDescent="0.25">
      <c r="D24" s="8" t="s">
        <v>81</v>
      </c>
      <c r="E24" s="8">
        <v>1.55</v>
      </c>
      <c r="F24" s="8">
        <v>2.4</v>
      </c>
      <c r="G24" s="8">
        <f t="shared" si="0"/>
        <v>3.7199999999999998</v>
      </c>
      <c r="H24" s="8" t="s">
        <v>90</v>
      </c>
      <c r="I24" s="8"/>
      <c r="J24" s="8"/>
      <c r="K24" s="8">
        <f t="shared" si="1"/>
        <v>0</v>
      </c>
      <c r="L24" s="8"/>
      <c r="M24" s="8"/>
      <c r="N24" s="8">
        <f t="shared" si="2"/>
        <v>0</v>
      </c>
    </row>
    <row r="25" spans="4:14" x14ac:dyDescent="0.25">
      <c r="D25" s="8" t="s">
        <v>82</v>
      </c>
      <c r="E25" s="8">
        <v>2.4500000000000002</v>
      </c>
      <c r="F25" s="8">
        <v>1.55</v>
      </c>
      <c r="G25" s="8">
        <f t="shared" si="0"/>
        <v>3.7975000000000003</v>
      </c>
      <c r="H25" s="8" t="s">
        <v>90</v>
      </c>
      <c r="I25" s="8"/>
      <c r="J25" s="8"/>
      <c r="K25" s="8">
        <f t="shared" si="1"/>
        <v>0</v>
      </c>
      <c r="L25" s="8"/>
      <c r="M25" s="8"/>
      <c r="N25" s="8">
        <f t="shared" si="2"/>
        <v>0</v>
      </c>
    </row>
    <row r="26" spans="4:14" x14ac:dyDescent="0.25">
      <c r="D26" s="8" t="s">
        <v>83</v>
      </c>
      <c r="E26" s="8"/>
      <c r="F26" s="8"/>
      <c r="G26" s="8">
        <f t="shared" si="0"/>
        <v>0</v>
      </c>
      <c r="H26" s="8" t="s">
        <v>90</v>
      </c>
      <c r="I26" s="8"/>
      <c r="J26" s="8"/>
      <c r="K26" s="8">
        <f t="shared" si="1"/>
        <v>0</v>
      </c>
      <c r="L26" s="8"/>
      <c r="M26" s="8"/>
      <c r="N26" s="8">
        <f t="shared" si="2"/>
        <v>0</v>
      </c>
    </row>
    <row r="27" spans="4:14" x14ac:dyDescent="0.25">
      <c r="D27" s="8"/>
      <c r="E27" s="8"/>
      <c r="F27" s="8"/>
      <c r="G27" s="8">
        <f t="shared" si="0"/>
        <v>0</v>
      </c>
      <c r="H27" s="8"/>
      <c r="I27" s="8"/>
      <c r="J27" s="8"/>
      <c r="K27" s="8">
        <f t="shared" si="1"/>
        <v>0</v>
      </c>
      <c r="L27" s="8"/>
      <c r="M27" s="8"/>
      <c r="N27" s="8">
        <f t="shared" si="2"/>
        <v>0</v>
      </c>
    </row>
    <row r="28" spans="4:14" x14ac:dyDescent="0.25">
      <c r="D28" s="8" t="s">
        <v>77</v>
      </c>
      <c r="E28" s="8">
        <v>1.65</v>
      </c>
      <c r="F28" s="8">
        <v>0.93</v>
      </c>
      <c r="G28" s="8">
        <f t="shared" si="0"/>
        <v>1.5345</v>
      </c>
      <c r="H28" s="8"/>
      <c r="I28" s="8"/>
      <c r="J28" s="8"/>
      <c r="K28" s="8">
        <f t="shared" si="1"/>
        <v>0</v>
      </c>
      <c r="L28" s="8"/>
      <c r="M28" s="8"/>
      <c r="N28" s="8">
        <f t="shared" si="2"/>
        <v>0</v>
      </c>
    </row>
    <row r="29" spans="4:14" x14ac:dyDescent="0.25">
      <c r="D29" s="8" t="s">
        <v>78</v>
      </c>
      <c r="E29" s="8"/>
      <c r="F29" s="8"/>
      <c r="G29" s="8">
        <f t="shared" si="0"/>
        <v>0</v>
      </c>
      <c r="H29" s="8"/>
      <c r="I29" s="8"/>
      <c r="J29" s="8"/>
      <c r="K29" s="8">
        <f t="shared" si="1"/>
        <v>0</v>
      </c>
      <c r="L29" s="8"/>
      <c r="M29" s="8"/>
      <c r="N29" s="8">
        <f t="shared" si="2"/>
        <v>0</v>
      </c>
    </row>
    <row r="30" spans="4:14" x14ac:dyDescent="0.25">
      <c r="D30" s="8" t="s">
        <v>79</v>
      </c>
      <c r="E30" s="8"/>
      <c r="F30" s="8"/>
      <c r="G30" s="8">
        <f t="shared" si="0"/>
        <v>0</v>
      </c>
      <c r="H30" s="8"/>
      <c r="I30" s="8"/>
      <c r="J30" s="8"/>
      <c r="K30" s="8">
        <f t="shared" si="1"/>
        <v>0</v>
      </c>
      <c r="L30" s="8"/>
      <c r="M30" s="8"/>
      <c r="N30" s="8">
        <f t="shared" si="2"/>
        <v>0</v>
      </c>
    </row>
    <row r="31" spans="4:14" x14ac:dyDescent="0.25">
      <c r="D31" s="8" t="s">
        <v>80</v>
      </c>
      <c r="E31" s="8"/>
      <c r="F31" s="8"/>
      <c r="G31" s="8">
        <f t="shared" si="0"/>
        <v>0</v>
      </c>
      <c r="H31" s="8"/>
      <c r="I31" s="8"/>
      <c r="J31" s="8"/>
      <c r="K31" s="8">
        <f t="shared" si="1"/>
        <v>0</v>
      </c>
      <c r="L31" s="8"/>
      <c r="M31" s="8"/>
      <c r="N31" s="8">
        <f t="shared" si="2"/>
        <v>0</v>
      </c>
    </row>
    <row r="32" spans="4:14" x14ac:dyDescent="0.25">
      <c r="D32" s="8"/>
      <c r="E32" s="8"/>
      <c r="F32" s="8"/>
      <c r="G32" s="8">
        <f t="shared" si="0"/>
        <v>0</v>
      </c>
      <c r="H32" s="8"/>
      <c r="I32" s="8"/>
      <c r="J32" s="8"/>
      <c r="K32" s="8">
        <f t="shared" si="1"/>
        <v>0</v>
      </c>
      <c r="L32" s="8"/>
      <c r="M32" s="8"/>
      <c r="N32" s="8">
        <f t="shared" si="2"/>
        <v>0</v>
      </c>
    </row>
    <row r="33" spans="4:14" x14ac:dyDescent="0.25">
      <c r="D33" s="8"/>
      <c r="E33" s="8"/>
      <c r="F33" s="8"/>
      <c r="G33" s="8">
        <f t="shared" si="0"/>
        <v>0</v>
      </c>
      <c r="H33" s="8"/>
      <c r="I33" s="8"/>
      <c r="J33" s="8"/>
      <c r="K33" s="8">
        <f t="shared" si="1"/>
        <v>0</v>
      </c>
      <c r="L33" s="8"/>
      <c r="M33" s="8"/>
      <c r="N33" s="8">
        <f t="shared" si="2"/>
        <v>0</v>
      </c>
    </row>
    <row r="34" spans="4:14" x14ac:dyDescent="0.25">
      <c r="D34" s="8"/>
      <c r="E34" s="8"/>
      <c r="F34" s="8"/>
      <c r="G34" s="8">
        <f t="shared" si="0"/>
        <v>0</v>
      </c>
      <c r="H34" s="8"/>
      <c r="I34" s="8"/>
      <c r="J34" s="8"/>
      <c r="K34" s="8">
        <f t="shared" si="1"/>
        <v>0</v>
      </c>
      <c r="L34" s="8"/>
      <c r="M34" s="8"/>
      <c r="N34" s="8">
        <f t="shared" si="2"/>
        <v>0</v>
      </c>
    </row>
    <row r="35" spans="4:14" x14ac:dyDescent="0.25">
      <c r="D35" s="8" t="s">
        <v>84</v>
      </c>
      <c r="E35" s="8"/>
      <c r="F35" s="8">
        <f>G35*10.764</f>
        <v>549.27077399999985</v>
      </c>
      <c r="G35" s="8">
        <f>SUM(G7:G34)</f>
        <v>51.028499999999994</v>
      </c>
      <c r="H35" s="8"/>
      <c r="I35" s="8"/>
      <c r="J35" s="8">
        <f>K35*10.764</f>
        <v>121.13805599999999</v>
      </c>
      <c r="K35" s="8">
        <f>SUM(K7:K34)</f>
        <v>11.254</v>
      </c>
      <c r="L35" s="8"/>
      <c r="M35" s="8">
        <f>N35*10.764</f>
        <v>0</v>
      </c>
      <c r="N35" s="8">
        <f>SUM(N7:N34)</f>
        <v>0</v>
      </c>
    </row>
    <row r="37" spans="4:14" x14ac:dyDescent="0.25">
      <c r="G37">
        <f>G35+K35</f>
        <v>62.282499999999992</v>
      </c>
      <c r="I37" s="24">
        <f>57.44+6.19+1.57+3.35</f>
        <v>68.549999999999983</v>
      </c>
    </row>
    <row r="38" spans="4:14" x14ac:dyDescent="0.25">
      <c r="G38">
        <f>F35+J35</f>
        <v>670.40882999999985</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37"/>
  <sheetViews>
    <sheetView topLeftCell="A22" workbookViewId="0">
      <selection activeCell="I6" sqref="I6"/>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4.9000000000000004</v>
      </c>
      <c r="E6" s="8">
        <v>2.4</v>
      </c>
      <c r="F6" s="8">
        <f>D6*E6</f>
        <v>11.76</v>
      </c>
      <c r="G6" s="8" t="s">
        <v>88</v>
      </c>
      <c r="H6" s="8">
        <v>2.4</v>
      </c>
      <c r="I6" s="8">
        <v>0.88</v>
      </c>
      <c r="J6" s="8">
        <f>H6*I6</f>
        <v>2.1120000000000001</v>
      </c>
      <c r="K6" s="8"/>
      <c r="L6" s="8"/>
      <c r="M6" s="8">
        <f>K6*L6</f>
        <v>0</v>
      </c>
    </row>
    <row r="7" spans="2:13" x14ac:dyDescent="0.25">
      <c r="C7" s="8"/>
      <c r="D7" s="8">
        <v>0.85</v>
      </c>
      <c r="E7" s="8">
        <v>1.03</v>
      </c>
      <c r="F7" s="8">
        <f t="shared" ref="F7:F33" si="0">D7*E7</f>
        <v>0.87549999999999994</v>
      </c>
      <c r="G7" s="8" t="s">
        <v>89</v>
      </c>
      <c r="H7" s="8">
        <v>1.1000000000000001</v>
      </c>
      <c r="I7" s="8">
        <v>0.85</v>
      </c>
      <c r="J7" s="8">
        <f t="shared" ref="J7:J29" si="1">H7*I7</f>
        <v>0.93500000000000005</v>
      </c>
      <c r="K7" s="8"/>
      <c r="L7" s="8"/>
      <c r="M7" s="8">
        <f t="shared" ref="M7:M29" si="2">K7*L7</f>
        <v>0</v>
      </c>
    </row>
    <row r="8" spans="2:13" x14ac:dyDescent="0.25">
      <c r="C8" s="8"/>
      <c r="D8" s="8">
        <v>1.1499999999999999</v>
      </c>
      <c r="E8" s="8">
        <v>0.7</v>
      </c>
      <c r="F8" s="8">
        <f t="shared" si="0"/>
        <v>0.80499999999999994</v>
      </c>
      <c r="G8" s="8"/>
      <c r="H8" s="8">
        <v>1.55</v>
      </c>
      <c r="I8" s="8">
        <v>0.65</v>
      </c>
      <c r="J8" s="8">
        <f t="shared" si="1"/>
        <v>1.0075000000000001</v>
      </c>
      <c r="K8" s="8"/>
      <c r="L8" s="8"/>
      <c r="M8" s="8">
        <f t="shared" si="2"/>
        <v>0</v>
      </c>
    </row>
    <row r="9" spans="2:13" x14ac:dyDescent="0.25">
      <c r="C9" s="8" t="s">
        <v>76</v>
      </c>
      <c r="D9" s="8">
        <v>2.15</v>
      </c>
      <c r="E9" s="8">
        <v>2.15</v>
      </c>
      <c r="F9" s="8">
        <f t="shared" si="0"/>
        <v>4.6224999999999996</v>
      </c>
      <c r="G9" s="8" t="s">
        <v>88</v>
      </c>
      <c r="H9" s="8"/>
      <c r="I9" s="8"/>
      <c r="J9" s="8">
        <f t="shared" si="1"/>
        <v>0</v>
      </c>
      <c r="K9" s="8"/>
      <c r="L9" s="8"/>
      <c r="M9" s="8">
        <f t="shared" si="2"/>
        <v>0</v>
      </c>
    </row>
    <row r="10" spans="2:13" x14ac:dyDescent="0.25">
      <c r="C10" s="8"/>
      <c r="D10" s="8">
        <v>1.55</v>
      </c>
      <c r="E10" s="8">
        <v>1.03</v>
      </c>
      <c r="F10" s="8">
        <f t="shared" si="0"/>
        <v>1.5965</v>
      </c>
      <c r="G10" s="8" t="s">
        <v>89</v>
      </c>
      <c r="H10" s="8">
        <v>0.9</v>
      </c>
      <c r="I10" s="8">
        <v>2.15</v>
      </c>
      <c r="J10" s="8">
        <f t="shared" si="1"/>
        <v>1.9350000000000001</v>
      </c>
      <c r="K10" s="8"/>
      <c r="L10" s="8"/>
      <c r="M10" s="8">
        <f t="shared" si="2"/>
        <v>0</v>
      </c>
    </row>
    <row r="11" spans="2:13" x14ac:dyDescent="0.25">
      <c r="C11" s="8"/>
      <c r="D11" s="8"/>
      <c r="E11" s="8"/>
      <c r="F11" s="8">
        <f t="shared" si="0"/>
        <v>0</v>
      </c>
      <c r="G11" s="8"/>
      <c r="H11" s="8">
        <v>0.9</v>
      </c>
      <c r="I11" s="8">
        <v>3.05</v>
      </c>
      <c r="J11" s="8">
        <f t="shared" si="1"/>
        <v>2.7450000000000001</v>
      </c>
      <c r="K11" s="8"/>
      <c r="L11" s="8"/>
      <c r="M11" s="8">
        <f t="shared" si="2"/>
        <v>0</v>
      </c>
    </row>
    <row r="12" spans="2:13" x14ac:dyDescent="0.25">
      <c r="C12" s="8"/>
      <c r="D12" s="8"/>
      <c r="E12" s="8"/>
      <c r="F12" s="8">
        <f t="shared" si="0"/>
        <v>0</v>
      </c>
      <c r="G12" s="8"/>
      <c r="H12" s="8">
        <v>0.9</v>
      </c>
      <c r="I12" s="8">
        <v>2.4</v>
      </c>
      <c r="J12" s="8">
        <f t="shared" si="1"/>
        <v>2.16</v>
      </c>
      <c r="K12" s="8"/>
      <c r="L12" s="8"/>
      <c r="M12" s="8">
        <f t="shared" si="2"/>
        <v>0</v>
      </c>
    </row>
    <row r="13" spans="2:13" x14ac:dyDescent="0.25">
      <c r="C13" s="8" t="s">
        <v>74</v>
      </c>
      <c r="D13" s="8">
        <v>2.4500000000000002</v>
      </c>
      <c r="E13" s="8">
        <v>2.15</v>
      </c>
      <c r="F13" s="8">
        <f t="shared" si="0"/>
        <v>5.2675000000000001</v>
      </c>
      <c r="G13" s="8" t="s">
        <v>88</v>
      </c>
      <c r="H13" s="8"/>
      <c r="I13" s="8"/>
      <c r="J13" s="8">
        <f t="shared" si="1"/>
        <v>0</v>
      </c>
      <c r="K13" s="8"/>
      <c r="L13" s="8"/>
      <c r="M13" s="8">
        <f t="shared" si="2"/>
        <v>0</v>
      </c>
    </row>
    <row r="14" spans="2:13" x14ac:dyDescent="0.25">
      <c r="C14" s="8"/>
      <c r="D14" s="8">
        <v>1.2</v>
      </c>
      <c r="E14" s="8">
        <v>1</v>
      </c>
      <c r="F14" s="8">
        <f t="shared" si="0"/>
        <v>1.2</v>
      </c>
      <c r="G14" s="8" t="s">
        <v>89</v>
      </c>
      <c r="H14" s="8"/>
      <c r="I14" s="8"/>
      <c r="J14" s="8">
        <f t="shared" si="1"/>
        <v>0</v>
      </c>
      <c r="K14" s="8"/>
      <c r="L14" s="8"/>
      <c r="M14" s="8">
        <f t="shared" si="2"/>
        <v>0</v>
      </c>
    </row>
    <row r="15" spans="2:13" x14ac:dyDescent="0.25">
      <c r="C15" s="8"/>
      <c r="D15" s="8">
        <v>1.2</v>
      </c>
      <c r="E15" s="8">
        <v>0.6</v>
      </c>
      <c r="F15" s="8">
        <f t="shared" si="0"/>
        <v>0.72</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3.05</v>
      </c>
      <c r="E17" s="8">
        <v>2.4</v>
      </c>
      <c r="F17" s="8">
        <f t="shared" si="0"/>
        <v>7.3199999999999994</v>
      </c>
      <c r="G17" s="8" t="s">
        <v>88</v>
      </c>
      <c r="H17" s="8"/>
      <c r="I17" s="8"/>
      <c r="J17" s="8">
        <f t="shared" si="1"/>
        <v>0</v>
      </c>
      <c r="K17" s="8"/>
      <c r="L17" s="8"/>
      <c r="M17" s="8">
        <f t="shared" si="2"/>
        <v>0</v>
      </c>
    </row>
    <row r="18" spans="3:13" x14ac:dyDescent="0.25">
      <c r="C18" s="8"/>
      <c r="D18" s="8">
        <v>1.5</v>
      </c>
      <c r="E18" s="8">
        <v>0.8</v>
      </c>
      <c r="F18" s="8">
        <f t="shared" si="0"/>
        <v>1.2000000000000002</v>
      </c>
      <c r="G18" s="8" t="s">
        <v>89</v>
      </c>
      <c r="H18" s="8"/>
      <c r="I18" s="8"/>
      <c r="J18" s="8">
        <f t="shared" si="1"/>
        <v>0</v>
      </c>
      <c r="K18" s="8"/>
      <c r="L18" s="8"/>
      <c r="M18" s="8">
        <f t="shared" si="2"/>
        <v>0</v>
      </c>
    </row>
    <row r="19" spans="3:13" x14ac:dyDescent="0.25">
      <c r="C19" s="8"/>
      <c r="D19" s="8">
        <v>1.1499999999999999</v>
      </c>
      <c r="E19" s="8">
        <v>0.93</v>
      </c>
      <c r="F19" s="8">
        <f t="shared" si="0"/>
        <v>1.0694999999999999</v>
      </c>
      <c r="G19" s="8"/>
      <c r="H19" s="8"/>
      <c r="I19" s="8"/>
      <c r="J19" s="8">
        <f t="shared" si="1"/>
        <v>0</v>
      </c>
      <c r="K19" s="8"/>
      <c r="L19" s="8"/>
      <c r="M19" s="8">
        <f t="shared" si="2"/>
        <v>0</v>
      </c>
    </row>
    <row r="20" spans="3:13" x14ac:dyDescent="0.25">
      <c r="C20" s="8" t="s">
        <v>75</v>
      </c>
      <c r="D20" s="8">
        <v>2.4</v>
      </c>
      <c r="E20" s="8">
        <v>0.5</v>
      </c>
      <c r="F20" s="8">
        <f t="shared" si="0"/>
        <v>1.2</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2.4500000000000002</v>
      </c>
      <c r="E23" s="8">
        <v>1.35</v>
      </c>
      <c r="F23" s="8">
        <f t="shared" si="0"/>
        <v>3.3075000000000006</v>
      </c>
      <c r="G23" s="8" t="s">
        <v>90</v>
      </c>
      <c r="H23" s="8"/>
      <c r="I23" s="8"/>
      <c r="J23" s="8">
        <f t="shared" si="1"/>
        <v>0</v>
      </c>
      <c r="K23" s="8"/>
      <c r="L23" s="8"/>
      <c r="M23" s="8">
        <f t="shared" si="2"/>
        <v>0</v>
      </c>
    </row>
    <row r="24" spans="3:13" x14ac:dyDescent="0.25">
      <c r="C24" s="8" t="s">
        <v>82</v>
      </c>
      <c r="D24" s="8">
        <v>1.35</v>
      </c>
      <c r="E24" s="8">
        <v>2.4</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v>1.75</v>
      </c>
      <c r="E27" s="8">
        <v>0.93</v>
      </c>
      <c r="F27" s="8">
        <f t="shared" si="0"/>
        <v>1.6275000000000002</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493.11498599999993</v>
      </c>
      <c r="F34" s="8">
        <f>SUM(F6:F33)</f>
        <v>45.811499999999995</v>
      </c>
      <c r="G34" s="8"/>
      <c r="H34" s="8"/>
      <c r="I34" s="8">
        <f>J34*10.764</f>
        <v>117.268398</v>
      </c>
      <c r="J34" s="8">
        <f>SUM(J6:J33)</f>
        <v>10.894500000000001</v>
      </c>
      <c r="K34" s="8"/>
      <c r="L34" s="8">
        <f>M34*10.764</f>
        <v>0</v>
      </c>
      <c r="M34" s="8">
        <f>SUM(M6:M33)</f>
        <v>0</v>
      </c>
    </row>
    <row r="36" spans="3:13" x14ac:dyDescent="0.25">
      <c r="F36">
        <f>F34+J34</f>
        <v>56.705999999999996</v>
      </c>
      <c r="H36" s="24">
        <f>51.15+5.03+1.61+3.2</f>
        <v>60.99</v>
      </c>
    </row>
    <row r="37" spans="3:13" x14ac:dyDescent="0.25">
      <c r="F37">
        <f>E34+I34</f>
        <v>610.38338399999998</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M37"/>
  <sheetViews>
    <sheetView topLeftCell="A16" workbookViewId="0">
      <selection activeCell="H37" sqref="H37"/>
    </sheetView>
  </sheetViews>
  <sheetFormatPr defaultRowHeight="15" x14ac:dyDescent="0.25"/>
  <sheetData>
    <row r="2" spans="2:13" x14ac:dyDescent="0.25">
      <c r="C2" s="11" t="s">
        <v>85</v>
      </c>
      <c r="D2" s="217"/>
      <c r="E2" s="217"/>
    </row>
    <row r="3" spans="2:13" x14ac:dyDescent="0.25">
      <c r="E3" s="10"/>
      <c r="F3" s="10"/>
      <c r="G3" s="10"/>
      <c r="H3" s="10"/>
      <c r="I3" s="10"/>
      <c r="J3" s="10"/>
    </row>
    <row r="4" spans="2:13" x14ac:dyDescent="0.25">
      <c r="B4" s="11" t="s">
        <v>86</v>
      </c>
      <c r="C4" s="9" t="s">
        <v>66</v>
      </c>
      <c r="D4" s="218" t="s">
        <v>67</v>
      </c>
      <c r="E4" s="218"/>
      <c r="F4" s="218"/>
      <c r="G4" s="12"/>
      <c r="H4" s="218" t="s">
        <v>68</v>
      </c>
      <c r="I4" s="218"/>
      <c r="J4" s="218"/>
      <c r="K4" s="218" t="s">
        <v>69</v>
      </c>
      <c r="L4" s="218"/>
      <c r="M4" s="218"/>
    </row>
    <row r="5" spans="2:13" x14ac:dyDescent="0.25">
      <c r="B5" s="11">
        <v>1</v>
      </c>
      <c r="C5" s="9"/>
      <c r="D5" s="9" t="s">
        <v>70</v>
      </c>
      <c r="E5" s="9" t="s">
        <v>71</v>
      </c>
      <c r="F5" s="9" t="s">
        <v>72</v>
      </c>
      <c r="G5" s="9"/>
      <c r="H5" s="9" t="s">
        <v>70</v>
      </c>
      <c r="I5" s="9" t="s">
        <v>71</v>
      </c>
      <c r="J5" s="9" t="s">
        <v>72</v>
      </c>
      <c r="K5" s="9" t="s">
        <v>70</v>
      </c>
      <c r="L5" s="9" t="s">
        <v>71</v>
      </c>
      <c r="M5" s="9" t="s">
        <v>72</v>
      </c>
    </row>
    <row r="6" spans="2:13" x14ac:dyDescent="0.25">
      <c r="C6" s="8" t="s">
        <v>73</v>
      </c>
      <c r="D6" s="8">
        <v>4.9000000000000004</v>
      </c>
      <c r="E6" s="8">
        <v>2.4</v>
      </c>
      <c r="F6" s="8">
        <f>D6*E6</f>
        <v>11.76</v>
      </c>
      <c r="G6" s="8" t="s">
        <v>88</v>
      </c>
      <c r="H6" s="8">
        <v>2.85</v>
      </c>
      <c r="I6" s="8">
        <v>0.88</v>
      </c>
      <c r="J6" s="8">
        <f>H6*I6</f>
        <v>2.508</v>
      </c>
      <c r="K6" s="8"/>
      <c r="L6" s="8"/>
      <c r="M6" s="8">
        <f>K6*L6</f>
        <v>0</v>
      </c>
    </row>
    <row r="7" spans="2:13" x14ac:dyDescent="0.25">
      <c r="C7" s="8"/>
      <c r="D7" s="8">
        <v>0.85</v>
      </c>
      <c r="E7" s="8">
        <v>1.03</v>
      </c>
      <c r="F7" s="8">
        <f t="shared" ref="F7:F33" si="0">D7*E7</f>
        <v>0.87549999999999994</v>
      </c>
      <c r="G7" s="8" t="s">
        <v>89</v>
      </c>
      <c r="H7" s="8"/>
      <c r="I7" s="8"/>
      <c r="J7" s="8">
        <f t="shared" ref="J7:J29" si="1">H7*I7</f>
        <v>0</v>
      </c>
      <c r="K7" s="8"/>
      <c r="L7" s="8"/>
      <c r="M7" s="8">
        <f t="shared" ref="M7:M29" si="2">K7*L7</f>
        <v>0</v>
      </c>
    </row>
    <row r="8" spans="2:13" x14ac:dyDescent="0.25">
      <c r="C8" s="8"/>
      <c r="D8" s="8">
        <v>1.1499999999999999</v>
      </c>
      <c r="E8" s="8">
        <v>0.7</v>
      </c>
      <c r="F8" s="8">
        <f t="shared" si="0"/>
        <v>0.80499999999999994</v>
      </c>
      <c r="G8" s="8"/>
      <c r="H8" s="8">
        <v>1.55</v>
      </c>
      <c r="I8" s="8">
        <v>0.65</v>
      </c>
      <c r="J8" s="8">
        <f t="shared" si="1"/>
        <v>1.0075000000000001</v>
      </c>
      <c r="K8" s="8"/>
      <c r="L8" s="8"/>
      <c r="M8" s="8">
        <f t="shared" si="2"/>
        <v>0</v>
      </c>
    </row>
    <row r="9" spans="2:13" x14ac:dyDescent="0.25">
      <c r="C9" s="8" t="s">
        <v>76</v>
      </c>
      <c r="D9" s="8">
        <v>2.15</v>
      </c>
      <c r="E9" s="8">
        <v>2.1800000000000002</v>
      </c>
      <c r="F9" s="8">
        <f t="shared" si="0"/>
        <v>4.6870000000000003</v>
      </c>
      <c r="G9" s="8" t="s">
        <v>88</v>
      </c>
      <c r="H9" s="8"/>
      <c r="I9" s="8"/>
      <c r="J9" s="8">
        <f t="shared" si="1"/>
        <v>0</v>
      </c>
      <c r="K9" s="8"/>
      <c r="L9" s="8"/>
      <c r="M9" s="8">
        <f t="shared" si="2"/>
        <v>0</v>
      </c>
    </row>
    <row r="10" spans="2:13" x14ac:dyDescent="0.25">
      <c r="C10" s="8"/>
      <c r="D10" s="8">
        <v>1.55</v>
      </c>
      <c r="E10" s="8">
        <v>1.03</v>
      </c>
      <c r="F10" s="8">
        <f t="shared" si="0"/>
        <v>1.5965</v>
      </c>
      <c r="G10" s="8" t="s">
        <v>89</v>
      </c>
      <c r="H10" s="8">
        <v>0.9</v>
      </c>
      <c r="I10" s="8">
        <v>2.15</v>
      </c>
      <c r="J10" s="8">
        <f t="shared" si="1"/>
        <v>1.9350000000000001</v>
      </c>
      <c r="K10" s="8"/>
      <c r="L10" s="8"/>
      <c r="M10" s="8">
        <f t="shared" si="2"/>
        <v>0</v>
      </c>
    </row>
    <row r="11" spans="2:13" x14ac:dyDescent="0.25">
      <c r="C11" s="8"/>
      <c r="D11" s="8"/>
      <c r="E11" s="8"/>
      <c r="F11" s="8">
        <f t="shared" si="0"/>
        <v>0</v>
      </c>
      <c r="G11" s="8"/>
      <c r="H11" s="8">
        <v>0.9</v>
      </c>
      <c r="I11" s="8">
        <v>2.85</v>
      </c>
      <c r="J11" s="8">
        <f t="shared" si="1"/>
        <v>2.5649999999999999</v>
      </c>
      <c r="K11" s="8"/>
      <c r="L11" s="8"/>
      <c r="M11" s="8">
        <f t="shared" si="2"/>
        <v>0</v>
      </c>
    </row>
    <row r="12" spans="2:13" x14ac:dyDescent="0.25">
      <c r="C12" s="8"/>
      <c r="D12" s="8"/>
      <c r="E12" s="8"/>
      <c r="F12" s="8">
        <f t="shared" si="0"/>
        <v>0</v>
      </c>
      <c r="G12" s="8"/>
      <c r="H12" s="8">
        <v>0.9</v>
      </c>
      <c r="I12" s="8">
        <v>3.05</v>
      </c>
      <c r="J12" s="8">
        <f t="shared" si="1"/>
        <v>2.7450000000000001</v>
      </c>
      <c r="K12" s="8"/>
      <c r="L12" s="8"/>
      <c r="M12" s="8">
        <f t="shared" si="2"/>
        <v>0</v>
      </c>
    </row>
    <row r="13" spans="2:13" x14ac:dyDescent="0.25">
      <c r="C13" s="8" t="s">
        <v>74</v>
      </c>
      <c r="D13" s="8"/>
      <c r="E13" s="8"/>
      <c r="F13" s="8">
        <f t="shared" si="0"/>
        <v>0</v>
      </c>
      <c r="G13" s="8" t="s">
        <v>88</v>
      </c>
      <c r="H13" s="8"/>
      <c r="I13" s="8"/>
      <c r="J13" s="8">
        <f t="shared" si="1"/>
        <v>0</v>
      </c>
      <c r="K13" s="8"/>
      <c r="L13" s="8"/>
      <c r="M13" s="8">
        <f t="shared" si="2"/>
        <v>0</v>
      </c>
    </row>
    <row r="14" spans="2:13" x14ac:dyDescent="0.25">
      <c r="C14" s="8"/>
      <c r="D14" s="8"/>
      <c r="E14" s="8"/>
      <c r="F14" s="8">
        <f t="shared" si="0"/>
        <v>0</v>
      </c>
      <c r="G14" s="8" t="s">
        <v>89</v>
      </c>
      <c r="H14" s="8"/>
      <c r="I14" s="8"/>
      <c r="J14" s="8">
        <f t="shared" si="1"/>
        <v>0</v>
      </c>
      <c r="K14" s="8"/>
      <c r="L14" s="8"/>
      <c r="M14" s="8">
        <f t="shared" si="2"/>
        <v>0</v>
      </c>
    </row>
    <row r="15" spans="2:13" x14ac:dyDescent="0.25">
      <c r="C15" s="8"/>
      <c r="D15" s="8"/>
      <c r="E15" s="8"/>
      <c r="F15" s="8">
        <f t="shared" si="0"/>
        <v>0</v>
      </c>
      <c r="G15" s="8"/>
      <c r="H15" s="8"/>
      <c r="I15" s="8"/>
      <c r="J15" s="8">
        <f t="shared" si="1"/>
        <v>0</v>
      </c>
      <c r="K15" s="8"/>
      <c r="L15" s="8"/>
      <c r="M15" s="8">
        <f t="shared" si="2"/>
        <v>0</v>
      </c>
    </row>
    <row r="16" spans="2:13" x14ac:dyDescent="0.25">
      <c r="C16" s="8"/>
      <c r="D16" s="8"/>
      <c r="E16" s="8"/>
      <c r="F16" s="8">
        <f t="shared" si="0"/>
        <v>0</v>
      </c>
      <c r="G16" s="8"/>
      <c r="H16" s="8"/>
      <c r="I16" s="8"/>
      <c r="J16" s="8">
        <f t="shared" si="1"/>
        <v>0</v>
      </c>
      <c r="K16" s="8"/>
      <c r="L16" s="8"/>
      <c r="M16" s="8">
        <f t="shared" si="2"/>
        <v>0</v>
      </c>
    </row>
    <row r="17" spans="3:13" x14ac:dyDescent="0.25">
      <c r="C17" s="8" t="s">
        <v>75</v>
      </c>
      <c r="D17" s="8">
        <v>3.05</v>
      </c>
      <c r="E17" s="8">
        <v>2.4</v>
      </c>
      <c r="F17" s="8">
        <f t="shared" si="0"/>
        <v>7.3199999999999994</v>
      </c>
      <c r="G17" s="8" t="s">
        <v>88</v>
      </c>
      <c r="H17" s="8"/>
      <c r="I17" s="8"/>
      <c r="J17" s="8">
        <f t="shared" si="1"/>
        <v>0</v>
      </c>
      <c r="K17" s="8"/>
      <c r="L17" s="8"/>
      <c r="M17" s="8">
        <f t="shared" si="2"/>
        <v>0</v>
      </c>
    </row>
    <row r="18" spans="3:13" x14ac:dyDescent="0.25">
      <c r="C18" s="8"/>
      <c r="D18" s="8">
        <v>1.35</v>
      </c>
      <c r="E18" s="8">
        <v>0.8</v>
      </c>
      <c r="F18" s="8">
        <f t="shared" si="0"/>
        <v>1.08</v>
      </c>
      <c r="G18" s="8" t="s">
        <v>89</v>
      </c>
      <c r="H18" s="8"/>
      <c r="I18" s="8"/>
      <c r="J18" s="8">
        <f t="shared" si="1"/>
        <v>0</v>
      </c>
      <c r="K18" s="8"/>
      <c r="L18" s="8"/>
      <c r="M18" s="8">
        <f t="shared" si="2"/>
        <v>0</v>
      </c>
    </row>
    <row r="19" spans="3:13" x14ac:dyDescent="0.25">
      <c r="C19" s="8"/>
      <c r="D19" s="8">
        <v>2.35</v>
      </c>
      <c r="E19" s="8">
        <v>0.6</v>
      </c>
      <c r="F19" s="8">
        <f t="shared" si="0"/>
        <v>1.41</v>
      </c>
      <c r="G19" s="8"/>
      <c r="H19" s="8"/>
      <c r="I19" s="8"/>
      <c r="J19" s="8">
        <f t="shared" si="1"/>
        <v>0</v>
      </c>
      <c r="K19" s="8"/>
      <c r="L19" s="8"/>
      <c r="M19" s="8">
        <f t="shared" si="2"/>
        <v>0</v>
      </c>
    </row>
    <row r="20" spans="3:13" x14ac:dyDescent="0.25">
      <c r="C20" s="8" t="s">
        <v>75</v>
      </c>
      <c r="D20" s="8"/>
      <c r="E20" s="8"/>
      <c r="F20" s="8">
        <f t="shared" si="0"/>
        <v>0</v>
      </c>
      <c r="G20" s="8" t="s">
        <v>88</v>
      </c>
      <c r="H20" s="8"/>
      <c r="I20" s="8"/>
      <c r="J20" s="8">
        <f t="shared" si="1"/>
        <v>0</v>
      </c>
      <c r="K20" s="8"/>
      <c r="L20" s="8"/>
      <c r="M20" s="8">
        <f t="shared" si="2"/>
        <v>0</v>
      </c>
    </row>
    <row r="21" spans="3:13" x14ac:dyDescent="0.25">
      <c r="C21" s="8"/>
      <c r="D21" s="8"/>
      <c r="E21" s="8"/>
      <c r="F21" s="8">
        <f t="shared" si="0"/>
        <v>0</v>
      </c>
      <c r="G21" s="8" t="s">
        <v>89</v>
      </c>
      <c r="H21" s="8"/>
      <c r="I21" s="8"/>
      <c r="J21" s="8">
        <f t="shared" si="1"/>
        <v>0</v>
      </c>
      <c r="K21" s="8"/>
      <c r="L21" s="8"/>
      <c r="M21" s="8">
        <f t="shared" si="2"/>
        <v>0</v>
      </c>
    </row>
    <row r="22" spans="3:13" x14ac:dyDescent="0.25">
      <c r="C22" s="8"/>
      <c r="D22" s="8"/>
      <c r="E22" s="8"/>
      <c r="F22" s="8">
        <f t="shared" si="0"/>
        <v>0</v>
      </c>
      <c r="G22" s="8"/>
      <c r="H22" s="8"/>
      <c r="I22" s="8"/>
      <c r="J22" s="8">
        <f t="shared" si="1"/>
        <v>0</v>
      </c>
      <c r="K22" s="8"/>
      <c r="L22" s="8"/>
      <c r="M22" s="8">
        <f t="shared" si="2"/>
        <v>0</v>
      </c>
    </row>
    <row r="23" spans="3:13" x14ac:dyDescent="0.25">
      <c r="C23" s="8" t="s">
        <v>81</v>
      </c>
      <c r="D23" s="8">
        <v>2.4500000000000002</v>
      </c>
      <c r="E23" s="8">
        <v>1.35</v>
      </c>
      <c r="F23" s="8">
        <f t="shared" si="0"/>
        <v>3.3075000000000006</v>
      </c>
      <c r="G23" s="8" t="s">
        <v>90</v>
      </c>
      <c r="H23" s="8"/>
      <c r="I23" s="8"/>
      <c r="J23" s="8">
        <f t="shared" si="1"/>
        <v>0</v>
      </c>
      <c r="K23" s="8"/>
      <c r="L23" s="8"/>
      <c r="M23" s="8">
        <f t="shared" si="2"/>
        <v>0</v>
      </c>
    </row>
    <row r="24" spans="3:13" x14ac:dyDescent="0.25">
      <c r="C24" s="8" t="s">
        <v>82</v>
      </c>
      <c r="D24" s="8">
        <v>1.35</v>
      </c>
      <c r="E24" s="8">
        <v>2.4</v>
      </c>
      <c r="F24" s="8">
        <f t="shared" si="0"/>
        <v>3.24</v>
      </c>
      <c r="G24" s="8" t="s">
        <v>90</v>
      </c>
      <c r="H24" s="8"/>
      <c r="I24" s="8"/>
      <c r="J24" s="8">
        <f t="shared" si="1"/>
        <v>0</v>
      </c>
      <c r="K24" s="8"/>
      <c r="L24" s="8"/>
      <c r="M24" s="8">
        <f t="shared" si="2"/>
        <v>0</v>
      </c>
    </row>
    <row r="25" spans="3:13" x14ac:dyDescent="0.25">
      <c r="C25" s="8" t="s">
        <v>83</v>
      </c>
      <c r="D25" s="8"/>
      <c r="E25" s="8"/>
      <c r="F25" s="8">
        <f t="shared" si="0"/>
        <v>0</v>
      </c>
      <c r="G25" s="8" t="s">
        <v>90</v>
      </c>
      <c r="H25" s="8"/>
      <c r="I25" s="8"/>
      <c r="J25" s="8">
        <f t="shared" si="1"/>
        <v>0</v>
      </c>
      <c r="K25" s="8"/>
      <c r="L25" s="8"/>
      <c r="M25" s="8">
        <f t="shared" si="2"/>
        <v>0</v>
      </c>
    </row>
    <row r="26" spans="3:13" x14ac:dyDescent="0.25">
      <c r="C26" s="8"/>
      <c r="D26" s="8"/>
      <c r="E26" s="8"/>
      <c r="F26" s="8">
        <f t="shared" si="0"/>
        <v>0</v>
      </c>
      <c r="G26" s="8"/>
      <c r="H26" s="8"/>
      <c r="I26" s="8"/>
      <c r="J26" s="8">
        <f t="shared" si="1"/>
        <v>0</v>
      </c>
      <c r="K26" s="8"/>
      <c r="L26" s="8"/>
      <c r="M26" s="8">
        <f t="shared" si="2"/>
        <v>0</v>
      </c>
    </row>
    <row r="27" spans="3:13" x14ac:dyDescent="0.25">
      <c r="C27" s="8" t="s">
        <v>77</v>
      </c>
      <c r="D27" s="8"/>
      <c r="E27" s="8"/>
      <c r="F27" s="8">
        <f t="shared" si="0"/>
        <v>0</v>
      </c>
      <c r="G27" s="8"/>
      <c r="H27" s="8"/>
      <c r="I27" s="8"/>
      <c r="J27" s="8">
        <f t="shared" si="1"/>
        <v>0</v>
      </c>
      <c r="K27" s="8"/>
      <c r="L27" s="8"/>
      <c r="M27" s="8">
        <f t="shared" si="2"/>
        <v>0</v>
      </c>
    </row>
    <row r="28" spans="3:13" x14ac:dyDescent="0.25">
      <c r="C28" s="8" t="s">
        <v>78</v>
      </c>
      <c r="D28" s="8"/>
      <c r="E28" s="8"/>
      <c r="F28" s="8">
        <f t="shared" si="0"/>
        <v>0</v>
      </c>
      <c r="G28" s="8"/>
      <c r="H28" s="8"/>
      <c r="I28" s="8"/>
      <c r="J28" s="8">
        <f t="shared" si="1"/>
        <v>0</v>
      </c>
      <c r="K28" s="8"/>
      <c r="L28" s="8"/>
      <c r="M28" s="8">
        <f t="shared" si="2"/>
        <v>0</v>
      </c>
    </row>
    <row r="29" spans="3:13" x14ac:dyDescent="0.25">
      <c r="C29" s="8" t="s">
        <v>79</v>
      </c>
      <c r="D29" s="8"/>
      <c r="E29" s="8"/>
      <c r="F29" s="8">
        <f t="shared" si="0"/>
        <v>0</v>
      </c>
      <c r="G29" s="8"/>
      <c r="H29" s="8"/>
      <c r="I29" s="8"/>
      <c r="J29" s="8">
        <f t="shared" si="1"/>
        <v>0</v>
      </c>
      <c r="K29" s="8"/>
      <c r="L29" s="8"/>
      <c r="M29" s="8">
        <f t="shared" si="2"/>
        <v>0</v>
      </c>
    </row>
    <row r="30" spans="3:13" x14ac:dyDescent="0.25">
      <c r="C30" s="8" t="s">
        <v>80</v>
      </c>
      <c r="D30" s="8"/>
      <c r="E30" s="8"/>
      <c r="F30" s="8">
        <f t="shared" si="0"/>
        <v>0</v>
      </c>
      <c r="G30" s="8"/>
      <c r="H30" s="8"/>
      <c r="I30" s="8"/>
      <c r="J30" s="8">
        <f>H30*I30</f>
        <v>0</v>
      </c>
      <c r="K30" s="8"/>
      <c r="L30" s="8"/>
      <c r="M30" s="8">
        <f>K30*L30</f>
        <v>0</v>
      </c>
    </row>
    <row r="31" spans="3:13" x14ac:dyDescent="0.25">
      <c r="C31" s="8"/>
      <c r="D31" s="8"/>
      <c r="E31" s="8"/>
      <c r="F31" s="8">
        <f t="shared" si="0"/>
        <v>0</v>
      </c>
      <c r="G31" s="8"/>
      <c r="H31" s="8"/>
      <c r="I31" s="8"/>
      <c r="J31" s="8">
        <f>H31*I31</f>
        <v>0</v>
      </c>
      <c r="K31" s="8"/>
      <c r="L31" s="8"/>
      <c r="M31" s="8">
        <f>K31*L31</f>
        <v>0</v>
      </c>
    </row>
    <row r="32" spans="3:13" x14ac:dyDescent="0.25">
      <c r="C32" s="8"/>
      <c r="D32" s="8"/>
      <c r="E32" s="8"/>
      <c r="F32" s="8">
        <f t="shared" si="0"/>
        <v>0</v>
      </c>
      <c r="G32" s="8"/>
      <c r="H32" s="8"/>
      <c r="I32" s="8"/>
      <c r="J32" s="8">
        <f>H32*I32</f>
        <v>0</v>
      </c>
      <c r="K32" s="8"/>
      <c r="L32" s="8"/>
      <c r="M32" s="8">
        <f>K32*L32</f>
        <v>0</v>
      </c>
    </row>
    <row r="33" spans="3:13" x14ac:dyDescent="0.25">
      <c r="C33" s="8"/>
      <c r="D33" s="8"/>
      <c r="E33" s="8"/>
      <c r="F33" s="8">
        <f t="shared" si="0"/>
        <v>0</v>
      </c>
      <c r="G33" s="8"/>
      <c r="H33" s="8"/>
      <c r="I33" s="8"/>
      <c r="J33" s="8">
        <f>H33*I33</f>
        <v>0</v>
      </c>
      <c r="K33" s="8"/>
      <c r="L33" s="8"/>
      <c r="M33" s="8">
        <f>K33*L33</f>
        <v>0</v>
      </c>
    </row>
    <row r="34" spans="3:13" x14ac:dyDescent="0.25">
      <c r="C34" s="8" t="s">
        <v>84</v>
      </c>
      <c r="D34" s="8"/>
      <c r="E34" s="8">
        <f>F34*10.764</f>
        <v>388.38126600000004</v>
      </c>
      <c r="F34" s="8">
        <f>SUM(F6:F33)</f>
        <v>36.081500000000005</v>
      </c>
      <c r="G34" s="8"/>
      <c r="H34" s="8"/>
      <c r="I34" s="8">
        <f>J34*10.764</f>
        <v>115.82602199999999</v>
      </c>
      <c r="J34" s="8">
        <f>SUM(J6:J33)</f>
        <v>10.7605</v>
      </c>
      <c r="K34" s="8"/>
      <c r="L34" s="8">
        <f>M34*10.764</f>
        <v>0</v>
      </c>
      <c r="M34" s="8">
        <f>SUM(M6:M33)</f>
        <v>0</v>
      </c>
    </row>
    <row r="36" spans="3:13" x14ac:dyDescent="0.25">
      <c r="F36">
        <f>F34+J34</f>
        <v>46.842000000000006</v>
      </c>
      <c r="H36" s="24">
        <f>38.55+4.24+1.61+3.53</f>
        <v>47.93</v>
      </c>
    </row>
    <row r="37" spans="3:13" x14ac:dyDescent="0.25">
      <c r="F37">
        <f>E34+I34</f>
        <v>504.20728800000006</v>
      </c>
    </row>
  </sheetData>
  <mergeCells count="4">
    <mergeCell ref="D2:E2"/>
    <mergeCell ref="D4:F4"/>
    <mergeCell ref="H4:J4"/>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Sheet1</vt:lpstr>
      <vt:lpstr>Note</vt:lpstr>
      <vt:lpstr>Valuation</vt:lpstr>
      <vt:lpstr>Construction %</vt:lpstr>
      <vt:lpstr>1 &amp; 2</vt:lpstr>
      <vt:lpstr>3</vt:lpstr>
      <vt:lpstr>4</vt:lpstr>
      <vt:lpstr>5 &amp; 6</vt:lpstr>
      <vt:lpstr>7</vt:lpstr>
      <vt:lpstr>8</vt:lpstr>
      <vt:lpstr>T1&amp;3</vt:lpstr>
      <vt:lpstr>T2</vt:lpstr>
      <vt:lpstr>T4&amp;5</vt:lpstr>
      <vt:lpstr>T6</vt:lpstr>
      <vt:lpstr>T7</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2025-09-10T10:50:50Z</cp:lastPrinted>
  <dcterms:created xsi:type="dcterms:W3CDTF">2013-11-23T05:32:33Z</dcterms:created>
  <dcterms:modified xsi:type="dcterms:W3CDTF">2025-09-10T10:50:59Z</dcterms:modified>
</cp:coreProperties>
</file>