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68EB05BC-CAB4-4F5C-AED0-7A0E6F656C66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4" i="1" l="1"/>
  <c r="J196" i="1"/>
  <c r="H84" i="1"/>
  <c r="J88" i="1" l="1"/>
  <c r="C87" i="1" s="1"/>
  <c r="D87" i="1" s="1"/>
  <c r="D91" i="1"/>
  <c r="D92" i="1"/>
  <c r="J86" i="1"/>
  <c r="D94" i="1"/>
  <c r="D93" i="1"/>
  <c r="D95" i="1"/>
  <c r="J83" i="1"/>
  <c r="J85" i="1" s="1"/>
  <c r="D90" i="1"/>
  <c r="D96" i="1"/>
  <c r="J87" i="1"/>
  <c r="D89" i="1"/>
  <c r="J92" i="1"/>
  <c r="J91" i="1"/>
  <c r="J94" i="1"/>
  <c r="J89" i="1"/>
  <c r="J90" i="1" s="1"/>
  <c r="J95" i="1" s="1"/>
  <c r="J93" i="1"/>
  <c r="E42" i="1"/>
  <c r="I44" i="1"/>
  <c r="E43" i="1"/>
  <c r="J96" i="1" l="1"/>
  <c r="C88" i="1" s="1"/>
  <c r="E44" i="1"/>
  <c r="E87" i="1" l="1"/>
  <c r="D88" i="1"/>
  <c r="I84" i="1" s="1"/>
  <c r="G87" i="1"/>
  <c r="J84" i="1"/>
  <c r="F169" i="1"/>
  <c r="G169" i="1"/>
  <c r="G170" i="1" s="1"/>
  <c r="G171" i="1" s="1"/>
  <c r="G172" i="1" s="1"/>
  <c r="A170" i="1"/>
  <c r="A171" i="1" s="1"/>
  <c r="A172" i="1" s="1"/>
  <c r="F170" i="1"/>
  <c r="F171" i="1"/>
  <c r="F172" i="1"/>
  <c r="A219" i="1"/>
  <c r="A220" i="1" s="1"/>
  <c r="A221" i="1" s="1"/>
  <c r="A222" i="1" s="1"/>
  <c r="A223" i="1" s="1"/>
  <c r="A224" i="1" s="1"/>
  <c r="A225" i="1" s="1"/>
  <c r="A226" i="1" s="1"/>
  <c r="A227" i="1" s="1"/>
  <c r="A228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G218" i="1"/>
  <c r="K200" i="1"/>
  <c r="J200" i="1"/>
  <c r="K198" i="1"/>
  <c r="J198" i="1"/>
  <c r="K196" i="1"/>
  <c r="I206" i="1"/>
  <c r="I205" i="1"/>
  <c r="I204" i="1"/>
  <c r="I203" i="1"/>
  <c r="I202" i="1"/>
  <c r="I201" i="1"/>
  <c r="I200" i="1"/>
  <c r="I199" i="1"/>
  <c r="I198" i="1"/>
  <c r="I197" i="1"/>
  <c r="I196" i="1"/>
  <c r="K178" i="1"/>
  <c r="J178" i="1"/>
  <c r="I171" i="1"/>
  <c r="D181" i="1"/>
  <c r="I175" i="1"/>
  <c r="D185" i="1"/>
  <c r="F185" i="1" s="1"/>
  <c r="K171" i="1"/>
  <c r="J171" i="1"/>
  <c r="I180" i="1"/>
  <c r="I179" i="1"/>
  <c r="I178" i="1"/>
  <c r="I177" i="1"/>
  <c r="I176" i="1"/>
  <c r="I174" i="1"/>
  <c r="I173" i="1"/>
  <c r="I172" i="1"/>
  <c r="I170" i="1"/>
  <c r="K170" i="1"/>
  <c r="J170" i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D209" i="1"/>
  <c r="D208" i="1"/>
  <c r="D207" i="1"/>
  <c r="D206" i="1"/>
  <c r="D201" i="1"/>
  <c r="F201" i="1" s="1"/>
  <c r="D200" i="1"/>
  <c r="F200" i="1" s="1"/>
  <c r="D199" i="1"/>
  <c r="F199" i="1" s="1"/>
  <c r="D198" i="1"/>
  <c r="F198" i="1" s="1"/>
  <c r="D197" i="1"/>
  <c r="D196" i="1"/>
  <c r="D195" i="1"/>
  <c r="D194" i="1"/>
  <c r="D193" i="1"/>
  <c r="D192" i="1"/>
  <c r="F197" i="1"/>
  <c r="D190" i="1"/>
  <c r="F190" i="1" s="1"/>
  <c r="J190" i="1" s="1"/>
  <c r="D189" i="1"/>
  <c r="F189" i="1" s="1"/>
  <c r="D188" i="1"/>
  <c r="F188" i="1" s="1"/>
  <c r="J188" i="1" s="1"/>
  <c r="D187" i="1"/>
  <c r="F187" i="1" s="1"/>
  <c r="D186" i="1"/>
  <c r="F186" i="1" s="1"/>
  <c r="D184" i="1"/>
  <c r="F184" i="1" s="1"/>
  <c r="D183" i="1"/>
  <c r="D182" i="1"/>
  <c r="D180" i="1"/>
  <c r="C125" i="1"/>
  <c r="A180" i="1"/>
  <c r="I85" i="1" l="1"/>
  <c r="I83" i="1" s="1"/>
  <c r="C85" i="1" s="1"/>
  <c r="C160" i="1"/>
  <c r="E160" i="1"/>
  <c r="C161" i="1"/>
  <c r="C162" i="1" s="1"/>
  <c r="E161" i="1"/>
  <c r="A181" i="1"/>
  <c r="E162" i="1" l="1"/>
  <c r="A182" i="1"/>
  <c r="Z12" i="1" l="1"/>
  <c r="I14" i="1"/>
  <c r="A183" i="1"/>
  <c r="F180" i="1" l="1"/>
  <c r="J180" i="1" s="1"/>
  <c r="J191" i="1" s="1"/>
  <c r="A184" i="1"/>
  <c r="E163" i="1" l="1"/>
  <c r="C163" i="1"/>
  <c r="A185" i="1"/>
  <c r="C15" i="1" l="1"/>
  <c r="A186" i="1"/>
  <c r="E30" i="1" l="1"/>
  <c r="A187" i="1"/>
  <c r="F181" i="1" l="1"/>
  <c r="F182" i="1"/>
  <c r="F183" i="1"/>
  <c r="G180" i="1"/>
  <c r="A188" i="1"/>
  <c r="F152" i="1" l="1"/>
  <c r="A189" i="1"/>
  <c r="B231" i="1" l="1"/>
  <c r="A206" i="1"/>
  <c r="A190" i="1"/>
  <c r="F210" i="1" l="1"/>
  <c r="F209" i="1"/>
  <c r="F208" i="1"/>
  <c r="F207" i="1"/>
  <c r="F206" i="1"/>
  <c r="F196" i="1"/>
  <c r="F195" i="1"/>
  <c r="F193" i="1"/>
  <c r="F192" i="1"/>
  <c r="F194" i="1"/>
  <c r="A207" i="1"/>
  <c r="G160" i="1" l="1"/>
  <c r="G161" i="1"/>
  <c r="B232" i="1"/>
  <c r="A208" i="1"/>
  <c r="G162" i="1" l="1"/>
  <c r="G16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3" i="1"/>
  <c r="G206" i="1"/>
  <c r="G192" i="1"/>
  <c r="A192" i="1"/>
  <c r="A193" i="1" s="1"/>
  <c r="A194" i="1" s="1"/>
  <c r="A195" i="1" s="1"/>
  <c r="A196" i="1" s="1"/>
  <c r="C111" i="1"/>
  <c r="B112" i="1" s="1"/>
  <c r="C97" i="1"/>
  <c r="B98" i="1" s="1"/>
  <c r="B70" i="1"/>
  <c r="G50" i="1"/>
  <c r="G51" i="1" s="1"/>
  <c r="C50" i="1"/>
  <c r="E27" i="1"/>
  <c r="E25" i="1"/>
  <c r="E7" i="1"/>
  <c r="E3" i="1"/>
  <c r="H112" i="1"/>
  <c r="A209" i="1"/>
  <c r="A197" i="1" l="1"/>
  <c r="A198" i="1" s="1"/>
  <c r="A199" i="1" s="1"/>
  <c r="A200" i="1" s="1"/>
  <c r="A201" i="1" s="1"/>
  <c r="A202" i="1" s="1"/>
  <c r="D63" i="1"/>
  <c r="C117" i="1"/>
  <c r="J111" i="1" s="1"/>
  <c r="J113" i="1" s="1"/>
  <c r="J115" i="1"/>
  <c r="D124" i="1"/>
  <c r="D122" i="1"/>
  <c r="D120" i="1"/>
  <c r="D118" i="1"/>
  <c r="J116" i="1"/>
  <c r="C115" i="1" s="1"/>
  <c r="J114" i="1"/>
  <c r="J117" i="1"/>
  <c r="J118" i="1" s="1"/>
  <c r="J123" i="1" s="1"/>
  <c r="D123" i="1"/>
  <c r="D121" i="1"/>
  <c r="D119" i="1"/>
  <c r="H98" i="1"/>
  <c r="H70" i="1"/>
  <c r="A210" i="1"/>
  <c r="J102" i="1" l="1"/>
  <c r="J100" i="1"/>
  <c r="J103" i="1"/>
  <c r="J104" i="1" s="1"/>
  <c r="J109" i="1" s="1"/>
  <c r="J97" i="1"/>
  <c r="J99" i="1" s="1"/>
  <c r="D105" i="1"/>
  <c r="D107" i="1"/>
  <c r="D110" i="1"/>
  <c r="D104" i="1"/>
  <c r="D108" i="1"/>
  <c r="D109" i="1"/>
  <c r="D106" i="1"/>
  <c r="J101" i="1"/>
  <c r="D82" i="1"/>
  <c r="D80" i="1"/>
  <c r="D79" i="1"/>
  <c r="D76" i="1"/>
  <c r="D78" i="1"/>
  <c r="J75" i="1"/>
  <c r="J76" i="1" s="1"/>
  <c r="J81" i="1" s="1"/>
  <c r="D81" i="1"/>
  <c r="J69" i="1"/>
  <c r="J71" i="1" s="1"/>
  <c r="D77" i="1"/>
  <c r="J73" i="1"/>
  <c r="J74" i="1"/>
  <c r="J72" i="1"/>
  <c r="J119" i="1"/>
  <c r="J120" i="1" s="1"/>
  <c r="J121" i="1" s="1"/>
  <c r="J122" i="1" s="1"/>
  <c r="J124" i="1" s="1"/>
  <c r="C116" i="1" s="1"/>
  <c r="J105" i="1"/>
  <c r="J106" i="1" s="1"/>
  <c r="J107" i="1" s="1"/>
  <c r="J108" i="1" s="1"/>
  <c r="J77" i="1"/>
  <c r="J78" i="1" s="1"/>
  <c r="J79" i="1" s="1"/>
  <c r="J80" i="1" s="1"/>
  <c r="D117" i="1"/>
  <c r="D115" i="1"/>
  <c r="D103" i="1"/>
  <c r="D75" i="1"/>
  <c r="A211" i="1"/>
  <c r="C101" i="1" l="1"/>
  <c r="D101" i="1" s="1"/>
  <c r="C73" i="1"/>
  <c r="D73" i="1" s="1"/>
  <c r="J82" i="1"/>
  <c r="C74" i="1" s="1"/>
  <c r="E115" i="1"/>
  <c r="G115" i="1"/>
  <c r="D116" i="1"/>
  <c r="I112" i="1" s="1"/>
  <c r="J110" i="1"/>
  <c r="C102" i="1" s="1"/>
  <c r="J112" i="1"/>
  <c r="A212" i="1"/>
  <c r="J98" i="1" l="1"/>
  <c r="G73" i="1"/>
  <c r="D67" i="1" s="1"/>
  <c r="D68" i="1" s="1"/>
  <c r="J70" i="1"/>
  <c r="D74" i="1"/>
  <c r="E73" i="1"/>
  <c r="E101" i="1"/>
  <c r="G101" i="1"/>
  <c r="D102" i="1"/>
  <c r="I98" i="1" s="1"/>
  <c r="I99" i="1" s="1"/>
  <c r="I113" i="1"/>
  <c r="A213" i="1"/>
  <c r="I111" i="1" l="1"/>
  <c r="C113" i="1" s="1"/>
  <c r="F68" i="1"/>
  <c r="I70" i="1"/>
  <c r="I71" i="1" s="1"/>
  <c r="I97" i="1"/>
  <c r="C99" i="1" s="1"/>
  <c r="A214" i="1"/>
  <c r="I69" i="1" l="1"/>
  <c r="C71" i="1" s="1"/>
  <c r="B126" i="1"/>
  <c r="A215" i="1"/>
  <c r="H126" i="1"/>
  <c r="D137" i="1" l="1"/>
  <c r="J129" i="1"/>
  <c r="D136" i="1"/>
  <c r="D132" i="1"/>
  <c r="D138" i="1"/>
  <c r="J130" i="1"/>
  <c r="C129" i="1" s="1"/>
  <c r="D129" i="1" s="1"/>
  <c r="D135" i="1"/>
  <c r="C131" i="1"/>
  <c r="J125" i="1" s="1"/>
  <c r="J127" i="1" s="1"/>
  <c r="D134" i="1"/>
  <c r="J128" i="1"/>
  <c r="D133" i="1"/>
  <c r="J136" i="1"/>
  <c r="J134" i="1"/>
  <c r="J133" i="1"/>
  <c r="J135" i="1"/>
  <c r="J131" i="1"/>
  <c r="J132" i="1" s="1"/>
  <c r="J137" i="1" s="1"/>
  <c r="J138" i="1" s="1"/>
  <c r="C130" i="1" s="1"/>
  <c r="A216" i="1"/>
  <c r="D131" i="1" l="1"/>
  <c r="E129" i="1"/>
  <c r="D130" i="1"/>
  <c r="G129" i="1"/>
  <c r="J126" i="1"/>
  <c r="I126" i="1" l="1"/>
  <c r="I127" i="1" s="1"/>
  <c r="I125" i="1" l="1"/>
  <c r="C1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<sst xmlns="http://schemas.openxmlformats.org/spreadsheetml/2006/main" count="585" uniqueCount="294">
  <si>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</si>
  <si>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</si>
  <si>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</si>
  <si>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</si>
  <si>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</si>
  <si>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</si>
  <si>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</si>
  <si>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</si>
  <si>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</si>
  <si>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</si>
  <si>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</si>
  <si>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</si>
  <si>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</si>
  <si>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</si>
  <si>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</si>
  <si>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</si>
  <si>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</si>
  <si>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</si>
  <si>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</si>
  <si>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</si>
  <si>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</si>
  <si>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</si>
  <si>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</si>
  <si>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</si>
  <si>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</si>
  <si>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</si>
  <si>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</si>
  <si>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</si>
  <si>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</si>
  <si>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</si>
  <si>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</si>
  <si>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</si>
  <si>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</si>
  <si>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</si>
  <si>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</si>
  <si>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</si>
  <si>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</si>
  <si>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</si>
  <si>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</si>
  <si>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</si>
  <si>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</si>
  <si>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</si>
  <si>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</si>
  <si>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</si>
  <si>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</si>
  <si>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</si>
  <si>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</si>
  <si>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</si>
  <si>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</si>
  <si>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</si>
  <si>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</si>
  <si>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</si>
  <si>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</si>
  <si>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</si>
  <si>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</si>
  <si>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</si>
  <si>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</si>
  <si>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</si>
  <si>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</si>
  <si>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</si>
  <si>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</si>
  <si>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</si>
  <si>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</si>
  <si>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</si>
  <si>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</si>
  <si>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</si>
  <si>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</si>
  <si>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</si>
  <si>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</si>
  <si>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</si>
  <si>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</si>
  <si>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</si>
  <si>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</si>
  <si>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</si>
  <si>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</si>
  <si>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</si>
  <si>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</si>
  <si>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</si>
  <si>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</si>
  <si>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</si>
  <si>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</si>
  <si>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</si>
  <si>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</si>
  <si>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</si>
  <si>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</si>
  <si>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</si>
  <si>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</si>
  <si>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</si>
  <si>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</si>
  <si>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</si>
  <si>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</si>
  <si>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</si>
  <si>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</si>
  <si>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</si>
  <si>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</si>
  <si>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</si>
  <si>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</si>
  <si>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</si>
  <si>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</si>
  <si>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</si>
  <si>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</si>
  <si>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</si>
  <si>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</si>
  <si>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</si>
  <si>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</si>
  <si>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</si>
  <si>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</si>
  <si>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</si>
  <si>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</si>
  <si>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</si>
  <si>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</si>
  <si>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</si>
  <si>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</si>
  <si>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</si>
  <si>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</si>
  <si>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</si>
  <si>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</si>
  <si>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</si>
  <si>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</si>
  <si>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</si>
  <si>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</si>
  <si>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</si>
  <si>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</si>
  <si>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</si>
  <si>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</si>
  <si>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</si>
  <si>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</si>
  <si>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</si>
  <si>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</si>
  <si>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</si>
  <si>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</si>
  <si>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</si>
  <si>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</si>
  <si>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</si>
  <si>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</si>
  <si>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</si>
  <si>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</si>
  <si>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</si>
  <si>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</si>
  <si>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</si>
  <si>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</si>
  <si>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</si>
  <si>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</si>
  <si>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</si>
  <si>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</si>
  <si>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</si>
  <si>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</si>
  <si>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</si>
  <si>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</si>
  <si>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</si>
  <si>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</si>
  <si>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</si>
  <si>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</si>
  <si>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</si>
  <si>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</si>
  <si>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</si>
  <si>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</si>
  <si>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</si>
  <si>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</si>
  <si>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</si>
  <si>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</si>
  <si>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</si>
  <si>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</si>
  <si>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</si>
  <si>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</si>
  <si>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</si>
  <si>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</si>
  <si>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</si>
  <si>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</si>
  <si>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</si>
  <si>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</si>
  <si>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</si>
  <si>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</si>
  <si>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</si>
  <si>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</si>
  <si>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</si>
  <si>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</si>
  <si>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</si>
  <si>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</si>
  <si>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</si>
  <si>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</si>
  <si>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</si>
  <si>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</si>
  <si>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</si>
  <si>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</si>
  <si>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</si>
  <si>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</si>
  <si>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</si>
  <si>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</si>
  <si>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</si>
  <si>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</si>
  <si>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</si>
  <si>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</si>
  <si>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</si>
  <si>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</si>
  <si>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</si>
  <si>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</si>
  <si>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</si>
  <si>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</si>
  <si>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</si>
  <si>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</si>
  <si>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</si>
  <si>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</si>
  <si>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</si>
  <si>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</si>
  <si>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</si>
  <si>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</si>
  <si>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</si>
  <si>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</si>
  <si>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</si>
  <si>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</si>
  <si>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</si>
  <si>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</si>
  <si>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</si>
  <si>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</si>
  <si>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</si>
  <si>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</si>
  <si>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</si>
  <si>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</si>
  <si>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</si>
  <si>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</si>
  <si>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</si>
  <si>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</si>
  <si>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</si>
  <si>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</si>
  <si>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</si>
  <si>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</si>
  <si>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</si>
  <si>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</si>
  <si>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</si>
  <si>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</si>
  <si>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</si>
  <si>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</si>
  <si>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</si>
  <si>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Nirvaana Construction Co</t>
  </si>
  <si>
    <t>Nirvaana Residency Phase I &amp; II</t>
  </si>
  <si>
    <t>Mr.Deepak Shinde (8779898058)</t>
  </si>
  <si>
    <t>Phase I = P52000013902
Phase II = P52000016647</t>
  </si>
  <si>
    <t>Gut No</t>
  </si>
  <si>
    <t>106/0, Sub Plot No. 1 to 25</t>
  </si>
  <si>
    <t>Vanjale</t>
  </si>
  <si>
    <t>Karjat-Neral Road</t>
  </si>
  <si>
    <t>Eco Greens</t>
  </si>
  <si>
    <t>Dmart</t>
  </si>
  <si>
    <t>3.40KM from Karjat Railway Station</t>
  </si>
  <si>
    <t>Gut No. 102 Sub Plot No. 1</t>
  </si>
  <si>
    <t>Gut No. 109</t>
  </si>
  <si>
    <t>Gut No. 1</t>
  </si>
  <si>
    <t>Gut No. 107 &amp; 108</t>
  </si>
  <si>
    <t>Open plot</t>
  </si>
  <si>
    <t>Internal Road</t>
  </si>
  <si>
    <t>18.932789,73.321963</t>
  </si>
  <si>
    <t>https://goo.gl/maps/T3TEdCjxXhFrHX3s8</t>
  </si>
  <si>
    <t>Collector of Raigad</t>
  </si>
  <si>
    <t>MS/LNA-1S/06/2021</t>
  </si>
  <si>
    <t>MS/L.N.A.1(B)/Token No.15228/06/2021</t>
  </si>
  <si>
    <t>Building No. 1 = Gr + 1st to 11th Floor
Building No. 2, 3 &amp; 4 = Gr + 1st to 7th Floor</t>
  </si>
  <si>
    <t>Building No.2 (A &amp; B Wing) = G + 1st to 7th Floor</t>
  </si>
  <si>
    <t>Building No.3 = G + 1st to 7th Floor</t>
  </si>
  <si>
    <t>Building No.4 = G + 1st to 7th Floor</t>
  </si>
  <si>
    <t>Ground Floor For Parking</t>
  </si>
  <si>
    <t>1BHK</t>
  </si>
  <si>
    <t>2BHK</t>
  </si>
  <si>
    <t>Building No.1 (A &amp; B Wing) = G + 1st to 11th Floor
Building No.2 (A &amp; B Wing) = G + 1st to 7th Floor
Building No.3 = G + 1st to 7th Floor
Building No.4 = G + 1st to 7th Floor</t>
  </si>
  <si>
    <t>Building No.1 (A &amp; B Wing) = G + 1st to 11th Floor</t>
  </si>
  <si>
    <t>8th Floor (Part Refuge Area)</t>
  </si>
  <si>
    <t>Refuge Area</t>
  </si>
  <si>
    <t>1st to 7th &amp; 9th to 11th Floor For Residential</t>
  </si>
  <si>
    <t xml:space="preserve">Details of Residential in Building   </t>
  </si>
  <si>
    <t>Building No. 1 Wing A</t>
  </si>
  <si>
    <t>Building No. 1 Wing B</t>
  </si>
  <si>
    <t>Flats - 240</t>
  </si>
  <si>
    <t>Building No. 1</t>
  </si>
  <si>
    <t>We considered Gross carpet area = Net carpet + Balcony.</t>
  </si>
  <si>
    <t>Floor Rise Rate from Floor</t>
  </si>
  <si>
    <t xml:space="preserve">Yoga/Meditation Area, Children's Play Area, Cycling &amp; Jogging Track, Gymnasium, Club House, Landscaping &amp; Tree Planting &amp; Swimming Pool, etc.
</t>
  </si>
  <si>
    <t>Phase I = Building No.2 Wing A &amp; B, 
Building No.4
Phase II = Building No.1 Wing A &amp; B, 
Building No.3</t>
  </si>
  <si>
    <t>06 Buildings</t>
  </si>
  <si>
    <t>Wing A</t>
  </si>
  <si>
    <t>Wing B</t>
  </si>
  <si>
    <t>https://housing.com/in/buy/projects/page/102260-nirvaana-residency-by-nirvaana-construction-in-karjat</t>
  </si>
  <si>
    <t>Phase II</t>
  </si>
  <si>
    <t>Approved Plans, CC &amp; Cost Sheet.</t>
  </si>
  <si>
    <t>We have updated revised plans &amp; CC for Phase II (building no.1 wing A &amp; B) (on 18/09/2023).</t>
  </si>
  <si>
    <t>Cost Sheet</t>
  </si>
  <si>
    <t>Karjat (West)</t>
  </si>
  <si>
    <t>Naynesh Sunil Lovanshi</t>
  </si>
  <si>
    <t>Building No.1 (A Wing) = G + 1st to 11th Floor</t>
  </si>
  <si>
    <t>Allready Given extra % For 1B Wing</t>
  </si>
  <si>
    <t>Building No.1 (B Wing) = G + 1st to 11th Floor</t>
  </si>
  <si>
    <t xml:space="preserve">As per RERA, completion period of project Nirvaana Residency Phase I is expired on 29/12/2024 but still project is under construction.
</t>
  </si>
  <si>
    <t>Building No. 1 (Wing A) = Construction work is in process at the time of Visit.(Slow Speed)
Building No. 1 (Wing B) = Construction work is same as last visit dtd.12/08/2024
Building No. 2 (Wing A &amp; B) = All work completed. Please provide OC.
Building No. 3 &amp; 4 =  All work completed. Please provide OC.</t>
  </si>
  <si>
    <t>As per RERA - Phase I = Completed, Phase II = 30/12/2025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</si>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</sst>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0.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vertical="top" wrapText="1"/>
      <protection locked="0"/>
    </xf>
    <xf numFmtId="0" fontId="13" fillId="0" borderId="0" xfId="1" applyFont="1" applyAlignment="1" applyProtection="1">
      <alignment vertical="top"/>
      <protection locked="0"/>
    </xf>
    <xf numFmtId="0" fontId="14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/>
    </xf>
    <xf numFmtId="165" fontId="7" fillId="0" borderId="0" xfId="1" applyNumberFormat="1" applyFont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1" fontId="7" fillId="0" borderId="0" xfId="1" applyNumberFormat="1" applyFont="1" applyAlignment="1">
      <alignment horizontal="center" vertical="top" wrapText="1"/>
    </xf>
    <xf numFmtId="1" fontId="3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2" borderId="0" xfId="1" applyFont="1" applyFill="1"/>
    <xf numFmtId="0" fontId="24" fillId="2" borderId="15" xfId="0" applyFont="1" applyFill="1" applyBorder="1"/>
    <xf numFmtId="0" fontId="25" fillId="0" borderId="9" xfId="0" applyFont="1" applyBorder="1"/>
    <xf numFmtId="1" fontId="30" fillId="0" borderId="8" xfId="0" applyNumberFormat="1" applyFont="1" applyBorder="1" applyAlignment="1" applyProtection="1">
      <alignment vertical="top" wrapText="1"/>
      <protection locked="0"/>
    </xf>
    <xf numFmtId="1" fontId="30" fillId="0" borderId="21" xfId="0" applyNumberFormat="1" applyFont="1" applyBorder="1" applyAlignment="1" applyProtection="1">
      <alignment vertical="top" wrapText="1"/>
      <protection locked="0"/>
    </xf>
    <xf numFmtId="1" fontId="30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68" fontId="7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26" fillId="0" borderId="0" xfId="10" applyAlignment="1">
      <alignment horizontal="center" wrapText="1"/>
    </xf>
    <xf numFmtId="0" fontId="7" fillId="0" borderId="0" xfId="1" applyFont="1" applyAlignment="1">
      <alignment horizontal="center" wrapText="1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69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8" fontId="10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907113</xdr:colOff>
      <xdr:row>258</xdr:row>
      <xdr:rowOff>4939</xdr:rowOff>
    </xdr:from>
    <xdr:ext cx="1003352" cy="43678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850838" y="50049289"/>
          <a:ext cx="100335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100" b="1">
              <a:solidFill>
                <a:srgbClr val="C00000"/>
              </a:solidFill>
            </a:rPr>
            <a:t>Building No. 2</a:t>
          </a:r>
        </a:p>
        <a:p>
          <a:pPr algn="ctr"/>
          <a:r>
            <a:rPr lang="en-IN" sz="1100" b="1">
              <a:solidFill>
                <a:srgbClr val="C00000"/>
              </a:solidFill>
            </a:rPr>
            <a:t>Wing</a:t>
          </a:r>
          <a:r>
            <a:rPr lang="en-IN" sz="1100" b="1" baseline="0">
              <a:solidFill>
                <a:srgbClr val="C00000"/>
              </a:solidFill>
            </a:rPr>
            <a:t> A</a:t>
          </a:r>
          <a:endParaRPr lang="en-IN" sz="1100" b="1">
            <a:solidFill>
              <a:srgbClr val="C00000"/>
            </a:solidFill>
          </a:endParaRPr>
        </a:p>
      </xdr:txBody>
    </xdr:sp>
    <xdr:clientData/>
  </xdr:oneCellAnchor>
  <xdr:oneCellAnchor>
    <xdr:from>
      <xdr:col>8</xdr:col>
      <xdr:colOff>515758</xdr:colOff>
      <xdr:row>278</xdr:row>
      <xdr:rowOff>47785</xdr:rowOff>
    </xdr:from>
    <xdr:ext cx="100335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893367" y="53835046"/>
          <a:ext cx="100335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100" b="1">
              <a:solidFill>
                <a:srgbClr val="C00000"/>
              </a:solidFill>
            </a:rPr>
            <a:t>Building No. 2</a:t>
          </a:r>
        </a:p>
        <a:p>
          <a:pPr algn="ctr"/>
          <a:r>
            <a:rPr lang="en-IN" sz="1100" b="1">
              <a:solidFill>
                <a:srgbClr val="C00000"/>
              </a:solidFill>
            </a:rPr>
            <a:t>Wing</a:t>
          </a:r>
          <a:r>
            <a:rPr lang="en-IN" sz="1100" b="1" baseline="0">
              <a:solidFill>
                <a:srgbClr val="C00000"/>
              </a:solidFill>
            </a:rPr>
            <a:t> B</a:t>
          </a:r>
          <a:endParaRPr lang="en-IN" sz="1100" b="1">
            <a:solidFill>
              <a:srgbClr val="C00000"/>
            </a:solidFill>
          </a:endParaRPr>
        </a:p>
      </xdr:txBody>
    </xdr:sp>
    <xdr:clientData/>
  </xdr:oneCellAnchor>
  <xdr:oneCellAnchor>
    <xdr:from>
      <xdr:col>8</xdr:col>
      <xdr:colOff>867449</xdr:colOff>
      <xdr:row>272</xdr:row>
      <xdr:rowOff>12839</xdr:rowOff>
    </xdr:from>
    <xdr:ext cx="1003352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811174" y="52086014"/>
          <a:ext cx="10033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100" b="1">
              <a:solidFill>
                <a:srgbClr val="C00000"/>
              </a:solidFill>
            </a:rPr>
            <a:t>Building No. 3</a:t>
          </a:r>
        </a:p>
      </xdr:txBody>
    </xdr:sp>
    <xdr:clientData/>
  </xdr:oneCellAnchor>
  <xdr:oneCellAnchor>
    <xdr:from>
      <xdr:col>9</xdr:col>
      <xdr:colOff>759108</xdr:colOff>
      <xdr:row>272</xdr:row>
      <xdr:rowOff>1848</xdr:rowOff>
    </xdr:from>
    <xdr:ext cx="1003352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093483" y="52846548"/>
          <a:ext cx="10033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100" b="1">
              <a:solidFill>
                <a:srgbClr val="C00000"/>
              </a:solidFill>
            </a:rPr>
            <a:t>Building No. 4</a:t>
          </a:r>
        </a:p>
      </xdr:txBody>
    </xdr:sp>
    <xdr:clientData/>
  </xdr:oneCellAnchor>
  <xdr:twoCellAnchor editAs="oneCell">
    <xdr:from>
      <xdr:col>1</xdr:col>
      <xdr:colOff>454274</xdr:colOff>
      <xdr:row>300</xdr:row>
      <xdr:rowOff>21981</xdr:rowOff>
    </xdr:from>
    <xdr:to>
      <xdr:col>6</xdr:col>
      <xdr:colOff>311248</xdr:colOff>
      <xdr:row>325</xdr:row>
      <xdr:rowOff>116308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4889" y="57999923"/>
          <a:ext cx="4311744" cy="50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523523</xdr:colOff>
      <xdr:row>326</xdr:row>
      <xdr:rowOff>123342</xdr:rowOff>
    </xdr:from>
    <xdr:to>
      <xdr:col>5</xdr:col>
      <xdr:colOff>220019</xdr:colOff>
      <xdr:row>341</xdr:row>
      <xdr:rowOff>35939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1388" y="63244784"/>
          <a:ext cx="2458746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193234</xdr:colOff>
      <xdr:row>315</xdr:row>
      <xdr:rowOff>189653</xdr:rowOff>
    </xdr:from>
    <xdr:to>
      <xdr:col>3</xdr:col>
      <xdr:colOff>718504</xdr:colOff>
      <xdr:row>323</xdr:row>
      <xdr:rowOff>109212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2132408">
          <a:off x="1871099" y="61134999"/>
          <a:ext cx="1441136" cy="1502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476249</xdr:colOff>
      <xdr:row>322</xdr:row>
      <xdr:rowOff>58614</xdr:rowOff>
    </xdr:from>
    <xdr:ext cx="1035220" cy="43678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069980" y="62388749"/>
          <a:ext cx="103522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Building No.</a:t>
          </a:r>
          <a:r>
            <a:rPr lang="en-IN" sz="1100" b="1" baseline="0">
              <a:solidFill>
                <a:srgbClr val="FF0000"/>
              </a:solidFill>
            </a:rPr>
            <a:t> 1 </a:t>
          </a:r>
        </a:p>
        <a:p>
          <a:r>
            <a:rPr lang="en-IN" sz="1100" b="1" baseline="0">
              <a:solidFill>
                <a:srgbClr val="FF0000"/>
              </a:solidFill>
            </a:rPr>
            <a:t>Wing A &amp; B</a:t>
          </a:r>
          <a:endParaRPr lang="en-IN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718039</xdr:colOff>
      <xdr:row>309</xdr:row>
      <xdr:rowOff>21979</xdr:rowOff>
    </xdr:from>
    <xdr:to>
      <xdr:col>4</xdr:col>
      <xdr:colOff>769328</xdr:colOff>
      <xdr:row>314</xdr:row>
      <xdr:rowOff>43961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rot="2229219">
          <a:off x="3311770" y="59780364"/>
          <a:ext cx="1062404" cy="1011116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124557</xdr:colOff>
      <xdr:row>304</xdr:row>
      <xdr:rowOff>36634</xdr:rowOff>
    </xdr:from>
    <xdr:to>
      <xdr:col>3</xdr:col>
      <xdr:colOff>849923</xdr:colOff>
      <xdr:row>307</xdr:row>
      <xdr:rowOff>175845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19305487">
          <a:off x="2718288" y="58805884"/>
          <a:ext cx="725366" cy="732692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809625</xdr:colOff>
      <xdr:row>304</xdr:row>
      <xdr:rowOff>10991</xdr:rowOff>
    </xdr:from>
    <xdr:to>
      <xdr:col>5</xdr:col>
      <xdr:colOff>685067</xdr:colOff>
      <xdr:row>308</xdr:row>
      <xdr:rowOff>40299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18603722">
          <a:off x="4359519" y="58835193"/>
          <a:ext cx="820616" cy="710711"/>
        </a:xfrm>
        <a:prstGeom prst="rect">
          <a:avLst/>
        </a:prstGeom>
        <a:noFill/>
        <a:ln w="381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630120</xdr:colOff>
      <xdr:row>312</xdr:row>
      <xdr:rowOff>175846</xdr:rowOff>
    </xdr:from>
    <xdr:ext cx="1035220" cy="43678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234966" y="60527711"/>
          <a:ext cx="103522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002060"/>
              </a:solidFill>
            </a:rPr>
            <a:t>Building No.</a:t>
          </a:r>
          <a:r>
            <a:rPr lang="en-IN" sz="1100" b="1" baseline="0">
              <a:solidFill>
                <a:srgbClr val="002060"/>
              </a:solidFill>
            </a:rPr>
            <a:t> 2 </a:t>
          </a:r>
        </a:p>
        <a:p>
          <a:r>
            <a:rPr lang="en-IN" sz="1100" b="1" baseline="0">
              <a:solidFill>
                <a:srgbClr val="002060"/>
              </a:solidFill>
            </a:rPr>
            <a:t>Wing A &amp; B</a:t>
          </a:r>
          <a:endParaRPr lang="en-IN" sz="1100" b="1">
            <a:solidFill>
              <a:srgbClr val="002060"/>
            </a:solidFill>
          </a:endParaRPr>
        </a:p>
      </xdr:txBody>
    </xdr:sp>
    <xdr:clientData/>
  </xdr:oneCellAnchor>
  <xdr:oneCellAnchor>
    <xdr:from>
      <xdr:col>2</xdr:col>
      <xdr:colOff>337043</xdr:colOff>
      <xdr:row>302</xdr:row>
      <xdr:rowOff>124557</xdr:rowOff>
    </xdr:from>
    <xdr:ext cx="1003352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014908" y="58498153"/>
          <a:ext cx="10033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002060"/>
              </a:solidFill>
            </a:rPr>
            <a:t>Building No.</a:t>
          </a:r>
          <a:r>
            <a:rPr lang="en-IN" sz="1100" b="1" baseline="0">
              <a:solidFill>
                <a:srgbClr val="002060"/>
              </a:solidFill>
            </a:rPr>
            <a:t> 4</a:t>
          </a:r>
        </a:p>
      </xdr:txBody>
    </xdr:sp>
    <xdr:clientData/>
  </xdr:oneCellAnchor>
  <xdr:oneCellAnchor>
    <xdr:from>
      <xdr:col>4</xdr:col>
      <xdr:colOff>820620</xdr:colOff>
      <xdr:row>301</xdr:row>
      <xdr:rowOff>183174</xdr:rowOff>
    </xdr:from>
    <xdr:ext cx="1003352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425466" y="58358943"/>
          <a:ext cx="10033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002060"/>
              </a:solidFill>
            </a:rPr>
            <a:t>Building No.</a:t>
          </a:r>
          <a:r>
            <a:rPr lang="en-IN" sz="1100" b="1" baseline="0">
              <a:solidFill>
                <a:srgbClr val="002060"/>
              </a:solidFill>
            </a:rPr>
            <a:t> 3</a:t>
          </a:r>
        </a:p>
      </xdr:txBody>
    </xdr:sp>
    <xdr:clientData/>
  </xdr:oneCellAnchor>
  <xdr:twoCellAnchor editAs="oneCell">
    <xdr:from>
      <xdr:col>0</xdr:col>
      <xdr:colOff>278417</xdr:colOff>
      <xdr:row>365</xdr:row>
      <xdr:rowOff>967</xdr:rowOff>
    </xdr:from>
    <xdr:to>
      <xdr:col>7</xdr:col>
      <xdr:colOff>556281</xdr:colOff>
      <xdr:row>385</xdr:row>
      <xdr:rowOff>4430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8417" y="72237102"/>
          <a:ext cx="5963556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739402</xdr:colOff>
      <xdr:row>344</xdr:row>
      <xdr:rowOff>14654</xdr:rowOff>
    </xdr:from>
    <xdr:to>
      <xdr:col>7</xdr:col>
      <xdr:colOff>95296</xdr:colOff>
      <xdr:row>364</xdr:row>
      <xdr:rowOff>18115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9402" y="66696981"/>
          <a:ext cx="5451894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207384</xdr:colOff>
      <xdr:row>369</xdr:row>
      <xdr:rowOff>149940</xdr:rowOff>
    </xdr:from>
    <xdr:to>
      <xdr:col>4</xdr:col>
      <xdr:colOff>524737</xdr:colOff>
      <xdr:row>378</xdr:row>
      <xdr:rowOff>163792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 rot="914946">
          <a:off x="2801115" y="71777940"/>
          <a:ext cx="1328468" cy="1794294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789139</xdr:colOff>
      <xdr:row>372</xdr:row>
      <xdr:rowOff>5031</xdr:rowOff>
    </xdr:from>
    <xdr:to>
      <xdr:col>2</xdr:col>
      <xdr:colOff>788985</xdr:colOff>
      <xdr:row>376</xdr:row>
      <xdr:rowOff>110871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 rot="924894">
          <a:off x="1551139" y="73625954"/>
          <a:ext cx="798481" cy="897148"/>
        </a:xfrm>
        <a:prstGeom prst="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296740</xdr:colOff>
      <xdr:row>372</xdr:row>
      <xdr:rowOff>69605</xdr:rowOff>
    </xdr:from>
    <xdr:to>
      <xdr:col>2</xdr:col>
      <xdr:colOff>685067</xdr:colOff>
      <xdr:row>376</xdr:row>
      <xdr:rowOff>69605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7153500">
          <a:off x="1655885" y="73892018"/>
          <a:ext cx="791308" cy="388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chemeClr val="accent6">
                  <a:lumMod val="40000"/>
                  <a:lumOff val="60000"/>
                </a:schemeClr>
              </a:solidFill>
            </a:rPr>
            <a:t>Bldg No. 4</a:t>
          </a:r>
        </a:p>
      </xdr:txBody>
    </xdr:sp>
    <xdr:clientData/>
  </xdr:twoCellAnchor>
  <xdr:twoCellAnchor>
    <xdr:from>
      <xdr:col>3</xdr:col>
      <xdr:colOff>860194</xdr:colOff>
      <xdr:row>371</xdr:row>
      <xdr:rowOff>147242</xdr:rowOff>
    </xdr:from>
    <xdr:to>
      <xdr:col>4</xdr:col>
      <xdr:colOff>303348</xdr:colOff>
      <xdr:row>377</xdr:row>
      <xdr:rowOff>147750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rot="17153500">
          <a:off x="2871181" y="73969909"/>
          <a:ext cx="1187470" cy="388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chemeClr val="accent6">
                  <a:lumMod val="40000"/>
                  <a:lumOff val="60000"/>
                </a:schemeClr>
              </a:solidFill>
            </a:rPr>
            <a:t>Bldg</a:t>
          </a:r>
          <a:r>
            <a:rPr lang="en-IN" sz="1100" b="1" baseline="0">
              <a:solidFill>
                <a:schemeClr val="accent6">
                  <a:lumMod val="40000"/>
                  <a:lumOff val="60000"/>
                </a:schemeClr>
              </a:solidFill>
            </a:rPr>
            <a:t> No. 1, 2 &amp; 3</a:t>
          </a:r>
          <a:endParaRPr lang="en-IN" sz="1100" b="1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8</xdr:col>
      <xdr:colOff>309880</xdr:colOff>
      <xdr:row>253</xdr:row>
      <xdr:rowOff>106680</xdr:rowOff>
    </xdr:from>
    <xdr:to>
      <xdr:col>15</xdr:col>
      <xdr:colOff>681494</xdr:colOff>
      <xdr:row>285</xdr:row>
      <xdr:rowOff>123446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377430" y="50779680"/>
          <a:ext cx="6191389" cy="6408041"/>
          <a:chOff x="431800" y="50152300"/>
          <a:chExt cx="6465074" cy="6309616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86446" y="54442069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02" y="501523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3351" y="501523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4900" y="501523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86449" y="501523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4899" y="5229944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86449" y="5229944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00" y="5444591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4898" y="54442069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01" y="5229944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3350" y="5229944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3350" y="5444591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431802" y="50152300"/>
            <a:ext cx="1003353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IN" sz="1100" b="1">
                <a:solidFill>
                  <a:srgbClr val="C00000"/>
                </a:solidFill>
              </a:rPr>
              <a:t>Building No. 1</a:t>
            </a:r>
          </a:p>
          <a:p>
            <a:pPr algn="ctr"/>
            <a:r>
              <a:rPr lang="en-IN" sz="1100" b="1">
                <a:solidFill>
                  <a:srgbClr val="C00000"/>
                </a:solidFill>
              </a:rPr>
              <a:t>Wing</a:t>
            </a:r>
            <a:r>
              <a:rPr lang="en-IN" sz="1100" b="1" baseline="0">
                <a:solidFill>
                  <a:srgbClr val="C00000"/>
                </a:solidFill>
              </a:rPr>
              <a:t> A</a:t>
            </a:r>
            <a:endParaRPr lang="en-IN" sz="1100" b="1">
              <a:solidFill>
                <a:srgbClr val="C00000"/>
              </a:solidFill>
            </a:endParaRP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2083351" y="50152300"/>
            <a:ext cx="1003353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IN" sz="1100" b="1">
                <a:solidFill>
                  <a:srgbClr val="C00000"/>
                </a:solidFill>
              </a:rPr>
              <a:t>Building No. 1</a:t>
            </a:r>
          </a:p>
          <a:p>
            <a:pPr algn="ctr"/>
            <a:r>
              <a:rPr lang="en-IN" sz="1100" b="1">
                <a:solidFill>
                  <a:srgbClr val="C00000"/>
                </a:solidFill>
              </a:rPr>
              <a:t>Wing</a:t>
            </a:r>
            <a:r>
              <a:rPr lang="en-IN" sz="1100" b="1" baseline="0">
                <a:solidFill>
                  <a:srgbClr val="C00000"/>
                </a:solidFill>
              </a:rPr>
              <a:t> B</a:t>
            </a:r>
            <a:endParaRPr lang="en-IN" sz="1100" b="1">
              <a:solidFill>
                <a:srgbClr val="C00000"/>
              </a:solidFill>
            </a:endParaRPr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3734900" y="50152300"/>
            <a:ext cx="1003352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IN" sz="1100" b="1">
                <a:solidFill>
                  <a:srgbClr val="C00000"/>
                </a:solidFill>
              </a:rPr>
              <a:t>Building No. 2</a:t>
            </a:r>
          </a:p>
          <a:p>
            <a:pPr algn="ctr"/>
            <a:r>
              <a:rPr lang="en-IN" sz="1100" b="1">
                <a:solidFill>
                  <a:srgbClr val="C00000"/>
                </a:solidFill>
              </a:rPr>
              <a:t>Wing</a:t>
            </a:r>
            <a:r>
              <a:rPr lang="en-IN" sz="1100" b="1" baseline="0">
                <a:solidFill>
                  <a:srgbClr val="C00000"/>
                </a:solidFill>
              </a:rPr>
              <a:t> A</a:t>
            </a:r>
            <a:endParaRPr lang="en-IN" sz="1100" b="1">
              <a:solidFill>
                <a:srgbClr val="C00000"/>
              </a:solidFill>
            </a:endParaRPr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5722999" y="51581050"/>
            <a:ext cx="1003352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IN" sz="1100" b="1">
                <a:solidFill>
                  <a:srgbClr val="FFFF00"/>
                </a:solidFill>
              </a:rPr>
              <a:t>Building No. 2</a:t>
            </a:r>
          </a:p>
          <a:p>
            <a:pPr algn="ctr"/>
            <a:r>
              <a:rPr lang="en-IN" sz="1100" b="1">
                <a:solidFill>
                  <a:srgbClr val="FFFF00"/>
                </a:solidFill>
              </a:rPr>
              <a:t>Wing</a:t>
            </a:r>
            <a:r>
              <a:rPr lang="en-IN" sz="1100" b="1" baseline="0">
                <a:solidFill>
                  <a:srgbClr val="FFFF00"/>
                </a:solidFill>
              </a:rPr>
              <a:t> B</a:t>
            </a:r>
            <a:endParaRPr lang="en-IN" sz="1100" b="1">
              <a:solidFill>
                <a:srgbClr val="FFFF00"/>
              </a:solidFill>
            </a:endParaRPr>
          </a:p>
        </xdr:txBody>
      </xdr: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431801" y="52299445"/>
            <a:ext cx="100335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IN" sz="1100" b="1">
                <a:solidFill>
                  <a:srgbClr val="C00000"/>
                </a:solidFill>
              </a:rPr>
              <a:t>Building No. 3</a:t>
            </a: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2610400" y="52280395"/>
            <a:ext cx="100335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IN" sz="1100" b="1">
                <a:solidFill>
                  <a:srgbClr val="C00000"/>
                </a:solidFill>
              </a:rPr>
              <a:t>Building No. 4</a:t>
            </a:r>
          </a:p>
        </xdr:txBody>
      </xdr:sp>
    </xdr:grpSp>
    <xdr:clientData/>
  </xdr:twoCellAnchor>
  <xdr:twoCellAnchor>
    <xdr:from>
      <xdr:col>8</xdr:col>
      <xdr:colOff>708660</xdr:colOff>
      <xdr:row>252</xdr:row>
      <xdr:rowOff>167640</xdr:rowOff>
    </xdr:from>
    <xdr:to>
      <xdr:col>15</xdr:col>
      <xdr:colOff>713097</xdr:colOff>
      <xdr:row>288</xdr:row>
      <xdr:rowOff>196727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776210" y="50640615"/>
          <a:ext cx="5824212" cy="7220462"/>
          <a:chOff x="199516" y="288513"/>
          <a:chExt cx="5997567" cy="7153787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484079" y="5642300"/>
            <a:ext cx="5428440" cy="1800000"/>
            <a:chOff x="-310231" y="5734898"/>
            <a:chExt cx="5428440" cy="180000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4284" y="573489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69615" y="573489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310231" y="5734898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99516" y="2960575"/>
            <a:ext cx="5997566" cy="2529663"/>
            <a:chOff x="199516" y="3018095"/>
            <a:chExt cx="5997566" cy="2529663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516" y="302775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4284" y="302775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9051" y="302775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7" name="TextBox 34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5471373" y="3018095"/>
              <a:ext cx="30168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4</a:t>
              </a:r>
            </a:p>
          </xdr:txBody>
        </xdr:sp>
        <xdr:sp macro="" textlink="">
          <xdr:nvSpPr>
            <xdr:cNvPr id="18" name="TextBox 35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3129853" y="3189771"/>
              <a:ext cx="30168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3</a:t>
              </a:r>
            </a:p>
          </xdr:txBody>
        </xdr:sp>
        <xdr:sp macro="" textlink="">
          <xdr:nvSpPr>
            <xdr:cNvPr id="19" name="TextBox 3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373991" y="3027758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2B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199516" y="288513"/>
            <a:ext cx="5997567" cy="2520000"/>
            <a:chOff x="199516" y="288513"/>
            <a:chExt cx="5997567" cy="252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516" y="28851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4284" y="28851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9052" y="28851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1" name="TextBox 36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5471373" y="462411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2A</a:t>
              </a:r>
            </a:p>
          </xdr:txBody>
        </xdr:sp>
        <xdr:sp macro="" textlink="">
          <xdr:nvSpPr>
            <xdr:cNvPr id="12" name="TextBox 38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3043349" y="834249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1B</a:t>
              </a:r>
            </a:p>
          </xdr:txBody>
        </xdr:sp>
        <xdr:sp macro="" textlink="">
          <xdr:nvSpPr>
            <xdr:cNvPr id="13" name="TextBox 39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263506" y="464917"/>
              <a:ext cx="4411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1A</a:t>
              </a:r>
            </a:p>
          </xdr:txBody>
        </xdr:sp>
      </xdr:grpSp>
    </xdr:grpSp>
    <xdr:clientData/>
  </xdr:twoCellAnchor>
  <xdr:twoCellAnchor>
    <xdr:from>
      <xdr:col>0</xdr:col>
      <xdr:colOff>266700</xdr:colOff>
      <xdr:row>254</xdr:row>
      <xdr:rowOff>0</xdr:rowOff>
    </xdr:from>
    <xdr:to>
      <xdr:col>7</xdr:col>
      <xdr:colOff>980606</xdr:colOff>
      <xdr:row>290</xdr:row>
      <xdr:rowOff>51528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A9F27D88-A6A3-465C-9524-D7FC887E41F3}"/>
            </a:ext>
          </a:extLst>
        </xdr:cNvPr>
        <xdr:cNvGrpSpPr/>
      </xdr:nvGrpSpPr>
      <xdr:grpSpPr>
        <a:xfrm>
          <a:off x="266700" y="50873025"/>
          <a:ext cx="6400331" cy="7242903"/>
          <a:chOff x="209758" y="451341"/>
          <a:chExt cx="6400331" cy="7242903"/>
        </a:xfrm>
      </xdr:grpSpPr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5880AE17-345A-4187-9033-4411D7ACC383}"/>
              </a:ext>
            </a:extLst>
          </xdr:cNvPr>
          <xdr:cNvGrpSpPr/>
        </xdr:nvGrpSpPr>
        <xdr:grpSpPr>
          <a:xfrm>
            <a:off x="209758" y="451341"/>
            <a:ext cx="6400331" cy="7242903"/>
            <a:chOff x="209758" y="451341"/>
            <a:chExt cx="6400331" cy="7242903"/>
          </a:xfrm>
        </xdr:grpSpPr>
        <xdr:pic>
          <xdr:nvPicPr>
            <xdr:cNvPr id="73" name="Picture 72">
              <a:extLst>
                <a:ext uri="{FF2B5EF4-FFF2-40B4-BE49-F238E27FC236}">
                  <a16:creationId xmlns:a16="http://schemas.microsoft.com/office/drawing/2014/main" id="{C99A5613-F96B-4058-B679-A60AAD6DEE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9758" y="451341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4" name="Picture 73">
              <a:extLst>
                <a:ext uri="{FF2B5EF4-FFF2-40B4-BE49-F238E27FC236}">
                  <a16:creationId xmlns:a16="http://schemas.microsoft.com/office/drawing/2014/main" id="{75DC89A7-E83B-427D-8805-F4C74D0B88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87198" y="451341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5" name="Picture 74">
              <a:extLst>
                <a:ext uri="{FF2B5EF4-FFF2-40B4-BE49-F238E27FC236}">
                  <a16:creationId xmlns:a16="http://schemas.microsoft.com/office/drawing/2014/main" id="{8C203D34-C5B0-4738-89B6-FBC650B75E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98478" y="451341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6" name="Picture 75">
              <a:extLst>
                <a:ext uri="{FF2B5EF4-FFF2-40B4-BE49-F238E27FC236}">
                  <a16:creationId xmlns:a16="http://schemas.microsoft.com/office/drawing/2014/main" id="{90E5F801-8813-4612-B884-FA4AAA4529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59522" y="3384729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7" name="Picture 76">
              <a:extLst>
                <a:ext uri="{FF2B5EF4-FFF2-40B4-BE49-F238E27FC236}">
                  <a16:creationId xmlns:a16="http://schemas.microsoft.com/office/drawing/2014/main" id="{730F31D6-A9DE-4E66-B9CF-A1684E3563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45306" y="3384729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8" name="Picture 77">
              <a:extLst>
                <a:ext uri="{FF2B5EF4-FFF2-40B4-BE49-F238E27FC236}">
                  <a16:creationId xmlns:a16="http://schemas.microsoft.com/office/drawing/2014/main" id="{6BAB3C98-6533-4C36-AE30-144A3ACE59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52414" y="3402000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9" name="Picture 78">
              <a:extLst>
                <a:ext uri="{FF2B5EF4-FFF2-40B4-BE49-F238E27FC236}">
                  <a16:creationId xmlns:a16="http://schemas.microsoft.com/office/drawing/2014/main" id="{F44E763A-2C23-4DF7-B6E4-A6BF5B6E4C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23934" y="5894244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976F22C3-2A2B-48E3-9E05-56CDC34AE3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7730" y="5894244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:a16="http://schemas.microsoft.com/office/drawing/2014/main" id="{8973EF87-3457-4A01-A8F4-AC3F4B023D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10138" y="5894244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2" name="Picture 81">
              <a:extLst>
                <a:ext uri="{FF2B5EF4-FFF2-40B4-BE49-F238E27FC236}">
                  <a16:creationId xmlns:a16="http://schemas.microsoft.com/office/drawing/2014/main" id="{8F0D36A0-7443-4439-B3FF-7E39908056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15428" y="5894244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id="{814452FF-6522-46EC-BA24-8ED4924B0EE8}"/>
              </a:ext>
            </a:extLst>
          </xdr:cNvPr>
          <xdr:cNvSpPr/>
        </xdr:nvSpPr>
        <xdr:spPr>
          <a:xfrm>
            <a:off x="1084111" y="577350"/>
            <a:ext cx="494046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1A</a:t>
            </a:r>
            <a:endParaRPr lang="en-IN" b="1"/>
          </a:p>
        </xdr:txBody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44E21D34-64FC-4C89-9D7A-0E8ED1E33F4A}"/>
              </a:ext>
            </a:extLst>
          </xdr:cNvPr>
          <xdr:cNvSpPr/>
        </xdr:nvSpPr>
        <xdr:spPr>
          <a:xfrm>
            <a:off x="3181977" y="762016"/>
            <a:ext cx="484428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1B</a:t>
            </a:r>
            <a:endParaRPr lang="en-IN" b="1"/>
          </a:p>
        </xdr:txBody>
      </xdr:sp>
      <xdr:sp macro="" textlink="">
        <xdr:nvSpPr>
          <xdr:cNvPr id="67" name="Rectangle 66">
            <a:extLst>
              <a:ext uri="{FF2B5EF4-FFF2-40B4-BE49-F238E27FC236}">
                <a16:creationId xmlns:a16="http://schemas.microsoft.com/office/drawing/2014/main" id="{6CE4B815-568F-4983-AEC5-3B27C3583C59}"/>
              </a:ext>
            </a:extLst>
          </xdr:cNvPr>
          <xdr:cNvSpPr/>
        </xdr:nvSpPr>
        <xdr:spPr>
          <a:xfrm>
            <a:off x="5469316" y="577350"/>
            <a:ext cx="494046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2A</a:t>
            </a:r>
            <a:endParaRPr lang="en-IN" b="1"/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847FA02D-1FAA-4BC9-8C52-B2D1BEB67B84}"/>
              </a:ext>
            </a:extLst>
          </xdr:cNvPr>
          <xdr:cNvSpPr/>
        </xdr:nvSpPr>
        <xdr:spPr>
          <a:xfrm>
            <a:off x="1578157" y="3520673"/>
            <a:ext cx="494046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2A</a:t>
            </a:r>
            <a:endParaRPr lang="en-IN" b="1"/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id="{44BB3CC6-8C6D-4C2B-AD4B-8AC62CF1DE10}"/>
              </a:ext>
            </a:extLst>
          </xdr:cNvPr>
          <xdr:cNvSpPr/>
        </xdr:nvSpPr>
        <xdr:spPr>
          <a:xfrm>
            <a:off x="2787717" y="3504605"/>
            <a:ext cx="354584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3</a:t>
            </a:r>
            <a:endParaRPr lang="en-IN" b="1"/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AA85EADE-5AF3-4F41-BFBE-C6A00CFBC27A}"/>
              </a:ext>
            </a:extLst>
          </xdr:cNvPr>
          <xdr:cNvSpPr/>
        </xdr:nvSpPr>
        <xdr:spPr>
          <a:xfrm>
            <a:off x="4459522" y="3402000"/>
            <a:ext cx="354584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4</a:t>
            </a:r>
            <a:endParaRPr lang="en-IN" b="1"/>
          </a:p>
        </xdr:txBody>
      </xdr:sp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id="{8CF5C058-66D4-4329-B6C4-4346809C7E25}"/>
              </a:ext>
            </a:extLst>
          </xdr:cNvPr>
          <xdr:cNvSpPr/>
        </xdr:nvSpPr>
        <xdr:spPr>
          <a:xfrm>
            <a:off x="623816" y="5894244"/>
            <a:ext cx="494046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2A</a:t>
            </a:r>
            <a:endParaRPr lang="en-IN" b="1"/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91412E35-E051-4C9A-A8EA-D16A7A789A4B}"/>
              </a:ext>
            </a:extLst>
          </xdr:cNvPr>
          <xdr:cNvSpPr/>
        </xdr:nvSpPr>
        <xdr:spPr>
          <a:xfrm>
            <a:off x="1914050" y="6078910"/>
            <a:ext cx="484428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 2B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102260-nirvaana-residency-by-nirvaana-construction-in-karjat" TargetMode="External"/><Relationship Id="rId1" Type="http://schemas.openxmlformats.org/officeDocument/2006/relationships/hyperlink" Target="https://goo.gl/maps/T3TEdCjxXhFrHX3s8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43"/>
  <sheetViews>
    <sheetView tabSelected="1" view="pageBreakPreview" zoomScaleNormal="100" zoomScaleSheetLayoutView="100" workbookViewId="0">
      <selection activeCell="J9" sqref="J9"/>
    </sheetView>
  </sheetViews>
  <sheetFormatPr defaultColWidth="9.28515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28515625" style="36" customWidth="1"/>
    <col min="5" max="6" width="11.7109375" style="36" customWidth="1"/>
    <col min="7" max="7" width="11.42578125" style="36" customWidth="1"/>
    <col min="8" max="8" width="20.7109375" style="36" customWidth="1"/>
    <col min="9" max="9" width="20.7109375" style="17" customWidth="1"/>
    <col min="10" max="10" width="11.42578125" style="17" customWidth="1"/>
    <col min="11" max="11" width="10.5703125" style="17" bestFit="1" customWidth="1"/>
    <col min="12" max="12" width="10.5703125" style="17" customWidth="1"/>
    <col min="13" max="13" width="11.7109375" style="17" customWidth="1"/>
    <col min="14" max="14" width="12.5703125" style="17" customWidth="1"/>
    <col min="15" max="15" width="9.7109375" style="17" customWidth="1"/>
    <col min="16" max="16" width="11.7109375" style="17" customWidth="1"/>
    <col min="17" max="247" width="9.28515625" style="17"/>
    <col min="248" max="248" width="8.7109375" style="17" customWidth="1"/>
    <col min="249" max="249" width="9.71093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7109375" style="17" customWidth="1"/>
    <col min="256" max="256" width="11.28515625" style="17" customWidth="1"/>
    <col min="257" max="257" width="2.7109375" style="17" customWidth="1"/>
    <col min="258" max="258" width="3.5703125" style="17" customWidth="1"/>
    <col min="259" max="503" width="9.28515625" style="17"/>
    <col min="504" max="504" width="8.7109375" style="17" customWidth="1"/>
    <col min="505" max="505" width="9.71093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7109375" style="17" customWidth="1"/>
    <col min="512" max="512" width="11.28515625" style="17" customWidth="1"/>
    <col min="513" max="513" width="2.7109375" style="17" customWidth="1"/>
    <col min="514" max="514" width="3.5703125" style="17" customWidth="1"/>
    <col min="515" max="759" width="9.28515625" style="17"/>
    <col min="760" max="760" width="8.7109375" style="17" customWidth="1"/>
    <col min="761" max="761" width="9.71093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7109375" style="17" customWidth="1"/>
    <col min="768" max="768" width="11.28515625" style="17" customWidth="1"/>
    <col min="769" max="769" width="2.7109375" style="17" customWidth="1"/>
    <col min="770" max="770" width="3.5703125" style="17" customWidth="1"/>
    <col min="771" max="1015" width="9.28515625" style="17"/>
    <col min="1016" max="1016" width="8.7109375" style="17" customWidth="1"/>
    <col min="1017" max="1017" width="9.71093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7109375" style="17" customWidth="1"/>
    <col min="1024" max="1024" width="11.28515625" style="17" customWidth="1"/>
    <col min="1025" max="1025" width="2.7109375" style="17" customWidth="1"/>
    <col min="1026" max="1026" width="3.5703125" style="17" customWidth="1"/>
    <col min="1027" max="1271" width="9.28515625" style="17"/>
    <col min="1272" max="1272" width="8.7109375" style="17" customWidth="1"/>
    <col min="1273" max="1273" width="9.71093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7109375" style="17" customWidth="1"/>
    <col min="1280" max="1280" width="11.28515625" style="17" customWidth="1"/>
    <col min="1281" max="1281" width="2.7109375" style="17" customWidth="1"/>
    <col min="1282" max="1282" width="3.5703125" style="17" customWidth="1"/>
    <col min="1283" max="1527" width="9.28515625" style="17"/>
    <col min="1528" max="1528" width="8.7109375" style="17" customWidth="1"/>
    <col min="1529" max="1529" width="9.71093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7109375" style="17" customWidth="1"/>
    <col min="1536" max="1536" width="11.28515625" style="17" customWidth="1"/>
    <col min="1537" max="1537" width="2.7109375" style="17" customWidth="1"/>
    <col min="1538" max="1538" width="3.5703125" style="17" customWidth="1"/>
    <col min="1539" max="1783" width="9.28515625" style="17"/>
    <col min="1784" max="1784" width="8.7109375" style="17" customWidth="1"/>
    <col min="1785" max="1785" width="9.71093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7109375" style="17" customWidth="1"/>
    <col min="1792" max="1792" width="11.28515625" style="17" customWidth="1"/>
    <col min="1793" max="1793" width="2.7109375" style="17" customWidth="1"/>
    <col min="1794" max="1794" width="3.5703125" style="17" customWidth="1"/>
    <col min="1795" max="2039" width="9.28515625" style="17"/>
    <col min="2040" max="2040" width="8.7109375" style="17" customWidth="1"/>
    <col min="2041" max="2041" width="9.71093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7109375" style="17" customWidth="1"/>
    <col min="2048" max="2048" width="11.28515625" style="17" customWidth="1"/>
    <col min="2049" max="2049" width="2.7109375" style="17" customWidth="1"/>
    <col min="2050" max="2050" width="3.5703125" style="17" customWidth="1"/>
    <col min="2051" max="2295" width="9.28515625" style="17"/>
    <col min="2296" max="2296" width="8.7109375" style="17" customWidth="1"/>
    <col min="2297" max="2297" width="9.71093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7109375" style="17" customWidth="1"/>
    <col min="2304" max="2304" width="11.28515625" style="17" customWidth="1"/>
    <col min="2305" max="2305" width="2.7109375" style="17" customWidth="1"/>
    <col min="2306" max="2306" width="3.5703125" style="17" customWidth="1"/>
    <col min="2307" max="2551" width="9.28515625" style="17"/>
    <col min="2552" max="2552" width="8.7109375" style="17" customWidth="1"/>
    <col min="2553" max="2553" width="9.71093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7109375" style="17" customWidth="1"/>
    <col min="2560" max="2560" width="11.28515625" style="17" customWidth="1"/>
    <col min="2561" max="2561" width="2.7109375" style="17" customWidth="1"/>
    <col min="2562" max="2562" width="3.5703125" style="17" customWidth="1"/>
    <col min="2563" max="2807" width="9.28515625" style="17"/>
    <col min="2808" max="2808" width="8.7109375" style="17" customWidth="1"/>
    <col min="2809" max="2809" width="9.71093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7109375" style="17" customWidth="1"/>
    <col min="2816" max="2816" width="11.28515625" style="17" customWidth="1"/>
    <col min="2817" max="2817" width="2.7109375" style="17" customWidth="1"/>
    <col min="2818" max="2818" width="3.5703125" style="17" customWidth="1"/>
    <col min="2819" max="3063" width="9.28515625" style="17"/>
    <col min="3064" max="3064" width="8.7109375" style="17" customWidth="1"/>
    <col min="3065" max="3065" width="9.71093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7109375" style="17" customWidth="1"/>
    <col min="3072" max="3072" width="11.28515625" style="17" customWidth="1"/>
    <col min="3073" max="3073" width="2.7109375" style="17" customWidth="1"/>
    <col min="3074" max="3074" width="3.5703125" style="17" customWidth="1"/>
    <col min="3075" max="3319" width="9.28515625" style="17"/>
    <col min="3320" max="3320" width="8.7109375" style="17" customWidth="1"/>
    <col min="3321" max="3321" width="9.71093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7109375" style="17" customWidth="1"/>
    <col min="3328" max="3328" width="11.28515625" style="17" customWidth="1"/>
    <col min="3329" max="3329" width="2.7109375" style="17" customWidth="1"/>
    <col min="3330" max="3330" width="3.5703125" style="17" customWidth="1"/>
    <col min="3331" max="3575" width="9.28515625" style="17"/>
    <col min="3576" max="3576" width="8.7109375" style="17" customWidth="1"/>
    <col min="3577" max="3577" width="9.71093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7109375" style="17" customWidth="1"/>
    <col min="3584" max="3584" width="11.28515625" style="17" customWidth="1"/>
    <col min="3585" max="3585" width="2.7109375" style="17" customWidth="1"/>
    <col min="3586" max="3586" width="3.5703125" style="17" customWidth="1"/>
    <col min="3587" max="3831" width="9.28515625" style="17"/>
    <col min="3832" max="3832" width="8.7109375" style="17" customWidth="1"/>
    <col min="3833" max="3833" width="9.71093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7109375" style="17" customWidth="1"/>
    <col min="3840" max="3840" width="11.28515625" style="17" customWidth="1"/>
    <col min="3841" max="3841" width="2.7109375" style="17" customWidth="1"/>
    <col min="3842" max="3842" width="3.5703125" style="17" customWidth="1"/>
    <col min="3843" max="4087" width="9.28515625" style="17"/>
    <col min="4088" max="4088" width="8.7109375" style="17" customWidth="1"/>
    <col min="4089" max="4089" width="9.71093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7109375" style="17" customWidth="1"/>
    <col min="4096" max="4096" width="11.28515625" style="17" customWidth="1"/>
    <col min="4097" max="4097" width="2.7109375" style="17" customWidth="1"/>
    <col min="4098" max="4098" width="3.5703125" style="17" customWidth="1"/>
    <col min="4099" max="4343" width="9.28515625" style="17"/>
    <col min="4344" max="4344" width="8.7109375" style="17" customWidth="1"/>
    <col min="4345" max="4345" width="9.71093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7109375" style="17" customWidth="1"/>
    <col min="4352" max="4352" width="11.28515625" style="17" customWidth="1"/>
    <col min="4353" max="4353" width="2.7109375" style="17" customWidth="1"/>
    <col min="4354" max="4354" width="3.5703125" style="17" customWidth="1"/>
    <col min="4355" max="4599" width="9.28515625" style="17"/>
    <col min="4600" max="4600" width="8.7109375" style="17" customWidth="1"/>
    <col min="4601" max="4601" width="9.71093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7109375" style="17" customWidth="1"/>
    <col min="4608" max="4608" width="11.28515625" style="17" customWidth="1"/>
    <col min="4609" max="4609" width="2.7109375" style="17" customWidth="1"/>
    <col min="4610" max="4610" width="3.5703125" style="17" customWidth="1"/>
    <col min="4611" max="4855" width="9.28515625" style="17"/>
    <col min="4856" max="4856" width="8.7109375" style="17" customWidth="1"/>
    <col min="4857" max="4857" width="9.71093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7109375" style="17" customWidth="1"/>
    <col min="4864" max="4864" width="11.28515625" style="17" customWidth="1"/>
    <col min="4865" max="4865" width="2.7109375" style="17" customWidth="1"/>
    <col min="4866" max="4866" width="3.5703125" style="17" customWidth="1"/>
    <col min="4867" max="5111" width="9.28515625" style="17"/>
    <col min="5112" max="5112" width="8.7109375" style="17" customWidth="1"/>
    <col min="5113" max="5113" width="9.71093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7109375" style="17" customWidth="1"/>
    <col min="5120" max="5120" width="11.28515625" style="17" customWidth="1"/>
    <col min="5121" max="5121" width="2.7109375" style="17" customWidth="1"/>
    <col min="5122" max="5122" width="3.5703125" style="17" customWidth="1"/>
    <col min="5123" max="5367" width="9.28515625" style="17"/>
    <col min="5368" max="5368" width="8.7109375" style="17" customWidth="1"/>
    <col min="5369" max="5369" width="9.71093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7109375" style="17" customWidth="1"/>
    <col min="5376" max="5376" width="11.28515625" style="17" customWidth="1"/>
    <col min="5377" max="5377" width="2.7109375" style="17" customWidth="1"/>
    <col min="5378" max="5378" width="3.5703125" style="17" customWidth="1"/>
    <col min="5379" max="5623" width="9.28515625" style="17"/>
    <col min="5624" max="5624" width="8.7109375" style="17" customWidth="1"/>
    <col min="5625" max="5625" width="9.71093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7109375" style="17" customWidth="1"/>
    <col min="5632" max="5632" width="11.28515625" style="17" customWidth="1"/>
    <col min="5633" max="5633" width="2.7109375" style="17" customWidth="1"/>
    <col min="5634" max="5634" width="3.5703125" style="17" customWidth="1"/>
    <col min="5635" max="5879" width="9.28515625" style="17"/>
    <col min="5880" max="5880" width="8.7109375" style="17" customWidth="1"/>
    <col min="5881" max="5881" width="9.71093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7109375" style="17" customWidth="1"/>
    <col min="5888" max="5888" width="11.28515625" style="17" customWidth="1"/>
    <col min="5889" max="5889" width="2.7109375" style="17" customWidth="1"/>
    <col min="5890" max="5890" width="3.5703125" style="17" customWidth="1"/>
    <col min="5891" max="6135" width="9.28515625" style="17"/>
    <col min="6136" max="6136" width="8.7109375" style="17" customWidth="1"/>
    <col min="6137" max="6137" width="9.71093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7109375" style="17" customWidth="1"/>
    <col min="6144" max="6144" width="11.28515625" style="17" customWidth="1"/>
    <col min="6145" max="6145" width="2.7109375" style="17" customWidth="1"/>
    <col min="6146" max="6146" width="3.5703125" style="17" customWidth="1"/>
    <col min="6147" max="6391" width="9.28515625" style="17"/>
    <col min="6392" max="6392" width="8.7109375" style="17" customWidth="1"/>
    <col min="6393" max="6393" width="9.71093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7109375" style="17" customWidth="1"/>
    <col min="6400" max="6400" width="11.28515625" style="17" customWidth="1"/>
    <col min="6401" max="6401" width="2.7109375" style="17" customWidth="1"/>
    <col min="6402" max="6402" width="3.5703125" style="17" customWidth="1"/>
    <col min="6403" max="6647" width="9.28515625" style="17"/>
    <col min="6648" max="6648" width="8.7109375" style="17" customWidth="1"/>
    <col min="6649" max="6649" width="9.71093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7109375" style="17" customWidth="1"/>
    <col min="6656" max="6656" width="11.28515625" style="17" customWidth="1"/>
    <col min="6657" max="6657" width="2.7109375" style="17" customWidth="1"/>
    <col min="6658" max="6658" width="3.5703125" style="17" customWidth="1"/>
    <col min="6659" max="6903" width="9.28515625" style="17"/>
    <col min="6904" max="6904" width="8.7109375" style="17" customWidth="1"/>
    <col min="6905" max="6905" width="9.71093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7109375" style="17" customWidth="1"/>
    <col min="6912" max="6912" width="11.28515625" style="17" customWidth="1"/>
    <col min="6913" max="6913" width="2.7109375" style="17" customWidth="1"/>
    <col min="6914" max="6914" width="3.5703125" style="17" customWidth="1"/>
    <col min="6915" max="7159" width="9.28515625" style="17"/>
    <col min="7160" max="7160" width="8.7109375" style="17" customWidth="1"/>
    <col min="7161" max="7161" width="9.71093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7109375" style="17" customWidth="1"/>
    <col min="7168" max="7168" width="11.28515625" style="17" customWidth="1"/>
    <col min="7169" max="7169" width="2.7109375" style="17" customWidth="1"/>
    <col min="7170" max="7170" width="3.5703125" style="17" customWidth="1"/>
    <col min="7171" max="7415" width="9.28515625" style="17"/>
    <col min="7416" max="7416" width="8.7109375" style="17" customWidth="1"/>
    <col min="7417" max="7417" width="9.71093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7109375" style="17" customWidth="1"/>
    <col min="7424" max="7424" width="11.28515625" style="17" customWidth="1"/>
    <col min="7425" max="7425" width="2.7109375" style="17" customWidth="1"/>
    <col min="7426" max="7426" width="3.5703125" style="17" customWidth="1"/>
    <col min="7427" max="7671" width="9.28515625" style="17"/>
    <col min="7672" max="7672" width="8.7109375" style="17" customWidth="1"/>
    <col min="7673" max="7673" width="9.71093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7109375" style="17" customWidth="1"/>
    <col min="7680" max="7680" width="11.28515625" style="17" customWidth="1"/>
    <col min="7681" max="7681" width="2.7109375" style="17" customWidth="1"/>
    <col min="7682" max="7682" width="3.5703125" style="17" customWidth="1"/>
    <col min="7683" max="7927" width="9.28515625" style="17"/>
    <col min="7928" max="7928" width="8.7109375" style="17" customWidth="1"/>
    <col min="7929" max="7929" width="9.71093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7109375" style="17" customWidth="1"/>
    <col min="7936" max="7936" width="11.28515625" style="17" customWidth="1"/>
    <col min="7937" max="7937" width="2.7109375" style="17" customWidth="1"/>
    <col min="7938" max="7938" width="3.5703125" style="17" customWidth="1"/>
    <col min="7939" max="8183" width="9.28515625" style="17"/>
    <col min="8184" max="8184" width="8.7109375" style="17" customWidth="1"/>
    <col min="8185" max="8185" width="9.71093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7109375" style="17" customWidth="1"/>
    <col min="8192" max="8192" width="11.28515625" style="17" customWidth="1"/>
    <col min="8193" max="8193" width="2.7109375" style="17" customWidth="1"/>
    <col min="8194" max="8194" width="3.5703125" style="17" customWidth="1"/>
    <col min="8195" max="8439" width="9.28515625" style="17"/>
    <col min="8440" max="8440" width="8.7109375" style="17" customWidth="1"/>
    <col min="8441" max="8441" width="9.71093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7109375" style="17" customWidth="1"/>
    <col min="8448" max="8448" width="11.28515625" style="17" customWidth="1"/>
    <col min="8449" max="8449" width="2.7109375" style="17" customWidth="1"/>
    <col min="8450" max="8450" width="3.5703125" style="17" customWidth="1"/>
    <col min="8451" max="8695" width="9.28515625" style="17"/>
    <col min="8696" max="8696" width="8.7109375" style="17" customWidth="1"/>
    <col min="8697" max="8697" width="9.71093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7109375" style="17" customWidth="1"/>
    <col min="8704" max="8704" width="11.28515625" style="17" customWidth="1"/>
    <col min="8705" max="8705" width="2.7109375" style="17" customWidth="1"/>
    <col min="8706" max="8706" width="3.5703125" style="17" customWidth="1"/>
    <col min="8707" max="8951" width="9.28515625" style="17"/>
    <col min="8952" max="8952" width="8.7109375" style="17" customWidth="1"/>
    <col min="8953" max="8953" width="9.71093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7109375" style="17" customWidth="1"/>
    <col min="8960" max="8960" width="11.28515625" style="17" customWidth="1"/>
    <col min="8961" max="8961" width="2.7109375" style="17" customWidth="1"/>
    <col min="8962" max="8962" width="3.5703125" style="17" customWidth="1"/>
    <col min="8963" max="9207" width="9.28515625" style="17"/>
    <col min="9208" max="9208" width="8.7109375" style="17" customWidth="1"/>
    <col min="9209" max="9209" width="9.71093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7109375" style="17" customWidth="1"/>
    <col min="9216" max="9216" width="11.28515625" style="17" customWidth="1"/>
    <col min="9217" max="9217" width="2.7109375" style="17" customWidth="1"/>
    <col min="9218" max="9218" width="3.5703125" style="17" customWidth="1"/>
    <col min="9219" max="9463" width="9.28515625" style="17"/>
    <col min="9464" max="9464" width="8.7109375" style="17" customWidth="1"/>
    <col min="9465" max="9465" width="9.71093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7109375" style="17" customWidth="1"/>
    <col min="9472" max="9472" width="11.28515625" style="17" customWidth="1"/>
    <col min="9473" max="9473" width="2.7109375" style="17" customWidth="1"/>
    <col min="9474" max="9474" width="3.5703125" style="17" customWidth="1"/>
    <col min="9475" max="9719" width="9.28515625" style="17"/>
    <col min="9720" max="9720" width="8.7109375" style="17" customWidth="1"/>
    <col min="9721" max="9721" width="9.71093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7109375" style="17" customWidth="1"/>
    <col min="9728" max="9728" width="11.28515625" style="17" customWidth="1"/>
    <col min="9729" max="9729" width="2.7109375" style="17" customWidth="1"/>
    <col min="9730" max="9730" width="3.5703125" style="17" customWidth="1"/>
    <col min="9731" max="9975" width="9.28515625" style="17"/>
    <col min="9976" max="9976" width="8.7109375" style="17" customWidth="1"/>
    <col min="9977" max="9977" width="9.71093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7109375" style="17" customWidth="1"/>
    <col min="9984" max="9984" width="11.28515625" style="17" customWidth="1"/>
    <col min="9985" max="9985" width="2.7109375" style="17" customWidth="1"/>
    <col min="9986" max="9986" width="3.5703125" style="17" customWidth="1"/>
    <col min="9987" max="10231" width="9.28515625" style="17"/>
    <col min="10232" max="10232" width="8.7109375" style="17" customWidth="1"/>
    <col min="10233" max="10233" width="9.71093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7109375" style="17" customWidth="1"/>
    <col min="10240" max="10240" width="11.28515625" style="17" customWidth="1"/>
    <col min="10241" max="10241" width="2.7109375" style="17" customWidth="1"/>
    <col min="10242" max="10242" width="3.5703125" style="17" customWidth="1"/>
    <col min="10243" max="10487" width="9.28515625" style="17"/>
    <col min="10488" max="10488" width="8.7109375" style="17" customWidth="1"/>
    <col min="10489" max="10489" width="9.71093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7109375" style="17" customWidth="1"/>
    <col min="10496" max="10496" width="11.28515625" style="17" customWidth="1"/>
    <col min="10497" max="10497" width="2.7109375" style="17" customWidth="1"/>
    <col min="10498" max="10498" width="3.5703125" style="17" customWidth="1"/>
    <col min="10499" max="10743" width="9.28515625" style="17"/>
    <col min="10744" max="10744" width="8.7109375" style="17" customWidth="1"/>
    <col min="10745" max="10745" width="9.71093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7109375" style="17" customWidth="1"/>
    <col min="10752" max="10752" width="11.28515625" style="17" customWidth="1"/>
    <col min="10753" max="10753" width="2.7109375" style="17" customWidth="1"/>
    <col min="10754" max="10754" width="3.5703125" style="17" customWidth="1"/>
    <col min="10755" max="10999" width="9.28515625" style="17"/>
    <col min="11000" max="11000" width="8.7109375" style="17" customWidth="1"/>
    <col min="11001" max="11001" width="9.71093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7109375" style="17" customWidth="1"/>
    <col min="11008" max="11008" width="11.28515625" style="17" customWidth="1"/>
    <col min="11009" max="11009" width="2.7109375" style="17" customWidth="1"/>
    <col min="11010" max="11010" width="3.5703125" style="17" customWidth="1"/>
    <col min="11011" max="11255" width="9.28515625" style="17"/>
    <col min="11256" max="11256" width="8.7109375" style="17" customWidth="1"/>
    <col min="11257" max="11257" width="9.71093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7109375" style="17" customWidth="1"/>
    <col min="11264" max="11264" width="11.28515625" style="17" customWidth="1"/>
    <col min="11265" max="11265" width="2.7109375" style="17" customWidth="1"/>
    <col min="11266" max="11266" width="3.5703125" style="17" customWidth="1"/>
    <col min="11267" max="11511" width="9.28515625" style="17"/>
    <col min="11512" max="11512" width="8.7109375" style="17" customWidth="1"/>
    <col min="11513" max="11513" width="9.71093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7109375" style="17" customWidth="1"/>
    <col min="11520" max="11520" width="11.28515625" style="17" customWidth="1"/>
    <col min="11521" max="11521" width="2.7109375" style="17" customWidth="1"/>
    <col min="11522" max="11522" width="3.5703125" style="17" customWidth="1"/>
    <col min="11523" max="11767" width="9.28515625" style="17"/>
    <col min="11768" max="11768" width="8.7109375" style="17" customWidth="1"/>
    <col min="11769" max="11769" width="9.71093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7109375" style="17" customWidth="1"/>
    <col min="11776" max="11776" width="11.28515625" style="17" customWidth="1"/>
    <col min="11777" max="11777" width="2.7109375" style="17" customWidth="1"/>
    <col min="11778" max="11778" width="3.5703125" style="17" customWidth="1"/>
    <col min="11779" max="12023" width="9.28515625" style="17"/>
    <col min="12024" max="12024" width="8.7109375" style="17" customWidth="1"/>
    <col min="12025" max="12025" width="9.71093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7109375" style="17" customWidth="1"/>
    <col min="12032" max="12032" width="11.28515625" style="17" customWidth="1"/>
    <col min="12033" max="12033" width="2.7109375" style="17" customWidth="1"/>
    <col min="12034" max="12034" width="3.5703125" style="17" customWidth="1"/>
    <col min="12035" max="12279" width="9.28515625" style="17"/>
    <col min="12280" max="12280" width="8.7109375" style="17" customWidth="1"/>
    <col min="12281" max="12281" width="9.71093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7109375" style="17" customWidth="1"/>
    <col min="12288" max="12288" width="11.28515625" style="17" customWidth="1"/>
    <col min="12289" max="12289" width="2.7109375" style="17" customWidth="1"/>
    <col min="12290" max="12290" width="3.5703125" style="17" customWidth="1"/>
    <col min="12291" max="12535" width="9.28515625" style="17"/>
    <col min="12536" max="12536" width="8.7109375" style="17" customWidth="1"/>
    <col min="12537" max="12537" width="9.71093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7109375" style="17" customWidth="1"/>
    <col min="12544" max="12544" width="11.28515625" style="17" customWidth="1"/>
    <col min="12545" max="12545" width="2.7109375" style="17" customWidth="1"/>
    <col min="12546" max="12546" width="3.5703125" style="17" customWidth="1"/>
    <col min="12547" max="12791" width="9.28515625" style="17"/>
    <col min="12792" max="12792" width="8.7109375" style="17" customWidth="1"/>
    <col min="12793" max="12793" width="9.71093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7109375" style="17" customWidth="1"/>
    <col min="12800" max="12800" width="11.28515625" style="17" customWidth="1"/>
    <col min="12801" max="12801" width="2.7109375" style="17" customWidth="1"/>
    <col min="12802" max="12802" width="3.5703125" style="17" customWidth="1"/>
    <col min="12803" max="13047" width="9.28515625" style="17"/>
    <col min="13048" max="13048" width="8.7109375" style="17" customWidth="1"/>
    <col min="13049" max="13049" width="9.71093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7109375" style="17" customWidth="1"/>
    <col min="13056" max="13056" width="11.28515625" style="17" customWidth="1"/>
    <col min="13057" max="13057" width="2.7109375" style="17" customWidth="1"/>
    <col min="13058" max="13058" width="3.5703125" style="17" customWidth="1"/>
    <col min="13059" max="13303" width="9.28515625" style="17"/>
    <col min="13304" max="13304" width="8.7109375" style="17" customWidth="1"/>
    <col min="13305" max="13305" width="9.71093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7109375" style="17" customWidth="1"/>
    <col min="13312" max="13312" width="11.28515625" style="17" customWidth="1"/>
    <col min="13313" max="13313" width="2.7109375" style="17" customWidth="1"/>
    <col min="13314" max="13314" width="3.5703125" style="17" customWidth="1"/>
    <col min="13315" max="13559" width="9.28515625" style="17"/>
    <col min="13560" max="13560" width="8.7109375" style="17" customWidth="1"/>
    <col min="13561" max="13561" width="9.71093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7109375" style="17" customWidth="1"/>
    <col min="13568" max="13568" width="11.28515625" style="17" customWidth="1"/>
    <col min="13569" max="13569" width="2.7109375" style="17" customWidth="1"/>
    <col min="13570" max="13570" width="3.5703125" style="17" customWidth="1"/>
    <col min="13571" max="13815" width="9.28515625" style="17"/>
    <col min="13816" max="13816" width="8.7109375" style="17" customWidth="1"/>
    <col min="13817" max="13817" width="9.71093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7109375" style="17" customWidth="1"/>
    <col min="13824" max="13824" width="11.28515625" style="17" customWidth="1"/>
    <col min="13825" max="13825" width="2.7109375" style="17" customWidth="1"/>
    <col min="13826" max="13826" width="3.5703125" style="17" customWidth="1"/>
    <col min="13827" max="14071" width="9.28515625" style="17"/>
    <col min="14072" max="14072" width="8.7109375" style="17" customWidth="1"/>
    <col min="14073" max="14073" width="9.71093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7109375" style="17" customWidth="1"/>
    <col min="14080" max="14080" width="11.28515625" style="17" customWidth="1"/>
    <col min="14081" max="14081" width="2.7109375" style="17" customWidth="1"/>
    <col min="14082" max="14082" width="3.5703125" style="17" customWidth="1"/>
    <col min="14083" max="14327" width="9.28515625" style="17"/>
    <col min="14328" max="14328" width="8.7109375" style="17" customWidth="1"/>
    <col min="14329" max="14329" width="9.71093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7109375" style="17" customWidth="1"/>
    <col min="14336" max="14336" width="11.28515625" style="17" customWidth="1"/>
    <col min="14337" max="14337" width="2.7109375" style="17" customWidth="1"/>
    <col min="14338" max="14338" width="3.5703125" style="17" customWidth="1"/>
    <col min="14339" max="14583" width="9.28515625" style="17"/>
    <col min="14584" max="14584" width="8.7109375" style="17" customWidth="1"/>
    <col min="14585" max="14585" width="9.71093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7109375" style="17" customWidth="1"/>
    <col min="14592" max="14592" width="11.28515625" style="17" customWidth="1"/>
    <col min="14593" max="14593" width="2.7109375" style="17" customWidth="1"/>
    <col min="14594" max="14594" width="3.5703125" style="17" customWidth="1"/>
    <col min="14595" max="14839" width="9.28515625" style="17"/>
    <col min="14840" max="14840" width="8.7109375" style="17" customWidth="1"/>
    <col min="14841" max="14841" width="9.71093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7109375" style="17" customWidth="1"/>
    <col min="14848" max="14848" width="11.28515625" style="17" customWidth="1"/>
    <col min="14849" max="14849" width="2.7109375" style="17" customWidth="1"/>
    <col min="14850" max="14850" width="3.5703125" style="17" customWidth="1"/>
    <col min="14851" max="15095" width="9.28515625" style="17"/>
    <col min="15096" max="15096" width="8.7109375" style="17" customWidth="1"/>
    <col min="15097" max="15097" width="9.71093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7109375" style="17" customWidth="1"/>
    <col min="15104" max="15104" width="11.28515625" style="17" customWidth="1"/>
    <col min="15105" max="15105" width="2.7109375" style="17" customWidth="1"/>
    <col min="15106" max="15106" width="3.5703125" style="17" customWidth="1"/>
    <col min="15107" max="15351" width="9.28515625" style="17"/>
    <col min="15352" max="15352" width="8.7109375" style="17" customWidth="1"/>
    <col min="15353" max="15353" width="9.71093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7109375" style="17" customWidth="1"/>
    <col min="15360" max="15360" width="11.28515625" style="17" customWidth="1"/>
    <col min="15361" max="15361" width="2.7109375" style="17" customWidth="1"/>
    <col min="15362" max="15362" width="3.5703125" style="17" customWidth="1"/>
    <col min="15363" max="15607" width="9.28515625" style="17"/>
    <col min="15608" max="15608" width="8.7109375" style="17" customWidth="1"/>
    <col min="15609" max="15609" width="9.71093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7109375" style="17" customWidth="1"/>
    <col min="15616" max="15616" width="11.28515625" style="17" customWidth="1"/>
    <col min="15617" max="15617" width="2.7109375" style="17" customWidth="1"/>
    <col min="15618" max="15618" width="3.5703125" style="17" customWidth="1"/>
    <col min="15619" max="15863" width="9.28515625" style="17"/>
    <col min="15864" max="15864" width="8.7109375" style="17" customWidth="1"/>
    <col min="15865" max="15865" width="9.71093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7109375" style="17" customWidth="1"/>
    <col min="15872" max="15872" width="11.28515625" style="17" customWidth="1"/>
    <col min="15873" max="15873" width="2.7109375" style="17" customWidth="1"/>
    <col min="15874" max="15874" width="3.5703125" style="17" customWidth="1"/>
    <col min="15875" max="16119" width="9.28515625" style="17"/>
    <col min="16120" max="16120" width="8.7109375" style="17" customWidth="1"/>
    <col min="16121" max="16121" width="9.71093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7109375" style="17" customWidth="1"/>
    <col min="16128" max="16128" width="11.28515625" style="17" customWidth="1"/>
    <col min="16129" max="16129" width="2.7109375" style="17" customWidth="1"/>
    <col min="16130" max="16130" width="3.5703125" style="17" customWidth="1"/>
    <col min="16131" max="16384" width="9.28515625" style="17"/>
  </cols>
  <sheetData>
    <row r="1" spans="1:26" ht="46.5" customHeight="1" x14ac:dyDescent="0.25">
      <c r="A1" s="159" t="s">
        <v>166</v>
      </c>
      <c r="B1" s="159"/>
      <c r="C1" s="159"/>
      <c r="D1" s="159"/>
      <c r="E1" s="159"/>
      <c r="F1" s="159"/>
      <c r="G1" s="159"/>
      <c r="H1" s="159"/>
    </row>
    <row r="2" spans="1:26" ht="16.5" customHeight="1" x14ac:dyDescent="0.25">
      <c r="A2" s="160" t="s">
        <v>0</v>
      </c>
      <c r="B2" s="160"/>
      <c r="C2" s="160"/>
      <c r="D2" s="160"/>
      <c r="E2" s="160"/>
      <c r="F2" s="160"/>
      <c r="G2" s="160"/>
      <c r="H2" s="160"/>
    </row>
    <row r="3" spans="1:26" x14ac:dyDescent="0.25">
      <c r="A3" s="133" t="s">
        <v>1</v>
      </c>
      <c r="B3" s="133"/>
      <c r="C3" s="133"/>
      <c r="D3" s="133"/>
      <c r="E3" s="133" t="str">
        <f ca="1">TEXT(TODAY(),"DD/MM/YYYY")</f>
        <v>16/09/2025</v>
      </c>
      <c r="F3" s="133"/>
      <c r="G3" s="133"/>
      <c r="H3" s="133"/>
    </row>
    <row r="4" spans="1:26" ht="15" customHeight="1" x14ac:dyDescent="0.25">
      <c r="A4" s="133" t="s">
        <v>2</v>
      </c>
      <c r="B4" s="133"/>
      <c r="C4" s="133"/>
      <c r="D4" s="133"/>
      <c r="E4" s="133" t="s">
        <v>233</v>
      </c>
      <c r="F4" s="133"/>
      <c r="G4" s="133"/>
      <c r="H4" s="133"/>
    </row>
    <row r="5" spans="1:26" x14ac:dyDescent="0.25">
      <c r="A5" s="133" t="s">
        <v>3</v>
      </c>
      <c r="B5" s="133"/>
      <c r="C5" s="133"/>
      <c r="D5" s="133"/>
      <c r="E5" s="161">
        <v>45913</v>
      </c>
      <c r="F5" s="133"/>
      <c r="G5" s="133"/>
      <c r="H5" s="133"/>
    </row>
    <row r="6" spans="1:26" ht="16.5" customHeight="1" x14ac:dyDescent="0.25">
      <c r="A6" s="133" t="s">
        <v>4</v>
      </c>
      <c r="B6" s="133"/>
      <c r="C6" s="133"/>
      <c r="D6" s="133"/>
      <c r="E6" s="133" t="s">
        <v>234</v>
      </c>
      <c r="F6" s="133"/>
      <c r="G6" s="133"/>
      <c r="H6" s="133"/>
    </row>
    <row r="7" spans="1:26" ht="15" customHeight="1" x14ac:dyDescent="0.25">
      <c r="A7" s="133" t="s">
        <v>5</v>
      </c>
      <c r="B7" s="133"/>
      <c r="C7" s="133"/>
      <c r="D7" s="133"/>
      <c r="E7" s="133" t="str">
        <f>E6</f>
        <v>Nirvaana Construction Co</v>
      </c>
      <c r="F7" s="133"/>
      <c r="G7" s="133"/>
      <c r="H7" s="133"/>
    </row>
    <row r="8" spans="1:26" x14ac:dyDescent="0.25">
      <c r="A8" s="133" t="s">
        <v>6</v>
      </c>
      <c r="B8" s="133"/>
      <c r="C8" s="133"/>
      <c r="D8" s="133"/>
      <c r="E8" s="151" t="s">
        <v>235</v>
      </c>
      <c r="F8" s="151"/>
      <c r="G8" s="151"/>
      <c r="H8" s="151"/>
    </row>
    <row r="9" spans="1:26" x14ac:dyDescent="0.25">
      <c r="A9" s="133" t="s">
        <v>169</v>
      </c>
      <c r="B9" s="133"/>
      <c r="C9" s="133"/>
      <c r="D9" s="133"/>
      <c r="E9" s="133" t="s">
        <v>236</v>
      </c>
      <c r="F9" s="133"/>
      <c r="G9" s="133"/>
      <c r="H9" s="133"/>
    </row>
    <row r="10" spans="1:26" x14ac:dyDescent="0.25">
      <c r="A10" s="133" t="s">
        <v>170</v>
      </c>
      <c r="B10" s="133"/>
      <c r="C10" s="133"/>
      <c r="D10" s="133"/>
      <c r="E10" s="133" t="s">
        <v>236</v>
      </c>
      <c r="F10" s="133"/>
      <c r="G10" s="133"/>
      <c r="H10" s="133"/>
    </row>
    <row r="11" spans="1:26" ht="64.5" customHeight="1" x14ac:dyDescent="0.25">
      <c r="A11" s="133" t="s">
        <v>7</v>
      </c>
      <c r="B11" s="133"/>
      <c r="C11" s="133"/>
      <c r="D11" s="133"/>
      <c r="E11" s="130" t="s">
        <v>276</v>
      </c>
      <c r="F11" s="133"/>
      <c r="G11" s="133"/>
      <c r="H11" s="133"/>
    </row>
    <row r="12" spans="1:26" x14ac:dyDescent="0.25">
      <c r="A12" s="133" t="s">
        <v>172</v>
      </c>
      <c r="B12" s="133"/>
      <c r="C12" s="133"/>
      <c r="D12" s="133"/>
      <c r="E12" s="133" t="s">
        <v>29</v>
      </c>
      <c r="F12" s="133"/>
      <c r="G12" s="133"/>
      <c r="H12" s="133"/>
      <c r="S12" s="47" t="s">
        <v>177</v>
      </c>
      <c r="T12" s="47" t="s">
        <v>187</v>
      </c>
      <c r="U12" s="47" t="s">
        <v>173</v>
      </c>
      <c r="V12" s="47" t="s">
        <v>192</v>
      </c>
      <c r="W12" s="47" t="s">
        <v>210</v>
      </c>
      <c r="X12"/>
      <c r="Y12" t="s">
        <v>192</v>
      </c>
      <c r="Z12" t="e">
        <f ca="1">OFFSET($S$12,1,MATCH($G19,$S$12:$W$12,0)-1,15,1)</f>
        <v>#VALUE!</v>
      </c>
    </row>
    <row r="13" spans="1:26" x14ac:dyDescent="0.25">
      <c r="A13" s="133" t="s">
        <v>8</v>
      </c>
      <c r="B13" s="133"/>
      <c r="C13" s="133"/>
      <c r="D13" s="133"/>
      <c r="E13" s="130" t="s">
        <v>282</v>
      </c>
      <c r="F13" s="130"/>
      <c r="G13" s="130"/>
      <c r="H13" s="130"/>
      <c r="S13" s="47" t="s">
        <v>178</v>
      </c>
      <c r="T13" s="47" t="s">
        <v>185</v>
      </c>
      <c r="U13" s="47" t="s">
        <v>207</v>
      </c>
      <c r="V13" s="47" t="s">
        <v>193</v>
      </c>
      <c r="W13" s="47" t="s">
        <v>211</v>
      </c>
      <c r="X13"/>
      <c r="Y13"/>
      <c r="Z13"/>
    </row>
    <row r="14" spans="1:26" ht="33.75" customHeight="1" x14ac:dyDescent="0.25">
      <c r="A14" s="133" t="s">
        <v>9</v>
      </c>
      <c r="B14" s="133"/>
      <c r="C14" s="133"/>
      <c r="D14" s="133"/>
      <c r="E14" s="130" t="s">
        <v>237</v>
      </c>
      <c r="F14" s="133"/>
      <c r="G14" s="133"/>
      <c r="H14" s="133"/>
      <c r="I14" s="192" t="e">
        <f ca="1">OFFSET($D$4,1,MATCH($J12,$D$4:$H$4,0)-1,15,1)</f>
        <v>#N/A</v>
      </c>
      <c r="J14" s="193"/>
      <c r="K14" s="193"/>
      <c r="L14" s="193"/>
      <c r="M14" s="193"/>
      <c r="N14" s="193"/>
      <c r="O14" s="193"/>
      <c r="P14" s="193"/>
      <c r="S14" s="47" t="s">
        <v>179</v>
      </c>
      <c r="T14" s="47" t="s">
        <v>186</v>
      </c>
      <c r="U14" s="47" t="s">
        <v>208</v>
      </c>
      <c r="V14" s="47" t="s">
        <v>194</v>
      </c>
      <c r="W14" s="47" t="s">
        <v>224</v>
      </c>
      <c r="X14"/>
      <c r="Y14"/>
      <c r="Z14"/>
    </row>
    <row r="15" spans="1:26" ht="36" customHeight="1" x14ac:dyDescent="0.25">
      <c r="A15" s="130" t="s">
        <v>10</v>
      </c>
      <c r="B15" s="130"/>
      <c r="C15" s="13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Nirvaana Residency Phase I &amp; II, Gut No.106/0, Sub Plot No. 1 to 25, near Dmart, Karjat-Neral Road, Vanjale, Vanjale, Karjat (West), Karjat, Raigad - 410201.</v>
      </c>
      <c r="D15" s="130"/>
      <c r="E15" s="130"/>
      <c r="F15" s="130"/>
      <c r="G15" s="130"/>
      <c r="H15" s="130"/>
      <c r="S15" s="47" t="s">
        <v>180</v>
      </c>
      <c r="T15" s="47" t="s">
        <v>188</v>
      </c>
      <c r="U15" s="47" t="s">
        <v>209</v>
      </c>
      <c r="V15" s="47" t="s">
        <v>195</v>
      </c>
      <c r="W15" s="47" t="s">
        <v>212</v>
      </c>
      <c r="X15"/>
      <c r="Y15"/>
      <c r="Z15"/>
    </row>
    <row r="16" spans="1:26" x14ac:dyDescent="0.25">
      <c r="A16" s="130" t="s">
        <v>238</v>
      </c>
      <c r="B16" s="130"/>
      <c r="C16" s="130" t="s">
        <v>239</v>
      </c>
      <c r="D16" s="130"/>
      <c r="E16" s="130"/>
      <c r="F16" s="130"/>
      <c r="G16" s="130"/>
      <c r="H16" s="130"/>
      <c r="S16" s="47" t="s">
        <v>181</v>
      </c>
      <c r="T16" s="47" t="s">
        <v>189</v>
      </c>
      <c r="U16" s="47"/>
      <c r="V16" s="47" t="s">
        <v>196</v>
      </c>
      <c r="W16" s="47" t="s">
        <v>213</v>
      </c>
      <c r="X16"/>
      <c r="Y16"/>
      <c r="Z16"/>
    </row>
    <row r="17" spans="1:26" ht="15.75" customHeight="1" x14ac:dyDescent="0.25">
      <c r="A17" s="130" t="s">
        <v>164</v>
      </c>
      <c r="B17" s="130"/>
      <c r="C17" s="130" t="s">
        <v>240</v>
      </c>
      <c r="D17" s="130"/>
      <c r="E17" s="130"/>
      <c r="F17" s="130"/>
      <c r="G17" s="130"/>
      <c r="H17" s="130"/>
      <c r="S17" s="47" t="s">
        <v>182</v>
      </c>
      <c r="T17" s="47" t="s">
        <v>187</v>
      </c>
      <c r="U17" s="47"/>
      <c r="V17" s="47" t="s">
        <v>197</v>
      </c>
      <c r="W17" s="47" t="s">
        <v>214</v>
      </c>
      <c r="X17"/>
      <c r="Y17"/>
      <c r="Z17"/>
    </row>
    <row r="18" spans="1:26" ht="15.75" customHeight="1" x14ac:dyDescent="0.25">
      <c r="A18" s="130" t="s">
        <v>11</v>
      </c>
      <c r="B18" s="130"/>
      <c r="C18" s="133" t="s">
        <v>241</v>
      </c>
      <c r="D18" s="133"/>
      <c r="E18" s="130" t="s">
        <v>73</v>
      </c>
      <c r="F18" s="130"/>
      <c r="G18" s="130" t="s">
        <v>240</v>
      </c>
      <c r="H18" s="130"/>
      <c r="S18" s="47" t="s">
        <v>183</v>
      </c>
      <c r="T18" s="47" t="s">
        <v>190</v>
      </c>
      <c r="U18" s="47"/>
      <c r="V18" s="47" t="s">
        <v>198</v>
      </c>
      <c r="W18" s="47" t="s">
        <v>215</v>
      </c>
      <c r="X18"/>
      <c r="Y18"/>
      <c r="Z18"/>
    </row>
    <row r="19" spans="1:26" x14ac:dyDescent="0.25">
      <c r="A19" s="133" t="s">
        <v>13</v>
      </c>
      <c r="B19" s="133"/>
      <c r="C19" s="130" t="s">
        <v>285</v>
      </c>
      <c r="D19" s="130"/>
      <c r="E19" s="130" t="s">
        <v>12</v>
      </c>
      <c r="F19" s="130"/>
      <c r="G19" s="158" t="s">
        <v>192</v>
      </c>
      <c r="H19" s="158"/>
      <c r="S19" s="47" t="s">
        <v>184</v>
      </c>
      <c r="T19" s="47" t="s">
        <v>191</v>
      </c>
      <c r="U19" s="47"/>
      <c r="V19" s="47" t="s">
        <v>199</v>
      </c>
      <c r="W19" s="47" t="s">
        <v>216</v>
      </c>
      <c r="X19"/>
      <c r="Y19"/>
      <c r="Z19"/>
    </row>
    <row r="20" spans="1:26" x14ac:dyDescent="0.25">
      <c r="A20" s="133" t="s">
        <v>74</v>
      </c>
      <c r="B20" s="133"/>
      <c r="C20" s="130" t="s">
        <v>196</v>
      </c>
      <c r="D20" s="130"/>
      <c r="E20" s="130" t="s">
        <v>14</v>
      </c>
      <c r="F20" s="130"/>
      <c r="G20" s="130">
        <v>410201</v>
      </c>
      <c r="H20" s="130"/>
      <c r="S20" s="47"/>
      <c r="T20" s="47"/>
      <c r="U20" s="47"/>
      <c r="V20" s="47" t="s">
        <v>200</v>
      </c>
      <c r="W20" s="47" t="s">
        <v>217</v>
      </c>
      <c r="X20"/>
      <c r="Y20"/>
      <c r="Z20"/>
    </row>
    <row r="21" spans="1:26" ht="32.25" customHeight="1" x14ac:dyDescent="0.25">
      <c r="A21" s="133" t="s">
        <v>123</v>
      </c>
      <c r="B21" s="133"/>
      <c r="C21" s="130" t="s">
        <v>243</v>
      </c>
      <c r="D21" s="130"/>
      <c r="E21" s="130" t="s">
        <v>15</v>
      </c>
      <c r="F21" s="130"/>
      <c r="G21" s="130" t="s">
        <v>244</v>
      </c>
      <c r="H21" s="130"/>
      <c r="S21" s="47"/>
      <c r="T21" s="47"/>
      <c r="U21" s="47"/>
      <c r="V21" s="47" t="s">
        <v>201</v>
      </c>
      <c r="W21" s="47" t="s">
        <v>218</v>
      </c>
      <c r="X21"/>
      <c r="Y21"/>
      <c r="Z21"/>
    </row>
    <row r="22" spans="1:26" ht="15" customHeight="1" x14ac:dyDescent="0.25">
      <c r="A22" s="157" t="s">
        <v>76</v>
      </c>
      <c r="B22" s="157"/>
      <c r="C22" s="157"/>
      <c r="D22" s="157"/>
      <c r="E22" s="133" t="s">
        <v>16</v>
      </c>
      <c r="F22" s="133"/>
      <c r="G22" s="133"/>
      <c r="H22" s="133"/>
      <c r="S22" s="47"/>
      <c r="T22" s="47"/>
      <c r="U22" s="47"/>
      <c r="V22" s="47" t="s">
        <v>202</v>
      </c>
      <c r="W22" s="47" t="s">
        <v>219</v>
      </c>
      <c r="X22"/>
      <c r="Y22"/>
      <c r="Z22"/>
    </row>
    <row r="23" spans="1:26" ht="18.75" customHeight="1" x14ac:dyDescent="0.25">
      <c r="A23" s="157"/>
      <c r="B23" s="157"/>
      <c r="C23" s="157"/>
      <c r="D23" s="157"/>
      <c r="E23" s="133"/>
      <c r="F23" s="133"/>
      <c r="G23" s="133"/>
      <c r="H23" s="133"/>
      <c r="S23" s="47"/>
      <c r="T23" s="47"/>
      <c r="U23" s="47"/>
      <c r="V23" s="47" t="s">
        <v>203</v>
      </c>
      <c r="W23" s="47" t="s">
        <v>220</v>
      </c>
      <c r="X23"/>
      <c r="Y23"/>
      <c r="Z23"/>
    </row>
    <row r="24" spans="1:26" ht="15" customHeight="1" x14ac:dyDescent="0.25">
      <c r="A24" s="157" t="s">
        <v>17</v>
      </c>
      <c r="B24" s="157"/>
      <c r="C24" s="157"/>
      <c r="D24" s="157"/>
      <c r="E24" s="130" t="s">
        <v>18</v>
      </c>
      <c r="F24" s="130"/>
      <c r="G24" s="130"/>
      <c r="H24" s="130"/>
      <c r="S24" s="47"/>
      <c r="T24" s="47"/>
      <c r="U24" s="47"/>
      <c r="V24" s="47" t="s">
        <v>204</v>
      </c>
      <c r="W24" s="47" t="s">
        <v>221</v>
      </c>
      <c r="X24"/>
      <c r="Y24"/>
      <c r="Z24"/>
    </row>
    <row r="25" spans="1:26" ht="15" customHeight="1" x14ac:dyDescent="0.25">
      <c r="A25" s="77" t="s">
        <v>19</v>
      </c>
      <c r="B25" s="77"/>
      <c r="C25" s="77"/>
      <c r="D25" s="77"/>
      <c r="E25" s="130" t="str">
        <f>IF(AND(G19="Mumbai"),"Upper Class","Middle Class")</f>
        <v>Middle Class</v>
      </c>
      <c r="F25" s="130"/>
      <c r="G25" s="130"/>
      <c r="H25" s="130"/>
      <c r="S25" s="47"/>
      <c r="T25" s="47"/>
      <c r="U25" s="47"/>
      <c r="V25" s="47" t="s">
        <v>205</v>
      </c>
      <c r="W25" s="47" t="s">
        <v>222</v>
      </c>
      <c r="X25"/>
      <c r="Y25"/>
      <c r="Z25"/>
    </row>
    <row r="26" spans="1:26" x14ac:dyDescent="0.25">
      <c r="A26" s="77" t="s">
        <v>20</v>
      </c>
      <c r="B26" s="77"/>
      <c r="C26" s="77"/>
      <c r="D26" s="77"/>
      <c r="E26" s="130" t="s">
        <v>21</v>
      </c>
      <c r="F26" s="130"/>
      <c r="G26" s="130"/>
      <c r="H26" s="130"/>
      <c r="S26" s="47"/>
      <c r="T26" s="47"/>
      <c r="U26" s="47"/>
      <c r="V26" s="47" t="s">
        <v>206</v>
      </c>
      <c r="W26" s="47" t="s">
        <v>223</v>
      </c>
      <c r="X26"/>
      <c r="Y26"/>
      <c r="Z26"/>
    </row>
    <row r="27" spans="1:26" ht="15.75" customHeight="1" x14ac:dyDescent="0.25">
      <c r="A27" s="77" t="s">
        <v>22</v>
      </c>
      <c r="B27" s="77"/>
      <c r="C27" s="77"/>
      <c r="D27" s="77"/>
      <c r="E27" s="130" t="str">
        <f>IF(AND(G19="Mumbai"),"Developed","Developing")</f>
        <v>Developing</v>
      </c>
      <c r="F27" s="130"/>
      <c r="G27" s="130"/>
      <c r="H27" s="130"/>
    </row>
    <row r="28" spans="1:26" x14ac:dyDescent="0.25">
      <c r="A28" s="77" t="s">
        <v>23</v>
      </c>
      <c r="B28" s="77"/>
      <c r="C28" s="77"/>
      <c r="D28" s="77"/>
      <c r="E28" s="130" t="s">
        <v>24</v>
      </c>
      <c r="F28" s="130"/>
      <c r="G28" s="130"/>
      <c r="H28" s="130"/>
    </row>
    <row r="29" spans="1:26" ht="15.75" customHeight="1" x14ac:dyDescent="0.25">
      <c r="A29" s="77" t="s">
        <v>81</v>
      </c>
      <c r="B29" s="77"/>
      <c r="C29" s="77"/>
      <c r="D29" s="77"/>
      <c r="E29" s="130" t="s">
        <v>82</v>
      </c>
      <c r="F29" s="130"/>
      <c r="G29" s="130"/>
      <c r="H29" s="130"/>
    </row>
    <row r="30" spans="1:26" ht="15" customHeight="1" x14ac:dyDescent="0.25">
      <c r="A30" s="77" t="s">
        <v>32</v>
      </c>
      <c r="B30" s="77"/>
      <c r="C30" s="77"/>
      <c r="D30" s="77"/>
      <c r="E30" s="13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30"/>
      <c r="G30" s="130"/>
      <c r="H30" s="130"/>
    </row>
    <row r="31" spans="1:26" ht="15.75" customHeight="1" x14ac:dyDescent="0.25">
      <c r="A31" s="77" t="s">
        <v>93</v>
      </c>
      <c r="B31" s="77"/>
      <c r="C31" s="77"/>
      <c r="D31" s="77"/>
      <c r="E31" s="130" t="s">
        <v>33</v>
      </c>
      <c r="F31" s="130"/>
      <c r="G31" s="130"/>
      <c r="H31" s="130"/>
    </row>
    <row r="32" spans="1:26" s="18" customFormat="1" x14ac:dyDescent="0.25">
      <c r="A32" s="156" t="s">
        <v>94</v>
      </c>
      <c r="B32" s="156"/>
      <c r="C32" s="153" t="s">
        <v>174</v>
      </c>
      <c r="D32" s="154"/>
      <c r="E32" s="155"/>
      <c r="F32" s="153" t="s">
        <v>30</v>
      </c>
      <c r="G32" s="154"/>
      <c r="H32" s="155"/>
    </row>
    <row r="33" spans="1:9" s="18" customFormat="1" x14ac:dyDescent="0.25">
      <c r="A33" s="136" t="s">
        <v>25</v>
      </c>
      <c r="B33" s="136" t="s">
        <v>29</v>
      </c>
      <c r="C33" s="137" t="s">
        <v>245</v>
      </c>
      <c r="D33" s="138"/>
      <c r="E33" s="139"/>
      <c r="F33" s="137" t="s">
        <v>249</v>
      </c>
      <c r="G33" s="138"/>
      <c r="H33" s="139"/>
    </row>
    <row r="34" spans="1:9" x14ac:dyDescent="0.25">
      <c r="A34" s="136" t="s">
        <v>26</v>
      </c>
      <c r="B34" s="136" t="s">
        <v>29</v>
      </c>
      <c r="C34" s="137" t="s">
        <v>246</v>
      </c>
      <c r="D34" s="138"/>
      <c r="E34" s="139"/>
      <c r="F34" s="137" t="s">
        <v>249</v>
      </c>
      <c r="G34" s="138"/>
      <c r="H34" s="139"/>
    </row>
    <row r="35" spans="1:9" s="18" customFormat="1" x14ac:dyDescent="0.25">
      <c r="A35" s="136" t="s">
        <v>28</v>
      </c>
      <c r="B35" s="136" t="s">
        <v>29</v>
      </c>
      <c r="C35" s="137" t="s">
        <v>247</v>
      </c>
      <c r="D35" s="138"/>
      <c r="E35" s="139"/>
      <c r="F35" s="137" t="s">
        <v>250</v>
      </c>
      <c r="G35" s="138"/>
      <c r="H35" s="139"/>
    </row>
    <row r="36" spans="1:9" x14ac:dyDescent="0.25">
      <c r="A36" s="136" t="s">
        <v>27</v>
      </c>
      <c r="B36" s="136" t="s">
        <v>29</v>
      </c>
      <c r="C36" s="137" t="s">
        <v>248</v>
      </c>
      <c r="D36" s="138"/>
      <c r="E36" s="139"/>
      <c r="F36" s="137" t="s">
        <v>242</v>
      </c>
      <c r="G36" s="138"/>
      <c r="H36" s="139"/>
    </row>
    <row r="37" spans="1:9" x14ac:dyDescent="0.25">
      <c r="A37" s="77" t="s">
        <v>31</v>
      </c>
      <c r="B37" s="77"/>
      <c r="C37" s="77"/>
      <c r="D37" s="77"/>
      <c r="E37" s="77"/>
      <c r="F37" s="77"/>
      <c r="G37" s="77"/>
      <c r="H37" s="77"/>
    </row>
    <row r="38" spans="1:9" ht="15.75" customHeight="1" x14ac:dyDescent="0.25">
      <c r="A38" s="126" t="s">
        <v>167</v>
      </c>
      <c r="B38" s="126"/>
      <c r="C38" s="77" t="s">
        <v>251</v>
      </c>
      <c r="D38" s="77"/>
      <c r="E38" s="77"/>
      <c r="F38" s="77"/>
      <c r="G38" s="77"/>
      <c r="H38" s="77"/>
    </row>
    <row r="39" spans="1:9" x14ac:dyDescent="0.25">
      <c r="A39" s="126" t="s">
        <v>163</v>
      </c>
      <c r="B39" s="126"/>
      <c r="C39" s="129" t="s">
        <v>252</v>
      </c>
      <c r="D39" s="130"/>
      <c r="E39" s="130"/>
      <c r="F39" s="130"/>
      <c r="G39" s="130"/>
      <c r="H39" s="130"/>
    </row>
    <row r="40" spans="1:9" x14ac:dyDescent="0.25">
      <c r="A40" s="126" t="s">
        <v>34</v>
      </c>
      <c r="B40" s="126"/>
      <c r="C40" s="126"/>
      <c r="D40" s="126"/>
      <c r="E40" s="126"/>
      <c r="F40" s="126"/>
      <c r="G40" s="126"/>
      <c r="H40" s="126"/>
    </row>
    <row r="41" spans="1:9" x14ac:dyDescent="0.25">
      <c r="A41" s="77" t="s">
        <v>35</v>
      </c>
      <c r="B41" s="77"/>
      <c r="C41" s="77"/>
      <c r="D41" s="77"/>
      <c r="E41" s="140">
        <v>13560</v>
      </c>
      <c r="F41" s="140"/>
      <c r="G41" s="140"/>
      <c r="H41" s="140"/>
    </row>
    <row r="42" spans="1:9" x14ac:dyDescent="0.25">
      <c r="A42" s="77" t="s">
        <v>36</v>
      </c>
      <c r="B42" s="77"/>
      <c r="C42" s="77"/>
      <c r="D42" s="77"/>
      <c r="E42" s="148">
        <f>14916/E41</f>
        <v>1.1000000000000001</v>
      </c>
      <c r="F42" s="148"/>
      <c r="G42" s="148"/>
      <c r="H42" s="148"/>
    </row>
    <row r="43" spans="1:9" x14ac:dyDescent="0.25">
      <c r="A43" s="77" t="s">
        <v>37</v>
      </c>
      <c r="B43" s="77"/>
      <c r="C43" s="77"/>
      <c r="D43" s="77"/>
      <c r="E43" s="148">
        <f>E45/E41-E42</f>
        <v>0.37132949852507369</v>
      </c>
      <c r="F43" s="148"/>
      <c r="G43" s="148"/>
      <c r="H43" s="148"/>
      <c r="I43" s="59"/>
    </row>
    <row r="44" spans="1:9" x14ac:dyDescent="0.25">
      <c r="A44" s="77" t="s">
        <v>38</v>
      </c>
      <c r="B44" s="77"/>
      <c r="C44" s="77"/>
      <c r="D44" s="77"/>
      <c r="E44" s="148">
        <f>E42+E43</f>
        <v>1.4713294985250738</v>
      </c>
      <c r="F44" s="148"/>
      <c r="G44" s="148"/>
      <c r="H44" s="148"/>
      <c r="I44" s="59">
        <f>E45/E41</f>
        <v>1.4713294985250738</v>
      </c>
    </row>
    <row r="45" spans="1:9" x14ac:dyDescent="0.25">
      <c r="A45" s="77" t="s">
        <v>92</v>
      </c>
      <c r="B45" s="77"/>
      <c r="C45" s="77"/>
      <c r="D45" s="77"/>
      <c r="E45" s="149">
        <v>19951.227999999999</v>
      </c>
      <c r="F45" s="149"/>
      <c r="G45" s="149"/>
      <c r="H45" s="149"/>
    </row>
    <row r="46" spans="1:9" x14ac:dyDescent="0.25">
      <c r="A46" s="133" t="s">
        <v>39</v>
      </c>
      <c r="B46" s="133"/>
      <c r="C46" s="133"/>
      <c r="D46" s="133"/>
      <c r="E46" s="133" t="s">
        <v>277</v>
      </c>
      <c r="F46" s="133"/>
      <c r="G46" s="133"/>
      <c r="H46" s="133"/>
    </row>
    <row r="47" spans="1:9" x14ac:dyDescent="0.25">
      <c r="A47" s="126" t="s">
        <v>40</v>
      </c>
      <c r="B47" s="126"/>
      <c r="C47" s="126"/>
      <c r="D47" s="126"/>
      <c r="E47" s="126"/>
      <c r="F47" s="126"/>
      <c r="G47" s="126"/>
      <c r="H47" s="126"/>
    </row>
    <row r="48" spans="1:9" ht="33.75" customHeight="1" x14ac:dyDescent="0.25">
      <c r="A48" s="98" t="s">
        <v>152</v>
      </c>
      <c r="B48" s="99"/>
      <c r="C48" s="100" t="s">
        <v>253</v>
      </c>
      <c r="D48" s="101"/>
      <c r="E48" s="101"/>
      <c r="F48" s="101"/>
      <c r="G48" s="101"/>
      <c r="H48" s="102"/>
    </row>
    <row r="49" spans="1:14" ht="15.75" customHeight="1" x14ac:dyDescent="0.25">
      <c r="A49" s="98" t="s">
        <v>41</v>
      </c>
      <c r="B49" s="99"/>
      <c r="C49" s="98" t="s">
        <v>254</v>
      </c>
      <c r="D49" s="175"/>
      <c r="E49" s="99"/>
      <c r="F49" s="16" t="s">
        <v>42</v>
      </c>
      <c r="G49" s="165">
        <v>44606</v>
      </c>
      <c r="H49" s="99"/>
    </row>
    <row r="50" spans="1:14" x14ac:dyDescent="0.25">
      <c r="A50" s="98" t="s">
        <v>43</v>
      </c>
      <c r="B50" s="99"/>
      <c r="C50" s="98" t="str">
        <f>C49</f>
        <v>MS/LNA-1S/06/2021</v>
      </c>
      <c r="D50" s="175"/>
      <c r="E50" s="99"/>
      <c r="F50" s="16" t="s">
        <v>42</v>
      </c>
      <c r="G50" s="165">
        <f>G49</f>
        <v>44606</v>
      </c>
      <c r="H50" s="166"/>
    </row>
    <row r="51" spans="1:14" s="19" customFormat="1" ht="15.75" customHeight="1" x14ac:dyDescent="0.25">
      <c r="A51" s="157" t="s">
        <v>230</v>
      </c>
      <c r="B51" s="157"/>
      <c r="C51" s="98" t="s">
        <v>255</v>
      </c>
      <c r="D51" s="175"/>
      <c r="E51" s="99"/>
      <c r="F51" s="16" t="s">
        <v>42</v>
      </c>
      <c r="G51" s="165">
        <f>G50</f>
        <v>44606</v>
      </c>
      <c r="H51" s="166"/>
    </row>
    <row r="52" spans="1:14" s="19" customFormat="1" ht="33.75" customHeight="1" x14ac:dyDescent="0.25">
      <c r="A52" s="157" t="s">
        <v>231</v>
      </c>
      <c r="B52" s="157"/>
      <c r="C52" s="98" t="s">
        <v>256</v>
      </c>
      <c r="D52" s="175"/>
      <c r="E52" s="175"/>
      <c r="F52" s="175"/>
      <c r="G52" s="175"/>
      <c r="H52" s="99"/>
    </row>
    <row r="53" spans="1:14" x14ac:dyDescent="0.25">
      <c r="A53" s="189" t="s">
        <v>44</v>
      </c>
      <c r="B53" s="190"/>
      <c r="C53" s="189" t="s">
        <v>106</v>
      </c>
      <c r="D53" s="191"/>
      <c r="E53" s="190"/>
      <c r="F53" s="40" t="s">
        <v>42</v>
      </c>
      <c r="G53" s="173" t="s">
        <v>29</v>
      </c>
      <c r="H53" s="174"/>
    </row>
    <row r="54" spans="1:14" x14ac:dyDescent="0.25">
      <c r="A54" s="179" t="s">
        <v>46</v>
      </c>
      <c r="B54" s="179"/>
      <c r="C54" s="179"/>
      <c r="D54" s="179"/>
      <c r="E54" s="179"/>
      <c r="F54" s="179"/>
      <c r="G54" s="179"/>
      <c r="H54" s="179"/>
    </row>
    <row r="55" spans="1:14" x14ac:dyDescent="0.25">
      <c r="A55" s="157" t="s">
        <v>91</v>
      </c>
      <c r="B55" s="157"/>
      <c r="C55" s="157"/>
      <c r="D55" s="77">
        <v>12950.573</v>
      </c>
      <c r="E55" s="77"/>
      <c r="F55" s="77"/>
      <c r="G55" s="77"/>
      <c r="H55" s="77"/>
    </row>
    <row r="56" spans="1:14" x14ac:dyDescent="0.25">
      <c r="A56" s="130" t="s">
        <v>47</v>
      </c>
      <c r="B56" s="133"/>
      <c r="C56" s="133"/>
      <c r="D56" s="133" t="s">
        <v>271</v>
      </c>
      <c r="E56" s="133"/>
      <c r="F56" s="133"/>
      <c r="G56" s="133"/>
      <c r="H56" s="133"/>
      <c r="I56" s="20"/>
    </row>
    <row r="57" spans="1:14" ht="63" customHeight="1" x14ac:dyDescent="0.25">
      <c r="A57" s="162" t="s">
        <v>48</v>
      </c>
      <c r="B57" s="163"/>
      <c r="C57" s="164"/>
      <c r="D57" s="134" t="s">
        <v>263</v>
      </c>
      <c r="E57" s="135"/>
      <c r="F57" s="135"/>
      <c r="G57" s="135"/>
      <c r="H57" s="135"/>
    </row>
    <row r="58" spans="1:14" ht="15.75" customHeight="1" x14ac:dyDescent="0.25">
      <c r="A58" s="162" t="s">
        <v>89</v>
      </c>
      <c r="B58" s="163"/>
      <c r="C58" s="164"/>
      <c r="D58" s="133" t="s">
        <v>264</v>
      </c>
      <c r="E58" s="133"/>
      <c r="F58" s="133"/>
      <c r="G58" s="133"/>
      <c r="H58" s="133"/>
    </row>
    <row r="59" spans="1:14" ht="15.75" customHeight="1" x14ac:dyDescent="0.25">
      <c r="A59" s="195"/>
      <c r="B59" s="196"/>
      <c r="C59" s="197"/>
      <c r="D59" s="133" t="s">
        <v>257</v>
      </c>
      <c r="E59" s="133"/>
      <c r="F59" s="133"/>
      <c r="G59" s="133"/>
      <c r="H59" s="133"/>
    </row>
    <row r="60" spans="1:14" ht="15.75" customHeight="1" x14ac:dyDescent="0.25">
      <c r="A60" s="195"/>
      <c r="B60" s="196"/>
      <c r="C60" s="197"/>
      <c r="D60" s="133" t="s">
        <v>258</v>
      </c>
      <c r="E60" s="133"/>
      <c r="F60" s="133"/>
      <c r="G60" s="133"/>
      <c r="H60" s="133"/>
    </row>
    <row r="61" spans="1:14" ht="15.75" customHeight="1" x14ac:dyDescent="0.25">
      <c r="A61" s="198"/>
      <c r="B61" s="199"/>
      <c r="C61" s="200"/>
      <c r="D61" s="133" t="s">
        <v>259</v>
      </c>
      <c r="E61" s="133"/>
      <c r="F61" s="133"/>
      <c r="G61" s="133"/>
      <c r="H61" s="133"/>
    </row>
    <row r="62" spans="1:14" x14ac:dyDescent="0.25">
      <c r="A62" s="77" t="s">
        <v>45</v>
      </c>
      <c r="B62" s="77"/>
      <c r="C62" s="77"/>
      <c r="D62" s="141" t="s">
        <v>292</v>
      </c>
      <c r="E62" s="141"/>
      <c r="F62" s="141"/>
      <c r="G62" s="141"/>
      <c r="H62" s="141"/>
      <c r="J62" s="21"/>
      <c r="K62" s="20"/>
      <c r="N62" s="20"/>
    </row>
    <row r="63" spans="1:14" ht="15.75" customHeight="1" x14ac:dyDescent="0.25">
      <c r="A63" s="77" t="s">
        <v>87</v>
      </c>
      <c r="B63" s="77"/>
      <c r="C63" s="77"/>
      <c r="D63" s="147" t="str">
        <f>(IF(G53="NA","60 Years After Completion",IF(G53&lt;&gt;"NA",""&amp;60-ROUNDDOWN((E3-G53)/360,0)&amp;" Years"," ")))</f>
        <v>60 Years After Completion</v>
      </c>
      <c r="E63" s="147"/>
      <c r="F63" s="147"/>
      <c r="G63" s="147"/>
      <c r="H63" s="147"/>
      <c r="N63" s="20"/>
    </row>
    <row r="64" spans="1:14" ht="15.75" customHeight="1" x14ac:dyDescent="0.25">
      <c r="A64" s="77" t="s">
        <v>88</v>
      </c>
      <c r="B64" s="77"/>
      <c r="C64" s="77"/>
      <c r="D64" s="157" t="s">
        <v>24</v>
      </c>
      <c r="E64" s="157"/>
      <c r="F64" s="157"/>
      <c r="G64" s="157"/>
      <c r="H64" s="157"/>
      <c r="J64" s="22"/>
      <c r="K64" s="22"/>
    </row>
    <row r="65" spans="1:14" ht="32.25" customHeight="1" x14ac:dyDescent="0.25">
      <c r="A65" s="133" t="s">
        <v>232</v>
      </c>
      <c r="B65" s="133"/>
      <c r="C65" s="133"/>
      <c r="D65" s="130" t="s">
        <v>275</v>
      </c>
      <c r="E65" s="157"/>
      <c r="F65" s="157"/>
      <c r="G65" s="157"/>
      <c r="H65" s="157"/>
      <c r="J65" s="131" t="s">
        <v>280</v>
      </c>
      <c r="K65" s="132"/>
      <c r="L65" s="132"/>
    </row>
    <row r="66" spans="1:14" x14ac:dyDescent="0.25">
      <c r="A66" s="157" t="s">
        <v>149</v>
      </c>
      <c r="B66" s="157"/>
      <c r="C66" s="157"/>
      <c r="D66" s="157" t="s">
        <v>29</v>
      </c>
      <c r="E66" s="157"/>
      <c r="F66" s="157"/>
      <c r="G66" s="157"/>
      <c r="H66" s="157"/>
      <c r="I66" s="23"/>
      <c r="J66" s="23"/>
      <c r="K66" s="23"/>
      <c r="L66" s="23"/>
      <c r="M66" s="23"/>
      <c r="N66" s="23"/>
    </row>
    <row r="67" spans="1:14" ht="15.75" customHeight="1" x14ac:dyDescent="0.25">
      <c r="A67" s="176" t="s">
        <v>86</v>
      </c>
      <c r="B67" s="176"/>
      <c r="C67" s="176"/>
      <c r="D67" s="134" t="str">
        <f ca="1">(IF(G73&gt;95%,"Nothing",IF(G73&gt;0%,"Cement, Aggregate, Steel, etc",IF(G73=0%,"Work not yet Started"))))</f>
        <v>Cement, Aggregate, Steel, etc</v>
      </c>
      <c r="E67" s="134"/>
      <c r="F67" s="134"/>
      <c r="G67" s="134"/>
      <c r="H67" s="134"/>
      <c r="J67" s="22"/>
    </row>
    <row r="68" spans="1:14" ht="33.75" customHeight="1" thickBot="1" x14ac:dyDescent="0.3">
      <c r="A68" s="172" t="s">
        <v>119</v>
      </c>
      <c r="B68" s="172"/>
      <c r="C68" s="172"/>
      <c r="D68" s="134" t="str">
        <f ca="1">(IF(D67="Nothing","Yes",IF(D67="Cement, Aggregate, Steel, etc","Under Construction",IF(D67="Work not yet Started","Work not yet Started"))))</f>
        <v>Under Construction</v>
      </c>
      <c r="E68" s="134"/>
      <c r="F68" s="134" t="str">
        <f ca="1">(IF(D67="Nothing","Yes",IF(D67="Cement, Aggregate, Steel, etc","Under Construction",IF(D67="Work not yet Started","Work not yet Started"))))</f>
        <v>Under Construction</v>
      </c>
      <c r="G68" s="134"/>
      <c r="H68" s="134"/>
    </row>
    <row r="69" spans="1:14" ht="15.75" customHeight="1" x14ac:dyDescent="0.25">
      <c r="A69" s="167" t="s">
        <v>141</v>
      </c>
      <c r="B69" s="168"/>
      <c r="C69" s="169" t="s">
        <v>287</v>
      </c>
      <c r="D69" s="170"/>
      <c r="E69" s="170"/>
      <c r="F69" s="170"/>
      <c r="G69" s="170"/>
      <c r="H69" s="171"/>
      <c r="I69" s="42" t="str">
        <f ca="1">IF(D82=100%,"All work Completed. Possession granted to the Building.",IF(D81=100%,"All work Completed, Waiting for OC",I70&amp;""&amp;I71&amp;""&amp;J70&amp;""&amp;J69&amp;" "&amp;J71))</f>
        <v>Excavation, Plinth Completed, RCC upto 5 Slab, Brickwork upto 2 Floor Completed</v>
      </c>
      <c r="J69" s="43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5 Slab, Brickwork upto 2 Floor</v>
      </c>
    </row>
    <row r="70" spans="1:14" x14ac:dyDescent="0.25">
      <c r="A70" s="49" t="s">
        <v>143</v>
      </c>
      <c r="B70" s="50">
        <f>IF(AND(ISNUMBER(SEARCH("1B",C69))),1,IF(AND(ISNUMBER(SEARCH("2B",C69))),2,IF(AND(ISNUMBER(SEARCH("3B",C69))),3,IF(AND(ISNUMBER(SEARCH("4B",C69))),4,IF(ISNUMBER(SEARCH("5B",C69)),5,0)))))</f>
        <v>0</v>
      </c>
      <c r="C70" s="50" t="s">
        <v>72</v>
      </c>
      <c r="D70" s="50">
        <v>1</v>
      </c>
      <c r="E70" s="50" t="s">
        <v>71</v>
      </c>
      <c r="F70" s="50">
        <v>0</v>
      </c>
      <c r="G70" s="50" t="s">
        <v>80</v>
      </c>
      <c r="H70" s="51">
        <f ca="1">--TRIM(RIGHT(SUBSTITUTE(LEFT(C69,_xlfn.AGGREGATE(16,6,FIND({0,1,2,3,4,5,6,7,8,9},C69,ROW(INDIRECT("1:"&amp;LEN(C69)))),1))," ",REPT(" ",LEN(C69))),LEN(C69)))</f>
        <v>11</v>
      </c>
      <c r="I70" s="44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45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x14ac:dyDescent="0.25">
      <c r="A71" s="150" t="s">
        <v>90</v>
      </c>
      <c r="B71" s="151"/>
      <c r="C71" s="127" t="str">
        <f ca="1">I69</f>
        <v>Excavation, Plinth Completed, RCC upto 5 Slab, Brickwork upto 2 Floor Completed</v>
      </c>
      <c r="D71" s="127"/>
      <c r="E71" s="127"/>
      <c r="F71" s="127"/>
      <c r="G71" s="127"/>
      <c r="H71" s="152"/>
      <c r="I71" s="44" t="str">
        <f ca="1">IF(I70&lt;&gt;""," Completed","")</f>
        <v xml:space="preserve"> Completed</v>
      </c>
      <c r="J71" s="45" t="str">
        <f ca="1">IF(J69&lt;&gt;"","Completed","")</f>
        <v>Completed</v>
      </c>
    </row>
    <row r="72" spans="1:14" ht="15.75" customHeight="1" x14ac:dyDescent="0.25">
      <c r="A72" s="103" t="s">
        <v>49</v>
      </c>
      <c r="B72" s="104"/>
      <c r="C72" s="60" t="s">
        <v>140</v>
      </c>
      <c r="D72" s="60" t="s">
        <v>83</v>
      </c>
      <c r="E72" s="104" t="s">
        <v>85</v>
      </c>
      <c r="F72" s="104"/>
      <c r="G72" s="104" t="s">
        <v>84</v>
      </c>
      <c r="H72" s="188"/>
      <c r="I72" s="14" t="s">
        <v>142</v>
      </c>
      <c r="J72" s="24">
        <f ca="1">H70*25%</f>
        <v>2.75</v>
      </c>
    </row>
    <row r="73" spans="1:14" x14ac:dyDescent="0.25">
      <c r="A73" s="103" t="s">
        <v>129</v>
      </c>
      <c r="B73" s="104"/>
      <c r="C73" s="60">
        <f ca="1">J74</f>
        <v>11</v>
      </c>
      <c r="D73" s="52">
        <f ca="1">((100/H70)*C73)/100</f>
        <v>1.0000000000000002</v>
      </c>
      <c r="E73" s="110">
        <f ca="1">(((C74/H70*10)+(40/(D70+F70+H70)*C75)+(7.5/(H70)*C76)+(7.5/(H70)*C77)+(10/H70*C78)+(10/H70*C79)+(5/H70*C80)+(5/H70*C81)+(5/H70*C82))/100)</f>
        <v>0.28030303030303033</v>
      </c>
      <c r="F73" s="142"/>
      <c r="G73" s="110">
        <f ca="1">((((C73/H70)*20)+((C74/H70)*25)+(30/(H70+F70+D70)*C75)+(5/H70*C76)+(5/H70*C77)+(5/H70*C78)+(5/H70*C79)+(0/H70*C80)+(0/H70*C81)+(5/H70*C82))/100)</f>
        <v>0.58409090909090911</v>
      </c>
      <c r="H73" s="111"/>
      <c r="I73" s="14" t="s">
        <v>101</v>
      </c>
      <c r="J73" s="25">
        <f ca="1">H70*50%</f>
        <v>5.5</v>
      </c>
    </row>
    <row r="74" spans="1:14" x14ac:dyDescent="0.25">
      <c r="A74" s="103" t="s">
        <v>50</v>
      </c>
      <c r="B74" s="104"/>
      <c r="C74" s="62">
        <f ca="1">J82</f>
        <v>11</v>
      </c>
      <c r="D74" s="52">
        <f ca="1">((100/H70)*C74)/100</f>
        <v>1.0000000000000002</v>
      </c>
      <c r="E74" s="112"/>
      <c r="F74" s="143"/>
      <c r="G74" s="112"/>
      <c r="H74" s="113"/>
      <c r="I74" s="14" t="s">
        <v>102</v>
      </c>
      <c r="J74" s="25">
        <f ca="1">H70</f>
        <v>11</v>
      </c>
    </row>
    <row r="75" spans="1:14" ht="15.75" customHeight="1" x14ac:dyDescent="0.25">
      <c r="A75" s="103" t="s">
        <v>130</v>
      </c>
      <c r="B75" s="104"/>
      <c r="C75" s="60">
        <v>5</v>
      </c>
      <c r="D75" s="52">
        <f ca="1">((100/(D70+F70+H70))*C75)/100</f>
        <v>0.41666666666666674</v>
      </c>
      <c r="E75" s="112"/>
      <c r="F75" s="143"/>
      <c r="G75" s="112"/>
      <c r="H75" s="113"/>
      <c r="I75" s="14" t="s">
        <v>103</v>
      </c>
      <c r="J75" s="26">
        <f ca="1">(IF(B70&gt;1,(H70/(B70+2)),H70/4))</f>
        <v>2.75</v>
      </c>
    </row>
    <row r="76" spans="1:14" ht="15.75" customHeight="1" x14ac:dyDescent="0.25">
      <c r="A76" s="103" t="s">
        <v>137</v>
      </c>
      <c r="B76" s="104" t="s">
        <v>131</v>
      </c>
      <c r="C76" s="60">
        <v>2</v>
      </c>
      <c r="D76" s="52">
        <f ca="1">((100/H70)*C76)/100</f>
        <v>0.18181818181818182</v>
      </c>
      <c r="E76" s="112"/>
      <c r="F76" s="143"/>
      <c r="G76" s="112"/>
      <c r="H76" s="113"/>
      <c r="I76" s="14" t="s">
        <v>104</v>
      </c>
      <c r="J76" s="26">
        <f ca="1">(IF(B70&gt;1,(H70/(B70+2)+J75),H70/4+J75))</f>
        <v>5.5</v>
      </c>
    </row>
    <row r="77" spans="1:14" ht="15.75" customHeight="1" x14ac:dyDescent="0.25">
      <c r="A77" s="103" t="s">
        <v>138</v>
      </c>
      <c r="B77" s="104" t="s">
        <v>131</v>
      </c>
      <c r="C77" s="60">
        <v>0</v>
      </c>
      <c r="D77" s="52">
        <f ca="1">((100/H70)*C77)/100</f>
        <v>0</v>
      </c>
      <c r="E77" s="112"/>
      <c r="F77" s="143"/>
      <c r="G77" s="112"/>
      <c r="H77" s="113"/>
      <c r="I77" s="14" t="s">
        <v>147</v>
      </c>
      <c r="J77" s="26">
        <f>(IF(B70&gt;1,(H70/(B70+2)+J76),0))</f>
        <v>0</v>
      </c>
    </row>
    <row r="78" spans="1:14" ht="15" customHeight="1" x14ac:dyDescent="0.25">
      <c r="A78" s="103" t="s">
        <v>136</v>
      </c>
      <c r="B78" s="104" t="s">
        <v>133</v>
      </c>
      <c r="C78" s="60">
        <v>0</v>
      </c>
      <c r="D78" s="52">
        <f ca="1">((100/(H70))*C78)/100</f>
        <v>0</v>
      </c>
      <c r="E78" s="112"/>
      <c r="F78" s="143"/>
      <c r="G78" s="112"/>
      <c r="H78" s="113"/>
      <c r="I78" s="14" t="s">
        <v>144</v>
      </c>
      <c r="J78" s="26">
        <f>(IF(B70&gt;2,(H70/(B70+2)+J77),0))</f>
        <v>0</v>
      </c>
    </row>
    <row r="79" spans="1:14" ht="15.75" customHeight="1" x14ac:dyDescent="0.25">
      <c r="A79" s="103" t="s">
        <v>132</v>
      </c>
      <c r="B79" s="104" t="s">
        <v>132</v>
      </c>
      <c r="C79" s="60">
        <v>0</v>
      </c>
      <c r="D79" s="52">
        <f ca="1">((100/H70)*C79)/100</f>
        <v>0</v>
      </c>
      <c r="E79" s="112"/>
      <c r="F79" s="143"/>
      <c r="G79" s="112"/>
      <c r="H79" s="113"/>
      <c r="I79" s="14" t="s">
        <v>145</v>
      </c>
      <c r="J79" s="27">
        <f>(IF(B70&gt;3,(H70/(B70+2)+J78),0))</f>
        <v>0</v>
      </c>
    </row>
    <row r="80" spans="1:14" ht="15.75" customHeight="1" x14ac:dyDescent="0.25">
      <c r="A80" s="103" t="s">
        <v>139</v>
      </c>
      <c r="B80" s="104"/>
      <c r="C80" s="60">
        <v>0</v>
      </c>
      <c r="D80" s="52">
        <f ca="1">((100/H70)*C80)/100</f>
        <v>0</v>
      </c>
      <c r="E80" s="112"/>
      <c r="F80" s="143"/>
      <c r="G80" s="112"/>
      <c r="H80" s="113"/>
      <c r="I80" s="14" t="s">
        <v>146</v>
      </c>
      <c r="J80" s="26">
        <f>(IF(B70&gt;4,(H70/(B70+2)+J79),0))</f>
        <v>0</v>
      </c>
    </row>
    <row r="81" spans="1:14" ht="15.75" customHeight="1" x14ac:dyDescent="0.25">
      <c r="A81" s="103" t="s">
        <v>134</v>
      </c>
      <c r="B81" s="104" t="s">
        <v>134</v>
      </c>
      <c r="C81" s="60">
        <v>0</v>
      </c>
      <c r="D81" s="52">
        <f ca="1">((100/(H70))*C81)/100</f>
        <v>0</v>
      </c>
      <c r="E81" s="112"/>
      <c r="F81" s="143"/>
      <c r="G81" s="112"/>
      <c r="H81" s="113"/>
      <c r="I81" s="14" t="s">
        <v>148</v>
      </c>
      <c r="J81" s="26">
        <f ca="1">(IF(B70=1,(H70/(B70+3)+J76),IF(B70=0,(H70/4+J76),IF(B70&gt;1,0))))</f>
        <v>8.25</v>
      </c>
    </row>
    <row r="82" spans="1:14" ht="16.5" thickBot="1" x14ac:dyDescent="0.3">
      <c r="A82" s="145" t="s">
        <v>135</v>
      </c>
      <c r="B82" s="146"/>
      <c r="C82" s="61">
        <v>0</v>
      </c>
      <c r="D82" s="53">
        <f ca="1">((100/(H70))*C82)/100</f>
        <v>0</v>
      </c>
      <c r="E82" s="114"/>
      <c r="F82" s="144"/>
      <c r="G82" s="114"/>
      <c r="H82" s="115"/>
      <c r="I82" s="15" t="s">
        <v>105</v>
      </c>
      <c r="J82" s="28">
        <f ca="1">(IF(B70&gt;1.5,(H70/(B70+2)+J76+MAX(0,J77-J76)+MAX(0,J78-J77)+MAX(0,J79-J78)+MAX(0,J80-J79)+MAX(0,J81-J80)),IF(B70=1,(H70/(B70+3)+J81),IF(B70=0,H70/4+J81))))</f>
        <v>11</v>
      </c>
    </row>
    <row r="83" spans="1:14" ht="15.75" customHeight="1" x14ac:dyDescent="0.25">
      <c r="A83" s="167" t="s">
        <v>141</v>
      </c>
      <c r="B83" s="168"/>
      <c r="C83" s="169" t="s">
        <v>289</v>
      </c>
      <c r="D83" s="170"/>
      <c r="E83" s="170"/>
      <c r="F83" s="170"/>
      <c r="G83" s="170"/>
      <c r="H83" s="171"/>
      <c r="I83" s="42" t="str">
        <f ca="1">IF(D96=100%,"All work Completed. Possession granted to the Building.",IF(D95=100%,"All work Completed, Waiting for OC",I84&amp;""&amp;I85&amp;""&amp;J84&amp;""&amp;J83&amp;" "&amp;J85))</f>
        <v xml:space="preserve">Excavation, Plinth Completed </v>
      </c>
      <c r="J83" s="43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/>
      </c>
    </row>
    <row r="84" spans="1:14" x14ac:dyDescent="0.25">
      <c r="A84" s="49" t="s">
        <v>143</v>
      </c>
      <c r="B84" s="50">
        <f>IF(AND(ISNUMBER(SEARCH("1B",C83))),1,IF(AND(ISNUMBER(SEARCH("2B",C83))),2,IF(AND(ISNUMBER(SEARCH("3B",C83))),3,IF(AND(ISNUMBER(SEARCH("4B",C83))),4,IF(ISNUMBER(SEARCH("5B",C83)),5,0)))))</f>
        <v>0</v>
      </c>
      <c r="C84" s="50" t="s">
        <v>72</v>
      </c>
      <c r="D84" s="50">
        <v>1</v>
      </c>
      <c r="E84" s="50" t="s">
        <v>71</v>
      </c>
      <c r="F84" s="50">
        <v>0</v>
      </c>
      <c r="G84" s="50" t="s">
        <v>80</v>
      </c>
      <c r="H84" s="51">
        <f ca="1">--TRIM(RIGHT(SUBSTITUTE(LEFT(C83,_xlfn.AGGREGATE(16,6,FIND({0,1,2,3,4,5,6,7,8,9},C83,ROW(INDIRECT("1:"&amp;LEN(C83)))),1))," ",REPT(" ",LEN(C83))),LEN(C83)))</f>
        <v>11</v>
      </c>
      <c r="I84" s="44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5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4" x14ac:dyDescent="0.25">
      <c r="A85" s="150" t="s">
        <v>90</v>
      </c>
      <c r="B85" s="151"/>
      <c r="C85" s="127" t="str">
        <f ca="1">I83</f>
        <v xml:space="preserve">Excavation, Plinth Completed </v>
      </c>
      <c r="D85" s="127"/>
      <c r="E85" s="127"/>
      <c r="F85" s="127"/>
      <c r="G85" s="127"/>
      <c r="H85" s="152"/>
      <c r="I85" s="44" t="str">
        <f ca="1">IF(I84&lt;&gt;""," Completed","")</f>
        <v xml:space="preserve"> Completed</v>
      </c>
      <c r="J85" s="45" t="str">
        <f ca="1">IF(J83&lt;&gt;"","Completed","")</f>
        <v/>
      </c>
      <c r="L85" s="68" t="s">
        <v>288</v>
      </c>
      <c r="M85" s="68"/>
      <c r="N85" s="68"/>
    </row>
    <row r="86" spans="1:14" ht="15.75" customHeight="1" x14ac:dyDescent="0.25">
      <c r="A86" s="103" t="s">
        <v>49</v>
      </c>
      <c r="B86" s="104"/>
      <c r="C86" s="60" t="s">
        <v>140</v>
      </c>
      <c r="D86" s="60" t="s">
        <v>83</v>
      </c>
      <c r="E86" s="104" t="s">
        <v>85</v>
      </c>
      <c r="F86" s="104"/>
      <c r="G86" s="104" t="s">
        <v>84</v>
      </c>
      <c r="H86" s="188"/>
      <c r="I86" s="14" t="s">
        <v>142</v>
      </c>
      <c r="J86" s="24">
        <f ca="1">H84*25%</f>
        <v>2.75</v>
      </c>
    </row>
    <row r="87" spans="1:14" x14ac:dyDescent="0.25">
      <c r="A87" s="103" t="s">
        <v>129</v>
      </c>
      <c r="B87" s="104"/>
      <c r="C87" s="60">
        <f ca="1">J88</f>
        <v>11</v>
      </c>
      <c r="D87" s="52">
        <f ca="1">((100/H84)*C87)/100</f>
        <v>1.0000000000000002</v>
      </c>
      <c r="E87" s="110">
        <f ca="1">(((C88/H84*10)+(40/(D84+F84+H84)*C89)+(7.5/(H84)*C90)+(7.5/(H84)*C91)+(10/H84*C92)+(10/H84*C93)+(5/H84*C94)+(5/H84*C95)+(5/H84*C96))/100)</f>
        <v>0.1</v>
      </c>
      <c r="F87" s="142"/>
      <c r="G87" s="110">
        <f ca="1">((((C87/H84)*20)+((C88/H84)*25)+(30/(H84+F84+D84)*C89)+(5/H84*C90)+(5/H84*C91)+(5/H84*C92)+(5/H84*C93)+(0/H84*C94)+(0/H84*C95)+(5/H84*C96))/100)</f>
        <v>0.45</v>
      </c>
      <c r="H87" s="111"/>
      <c r="I87" s="14" t="s">
        <v>101</v>
      </c>
      <c r="J87" s="25">
        <f ca="1">H84*50%</f>
        <v>5.5</v>
      </c>
    </row>
    <row r="88" spans="1:14" x14ac:dyDescent="0.25">
      <c r="A88" s="103" t="s">
        <v>50</v>
      </c>
      <c r="B88" s="104"/>
      <c r="C88" s="62">
        <f ca="1">J96</f>
        <v>11</v>
      </c>
      <c r="D88" s="52">
        <f ca="1">((100/H84)*C88)/100</f>
        <v>1.0000000000000002</v>
      </c>
      <c r="E88" s="112"/>
      <c r="F88" s="143"/>
      <c r="G88" s="112"/>
      <c r="H88" s="113"/>
      <c r="I88" s="14" t="s">
        <v>102</v>
      </c>
      <c r="J88" s="25">
        <f ca="1">H84</f>
        <v>11</v>
      </c>
    </row>
    <row r="89" spans="1:14" ht="15.75" customHeight="1" x14ac:dyDescent="0.25">
      <c r="A89" s="103" t="s">
        <v>130</v>
      </c>
      <c r="B89" s="104"/>
      <c r="C89" s="60">
        <v>0</v>
      </c>
      <c r="D89" s="52">
        <f ca="1">((100/(D84+F84+H84))*C89)/100</f>
        <v>0</v>
      </c>
      <c r="E89" s="112"/>
      <c r="F89" s="143"/>
      <c r="G89" s="112"/>
      <c r="H89" s="113"/>
      <c r="I89" s="14" t="s">
        <v>103</v>
      </c>
      <c r="J89" s="26">
        <f ca="1">(IF(B84&gt;1,(H84/(B84+2)),H84/4))</f>
        <v>2.75</v>
      </c>
    </row>
    <row r="90" spans="1:14" ht="15.75" customHeight="1" x14ac:dyDescent="0.25">
      <c r="A90" s="103" t="s">
        <v>137</v>
      </c>
      <c r="B90" s="104" t="s">
        <v>131</v>
      </c>
      <c r="C90" s="60">
        <v>0</v>
      </c>
      <c r="D90" s="52">
        <f ca="1">((100/H84)*C90)/100</f>
        <v>0</v>
      </c>
      <c r="E90" s="112"/>
      <c r="F90" s="143"/>
      <c r="G90" s="112"/>
      <c r="H90" s="113"/>
      <c r="I90" s="14" t="s">
        <v>104</v>
      </c>
      <c r="J90" s="26">
        <f ca="1">(IF(B84&gt;1,(H84/(B84+2)+J89),H84/4+J89))</f>
        <v>5.5</v>
      </c>
    </row>
    <row r="91" spans="1:14" ht="15.75" customHeight="1" x14ac:dyDescent="0.25">
      <c r="A91" s="103" t="s">
        <v>138</v>
      </c>
      <c r="B91" s="104" t="s">
        <v>131</v>
      </c>
      <c r="C91" s="60">
        <v>0</v>
      </c>
      <c r="D91" s="52">
        <f ca="1">((100/H84)*C91)/100</f>
        <v>0</v>
      </c>
      <c r="E91" s="112"/>
      <c r="F91" s="143"/>
      <c r="G91" s="112"/>
      <c r="H91" s="113"/>
      <c r="I91" s="14" t="s">
        <v>147</v>
      </c>
      <c r="J91" s="26">
        <f>(IF(B84&gt;1,(H84/(B84+2)+J90),0))</f>
        <v>0</v>
      </c>
    </row>
    <row r="92" spans="1:14" ht="15" customHeight="1" x14ac:dyDescent="0.25">
      <c r="A92" s="103" t="s">
        <v>136</v>
      </c>
      <c r="B92" s="104" t="s">
        <v>133</v>
      </c>
      <c r="C92" s="60">
        <v>0</v>
      </c>
      <c r="D92" s="52">
        <f ca="1">((100/(H84))*C92)/100</f>
        <v>0</v>
      </c>
      <c r="E92" s="112"/>
      <c r="F92" s="143"/>
      <c r="G92" s="112"/>
      <c r="H92" s="113"/>
      <c r="I92" s="14" t="s">
        <v>144</v>
      </c>
      <c r="J92" s="26">
        <f>(IF(B84&gt;2,(H84/(B84+2)+J91),0))</f>
        <v>0</v>
      </c>
    </row>
    <row r="93" spans="1:14" ht="15.75" customHeight="1" x14ac:dyDescent="0.25">
      <c r="A93" s="103" t="s">
        <v>132</v>
      </c>
      <c r="B93" s="104" t="s">
        <v>132</v>
      </c>
      <c r="C93" s="60">
        <v>0</v>
      </c>
      <c r="D93" s="52">
        <f ca="1">((100/H84)*C93)/100</f>
        <v>0</v>
      </c>
      <c r="E93" s="112"/>
      <c r="F93" s="143"/>
      <c r="G93" s="112"/>
      <c r="H93" s="113"/>
      <c r="I93" s="14" t="s">
        <v>145</v>
      </c>
      <c r="J93" s="27">
        <f>(IF(B84&gt;3,(H84/(B84+2)+J92),0))</f>
        <v>0</v>
      </c>
    </row>
    <row r="94" spans="1:14" ht="15.75" customHeight="1" x14ac:dyDescent="0.25">
      <c r="A94" s="103" t="s">
        <v>139</v>
      </c>
      <c r="B94" s="104"/>
      <c r="C94" s="60">
        <v>0</v>
      </c>
      <c r="D94" s="52">
        <f ca="1">((100/H84)*C94)/100</f>
        <v>0</v>
      </c>
      <c r="E94" s="112"/>
      <c r="F94" s="143"/>
      <c r="G94" s="112"/>
      <c r="H94" s="113"/>
      <c r="I94" s="14" t="s">
        <v>146</v>
      </c>
      <c r="J94" s="26">
        <f>(IF(B84&gt;4,(H84/(B84+2)+J93),0))</f>
        <v>0</v>
      </c>
    </row>
    <row r="95" spans="1:14" ht="15.75" customHeight="1" x14ac:dyDescent="0.25">
      <c r="A95" s="103" t="s">
        <v>134</v>
      </c>
      <c r="B95" s="104" t="s">
        <v>134</v>
      </c>
      <c r="C95" s="60">
        <v>0</v>
      </c>
      <c r="D95" s="52">
        <f ca="1">((100/(H84))*C95)/100</f>
        <v>0</v>
      </c>
      <c r="E95" s="112"/>
      <c r="F95" s="143"/>
      <c r="G95" s="112"/>
      <c r="H95" s="113"/>
      <c r="I95" s="14" t="s">
        <v>148</v>
      </c>
      <c r="J95" s="26">
        <f ca="1">(IF(B84=1,(H84/(B84+3)+J90),IF(B84=0,(H84/4+J90),IF(B84&gt;1,0))))</f>
        <v>8.25</v>
      </c>
    </row>
    <row r="96" spans="1:14" ht="16.5" thickBot="1" x14ac:dyDescent="0.3">
      <c r="A96" s="145" t="s">
        <v>135</v>
      </c>
      <c r="B96" s="146"/>
      <c r="C96" s="61">
        <v>0</v>
      </c>
      <c r="D96" s="53">
        <f ca="1">((100/(H84))*C96)/100</f>
        <v>0</v>
      </c>
      <c r="E96" s="114"/>
      <c r="F96" s="144"/>
      <c r="G96" s="114"/>
      <c r="H96" s="115"/>
      <c r="I96" s="15" t="s">
        <v>105</v>
      </c>
      <c r="J96" s="28">
        <f ca="1">(IF(B84&gt;1.5,(H84/(B84+2)+J90+MAX(0,J91-J90)+MAX(0,J92-J91)+MAX(0,J93-J92)+MAX(0,J94-J93)+MAX(0,J95-J94)),IF(B84=1,(H84/(B84+3)+J95),IF(B84=0,H84/4+J95))))</f>
        <v>11</v>
      </c>
    </row>
    <row r="97" spans="1:10" ht="15.75" customHeight="1" x14ac:dyDescent="0.25">
      <c r="A97" s="167" t="s">
        <v>141</v>
      </c>
      <c r="B97" s="168"/>
      <c r="C97" s="169" t="str">
        <f>D59</f>
        <v>Building No.2 (A &amp; B Wing) = G + 1st to 7th Floor</v>
      </c>
      <c r="D97" s="170"/>
      <c r="E97" s="170"/>
      <c r="F97" s="170"/>
      <c r="G97" s="170"/>
      <c r="H97" s="171"/>
      <c r="I97" s="42" t="str">
        <f ca="1">IF(D110=100%,"All work Completed. Possession granted to the Building.",IF(D109=100%,"All work Completed, Waiting for OC",I98&amp;""&amp;I99&amp;""&amp;J98&amp;""&amp;J97&amp;" "&amp;J99))</f>
        <v>All work Completed. Possession granted to the Building.</v>
      </c>
      <c r="J97" s="43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0" x14ac:dyDescent="0.25">
      <c r="A98" s="49" t="s">
        <v>143</v>
      </c>
      <c r="B98" s="50">
        <f>IF(AND(ISNUMBER(SEARCH("1B",C97))),1,IF(AND(ISNUMBER(SEARCH("2B",C97))),2,IF(AND(ISNUMBER(SEARCH("3B",C97))),3,IF(AND(ISNUMBER(SEARCH("4B",C97))),4,IF(ISNUMBER(SEARCH("5B",C97)),5,0)))))</f>
        <v>0</v>
      </c>
      <c r="C98" s="50" t="s">
        <v>72</v>
      </c>
      <c r="D98" s="50">
        <v>1</v>
      </c>
      <c r="E98" s="50" t="s">
        <v>71</v>
      </c>
      <c r="F98" s="50">
        <v>0</v>
      </c>
      <c r="G98" s="50" t="s">
        <v>80</v>
      </c>
      <c r="H98" s="51">
        <f ca="1">--TRIM(RIGHT(SUBSTITUTE(LEFT(C97,_xlfn.AGGREGATE(16,6,FIND({0,1,2,3,4,5,6,7,8,9},C97,ROW(INDIRECT("1:"&amp;LEN(C97)))),1))," ",REPT(" ",LEN(C97))),LEN(C97)))</f>
        <v>7</v>
      </c>
      <c r="I98" s="44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Slab, Brickwork, Internal Plaster, External Plaster, Flooring, Painting, Building common Amenities</v>
      </c>
      <c r="J98" s="45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x14ac:dyDescent="0.25">
      <c r="A99" s="150" t="s">
        <v>90</v>
      </c>
      <c r="B99" s="151"/>
      <c r="C99" s="127" t="str">
        <f ca="1">(IF($G$53="NA",I97,"All work Completed. OC Received."))</f>
        <v>All work Completed. Possession granted to the Building.</v>
      </c>
      <c r="D99" s="127"/>
      <c r="E99" s="127"/>
      <c r="F99" s="127"/>
      <c r="G99" s="127"/>
      <c r="H99" s="152"/>
      <c r="I99" s="44" t="str">
        <f ca="1">IF(I98&lt;&gt;""," Completed","")</f>
        <v xml:space="preserve"> Completed</v>
      </c>
      <c r="J99" s="45" t="str">
        <f ca="1">IF(J97&lt;&gt;"","Completed","")</f>
        <v/>
      </c>
    </row>
    <row r="100" spans="1:10" ht="15.75" customHeight="1" x14ac:dyDescent="0.25">
      <c r="A100" s="103" t="s">
        <v>49</v>
      </c>
      <c r="B100" s="104"/>
      <c r="C100" s="60" t="s">
        <v>140</v>
      </c>
      <c r="D100" s="60" t="s">
        <v>83</v>
      </c>
      <c r="E100" s="104" t="s">
        <v>85</v>
      </c>
      <c r="F100" s="104"/>
      <c r="G100" s="104" t="s">
        <v>84</v>
      </c>
      <c r="H100" s="188"/>
      <c r="I100" s="14" t="s">
        <v>142</v>
      </c>
      <c r="J100" s="24">
        <f ca="1">H98*25%</f>
        <v>1.75</v>
      </c>
    </row>
    <row r="101" spans="1:10" x14ac:dyDescent="0.25">
      <c r="A101" s="104" t="s">
        <v>129</v>
      </c>
      <c r="B101" s="104"/>
      <c r="C101" s="60">
        <f ca="1">J102</f>
        <v>7</v>
      </c>
      <c r="D101" s="52">
        <f ca="1">((100/H98)*C101)/100</f>
        <v>1</v>
      </c>
      <c r="E101" s="105">
        <f ca="1">(((C102/H98*10)+(40/(D98+F98+H98)*C103)+(7.5/(H98)*C104)+(7.5/(H98)*C105)+(10/H98*C106)+(10/H98*C107)+(5/H98*C108)+(5/H98*C109)+(5/H98*C110))/100)</f>
        <v>1</v>
      </c>
      <c r="F101" s="105"/>
      <c r="G101" s="105">
        <f ca="1">((((C101/H98)*20)+((C102/H98)*25)+(30/(H98+F98+D98)*C103)+(5/H98*C104)+(5/H98*C105)+(5/H98*C106)+(5/H98*C107)+(0/H98*C108)+(0/H98*C109)+(5/H98*C110))/100)</f>
        <v>1</v>
      </c>
      <c r="H101" s="105"/>
      <c r="I101" s="14" t="s">
        <v>101</v>
      </c>
      <c r="J101" s="25">
        <f ca="1">H98*50%</f>
        <v>3.5</v>
      </c>
    </row>
    <row r="102" spans="1:10" x14ac:dyDescent="0.25">
      <c r="A102" s="104" t="s">
        <v>50</v>
      </c>
      <c r="B102" s="104"/>
      <c r="C102" s="62">
        <f ca="1">J110</f>
        <v>7</v>
      </c>
      <c r="D102" s="52">
        <f ca="1">((100/H98)*C102)/100</f>
        <v>1</v>
      </c>
      <c r="E102" s="105"/>
      <c r="F102" s="105"/>
      <c r="G102" s="105"/>
      <c r="H102" s="105"/>
      <c r="I102" s="14" t="s">
        <v>102</v>
      </c>
      <c r="J102" s="25">
        <f ca="1">H98</f>
        <v>7</v>
      </c>
    </row>
    <row r="103" spans="1:10" ht="15.75" customHeight="1" x14ac:dyDescent="0.25">
      <c r="A103" s="104" t="s">
        <v>130</v>
      </c>
      <c r="B103" s="104"/>
      <c r="C103" s="60">
        <v>8</v>
      </c>
      <c r="D103" s="52">
        <f ca="1">((100/(D98+F98+H98))*C103)/100</f>
        <v>1</v>
      </c>
      <c r="E103" s="105"/>
      <c r="F103" s="105"/>
      <c r="G103" s="105"/>
      <c r="H103" s="105"/>
      <c r="I103" s="14" t="s">
        <v>103</v>
      </c>
      <c r="J103" s="26">
        <f ca="1">(IF(B98&gt;1,(H98/(B98+2)),H98/4))</f>
        <v>1.75</v>
      </c>
    </row>
    <row r="104" spans="1:10" ht="15.75" customHeight="1" x14ac:dyDescent="0.25">
      <c r="A104" s="104" t="s">
        <v>137</v>
      </c>
      <c r="B104" s="104" t="s">
        <v>131</v>
      </c>
      <c r="C104" s="60">
        <v>7</v>
      </c>
      <c r="D104" s="52">
        <f ca="1">((100/H98)*C104)/100</f>
        <v>1</v>
      </c>
      <c r="E104" s="105"/>
      <c r="F104" s="105"/>
      <c r="G104" s="105"/>
      <c r="H104" s="105"/>
      <c r="I104" s="14" t="s">
        <v>104</v>
      </c>
      <c r="J104" s="26">
        <f ca="1">(IF(B98&gt;1,(H98/(B98+2)+J103),H98/4+J103))</f>
        <v>3.5</v>
      </c>
    </row>
    <row r="105" spans="1:10" ht="15.75" customHeight="1" x14ac:dyDescent="0.25">
      <c r="A105" s="104" t="s">
        <v>138</v>
      </c>
      <c r="B105" s="104" t="s">
        <v>131</v>
      </c>
      <c r="C105" s="60">
        <v>7</v>
      </c>
      <c r="D105" s="52">
        <f ca="1">((100/H98)*C105)/100</f>
        <v>1</v>
      </c>
      <c r="E105" s="105"/>
      <c r="F105" s="105"/>
      <c r="G105" s="105"/>
      <c r="H105" s="105"/>
      <c r="I105" s="14" t="s">
        <v>147</v>
      </c>
      <c r="J105" s="26">
        <f>(IF(B98&gt;1,(H98/(B98+2)+J104),0))</f>
        <v>0</v>
      </c>
    </row>
    <row r="106" spans="1:10" ht="15" customHeight="1" x14ac:dyDescent="0.25">
      <c r="A106" s="104" t="s">
        <v>136</v>
      </c>
      <c r="B106" s="104" t="s">
        <v>133</v>
      </c>
      <c r="C106" s="60">
        <v>7</v>
      </c>
      <c r="D106" s="52">
        <f ca="1">((100/(H98))*C106)/100</f>
        <v>1</v>
      </c>
      <c r="E106" s="105"/>
      <c r="F106" s="105"/>
      <c r="G106" s="105"/>
      <c r="H106" s="105"/>
      <c r="I106" s="14" t="s">
        <v>144</v>
      </c>
      <c r="J106" s="26">
        <f>(IF(B98&gt;2,(H98/(B98+2)+J105),0))</f>
        <v>0</v>
      </c>
    </row>
    <row r="107" spans="1:10" ht="15.75" customHeight="1" x14ac:dyDescent="0.25">
      <c r="A107" s="104" t="s">
        <v>132</v>
      </c>
      <c r="B107" s="104" t="s">
        <v>132</v>
      </c>
      <c r="C107" s="60">
        <v>7</v>
      </c>
      <c r="D107" s="52">
        <f ca="1">((100/H98)*C107)/100</f>
        <v>1</v>
      </c>
      <c r="E107" s="105"/>
      <c r="F107" s="105"/>
      <c r="G107" s="105"/>
      <c r="H107" s="105"/>
      <c r="I107" s="14" t="s">
        <v>145</v>
      </c>
      <c r="J107" s="27">
        <f>(IF(B98&gt;3,(H98/(B98+2)+J106),0))</f>
        <v>0</v>
      </c>
    </row>
    <row r="108" spans="1:10" ht="15.75" customHeight="1" x14ac:dyDescent="0.25">
      <c r="A108" s="104" t="s">
        <v>139</v>
      </c>
      <c r="B108" s="104"/>
      <c r="C108" s="60">
        <v>7</v>
      </c>
      <c r="D108" s="52">
        <f ca="1">((100/H98)*C108)/100</f>
        <v>1</v>
      </c>
      <c r="E108" s="105"/>
      <c r="F108" s="105"/>
      <c r="G108" s="105"/>
      <c r="H108" s="105"/>
      <c r="I108" s="14" t="s">
        <v>146</v>
      </c>
      <c r="J108" s="26">
        <f>(IF(B98&gt;4,(H98/(B98+2)+J107),0))</f>
        <v>0</v>
      </c>
    </row>
    <row r="109" spans="1:10" ht="15.75" customHeight="1" x14ac:dyDescent="0.25">
      <c r="A109" s="104" t="s">
        <v>134</v>
      </c>
      <c r="B109" s="104" t="s">
        <v>134</v>
      </c>
      <c r="C109" s="60">
        <v>7</v>
      </c>
      <c r="D109" s="52">
        <f ca="1">((100/(H98))*C109)/100</f>
        <v>1</v>
      </c>
      <c r="E109" s="105"/>
      <c r="F109" s="105"/>
      <c r="G109" s="105"/>
      <c r="H109" s="105"/>
      <c r="I109" s="14" t="s">
        <v>148</v>
      </c>
      <c r="J109" s="26">
        <f ca="1">(IF(B98=1,(H98/(B98+3)+J104),IF(B98=0,(H98/4+J104),IF(B98&gt;1,0))))</f>
        <v>5.25</v>
      </c>
    </row>
    <row r="110" spans="1:10" ht="16.5" thickBot="1" x14ac:dyDescent="0.3">
      <c r="A110" s="104" t="s">
        <v>135</v>
      </c>
      <c r="B110" s="104"/>
      <c r="C110" s="60">
        <v>7</v>
      </c>
      <c r="D110" s="52">
        <f ca="1">((100/(H98))*C110)/100</f>
        <v>1</v>
      </c>
      <c r="E110" s="105"/>
      <c r="F110" s="105"/>
      <c r="G110" s="105"/>
      <c r="H110" s="105"/>
      <c r="I110" s="15" t="s">
        <v>105</v>
      </c>
      <c r="J110" s="28">
        <f ca="1">(IF(B98&gt;1.5,(H98/(B98+2)+J104+MAX(0,J105-J104)+MAX(0,J106-J105)+MAX(0,J107-J106)+MAX(0,J108-J107)+MAX(0,J109-J108)),IF(B98=1,(H98/(B98+3)+J109),IF(B98=0,H98/4+J109))))</f>
        <v>7</v>
      </c>
    </row>
    <row r="111" spans="1:10" ht="15.75" customHeight="1" x14ac:dyDescent="0.25">
      <c r="A111" s="127" t="s">
        <v>141</v>
      </c>
      <c r="B111" s="127"/>
      <c r="C111" s="127" t="str">
        <f>D60</f>
        <v>Building No.3 = G + 1st to 7th Floor</v>
      </c>
      <c r="D111" s="127"/>
      <c r="E111" s="127"/>
      <c r="F111" s="127"/>
      <c r="G111" s="127"/>
      <c r="H111" s="127"/>
      <c r="I111" s="69" t="str">
        <f ca="1">IF(D124=100%,"All work Completed. Possession granted to the Building.",IF(D123=100%,"All work Completed, Waiting for OC",I112&amp;""&amp;I113&amp;""&amp;J112&amp;""&amp;J111&amp;" "&amp;J113))</f>
        <v>All work Completed. Possession granted to the Building.</v>
      </c>
      <c r="J111" s="43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/>
      </c>
    </row>
    <row r="112" spans="1:10" x14ac:dyDescent="0.25">
      <c r="A112" s="50" t="s">
        <v>143</v>
      </c>
      <c r="B112" s="50">
        <f>IF(AND(ISNUMBER(SEARCH("1B",C111))),1,IF(AND(ISNUMBER(SEARCH("2B",C111))),2,IF(AND(ISNUMBER(SEARCH("3B",C111))),3,IF(AND(ISNUMBER(SEARCH("4B",C111))),4,IF(ISNUMBER(SEARCH("5B",C111)),5,0)))))</f>
        <v>0</v>
      </c>
      <c r="C112" s="50" t="s">
        <v>72</v>
      </c>
      <c r="D112" s="50">
        <v>1</v>
      </c>
      <c r="E112" s="50" t="s">
        <v>71</v>
      </c>
      <c r="F112" s="50">
        <v>0</v>
      </c>
      <c r="G112" s="50" t="s">
        <v>80</v>
      </c>
      <c r="H112" s="50">
        <f ca="1">--TRIM(RIGHT(SUBSTITUTE(LEFT(C111,_xlfn.AGGREGATE(16,6,FIND({0,1,2,3,4,5,6,7,8,9},C111,ROW(INDIRECT("1:"&amp;LEN(C111)))),1))," ",REPT(" ",LEN(C111))),LEN(C111)))</f>
        <v>7</v>
      </c>
      <c r="I112" s="70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Excavation, Plinth, RCC Slab, Brickwork, Internal Plaster, External Plaster, Flooring, Painting, Building common Amenities</v>
      </c>
      <c r="J112" s="45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/>
      </c>
    </row>
    <row r="113" spans="1:10" x14ac:dyDescent="0.25">
      <c r="A113" s="150" t="s">
        <v>90</v>
      </c>
      <c r="B113" s="151"/>
      <c r="C113" s="127" t="str">
        <f ca="1">I111</f>
        <v>All work Completed. Possession granted to the Building.</v>
      </c>
      <c r="D113" s="127"/>
      <c r="E113" s="127"/>
      <c r="F113" s="127"/>
      <c r="G113" s="127"/>
      <c r="H113" s="152"/>
      <c r="I113" s="44" t="str">
        <f ca="1">IF(I112&lt;&gt;""," Completed","")</f>
        <v xml:space="preserve"> Completed</v>
      </c>
      <c r="J113" s="45" t="str">
        <f ca="1">IF(J111&lt;&gt;"","Completed","")</f>
        <v/>
      </c>
    </row>
    <row r="114" spans="1:10" ht="15.75" customHeight="1" x14ac:dyDescent="0.25">
      <c r="A114" s="103" t="s">
        <v>49</v>
      </c>
      <c r="B114" s="104"/>
      <c r="C114" s="60" t="s">
        <v>140</v>
      </c>
      <c r="D114" s="60" t="s">
        <v>83</v>
      </c>
      <c r="E114" s="104" t="s">
        <v>85</v>
      </c>
      <c r="F114" s="104"/>
      <c r="G114" s="104" t="s">
        <v>84</v>
      </c>
      <c r="H114" s="188"/>
      <c r="I114" s="14" t="s">
        <v>142</v>
      </c>
      <c r="J114" s="24">
        <f ca="1">H112*25%</f>
        <v>1.75</v>
      </c>
    </row>
    <row r="115" spans="1:10" x14ac:dyDescent="0.25">
      <c r="A115" s="103" t="s">
        <v>129</v>
      </c>
      <c r="B115" s="104"/>
      <c r="C115" s="60">
        <f ca="1">J116</f>
        <v>7</v>
      </c>
      <c r="D115" s="52">
        <f ca="1">((100/H112)*C115)/100</f>
        <v>1</v>
      </c>
      <c r="E115" s="110">
        <f ca="1">(((C116/H112*10)+(40/(D112+F112+H112)*C117)+(7.5/(H112)*C118)+(7.5/(H112)*C119)+(10/H112*C120)+(10/H112*C121)+(5/H112*C122)+(5/H112*C123)+(5/H112*C124))/100)</f>
        <v>1</v>
      </c>
      <c r="F115" s="142"/>
      <c r="G115" s="110">
        <f ca="1">((((C115/H112)*20)+((C116/H112)*25)+(30/(H112+F112+D112)*C117)+(5/H112*C118)+(5/H112*C119)+(5/H112*C120)+(5/H112*C121)+(0/H112*C122)+(0/H112*C123)+(5/H112*C124))/100)</f>
        <v>1</v>
      </c>
      <c r="H115" s="111"/>
      <c r="I115" s="14" t="s">
        <v>101</v>
      </c>
      <c r="J115" s="25">
        <f ca="1">H112*50%</f>
        <v>3.5</v>
      </c>
    </row>
    <row r="116" spans="1:10" x14ac:dyDescent="0.25">
      <c r="A116" s="103" t="s">
        <v>50</v>
      </c>
      <c r="B116" s="104"/>
      <c r="C116" s="60">
        <f ca="1">J124</f>
        <v>7</v>
      </c>
      <c r="D116" s="52">
        <f ca="1">((100/H112)*C116)/100</f>
        <v>1</v>
      </c>
      <c r="E116" s="112"/>
      <c r="F116" s="143"/>
      <c r="G116" s="112"/>
      <c r="H116" s="113"/>
      <c r="I116" s="14" t="s">
        <v>102</v>
      </c>
      <c r="J116" s="25">
        <f ca="1">H112</f>
        <v>7</v>
      </c>
    </row>
    <row r="117" spans="1:10" ht="15.75" customHeight="1" x14ac:dyDescent="0.25">
      <c r="A117" s="103" t="s">
        <v>130</v>
      </c>
      <c r="B117" s="104"/>
      <c r="C117" s="60">
        <f ca="1">D112+H112</f>
        <v>8</v>
      </c>
      <c r="D117" s="52">
        <f ca="1">((100/(D112+F112+H112))*C117)/100</f>
        <v>1</v>
      </c>
      <c r="E117" s="112"/>
      <c r="F117" s="143"/>
      <c r="G117" s="112"/>
      <c r="H117" s="113"/>
      <c r="I117" s="14" t="s">
        <v>103</v>
      </c>
      <c r="J117" s="26">
        <f ca="1">(IF(B112&gt;1,(H112/(B112+2)),H112/4))</f>
        <v>1.75</v>
      </c>
    </row>
    <row r="118" spans="1:10" ht="15.75" customHeight="1" x14ac:dyDescent="0.25">
      <c r="A118" s="103" t="s">
        <v>137</v>
      </c>
      <c r="B118" s="104" t="s">
        <v>131</v>
      </c>
      <c r="C118" s="60">
        <v>7</v>
      </c>
      <c r="D118" s="52">
        <f ca="1">((100/H112)*C118)/100</f>
        <v>1</v>
      </c>
      <c r="E118" s="112"/>
      <c r="F118" s="143"/>
      <c r="G118" s="112"/>
      <c r="H118" s="113"/>
      <c r="I118" s="14" t="s">
        <v>104</v>
      </c>
      <c r="J118" s="26">
        <f ca="1">(IF(B112&gt;1,(H112/(B112+2)+J117),H112/4+J117))</f>
        <v>3.5</v>
      </c>
    </row>
    <row r="119" spans="1:10" ht="15.75" customHeight="1" x14ac:dyDescent="0.25">
      <c r="A119" s="103" t="s">
        <v>138</v>
      </c>
      <c r="B119" s="104" t="s">
        <v>131</v>
      </c>
      <c r="C119" s="60">
        <v>7</v>
      </c>
      <c r="D119" s="52">
        <f ca="1">((100/H112)*C119)/100</f>
        <v>1</v>
      </c>
      <c r="E119" s="112"/>
      <c r="F119" s="143"/>
      <c r="G119" s="112"/>
      <c r="H119" s="113"/>
      <c r="I119" s="14" t="s">
        <v>147</v>
      </c>
      <c r="J119" s="26">
        <f>(IF(B112&gt;1,(H112/(B112+2)+J118),0))</f>
        <v>0</v>
      </c>
    </row>
    <row r="120" spans="1:10" ht="15" customHeight="1" x14ac:dyDescent="0.25">
      <c r="A120" s="103" t="s">
        <v>136</v>
      </c>
      <c r="B120" s="104" t="s">
        <v>133</v>
      </c>
      <c r="C120" s="60">
        <v>7</v>
      </c>
      <c r="D120" s="52">
        <f ca="1">((100/(H112))*C120)/100</f>
        <v>1</v>
      </c>
      <c r="E120" s="112"/>
      <c r="F120" s="143"/>
      <c r="G120" s="112"/>
      <c r="H120" s="113"/>
      <c r="I120" s="14" t="s">
        <v>144</v>
      </c>
      <c r="J120" s="26">
        <f>(IF(B112&gt;2,(H112/(B112+2)+J119),0))</f>
        <v>0</v>
      </c>
    </row>
    <row r="121" spans="1:10" ht="15.75" customHeight="1" x14ac:dyDescent="0.25">
      <c r="A121" s="103" t="s">
        <v>132</v>
      </c>
      <c r="B121" s="104" t="s">
        <v>132</v>
      </c>
      <c r="C121" s="60">
        <v>7</v>
      </c>
      <c r="D121" s="52">
        <f ca="1">((100/H112)*C121)/100</f>
        <v>1</v>
      </c>
      <c r="E121" s="112"/>
      <c r="F121" s="143"/>
      <c r="G121" s="112"/>
      <c r="H121" s="113"/>
      <c r="I121" s="14" t="s">
        <v>145</v>
      </c>
      <c r="J121" s="27">
        <f>(IF(B112&gt;3,(H112/(B112+2)+J120),0))</f>
        <v>0</v>
      </c>
    </row>
    <row r="122" spans="1:10" ht="15.75" customHeight="1" x14ac:dyDescent="0.25">
      <c r="A122" s="103" t="s">
        <v>139</v>
      </c>
      <c r="B122" s="104"/>
      <c r="C122" s="60">
        <v>7</v>
      </c>
      <c r="D122" s="52">
        <f ca="1">((100/H112)*C122)/100</f>
        <v>1</v>
      </c>
      <c r="E122" s="112"/>
      <c r="F122" s="143"/>
      <c r="G122" s="112"/>
      <c r="H122" s="113"/>
      <c r="I122" s="14" t="s">
        <v>146</v>
      </c>
      <c r="J122" s="26">
        <f>(IF(B112&gt;4,(H112/(B112+2)+J121),0))</f>
        <v>0</v>
      </c>
    </row>
    <row r="123" spans="1:10" ht="15.75" customHeight="1" x14ac:dyDescent="0.25">
      <c r="A123" s="103" t="s">
        <v>134</v>
      </c>
      <c r="B123" s="104" t="s">
        <v>134</v>
      </c>
      <c r="C123" s="60">
        <v>7</v>
      </c>
      <c r="D123" s="52">
        <f ca="1">((100/(H112))*C123)/100</f>
        <v>1</v>
      </c>
      <c r="E123" s="112"/>
      <c r="F123" s="143"/>
      <c r="G123" s="112"/>
      <c r="H123" s="113"/>
      <c r="I123" s="14" t="s">
        <v>148</v>
      </c>
      <c r="J123" s="26">
        <f ca="1">(IF(B112=1,(H112/(B112+3)+J118),IF(B112=0,(H112/4+J118),IF(B112&gt;1,0))))</f>
        <v>5.25</v>
      </c>
    </row>
    <row r="124" spans="1:10" ht="16.5" thickBot="1" x14ac:dyDescent="0.3">
      <c r="A124" s="145" t="s">
        <v>135</v>
      </c>
      <c r="B124" s="146"/>
      <c r="C124" s="61">
        <v>7</v>
      </c>
      <c r="D124" s="53">
        <f ca="1">((100/(H112))*C124)/100</f>
        <v>1</v>
      </c>
      <c r="E124" s="114"/>
      <c r="F124" s="144"/>
      <c r="G124" s="114"/>
      <c r="H124" s="115"/>
      <c r="I124" s="15" t="s">
        <v>105</v>
      </c>
      <c r="J124" s="28">
        <f ca="1">(IF(B112&gt;1.5,(H112/(B112+2)+J118+MAX(0,J119-J118)+MAX(0,J120-J119)+MAX(0,J121-J120)+MAX(0,J122-J121)+MAX(0,J123-J122)),IF(B112=1,(H112/(B112+3)+J123),IF(B112=0,H112/4+J123))))</f>
        <v>7</v>
      </c>
    </row>
    <row r="125" spans="1:10" ht="15.75" customHeight="1" x14ac:dyDescent="0.25">
      <c r="A125" s="167" t="s">
        <v>141</v>
      </c>
      <c r="B125" s="168"/>
      <c r="C125" s="169" t="str">
        <f>D61</f>
        <v>Building No.4 = G + 1st to 7th Floor</v>
      </c>
      <c r="D125" s="170"/>
      <c r="E125" s="170"/>
      <c r="F125" s="170"/>
      <c r="G125" s="170"/>
      <c r="H125" s="171"/>
      <c r="I125" s="42" t="str">
        <f ca="1">IF(D138=100%,"All work Completed. Possession granted to the Building.",IF(D137=100%,"All work Completed, Waiting for OC",I126&amp;""&amp;I127&amp;""&amp;J126&amp;""&amp;J125&amp;" "&amp;J127))</f>
        <v>All work Completed. Possession granted to the Building.</v>
      </c>
      <c r="J125" s="43" t="str">
        <f ca="1">(IF(C131=(D126+F126+H126),"",IF(C131&gt;0,", RCC upto "&amp;C131&amp;" Slab","")))&amp;(IF(C132=H126,"",IF(C132&gt;0,", Brickwork upto "&amp;C132&amp;" Floor","")))&amp;(IF(C133=H126,"",IF(C133&gt;0,", Internal Plaster upto "&amp;C133&amp;" Floor","")))&amp;(IF(C134=H126,"",IF(C134&gt;0,", External Plaster upto "&amp;C134&amp;" Floor","")))&amp;(IF(C135=H126,"",IF(C135&gt;0,", Flooring upto "&amp;C135&amp;" Floor","")))&amp;(IF(C136=H126,"",IF(C136&gt;0,", Painting upto "&amp;C136&amp;" Floor","")))&amp;(IF(C137=H126,"",IF(C137&gt;0,", Finishing upto "&amp;C137&amp;" Floor","")))&amp;(IF(C138=H126,"",IF(C138&gt;0,", Possession upto "&amp;C138&amp;" Floor","")))</f>
        <v/>
      </c>
    </row>
    <row r="126" spans="1:10" x14ac:dyDescent="0.25">
      <c r="A126" s="49" t="s">
        <v>143</v>
      </c>
      <c r="B126" s="50">
        <f>IF(AND(ISNUMBER(SEARCH("1B",C125))),1,IF(AND(ISNUMBER(SEARCH("2B",C125))),2,IF(AND(ISNUMBER(SEARCH("3B",C125))),3,IF(AND(ISNUMBER(SEARCH("4B",C125))),4,IF(ISNUMBER(SEARCH("5B",C125)),5,0)))))</f>
        <v>0</v>
      </c>
      <c r="C126" s="50" t="s">
        <v>72</v>
      </c>
      <c r="D126" s="50">
        <v>1</v>
      </c>
      <c r="E126" s="50" t="s">
        <v>71</v>
      </c>
      <c r="F126" s="50">
        <v>0</v>
      </c>
      <c r="G126" s="50" t="s">
        <v>80</v>
      </c>
      <c r="H126" s="51">
        <f ca="1">--TRIM(RIGHT(SUBSTITUTE(LEFT(C125,_xlfn.AGGREGATE(16,6,FIND({0,1,2,3,4,5,6,7,8,9},C125,ROW(INDIRECT("1:"&amp;LEN(C125)))),1))," ",REPT(" ",LEN(C125))),LEN(C125)))</f>
        <v>7</v>
      </c>
      <c r="I126" s="44" t="str">
        <f ca="1">IF(D129=100%,"Excavation","")&amp;IF(D130=100%,", Plinth","")&amp;IF(D131=100%,", RCC Slab","")&amp;IF(D132=100%,", Brickwork","")&amp;IF(D133=100%,", Internal Plaster","")&amp;IF(D134=100%,", External Plaster","")&amp;IF(D135=100%,", Flooring","")&amp;IF(D136=100%,", Painting","")&amp;IF(D137=100%,", Building common Amenities","")</f>
        <v>Excavation, Plinth, RCC Slab, Brickwork, Internal Plaster, External Plaster, Flooring, Painting, Building common Amenities</v>
      </c>
      <c r="J126" s="45" t="str">
        <f ca="1">(IF(C129=0,"Work not yet Started.",IF(D129=25%,"Piling work in process",IF(D129=50%,"Excavation work in process",IF(D129=100%,"","0")))))&amp;(IF(C130=0%,"",IF(C130=J131,", Footing work is process",IF(C130=J132,", Footing work Completed",IF(C130=J133,", 1st Basement Completed",IF(C130=J134,", 1st &amp; 2nd Basement Completed",IF(C130=J135,", 1st to 3rd Basement Completed",IF(C130=J136,", 1st to 4th Basement Completed",IF(C130=J137,", Plinth work is process",IF(C130=J138,"","0"))))))))))</f>
        <v/>
      </c>
    </row>
    <row r="127" spans="1:10" x14ac:dyDescent="0.25">
      <c r="A127" s="150" t="s">
        <v>90</v>
      </c>
      <c r="B127" s="151"/>
      <c r="C127" s="127" t="str">
        <f ca="1">(IF($G$53="NA",I125,"All work Completed. OC Received."))</f>
        <v>All work Completed. Possession granted to the Building.</v>
      </c>
      <c r="D127" s="127"/>
      <c r="E127" s="127"/>
      <c r="F127" s="127"/>
      <c r="G127" s="127"/>
      <c r="H127" s="152"/>
      <c r="I127" s="44" t="str">
        <f ca="1">IF(I126&lt;&gt;""," Completed","")</f>
        <v xml:space="preserve"> Completed</v>
      </c>
      <c r="J127" s="45" t="str">
        <f ca="1">IF(J125&lt;&gt;"","Completed","")</f>
        <v/>
      </c>
    </row>
    <row r="128" spans="1:10" ht="15.75" customHeight="1" x14ac:dyDescent="0.25">
      <c r="A128" s="103" t="s">
        <v>49</v>
      </c>
      <c r="B128" s="104"/>
      <c r="C128" s="60" t="s">
        <v>140</v>
      </c>
      <c r="D128" s="60" t="s">
        <v>83</v>
      </c>
      <c r="E128" s="104" t="s">
        <v>85</v>
      </c>
      <c r="F128" s="104"/>
      <c r="G128" s="104" t="s">
        <v>84</v>
      </c>
      <c r="H128" s="188"/>
      <c r="I128" s="14" t="s">
        <v>142</v>
      </c>
      <c r="J128" s="24">
        <f ca="1">H126*25%</f>
        <v>1.75</v>
      </c>
    </row>
    <row r="129" spans="1:18" x14ac:dyDescent="0.25">
      <c r="A129" s="103" t="s">
        <v>129</v>
      </c>
      <c r="B129" s="104"/>
      <c r="C129" s="60">
        <f ca="1">J130</f>
        <v>7</v>
      </c>
      <c r="D129" s="52">
        <f ca="1">((100/H126)*C129)/100</f>
        <v>1</v>
      </c>
      <c r="E129" s="110">
        <f ca="1">(((C130/H126*10)+(40/(D126+F126+H126)*C131)+(7.5/(H126)*C132)+(7.5/(H126)*C133)+(10/H126*C134)+(10/H126*C135)+(5/H126*C136)+(5/H126*C137)+(5/H126*C138))/100)</f>
        <v>1</v>
      </c>
      <c r="F129" s="142"/>
      <c r="G129" s="110">
        <f ca="1">((((C129/H126)*20)+((C130/H126)*25)+(30/(H126+F126+D126)*C131)+(5/H126*C132)+(5/H126*C133)+(5/H126*C134)+(5/H126*C135)+(0/H126*C136)+(0/H126*C137)+(5/H126*C138))/100)</f>
        <v>1</v>
      </c>
      <c r="H129" s="111"/>
      <c r="I129" s="14" t="s">
        <v>101</v>
      </c>
      <c r="J129" s="25">
        <f ca="1">H126*50%</f>
        <v>3.5</v>
      </c>
    </row>
    <row r="130" spans="1:18" x14ac:dyDescent="0.25">
      <c r="A130" s="103" t="s">
        <v>50</v>
      </c>
      <c r="B130" s="104"/>
      <c r="C130" s="60">
        <f ca="1">J138</f>
        <v>7</v>
      </c>
      <c r="D130" s="52">
        <f ca="1">((100/H126)*C130)/100</f>
        <v>1</v>
      </c>
      <c r="E130" s="112"/>
      <c r="F130" s="143"/>
      <c r="G130" s="112"/>
      <c r="H130" s="113"/>
      <c r="I130" s="14" t="s">
        <v>102</v>
      </c>
      <c r="J130" s="25">
        <f ca="1">H126</f>
        <v>7</v>
      </c>
    </row>
    <row r="131" spans="1:18" ht="15.75" customHeight="1" x14ac:dyDescent="0.25">
      <c r="A131" s="103" t="s">
        <v>130</v>
      </c>
      <c r="B131" s="104"/>
      <c r="C131" s="60">
        <f ca="1">D126+H126</f>
        <v>8</v>
      </c>
      <c r="D131" s="52">
        <f ca="1">((100/(D126+F126+H126))*C131)/100</f>
        <v>1</v>
      </c>
      <c r="E131" s="112"/>
      <c r="F131" s="143"/>
      <c r="G131" s="112"/>
      <c r="H131" s="113"/>
      <c r="I131" s="14" t="s">
        <v>103</v>
      </c>
      <c r="J131" s="26">
        <f ca="1">(IF(B126&gt;1,(H126/(B126+2)),H126/4))</f>
        <v>1.75</v>
      </c>
    </row>
    <row r="132" spans="1:18" ht="15.75" customHeight="1" x14ac:dyDescent="0.25">
      <c r="A132" s="103" t="s">
        <v>137</v>
      </c>
      <c r="B132" s="104" t="s">
        <v>131</v>
      </c>
      <c r="C132" s="60">
        <v>7</v>
      </c>
      <c r="D132" s="52">
        <f ca="1">((100/H126)*C132)/100</f>
        <v>1</v>
      </c>
      <c r="E132" s="112"/>
      <c r="F132" s="143"/>
      <c r="G132" s="112"/>
      <c r="H132" s="113"/>
      <c r="I132" s="14" t="s">
        <v>104</v>
      </c>
      <c r="J132" s="26">
        <f ca="1">(IF(B126&gt;1,(H126/(B126+2)+J131),H126/4+J131))</f>
        <v>3.5</v>
      </c>
    </row>
    <row r="133" spans="1:18" ht="15.75" customHeight="1" x14ac:dyDescent="0.25">
      <c r="A133" s="103" t="s">
        <v>138</v>
      </c>
      <c r="B133" s="104" t="s">
        <v>131</v>
      </c>
      <c r="C133" s="60">
        <v>7</v>
      </c>
      <c r="D133" s="52">
        <f ca="1">((100/H126)*C133)/100</f>
        <v>1</v>
      </c>
      <c r="E133" s="112"/>
      <c r="F133" s="143"/>
      <c r="G133" s="112"/>
      <c r="H133" s="113"/>
      <c r="I133" s="14" t="s">
        <v>147</v>
      </c>
      <c r="J133" s="26">
        <f>(IF(B126&gt;1,(H126/(B126+2)+J132),0))</f>
        <v>0</v>
      </c>
    </row>
    <row r="134" spans="1:18" ht="15" customHeight="1" x14ac:dyDescent="0.25">
      <c r="A134" s="103" t="s">
        <v>136</v>
      </c>
      <c r="B134" s="104" t="s">
        <v>133</v>
      </c>
      <c r="C134" s="60">
        <v>7</v>
      </c>
      <c r="D134" s="52">
        <f ca="1">((100/(H126))*C134)/100</f>
        <v>1</v>
      </c>
      <c r="E134" s="112"/>
      <c r="F134" s="143"/>
      <c r="G134" s="112"/>
      <c r="H134" s="113"/>
      <c r="I134" s="14" t="s">
        <v>144</v>
      </c>
      <c r="J134" s="26">
        <f>(IF(B126&gt;2,(H126/(B126+2)+J133),0))</f>
        <v>0</v>
      </c>
    </row>
    <row r="135" spans="1:18" ht="15.75" customHeight="1" x14ac:dyDescent="0.25">
      <c r="A135" s="103" t="s">
        <v>132</v>
      </c>
      <c r="B135" s="104" t="s">
        <v>132</v>
      </c>
      <c r="C135" s="60">
        <v>7</v>
      </c>
      <c r="D135" s="52">
        <f ca="1">((100/H126)*C135)/100</f>
        <v>1</v>
      </c>
      <c r="E135" s="112"/>
      <c r="F135" s="143"/>
      <c r="G135" s="112"/>
      <c r="H135" s="113"/>
      <c r="I135" s="14" t="s">
        <v>145</v>
      </c>
      <c r="J135" s="27">
        <f>(IF(B126&gt;3,(H126/(B126+2)+J134),0))</f>
        <v>0</v>
      </c>
    </row>
    <row r="136" spans="1:18" ht="15.75" customHeight="1" x14ac:dyDescent="0.25">
      <c r="A136" s="103" t="s">
        <v>139</v>
      </c>
      <c r="B136" s="104"/>
      <c r="C136" s="60">
        <v>7</v>
      </c>
      <c r="D136" s="52">
        <f ca="1">((100/H126)*C136)/100</f>
        <v>1</v>
      </c>
      <c r="E136" s="112"/>
      <c r="F136" s="143"/>
      <c r="G136" s="112"/>
      <c r="H136" s="113"/>
      <c r="I136" s="14" t="s">
        <v>146</v>
      </c>
      <c r="J136" s="26">
        <f>(IF(B126&gt;4,(H126/(B126+2)+J135),0))</f>
        <v>0</v>
      </c>
    </row>
    <row r="137" spans="1:18" ht="15.75" customHeight="1" x14ac:dyDescent="0.25">
      <c r="A137" s="103" t="s">
        <v>134</v>
      </c>
      <c r="B137" s="104" t="s">
        <v>134</v>
      </c>
      <c r="C137" s="60">
        <v>7</v>
      </c>
      <c r="D137" s="52">
        <f ca="1">((100/(H126))*C137)/100</f>
        <v>1</v>
      </c>
      <c r="E137" s="112"/>
      <c r="F137" s="143"/>
      <c r="G137" s="112"/>
      <c r="H137" s="113"/>
      <c r="I137" s="14" t="s">
        <v>148</v>
      </c>
      <c r="J137" s="26">
        <f ca="1">(IF(B126=1,(H126/(B126+3)+J132),IF(B126=0,(H126/4+J132),IF(B126&gt;1,0))))</f>
        <v>5.25</v>
      </c>
    </row>
    <row r="138" spans="1:18" ht="16.5" thickBot="1" x14ac:dyDescent="0.3">
      <c r="A138" s="145" t="s">
        <v>135</v>
      </c>
      <c r="B138" s="146"/>
      <c r="C138" s="61">
        <v>7</v>
      </c>
      <c r="D138" s="53">
        <f ca="1">((100/(H126))*C138)/100</f>
        <v>1</v>
      </c>
      <c r="E138" s="114"/>
      <c r="F138" s="144"/>
      <c r="G138" s="114"/>
      <c r="H138" s="115"/>
      <c r="I138" s="15" t="s">
        <v>105</v>
      </c>
      <c r="J138" s="28">
        <f ca="1">(IF(B126&gt;1.5,(H126/(B126+2)+J132+MAX(0,J133-J132)+MAX(0,J134-J133)+MAX(0,J135-J134)+MAX(0,J136-J135)+MAX(0,J137-J136)),IF(B126=1,(H126/(B126+3)+J137),IF(B126=0,H126/4+J137))))</f>
        <v>7</v>
      </c>
    </row>
    <row r="139" spans="1:18" x14ac:dyDescent="0.25">
      <c r="A139" s="107" t="s">
        <v>157</v>
      </c>
      <c r="B139" s="107"/>
      <c r="C139" s="107"/>
      <c r="D139" s="107"/>
      <c r="E139" s="107"/>
      <c r="F139" s="194" t="s">
        <v>161</v>
      </c>
      <c r="G139" s="194"/>
      <c r="H139" s="194"/>
    </row>
    <row r="140" spans="1:18" x14ac:dyDescent="0.25">
      <c r="A140" s="77" t="s">
        <v>159</v>
      </c>
      <c r="B140" s="77"/>
      <c r="C140" s="77"/>
      <c r="D140" s="77"/>
      <c r="E140" s="77"/>
      <c r="F140" s="187">
        <v>3700</v>
      </c>
      <c r="G140" s="187"/>
      <c r="H140" s="187"/>
      <c r="I140" s="29"/>
      <c r="J140" s="29"/>
      <c r="K140" s="29"/>
      <c r="L140" s="29"/>
      <c r="M140" s="29"/>
      <c r="N140" s="29"/>
      <c r="O140" s="29"/>
      <c r="P140" s="56"/>
      <c r="Q140" s="56"/>
      <c r="R140" s="56"/>
    </row>
    <row r="141" spans="1:18" hidden="1" x14ac:dyDescent="0.25">
      <c r="A141" s="77" t="s">
        <v>158</v>
      </c>
      <c r="B141" s="77"/>
      <c r="C141" s="77"/>
      <c r="D141" s="77"/>
      <c r="E141" s="77"/>
      <c r="F141" s="93"/>
      <c r="G141" s="93"/>
      <c r="H141" s="93"/>
      <c r="P141" s="57"/>
      <c r="Q141" s="57"/>
      <c r="R141" s="57"/>
    </row>
    <row r="142" spans="1:18" hidden="1" x14ac:dyDescent="0.25">
      <c r="A142" s="77" t="s">
        <v>160</v>
      </c>
      <c r="B142" s="77"/>
      <c r="C142" s="77"/>
      <c r="D142" s="77"/>
      <c r="E142" s="77"/>
      <c r="F142" s="93"/>
      <c r="G142" s="93"/>
      <c r="H142" s="93"/>
      <c r="I142" s="30"/>
      <c r="J142" s="30"/>
      <c r="K142" s="30"/>
      <c r="L142" s="30"/>
      <c r="M142" s="30"/>
      <c r="N142" s="30"/>
      <c r="O142" s="30"/>
      <c r="P142" s="57"/>
      <c r="Q142" s="57"/>
      <c r="R142" s="57"/>
    </row>
    <row r="143" spans="1:18" s="29" customFormat="1" hidden="1" x14ac:dyDescent="0.25">
      <c r="A143" s="77" t="s">
        <v>274</v>
      </c>
      <c r="B143" s="77"/>
      <c r="C143" s="77"/>
      <c r="D143" s="77"/>
      <c r="E143" s="77"/>
      <c r="F143" s="93"/>
      <c r="G143" s="93"/>
      <c r="H143" s="93"/>
      <c r="I143" s="31"/>
      <c r="J143" s="31"/>
      <c r="K143" s="31"/>
      <c r="L143" s="31"/>
      <c r="M143" s="31"/>
      <c r="N143" s="31"/>
      <c r="O143" s="31"/>
      <c r="P143" s="57"/>
      <c r="Q143" s="57"/>
      <c r="R143" s="57"/>
    </row>
    <row r="144" spans="1:18" s="29" customFormat="1" x14ac:dyDescent="0.25">
      <c r="A144" s="77" t="s">
        <v>95</v>
      </c>
      <c r="B144" s="77"/>
      <c r="C144" s="77"/>
      <c r="D144" s="77"/>
      <c r="E144" s="77"/>
      <c r="F144" s="93">
        <v>150000</v>
      </c>
      <c r="G144" s="93"/>
      <c r="H144" s="93"/>
      <c r="I144" s="31"/>
      <c r="J144" s="31"/>
      <c r="K144" s="31"/>
      <c r="L144" s="31"/>
      <c r="M144" s="31"/>
      <c r="N144" s="31"/>
      <c r="O144" s="31"/>
      <c r="P144" s="57"/>
      <c r="Q144" s="57"/>
      <c r="R144" s="57"/>
    </row>
    <row r="145" spans="1:18" s="29" customFormat="1" hidden="1" x14ac:dyDescent="0.25">
      <c r="A145" s="77" t="s">
        <v>96</v>
      </c>
      <c r="B145" s="77"/>
      <c r="C145" s="77"/>
      <c r="D145" s="77"/>
      <c r="E145" s="77"/>
      <c r="F145" s="93"/>
      <c r="G145" s="93"/>
      <c r="H145" s="93"/>
      <c r="I145" s="31"/>
      <c r="J145" s="31"/>
      <c r="K145" s="31"/>
      <c r="L145" s="31"/>
      <c r="M145" s="31"/>
      <c r="N145" s="31"/>
      <c r="O145" s="31"/>
      <c r="P145" s="57"/>
      <c r="Q145" s="57"/>
      <c r="R145" s="57"/>
    </row>
    <row r="146" spans="1:18" s="29" customFormat="1" hidden="1" x14ac:dyDescent="0.25">
      <c r="A146" s="77" t="s">
        <v>162</v>
      </c>
      <c r="B146" s="77"/>
      <c r="C146" s="77"/>
      <c r="D146" s="77"/>
      <c r="E146" s="77"/>
      <c r="F146" s="93"/>
      <c r="G146" s="93"/>
      <c r="H146" s="93"/>
      <c r="I146" s="31"/>
      <c r="J146" s="31"/>
      <c r="K146" s="31"/>
      <c r="L146" s="31"/>
      <c r="M146" s="31"/>
      <c r="N146" s="31"/>
      <c r="O146" s="31"/>
      <c r="P146" s="57"/>
      <c r="Q146" s="57"/>
      <c r="R146" s="57"/>
    </row>
    <row r="147" spans="1:18" s="29" customFormat="1" hidden="1" x14ac:dyDescent="0.25">
      <c r="A147" s="77" t="s">
        <v>97</v>
      </c>
      <c r="B147" s="77"/>
      <c r="C147" s="77"/>
      <c r="D147" s="77"/>
      <c r="E147" s="77"/>
      <c r="F147" s="93"/>
      <c r="G147" s="93"/>
      <c r="H147" s="93"/>
      <c r="I147" s="31"/>
      <c r="J147" s="31"/>
      <c r="K147" s="31"/>
      <c r="L147" s="31"/>
      <c r="M147" s="31"/>
      <c r="N147" s="31"/>
      <c r="O147" s="31"/>
      <c r="P147" s="57"/>
      <c r="Q147" s="57"/>
      <c r="R147" s="57"/>
    </row>
    <row r="148" spans="1:18" s="29" customFormat="1" hidden="1" x14ac:dyDescent="0.25">
      <c r="A148" s="77" t="s">
        <v>98</v>
      </c>
      <c r="B148" s="77"/>
      <c r="C148" s="77"/>
      <c r="D148" s="77"/>
      <c r="E148" s="77"/>
      <c r="F148" s="93"/>
      <c r="G148" s="93"/>
      <c r="H148" s="93"/>
      <c r="I148" s="31"/>
      <c r="J148" s="31"/>
      <c r="K148" s="31"/>
      <c r="L148" s="31"/>
      <c r="M148" s="31"/>
      <c r="N148" s="31"/>
      <c r="O148" s="31"/>
      <c r="P148" s="57"/>
      <c r="Q148" s="57"/>
      <c r="R148" s="57"/>
    </row>
    <row r="149" spans="1:18" s="29" customFormat="1" hidden="1" x14ac:dyDescent="0.25">
      <c r="A149" s="77" t="s">
        <v>99</v>
      </c>
      <c r="B149" s="77"/>
      <c r="C149" s="77"/>
      <c r="D149" s="77"/>
      <c r="E149" s="77"/>
      <c r="F149" s="93"/>
      <c r="G149" s="93"/>
      <c r="H149" s="93"/>
      <c r="I149" s="31"/>
      <c r="J149" s="31"/>
      <c r="K149" s="31"/>
      <c r="L149" s="31"/>
      <c r="M149" s="31"/>
      <c r="N149" s="31"/>
      <c r="O149" s="31"/>
      <c r="P149" s="58"/>
      <c r="Q149" s="58"/>
      <c r="R149" s="58"/>
    </row>
    <row r="150" spans="1:18" s="29" customFormat="1" hidden="1" x14ac:dyDescent="0.25">
      <c r="A150" s="77" t="s">
        <v>100</v>
      </c>
      <c r="B150" s="77"/>
      <c r="C150" s="77"/>
      <c r="D150" s="77"/>
      <c r="E150" s="77"/>
      <c r="F150" s="93"/>
      <c r="G150" s="93"/>
      <c r="H150" s="93"/>
      <c r="I150" s="31"/>
      <c r="J150" s="31"/>
      <c r="K150" s="31"/>
      <c r="L150" s="31"/>
      <c r="M150" s="31"/>
      <c r="N150" s="31"/>
      <c r="O150" s="31"/>
    </row>
    <row r="151" spans="1:18" x14ac:dyDescent="0.25">
      <c r="A151" s="77" t="s">
        <v>51</v>
      </c>
      <c r="B151" s="77"/>
      <c r="C151" s="77"/>
      <c r="D151" s="77"/>
      <c r="E151" s="77"/>
      <c r="F151" s="93">
        <v>200000</v>
      </c>
      <c r="G151" s="93"/>
      <c r="H151" s="93"/>
      <c r="I151" s="31"/>
      <c r="J151" s="31"/>
      <c r="K151" s="31"/>
      <c r="L151" s="31"/>
      <c r="M151" s="31"/>
      <c r="N151" s="31"/>
      <c r="O151" s="31"/>
    </row>
    <row r="152" spans="1:18" s="30" customFormat="1" x14ac:dyDescent="0.25">
      <c r="A152" s="126" t="s">
        <v>52</v>
      </c>
      <c r="B152" s="126"/>
      <c r="C152" s="126"/>
      <c r="D152" s="126"/>
      <c r="E152" s="126"/>
      <c r="F152" s="93">
        <f>F140*0.8</f>
        <v>2960</v>
      </c>
      <c r="G152" s="93"/>
      <c r="H152" s="93"/>
      <c r="I152" s="31"/>
      <c r="J152" s="31"/>
      <c r="K152" s="31"/>
      <c r="L152" s="31"/>
      <c r="M152" s="31"/>
      <c r="N152" s="31"/>
      <c r="O152" s="31"/>
    </row>
    <row r="153" spans="1:18" s="31" customFormat="1" ht="15.75" hidden="1" customHeight="1" x14ac:dyDescent="0.25">
      <c r="A153" s="91" t="s">
        <v>75</v>
      </c>
      <c r="B153" s="91"/>
      <c r="C153" s="91"/>
      <c r="D153" s="91"/>
      <c r="E153" s="91"/>
      <c r="F153" s="91"/>
      <c r="G153" s="91"/>
      <c r="H153" s="91"/>
    </row>
    <row r="154" spans="1:18" s="31" customFormat="1" ht="15.75" hidden="1" customHeight="1" x14ac:dyDescent="0.25">
      <c r="A154" s="90" t="s">
        <v>53</v>
      </c>
      <c r="B154" s="90"/>
      <c r="C154" s="128" t="s">
        <v>78</v>
      </c>
      <c r="D154" s="128"/>
      <c r="E154" s="94" t="s">
        <v>54</v>
      </c>
      <c r="F154" s="94"/>
      <c r="G154" s="90" t="s">
        <v>55</v>
      </c>
      <c r="H154" s="90"/>
      <c r="I154" s="30"/>
      <c r="J154" s="30"/>
      <c r="K154" s="30"/>
      <c r="L154" s="30"/>
      <c r="M154" s="30"/>
      <c r="N154" s="30"/>
      <c r="O154" s="30"/>
    </row>
    <row r="155" spans="1:18" s="31" customFormat="1" hidden="1" x14ac:dyDescent="0.25">
      <c r="A155" s="119"/>
      <c r="B155" s="119"/>
      <c r="C155" s="116"/>
      <c r="D155" s="116"/>
      <c r="E155" s="117"/>
      <c r="F155" s="117"/>
      <c r="G155" s="118"/>
      <c r="H155" s="118"/>
      <c r="I155" s="17"/>
      <c r="J155" s="17"/>
      <c r="K155" s="17"/>
      <c r="L155" s="17"/>
      <c r="M155" s="17"/>
      <c r="N155" s="17"/>
      <c r="O155" s="17"/>
    </row>
    <row r="156" spans="1:18" s="31" customFormat="1" hidden="1" x14ac:dyDescent="0.25">
      <c r="A156" s="119"/>
      <c r="B156" s="119"/>
      <c r="C156" s="116"/>
      <c r="D156" s="116"/>
      <c r="E156" s="117"/>
      <c r="F156" s="117"/>
      <c r="G156" s="118"/>
      <c r="H156" s="118"/>
      <c r="I156" s="17"/>
      <c r="J156" s="17"/>
      <c r="K156" s="17"/>
      <c r="L156" s="17"/>
      <c r="M156" s="17"/>
      <c r="N156" s="17"/>
      <c r="O156" s="17"/>
    </row>
    <row r="157" spans="1:18" s="31" customFormat="1" hidden="1" x14ac:dyDescent="0.25">
      <c r="A157" s="91" t="s">
        <v>151</v>
      </c>
      <c r="B157" s="91"/>
      <c r="C157" s="128"/>
      <c r="D157" s="128"/>
      <c r="E157" s="94"/>
      <c r="F157" s="94"/>
      <c r="G157" s="90"/>
      <c r="H157" s="90"/>
      <c r="I157" s="33"/>
      <c r="J157" s="33"/>
      <c r="K157" s="33"/>
      <c r="L157" s="33"/>
      <c r="M157" s="33"/>
      <c r="N157" s="33"/>
      <c r="O157" s="33"/>
    </row>
    <row r="158" spans="1:18" s="31" customFormat="1" x14ac:dyDescent="0.25">
      <c r="A158" s="91" t="s">
        <v>70</v>
      </c>
      <c r="B158" s="91"/>
      <c r="C158" s="91"/>
      <c r="D158" s="91"/>
      <c r="E158" s="91"/>
      <c r="F158" s="91"/>
      <c r="G158" s="91"/>
      <c r="H158" s="91"/>
      <c r="I158" s="33"/>
      <c r="J158" s="32"/>
      <c r="K158" s="33"/>
      <c r="L158" s="33"/>
      <c r="M158" s="33"/>
      <c r="N158" s="33"/>
      <c r="O158" s="33"/>
    </row>
    <row r="159" spans="1:18" s="31" customFormat="1" ht="15.75" customHeight="1" x14ac:dyDescent="0.25">
      <c r="A159" s="90" t="s">
        <v>53</v>
      </c>
      <c r="B159" s="90"/>
      <c r="C159" s="128" t="s">
        <v>78</v>
      </c>
      <c r="D159" s="128"/>
      <c r="E159" s="94" t="s">
        <v>54</v>
      </c>
      <c r="F159" s="94"/>
      <c r="G159" s="90" t="s">
        <v>55</v>
      </c>
      <c r="H159" s="90"/>
      <c r="I159" s="32"/>
      <c r="J159" s="33"/>
      <c r="K159" s="33"/>
      <c r="L159" s="80"/>
      <c r="M159" s="80"/>
      <c r="N159" s="32"/>
      <c r="O159" s="33"/>
    </row>
    <row r="160" spans="1:18" s="31" customFormat="1" x14ac:dyDescent="0.25">
      <c r="A160" s="119" t="s">
        <v>269</v>
      </c>
      <c r="B160" s="119"/>
      <c r="C160" s="116">
        <f>COUNT(D180:D190)*10+COUNT(D192:D201)</f>
        <v>120</v>
      </c>
      <c r="D160" s="116"/>
      <c r="E160" s="97">
        <f>SUM(D180:D190)*10+SUM(D192:D201)</f>
        <v>50057.636742000002</v>
      </c>
      <c r="F160" s="97"/>
      <c r="G160" s="97">
        <f>SUM(F180:F190)*10+SUM(F192:F201)</f>
        <v>75086.455113000004</v>
      </c>
      <c r="H160" s="97"/>
      <c r="I160" s="32"/>
      <c r="J160" s="33"/>
      <c r="K160" s="33"/>
      <c r="L160" s="80"/>
      <c r="M160" s="80"/>
      <c r="N160" s="32"/>
      <c r="O160" s="33"/>
    </row>
    <row r="161" spans="1:15" s="31" customFormat="1" x14ac:dyDescent="0.25">
      <c r="A161" s="119" t="s">
        <v>270</v>
      </c>
      <c r="B161" s="119"/>
      <c r="C161" s="116">
        <f>COUNT(D206:D216)*10+COUNT(D219:D228)</f>
        <v>120</v>
      </c>
      <c r="D161" s="116"/>
      <c r="E161" s="97">
        <f>SUM(D206:D216)*10+SUM(D219:D228)</f>
        <v>50097.765744000004</v>
      </c>
      <c r="F161" s="97"/>
      <c r="G161" s="97">
        <f>SUM(F206:F216)*10+SUM(F219:F228)</f>
        <v>75146.648615999991</v>
      </c>
      <c r="H161" s="97"/>
      <c r="I161" s="32"/>
      <c r="J161" s="33"/>
      <c r="K161" s="33"/>
      <c r="L161" s="80"/>
      <c r="M161" s="80"/>
      <c r="N161" s="32"/>
      <c r="O161" s="33"/>
    </row>
    <row r="162" spans="1:15" s="31" customFormat="1" x14ac:dyDescent="0.25">
      <c r="A162" s="91" t="s">
        <v>151</v>
      </c>
      <c r="B162" s="91"/>
      <c r="C162" s="128">
        <f>C160+C161</f>
        <v>240</v>
      </c>
      <c r="D162" s="128"/>
      <c r="E162" s="92">
        <f t="shared" ref="E162" si="0">E160+E161</f>
        <v>100155.40248600001</v>
      </c>
      <c r="F162" s="92"/>
      <c r="G162" s="92">
        <f t="shared" ref="G162" si="1">G160+G161</f>
        <v>150233.10372899999</v>
      </c>
      <c r="H162" s="92"/>
      <c r="I162" s="32"/>
      <c r="J162" s="33"/>
      <c r="K162" s="33"/>
      <c r="L162" s="80"/>
      <c r="M162" s="80"/>
      <c r="N162" s="32"/>
      <c r="O162" s="33"/>
    </row>
    <row r="163" spans="1:15" s="31" customFormat="1" ht="16.5" hidden="1" thickBot="1" x14ac:dyDescent="0.3">
      <c r="A163" s="202" t="s">
        <v>168</v>
      </c>
      <c r="B163" s="203"/>
      <c r="C163" s="204">
        <f>C157+C162</f>
        <v>240</v>
      </c>
      <c r="D163" s="204"/>
      <c r="E163" s="205">
        <f>E157+E162</f>
        <v>100155.40248600001</v>
      </c>
      <c r="F163" s="205"/>
      <c r="G163" s="108">
        <f>G157+G162</f>
        <v>150233.10372899999</v>
      </c>
      <c r="H163" s="109"/>
      <c r="I163" s="32"/>
      <c r="J163" s="17"/>
      <c r="K163" s="17"/>
      <c r="L163" s="17"/>
      <c r="M163" s="17"/>
      <c r="N163" s="17"/>
      <c r="O163" s="17"/>
    </row>
    <row r="164" spans="1:15" s="30" customFormat="1" x14ac:dyDescent="0.25">
      <c r="A164" s="194" t="s">
        <v>56</v>
      </c>
      <c r="B164" s="194"/>
      <c r="C164" s="194"/>
      <c r="D164" s="194"/>
      <c r="E164" s="194"/>
      <c r="F164" s="194"/>
      <c r="G164" s="194"/>
      <c r="H164" s="194"/>
      <c r="I164" s="32"/>
      <c r="J164" s="33"/>
      <c r="K164" s="33"/>
      <c r="L164" s="33"/>
      <c r="M164" s="33"/>
      <c r="N164" s="33"/>
      <c r="O164" s="33"/>
    </row>
    <row r="165" spans="1:15" x14ac:dyDescent="0.25">
      <c r="A165" s="160" t="s">
        <v>268</v>
      </c>
      <c r="B165" s="160"/>
      <c r="C165" s="160"/>
      <c r="D165" s="160"/>
      <c r="E165" s="160"/>
      <c r="F165" s="160"/>
      <c r="G165" s="160"/>
      <c r="H165" s="160"/>
      <c r="I165" s="33"/>
      <c r="J165" s="32"/>
      <c r="K165" s="33"/>
      <c r="L165" s="33"/>
      <c r="M165" s="33"/>
      <c r="N165" s="33"/>
      <c r="O165" s="33"/>
    </row>
    <row r="166" spans="1:15" ht="47.25" hidden="1" customHeight="1" x14ac:dyDescent="0.25">
      <c r="A166" s="95" t="s">
        <v>121</v>
      </c>
      <c r="B166" s="95" t="s">
        <v>175</v>
      </c>
      <c r="C166" s="95" t="s">
        <v>57</v>
      </c>
      <c r="D166" s="95" t="s">
        <v>58</v>
      </c>
      <c r="E166" s="120" t="s">
        <v>156</v>
      </c>
      <c r="F166" s="39" t="s">
        <v>150</v>
      </c>
      <c r="G166" s="122" t="s">
        <v>60</v>
      </c>
      <c r="H166" s="123"/>
      <c r="I166" s="33"/>
      <c r="J166" s="32"/>
      <c r="K166" s="33"/>
      <c r="L166" s="33"/>
      <c r="M166" s="33"/>
      <c r="N166" s="33"/>
      <c r="O166" s="33"/>
    </row>
    <row r="167" spans="1:15" s="33" customFormat="1" hidden="1" x14ac:dyDescent="0.25">
      <c r="A167" s="96"/>
      <c r="B167" s="96"/>
      <c r="C167" s="96"/>
      <c r="D167" s="96"/>
      <c r="E167" s="121"/>
      <c r="F167" s="13">
        <v>0.45</v>
      </c>
      <c r="G167" s="124"/>
      <c r="H167" s="125"/>
      <c r="J167" s="32"/>
    </row>
    <row r="168" spans="1:15" s="33" customFormat="1" ht="15.75" hidden="1" customHeight="1" x14ac:dyDescent="0.25">
      <c r="A168" s="87" t="s">
        <v>120</v>
      </c>
      <c r="B168" s="88"/>
      <c r="C168" s="88"/>
      <c r="D168" s="88"/>
      <c r="E168" s="88"/>
      <c r="F168" s="88"/>
      <c r="G168" s="88"/>
      <c r="H168" s="89"/>
      <c r="J168" s="32"/>
    </row>
    <row r="169" spans="1:15" s="33" customFormat="1" ht="15.75" hidden="1" customHeight="1" x14ac:dyDescent="0.25">
      <c r="A169" s="78">
        <v>1</v>
      </c>
      <c r="B169" s="79"/>
      <c r="C169" s="38"/>
      <c r="D169" s="38"/>
      <c r="E169" s="38">
        <v>0</v>
      </c>
      <c r="F169" s="38">
        <f>(D169+E169)*(($F$167)+1)</f>
        <v>0</v>
      </c>
      <c r="G169" s="78" t="str">
        <f>A168</f>
        <v>Ground Floor</v>
      </c>
      <c r="H169" s="79"/>
      <c r="J169" s="32"/>
    </row>
    <row r="170" spans="1:15" s="33" customFormat="1" ht="15.75" hidden="1" customHeight="1" x14ac:dyDescent="0.25">
      <c r="A170" s="78">
        <f t="shared" ref="A170:A172" si="2">A169+1</f>
        <v>2</v>
      </c>
      <c r="B170" s="79"/>
      <c r="C170" s="38"/>
      <c r="D170" s="38"/>
      <c r="E170" s="38">
        <v>0</v>
      </c>
      <c r="F170" s="38">
        <f t="shared" ref="F170:F172" si="3">(D170+E170)*(($F$167)+1)</f>
        <v>0</v>
      </c>
      <c r="G170" s="78" t="str">
        <f t="shared" ref="G170:G172" si="4">G169</f>
        <v>Ground Floor</v>
      </c>
      <c r="H170" s="79"/>
      <c r="I170" s="32">
        <f>(31.88+8.35)</f>
        <v>40.229999999999997</v>
      </c>
      <c r="J170" s="32">
        <f>(2.75*4.3+2.1*2.3+3*3.3+2.05*1.25+1.05*1.25+1*1.4+2.1*1.8)</f>
        <v>35.61</v>
      </c>
      <c r="K170" s="33">
        <f>2.6*0.9</f>
        <v>2.3400000000000003</v>
      </c>
      <c r="L170" s="80"/>
      <c r="M170" s="80"/>
      <c r="N170" s="32"/>
    </row>
    <row r="171" spans="1:15" s="33" customFormat="1" ht="15.75" hidden="1" customHeight="1" x14ac:dyDescent="0.25">
      <c r="A171" s="78">
        <f t="shared" si="2"/>
        <v>3</v>
      </c>
      <c r="B171" s="79"/>
      <c r="C171" s="38"/>
      <c r="D171" s="38"/>
      <c r="E171" s="38">
        <v>0</v>
      </c>
      <c r="F171" s="38">
        <f t="shared" si="3"/>
        <v>0</v>
      </c>
      <c r="G171" s="78" t="str">
        <f t="shared" si="4"/>
        <v>Ground Floor</v>
      </c>
      <c r="H171" s="79"/>
      <c r="I171" s="32">
        <f>(35.475+2.7)</f>
        <v>38.175000000000004</v>
      </c>
      <c r="J171" s="32">
        <f>(4.3*2.75+2.3*2.1+3.8*2.75+1.25*1.05+1.25*2.05+0.9*1.25+1.4*2.1)</f>
        <v>35.045000000000002</v>
      </c>
      <c r="K171" s="32">
        <f>0.9*2.75</f>
        <v>2.4750000000000001</v>
      </c>
      <c r="L171" s="80"/>
      <c r="M171" s="80"/>
      <c r="N171" s="32"/>
    </row>
    <row r="172" spans="1:15" s="33" customFormat="1" ht="15.75" hidden="1" customHeight="1" x14ac:dyDescent="0.25">
      <c r="A172" s="78">
        <f t="shared" si="2"/>
        <v>4</v>
      </c>
      <c r="B172" s="79"/>
      <c r="C172" s="38"/>
      <c r="D172" s="38"/>
      <c r="E172" s="38">
        <v>0</v>
      </c>
      <c r="F172" s="38">
        <f t="shared" si="3"/>
        <v>0</v>
      </c>
      <c r="G172" s="78" t="str">
        <f t="shared" si="4"/>
        <v>Ground Floor</v>
      </c>
      <c r="H172" s="79"/>
      <c r="I172" s="32">
        <f>(35.475+2.85)</f>
        <v>38.325000000000003</v>
      </c>
      <c r="L172" s="80"/>
      <c r="M172" s="80"/>
      <c r="N172" s="32"/>
    </row>
    <row r="173" spans="1:15" ht="47.25" customHeight="1" x14ac:dyDescent="0.25">
      <c r="A173" s="122" t="s">
        <v>122</v>
      </c>
      <c r="B173" s="95" t="s">
        <v>176</v>
      </c>
      <c r="C173" s="95" t="s">
        <v>57</v>
      </c>
      <c r="D173" s="95" t="s">
        <v>58</v>
      </c>
      <c r="E173" s="120" t="s">
        <v>59</v>
      </c>
      <c r="F173" s="39" t="s">
        <v>150</v>
      </c>
      <c r="G173" s="122" t="s">
        <v>60</v>
      </c>
      <c r="H173" s="123"/>
      <c r="I173" s="32">
        <f>(26.475+7.45)</f>
        <v>33.925000000000004</v>
      </c>
      <c r="J173" s="33"/>
      <c r="K173" s="33"/>
      <c r="L173" s="80"/>
      <c r="M173" s="80"/>
      <c r="N173" s="32"/>
      <c r="O173" s="33"/>
    </row>
    <row r="174" spans="1:15" s="33" customFormat="1" x14ac:dyDescent="0.25">
      <c r="A174" s="124"/>
      <c r="B174" s="96"/>
      <c r="C174" s="96"/>
      <c r="D174" s="96"/>
      <c r="E174" s="121"/>
      <c r="F174" s="13">
        <v>0.5</v>
      </c>
      <c r="G174" s="124"/>
      <c r="H174" s="125"/>
      <c r="I174" s="32">
        <f>(26.475+7.6)</f>
        <v>34.075000000000003</v>
      </c>
      <c r="L174" s="80"/>
      <c r="M174" s="80"/>
      <c r="N174" s="32"/>
    </row>
    <row r="175" spans="1:15" s="33" customFormat="1" x14ac:dyDescent="0.25">
      <c r="A175" s="106" t="s">
        <v>281</v>
      </c>
      <c r="B175" s="106"/>
      <c r="C175" s="106"/>
      <c r="D175" s="106"/>
      <c r="E175" s="106"/>
      <c r="F175" s="106"/>
      <c r="G175" s="106"/>
      <c r="H175" s="106"/>
      <c r="I175" s="32">
        <f>(26.475+7.45)</f>
        <v>33.925000000000004</v>
      </c>
      <c r="L175" s="80"/>
      <c r="M175" s="80"/>
      <c r="N175" s="32"/>
    </row>
    <row r="176" spans="1:15" s="33" customFormat="1" x14ac:dyDescent="0.25">
      <c r="A176" s="106" t="s">
        <v>272</v>
      </c>
      <c r="B176" s="106"/>
      <c r="C176" s="106"/>
      <c r="D176" s="106"/>
      <c r="E176" s="106"/>
      <c r="F176" s="106"/>
      <c r="G176" s="106"/>
      <c r="H176" s="106"/>
      <c r="I176" s="32">
        <f>(26.475+7.3)</f>
        <v>33.774999999999999</v>
      </c>
      <c r="L176" s="80"/>
      <c r="M176" s="80"/>
      <c r="N176" s="32"/>
    </row>
    <row r="177" spans="1:14" s="33" customFormat="1" x14ac:dyDescent="0.25">
      <c r="A177" s="106" t="s">
        <v>278</v>
      </c>
      <c r="B177" s="106"/>
      <c r="C177" s="106"/>
      <c r="D177" s="106"/>
      <c r="E177" s="106"/>
      <c r="F177" s="106"/>
      <c r="G177" s="106"/>
      <c r="H177" s="106"/>
      <c r="I177" s="32">
        <f>(36.94+3.25)</f>
        <v>40.19</v>
      </c>
      <c r="J177" s="32"/>
      <c r="K177" s="32"/>
      <c r="L177" s="80"/>
      <c r="M177" s="80"/>
      <c r="N177" s="32"/>
    </row>
    <row r="178" spans="1:14" s="33" customFormat="1" x14ac:dyDescent="0.25">
      <c r="A178" s="106" t="s">
        <v>260</v>
      </c>
      <c r="B178" s="106"/>
      <c r="C178" s="106"/>
      <c r="D178" s="106"/>
      <c r="E178" s="106"/>
      <c r="F178" s="106"/>
      <c r="G178" s="106"/>
      <c r="H178" s="106"/>
      <c r="I178" s="32">
        <f>(45.633+9.835)</f>
        <v>55.468000000000004</v>
      </c>
      <c r="J178" s="32">
        <f>(2.75*4.3+2.15*2.35+2.25*1.85+3*3.35+3.65*3.05+1.25*1.85+1.3*2+1.2*1.4)</f>
        <v>48.814999999999998</v>
      </c>
      <c r="K178" s="32">
        <f>0.9*2.75</f>
        <v>2.4750000000000001</v>
      </c>
      <c r="L178" s="80"/>
      <c r="M178" s="80"/>
      <c r="N178" s="32"/>
    </row>
    <row r="179" spans="1:14" s="33" customFormat="1" x14ac:dyDescent="0.25">
      <c r="A179" s="106" t="s">
        <v>267</v>
      </c>
      <c r="B179" s="106"/>
      <c r="C179" s="106"/>
      <c r="D179" s="106"/>
      <c r="E179" s="106"/>
      <c r="F179" s="106"/>
      <c r="G179" s="106"/>
      <c r="H179" s="106"/>
      <c r="I179" s="32">
        <f>(31.268+7.95)</f>
        <v>39.218000000000004</v>
      </c>
      <c r="J179" s="67" t="s">
        <v>284</v>
      </c>
      <c r="L179" s="80"/>
      <c r="M179" s="80"/>
      <c r="N179" s="32"/>
    </row>
    <row r="180" spans="1:14" s="33" customFormat="1" ht="15.75" customHeight="1" x14ac:dyDescent="0.25">
      <c r="A180" s="78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10^ROW(INDIRECT("1:"&amp;LEN((LEFT(A179,SUM(LEN(A179)-LEN(SUBSTITUTE(A179,{"0","1","2"},""))))))))/10))*100+1&amp;""&amp;"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",LEN(A179))),LEN(A179)))))))/10))*100+1</f>
        <v>101 ,.., 1101</v>
      </c>
      <c r="B180" s="79"/>
      <c r="C180" s="38" t="s">
        <v>261</v>
      </c>
      <c r="D180" s="38">
        <f>(31.88+8.35)*10.764</f>
        <v>433.03571999999991</v>
      </c>
      <c r="E180" s="38">
        <v>0</v>
      </c>
      <c r="F180" s="38">
        <f t="shared" ref="F180:F190" si="5">D180*(($F$174)+1)+(IF(E180&lt;101,E180,IF(E180&lt;201,E180/2,IF(E180&lt;=301,E180/3,E180/4))))</f>
        <v>649.5535799999999</v>
      </c>
      <c r="G180" s="180" t="str">
        <f>A179</f>
        <v>1st to 7th &amp; 9th to 11th Floor For Residential</v>
      </c>
      <c r="H180" s="181"/>
      <c r="I180" s="32">
        <f>(31.268+7.95)</f>
        <v>39.218000000000004</v>
      </c>
      <c r="J180" s="63">
        <f>2398666/F180</f>
        <v>3692.7915938820634</v>
      </c>
      <c r="L180" s="80"/>
      <c r="M180" s="80"/>
      <c r="N180" s="32"/>
    </row>
    <row r="181" spans="1:14" s="33" customFormat="1" ht="15.75" customHeight="1" x14ac:dyDescent="0.25">
      <c r="A181" s="78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,..,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102 ,.., 1102</v>
      </c>
      <c r="B181" s="79"/>
      <c r="C181" s="48" t="s">
        <v>261</v>
      </c>
      <c r="D181" s="48">
        <f>(35.475+2.7)*10.764</f>
        <v>410.91570000000002</v>
      </c>
      <c r="E181" s="38">
        <v>0</v>
      </c>
      <c r="F181" s="38">
        <f t="shared" si="5"/>
        <v>616.37355000000002</v>
      </c>
      <c r="G181" s="182"/>
      <c r="H181" s="183"/>
      <c r="I181" s="32"/>
      <c r="J181" s="64"/>
      <c r="L181" s="80"/>
      <c r="M181" s="80"/>
    </row>
    <row r="182" spans="1:14" s="33" customFormat="1" ht="15.75" customHeight="1" x14ac:dyDescent="0.25">
      <c r="A182" s="78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,..,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103 ,.., 1103</v>
      </c>
      <c r="B182" s="79"/>
      <c r="C182" s="48" t="s">
        <v>261</v>
      </c>
      <c r="D182" s="48">
        <f>(35.475+2.85)*10.764</f>
        <v>412.53030000000001</v>
      </c>
      <c r="E182" s="38">
        <v>0</v>
      </c>
      <c r="F182" s="38">
        <f t="shared" si="5"/>
        <v>618.79545000000007</v>
      </c>
      <c r="G182" s="182"/>
      <c r="H182" s="183"/>
      <c r="I182" s="32"/>
      <c r="J182" s="64"/>
      <c r="N182" s="32"/>
    </row>
    <row r="183" spans="1:14" s="33" customFormat="1" ht="15.75" customHeight="1" x14ac:dyDescent="0.25">
      <c r="A183" s="78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,..,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104 ,.., 1104</v>
      </c>
      <c r="B183" s="79"/>
      <c r="C183" s="48" t="s">
        <v>261</v>
      </c>
      <c r="D183" s="48">
        <f>(26.475+7.45)*10.764</f>
        <v>365.1687</v>
      </c>
      <c r="E183" s="38">
        <v>0</v>
      </c>
      <c r="F183" s="38">
        <f t="shared" si="5"/>
        <v>547.75305000000003</v>
      </c>
      <c r="G183" s="182"/>
      <c r="H183" s="183"/>
      <c r="I183" s="32"/>
      <c r="J183" s="64"/>
      <c r="N183" s="32"/>
    </row>
    <row r="184" spans="1:14" s="33" customFormat="1" ht="15.75" customHeight="1" x14ac:dyDescent="0.25">
      <c r="A184" s="78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,..,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105 ,.., 1105</v>
      </c>
      <c r="B184" s="79"/>
      <c r="C184" s="48" t="s">
        <v>261</v>
      </c>
      <c r="D184" s="48">
        <f>(26.475+7.6)*10.764</f>
        <v>366.7833</v>
      </c>
      <c r="E184" s="38">
        <v>0</v>
      </c>
      <c r="F184" s="38">
        <f t="shared" si="5"/>
        <v>550.17494999999997</v>
      </c>
      <c r="G184" s="182"/>
      <c r="H184" s="183"/>
      <c r="I184" s="32"/>
      <c r="J184" s="64"/>
      <c r="N184" s="32"/>
    </row>
    <row r="185" spans="1:14" s="33" customFormat="1" ht="15.75" customHeight="1" x14ac:dyDescent="0.25">
      <c r="A185" s="78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,..,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106 ,.., 1106</v>
      </c>
      <c r="B185" s="79"/>
      <c r="C185" s="48" t="s">
        <v>261</v>
      </c>
      <c r="D185" s="48">
        <f>(26.475+7.45)*10.764</f>
        <v>365.1687</v>
      </c>
      <c r="E185" s="38">
        <v>0</v>
      </c>
      <c r="F185" s="38">
        <f t="shared" si="5"/>
        <v>547.75305000000003</v>
      </c>
      <c r="G185" s="182"/>
      <c r="H185" s="183"/>
      <c r="I185" s="32"/>
      <c r="J185" s="64"/>
      <c r="N185" s="32"/>
    </row>
    <row r="186" spans="1:14" s="33" customFormat="1" ht="15.75" customHeight="1" x14ac:dyDescent="0.25">
      <c r="A186" s="78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,..,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107 ,.., 1107</v>
      </c>
      <c r="B186" s="79"/>
      <c r="C186" s="48" t="s">
        <v>261</v>
      </c>
      <c r="D186" s="48">
        <f>(26.475+7.3)*10.764</f>
        <v>363.55409999999995</v>
      </c>
      <c r="E186" s="38">
        <v>0</v>
      </c>
      <c r="F186" s="38">
        <f t="shared" si="5"/>
        <v>545.33114999999998</v>
      </c>
      <c r="G186" s="182"/>
      <c r="H186" s="183"/>
      <c r="I186" s="32"/>
      <c r="J186" s="64"/>
      <c r="N186" s="32"/>
    </row>
    <row r="187" spans="1:14" s="33" customFormat="1" ht="15.75" customHeight="1" x14ac:dyDescent="0.25">
      <c r="A187" s="78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,..,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108 ,.., 1108</v>
      </c>
      <c r="B187" s="79"/>
      <c r="C187" s="48" t="s">
        <v>261</v>
      </c>
      <c r="D187" s="48">
        <f>(36.94+3.25)*10.764</f>
        <v>432.60515999999996</v>
      </c>
      <c r="E187" s="38">
        <v>0</v>
      </c>
      <c r="F187" s="38">
        <f t="shared" si="5"/>
        <v>648.90773999999988</v>
      </c>
      <c r="G187" s="182"/>
      <c r="H187" s="183"/>
      <c r="I187" s="32"/>
      <c r="J187" s="64"/>
      <c r="N187" s="32"/>
    </row>
    <row r="188" spans="1:14" s="33" customFormat="1" ht="15.75" customHeight="1" x14ac:dyDescent="0.25">
      <c r="A188" s="78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,..,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109 ,.., 1109</v>
      </c>
      <c r="B188" s="79"/>
      <c r="C188" s="48" t="s">
        <v>262</v>
      </c>
      <c r="D188" s="48">
        <f>(45.633+9.835)*10.764</f>
        <v>597.05755199999999</v>
      </c>
      <c r="E188" s="38">
        <v>0</v>
      </c>
      <c r="F188" s="38">
        <f t="shared" si="5"/>
        <v>895.58632799999998</v>
      </c>
      <c r="G188" s="182"/>
      <c r="H188" s="183"/>
      <c r="I188" s="32"/>
      <c r="J188" s="65">
        <f>3315797/F188</f>
        <v>3702.375635193931</v>
      </c>
      <c r="N188" s="32"/>
    </row>
    <row r="189" spans="1:14" s="33" customFormat="1" ht="15.75" customHeight="1" x14ac:dyDescent="0.25">
      <c r="A189" s="78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,..,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110 ,.., 1110</v>
      </c>
      <c r="B189" s="79"/>
      <c r="C189" s="48" t="s">
        <v>261</v>
      </c>
      <c r="D189" s="48">
        <f>(31.268+7.95)*10.764</f>
        <v>422.14255200000002</v>
      </c>
      <c r="E189" s="38">
        <v>0</v>
      </c>
      <c r="F189" s="38">
        <f t="shared" si="5"/>
        <v>633.21382800000003</v>
      </c>
      <c r="G189" s="182"/>
      <c r="H189" s="183"/>
      <c r="I189" s="32"/>
      <c r="N189" s="32"/>
    </row>
    <row r="190" spans="1:14" s="33" customFormat="1" ht="15.75" customHeight="1" x14ac:dyDescent="0.25">
      <c r="A190" s="78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,..,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111 ,.., 1111</v>
      </c>
      <c r="B190" s="79"/>
      <c r="C190" s="48" t="s">
        <v>261</v>
      </c>
      <c r="D190" s="48">
        <f>(31.268+7.95)*10.764</f>
        <v>422.14255200000002</v>
      </c>
      <c r="E190" s="38">
        <v>0</v>
      </c>
      <c r="F190" s="38">
        <f t="shared" si="5"/>
        <v>633.21382800000003</v>
      </c>
      <c r="G190" s="184"/>
      <c r="H190" s="185"/>
      <c r="I190" s="32"/>
      <c r="J190" s="63">
        <f>2348079/F190</f>
        <v>3708.1928665651312</v>
      </c>
      <c r="N190" s="32"/>
    </row>
    <row r="191" spans="1:14" s="33" customFormat="1" x14ac:dyDescent="0.25">
      <c r="A191" s="86" t="s">
        <v>265</v>
      </c>
      <c r="B191" s="86"/>
      <c r="C191" s="86"/>
      <c r="D191" s="86"/>
      <c r="E191" s="86"/>
      <c r="F191" s="86"/>
      <c r="G191" s="86"/>
      <c r="H191" s="86"/>
      <c r="I191" s="32"/>
      <c r="J191" s="66">
        <f>AVERAGE(J190,J188,J180)</f>
        <v>3701.1200318803749</v>
      </c>
      <c r="N191" s="32"/>
    </row>
    <row r="192" spans="1:14" s="33" customFormat="1" x14ac:dyDescent="0.25">
      <c r="A192" s="85">
        <f>LEFT(A191,SUM(LEN(A191)-LEN(SUBSTITUTE(A191,{"0","1","2","3","4","5","6","7","8","9"},""))))*100+1</f>
        <v>801</v>
      </c>
      <c r="B192" s="85"/>
      <c r="C192" s="38" t="s">
        <v>261</v>
      </c>
      <c r="D192" s="38">
        <f>(31.88+8.35)*10.764</f>
        <v>433.03571999999991</v>
      </c>
      <c r="E192" s="38">
        <v>0</v>
      </c>
      <c r="F192" s="38">
        <f t="shared" ref="F192:F193" si="6">D192*(($F$174)+1)+(IF(E192&lt;101,E192,IF(E192&lt;201,E192/2,IF(E192&lt;=301,E192/3,E192/4))))</f>
        <v>649.5535799999999</v>
      </c>
      <c r="G192" s="180" t="str">
        <f>A191</f>
        <v>8th Floor (Part Refuge Area)</v>
      </c>
      <c r="H192" s="181"/>
      <c r="I192" s="32"/>
      <c r="N192" s="32"/>
    </row>
    <row r="193" spans="1:12" s="33" customFormat="1" x14ac:dyDescent="0.25">
      <c r="A193" s="85">
        <f t="shared" ref="A193:A202" si="7">A192+1</f>
        <v>802</v>
      </c>
      <c r="B193" s="85"/>
      <c r="C193" s="38" t="s">
        <v>261</v>
      </c>
      <c r="D193" s="38">
        <f>(35.475+2.77)*10.0764</f>
        <v>385.37191800000005</v>
      </c>
      <c r="E193" s="38">
        <v>0</v>
      </c>
      <c r="F193" s="38">
        <f t="shared" si="6"/>
        <v>578.05787700000008</v>
      </c>
      <c r="G193" s="182"/>
      <c r="H193" s="183"/>
      <c r="I193" s="32"/>
    </row>
    <row r="194" spans="1:12" s="33" customFormat="1" x14ac:dyDescent="0.25">
      <c r="A194" s="85">
        <f t="shared" si="7"/>
        <v>803</v>
      </c>
      <c r="B194" s="85"/>
      <c r="C194" s="38" t="s">
        <v>261</v>
      </c>
      <c r="D194" s="38">
        <f>(35.475+2.85)*10.764</f>
        <v>412.53030000000001</v>
      </c>
      <c r="E194" s="38">
        <v>0</v>
      </c>
      <c r="F194" s="38">
        <f>D194*(($F$174)+1)+(IF(E194&lt;101,E194,IF(E194&lt;201,E194/2,IF(E194&lt;=301,E194/3,E194/4))))</f>
        <v>618.79545000000007</v>
      </c>
      <c r="G194" s="182"/>
      <c r="H194" s="183"/>
      <c r="J194" s="32"/>
    </row>
    <row r="195" spans="1:12" s="33" customFormat="1" x14ac:dyDescent="0.25">
      <c r="A195" s="85">
        <f t="shared" si="7"/>
        <v>804</v>
      </c>
      <c r="B195" s="85"/>
      <c r="C195" s="38" t="s">
        <v>261</v>
      </c>
      <c r="D195" s="38">
        <f>(26.475+7.45)*10.764</f>
        <v>365.1687</v>
      </c>
      <c r="E195" s="38">
        <v>0</v>
      </c>
      <c r="F195" s="38">
        <f>D195*(($F$174)+1)+(IF(E195&lt;101,E195,IF(E195&lt;201,E195/2,IF(E195&lt;=301,E195/3,E195/4))))</f>
        <v>547.75305000000003</v>
      </c>
      <c r="G195" s="182"/>
      <c r="H195" s="183"/>
      <c r="I195" s="32"/>
    </row>
    <row r="196" spans="1:12" s="33" customFormat="1" x14ac:dyDescent="0.25">
      <c r="A196" s="85">
        <f t="shared" si="7"/>
        <v>805</v>
      </c>
      <c r="B196" s="85"/>
      <c r="C196" s="38" t="s">
        <v>261</v>
      </c>
      <c r="D196" s="38">
        <f>(26.475+7.6)*10.764</f>
        <v>366.7833</v>
      </c>
      <c r="E196" s="38">
        <v>0</v>
      </c>
      <c r="F196" s="38">
        <f>D196*(($F$174)+1)+(IF(E196&lt;101,E196,IF(E196&lt;201,E196/2,IF(E196&lt;=301,E196/3,E196/4))))</f>
        <v>550.17494999999997</v>
      </c>
      <c r="G196" s="182"/>
      <c r="H196" s="183"/>
      <c r="I196" s="32">
        <f>(31.268+7.95)</f>
        <v>39.218000000000004</v>
      </c>
      <c r="J196" s="32">
        <f>(2.75*4.3+2.1*2.3+2.75*3.3+1.05*1.25+2.05*1.25+0.9*1.25+2.2*1.4)</f>
        <v>33.81</v>
      </c>
      <c r="K196" s="32">
        <f>(0.9*2.75)</f>
        <v>2.4750000000000001</v>
      </c>
      <c r="L196" s="32"/>
    </row>
    <row r="197" spans="1:12" s="33" customFormat="1" x14ac:dyDescent="0.25">
      <c r="A197" s="85">
        <f t="shared" si="7"/>
        <v>806</v>
      </c>
      <c r="B197" s="85"/>
      <c r="C197" s="38" t="s">
        <v>261</v>
      </c>
      <c r="D197" s="38">
        <f>(26.475+7.745)*10.764</f>
        <v>368.34407999999996</v>
      </c>
      <c r="E197" s="38">
        <v>0</v>
      </c>
      <c r="F197" s="38">
        <f t="shared" ref="F197:F198" si="8">D197*(($F$174)+1)+(IF(E197&lt;101,E197,IF(E197&lt;201,E197/2,IF(E197&lt;=301,E197/3,E197/4))))</f>
        <v>552.51612</v>
      </c>
      <c r="G197" s="182"/>
      <c r="H197" s="183"/>
      <c r="I197" s="32">
        <f>(31.268+7.95)</f>
        <v>39.218000000000004</v>
      </c>
    </row>
    <row r="198" spans="1:12" s="33" customFormat="1" x14ac:dyDescent="0.25">
      <c r="A198" s="85">
        <f t="shared" si="7"/>
        <v>807</v>
      </c>
      <c r="B198" s="85"/>
      <c r="C198" s="38" t="s">
        <v>261</v>
      </c>
      <c r="D198" s="38">
        <f>(26.475+7.3)*10.764</f>
        <v>363.55409999999995</v>
      </c>
      <c r="E198" s="38">
        <v>0</v>
      </c>
      <c r="F198" s="38">
        <f t="shared" si="8"/>
        <v>545.33114999999998</v>
      </c>
      <c r="G198" s="182"/>
      <c r="H198" s="183"/>
      <c r="I198" s="32">
        <f>(45.633+9.835)</f>
        <v>55.468000000000004</v>
      </c>
      <c r="J198" s="32">
        <f>(2.75*4.3+2.25*1.85+2.15*2.35+3*3.35+3.68*3.05+1.25*1.85+1.3*2+1.25*1.4)</f>
        <v>48.976500000000001</v>
      </c>
      <c r="K198" s="32">
        <f>(0.9*2.75)</f>
        <v>2.4750000000000001</v>
      </c>
    </row>
    <row r="199" spans="1:12" s="33" customFormat="1" x14ac:dyDescent="0.25">
      <c r="A199" s="85">
        <f t="shared" si="7"/>
        <v>808</v>
      </c>
      <c r="B199" s="85"/>
      <c r="C199" s="38" t="s">
        <v>261</v>
      </c>
      <c r="D199" s="38">
        <f>(36.94+3.25)*10.764</f>
        <v>432.60515999999996</v>
      </c>
      <c r="E199" s="38">
        <v>0</v>
      </c>
      <c r="F199" s="38">
        <f>D199*(($F$174)+1)+(IF(E199&lt;101,E199,IF(E199&lt;201,E199/2,IF(E199&lt;=301,E199/3,E199/4))))</f>
        <v>648.90773999999988</v>
      </c>
      <c r="G199" s="182"/>
      <c r="H199" s="183"/>
      <c r="I199" s="32">
        <f>(36.94+3.4)</f>
        <v>40.339999999999996</v>
      </c>
    </row>
    <row r="200" spans="1:12" s="33" customFormat="1" x14ac:dyDescent="0.25">
      <c r="A200" s="85">
        <f t="shared" si="7"/>
        <v>809</v>
      </c>
      <c r="B200" s="85"/>
      <c r="C200" s="38" t="s">
        <v>262</v>
      </c>
      <c r="D200" s="38">
        <f>(45.633+9.835)*10.764</f>
        <v>597.05755199999999</v>
      </c>
      <c r="E200" s="38">
        <v>0</v>
      </c>
      <c r="F200" s="38">
        <f>D200*(($F$174)+1)+(IF(E200&lt;101,E200,IF(E200&lt;201,E200/2,IF(E200&lt;=301,E200/3,E200/4))))</f>
        <v>895.58632799999998</v>
      </c>
      <c r="G200" s="182"/>
      <c r="H200" s="183"/>
      <c r="I200" s="32">
        <f>(26.475+7.3)</f>
        <v>33.774999999999999</v>
      </c>
      <c r="J200" s="32">
        <f>(2.75*4.2+1.95*2.05+2.75*3.05+1.25*2.15+1.25*0.9+0.9*1.3)</f>
        <v>28.9175</v>
      </c>
      <c r="K200" s="32">
        <f>0.9*2.75</f>
        <v>2.4750000000000001</v>
      </c>
    </row>
    <row r="201" spans="1:12" s="33" customFormat="1" x14ac:dyDescent="0.25">
      <c r="A201" s="85">
        <f t="shared" si="7"/>
        <v>810</v>
      </c>
      <c r="B201" s="85"/>
      <c r="C201" s="38" t="s">
        <v>261</v>
      </c>
      <c r="D201" s="38">
        <f>(31.268+7.95)*10.764</f>
        <v>422.14255200000002</v>
      </c>
      <c r="E201" s="38">
        <v>0</v>
      </c>
      <c r="F201" s="38">
        <f>D201*(($F$174)+1)+(IF(E201&lt;101,E201,IF(E201&lt;201,E201/2,IF(E201&lt;=301,E201/3,E201/4))))</f>
        <v>633.21382800000003</v>
      </c>
      <c r="G201" s="182"/>
      <c r="H201" s="183"/>
      <c r="I201" s="32">
        <f>(26.475+7.45)</f>
        <v>33.925000000000004</v>
      </c>
    </row>
    <row r="202" spans="1:12" s="33" customFormat="1" x14ac:dyDescent="0.25">
      <c r="A202" s="85">
        <f t="shared" si="7"/>
        <v>811</v>
      </c>
      <c r="B202" s="85"/>
      <c r="C202" s="78" t="s">
        <v>266</v>
      </c>
      <c r="D202" s="201"/>
      <c r="E202" s="201"/>
      <c r="F202" s="79"/>
      <c r="G202" s="184"/>
      <c r="H202" s="185"/>
      <c r="I202" s="32">
        <f>(26.475+7.6)</f>
        <v>34.075000000000003</v>
      </c>
    </row>
    <row r="203" spans="1:12" s="33" customFormat="1" ht="15.75" customHeight="1" x14ac:dyDescent="0.25">
      <c r="A203" s="87" t="s">
        <v>279</v>
      </c>
      <c r="B203" s="88"/>
      <c r="C203" s="88"/>
      <c r="D203" s="88"/>
      <c r="E203" s="88"/>
      <c r="F203" s="88"/>
      <c r="G203" s="88"/>
      <c r="H203" s="89"/>
      <c r="I203" s="32">
        <f>(26.475+7.45)</f>
        <v>33.925000000000004</v>
      </c>
    </row>
    <row r="204" spans="1:12" s="33" customFormat="1" x14ac:dyDescent="0.25">
      <c r="A204" s="87" t="s">
        <v>260</v>
      </c>
      <c r="B204" s="88"/>
      <c r="C204" s="88"/>
      <c r="D204" s="88"/>
      <c r="E204" s="88"/>
      <c r="F204" s="88"/>
      <c r="G204" s="88"/>
      <c r="H204" s="89"/>
      <c r="I204" s="32">
        <f>(35.475+2.85)</f>
        <v>38.325000000000003</v>
      </c>
    </row>
    <row r="205" spans="1:12" s="33" customFormat="1" ht="15.75" customHeight="1" x14ac:dyDescent="0.25">
      <c r="A205" s="87" t="s">
        <v>267</v>
      </c>
      <c r="B205" s="88"/>
      <c r="C205" s="88"/>
      <c r="D205" s="88"/>
      <c r="E205" s="88"/>
      <c r="F205" s="88"/>
      <c r="G205" s="88"/>
      <c r="H205" s="89"/>
      <c r="I205" s="32">
        <f>(35.475+2.7)</f>
        <v>38.175000000000004</v>
      </c>
    </row>
    <row r="206" spans="1:12" s="33" customFormat="1" ht="15.75" customHeight="1" x14ac:dyDescent="0.25">
      <c r="A206" s="78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10^ROW(INDIRECT("1:"&amp;LEN((LEFT(A205,SUM(LEN(A205)-LEN(SUBSTITUTE(A205,{"0","1","2"},""))))))))/10))*100+1&amp;""&amp;"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",LEN(A205))),LEN(A205)))))))/10))*100+1</f>
        <v>101 ,.., 1101</v>
      </c>
      <c r="B206" s="79"/>
      <c r="C206" s="38" t="s">
        <v>261</v>
      </c>
      <c r="D206" s="38">
        <f>(31.268+7.95)*10.764</f>
        <v>422.14255200000002</v>
      </c>
      <c r="E206" s="38">
        <v>0</v>
      </c>
      <c r="F206" s="38">
        <f t="shared" ref="F206:F216" si="9">D206*(($F$174)+1)+(IF(E206&lt;101,E206,IF(E206&lt;201,E206/2,IF(E206&lt;=301,E206/3,E206/4))))</f>
        <v>633.21382800000003</v>
      </c>
      <c r="G206" s="180" t="str">
        <f>A205</f>
        <v>1st to 7th &amp; 9th to 11th Floor For Residential</v>
      </c>
      <c r="H206" s="181"/>
      <c r="I206" s="32">
        <f>(31.88+8.35)</f>
        <v>40.229999999999997</v>
      </c>
    </row>
    <row r="207" spans="1:12" s="33" customFormat="1" ht="15.75" customHeight="1" x14ac:dyDescent="0.25">
      <c r="A207" s="78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102 ,.., 1102</v>
      </c>
      <c r="B207" s="79"/>
      <c r="C207" s="38" t="s">
        <v>261</v>
      </c>
      <c r="D207" s="38">
        <f>(31.268+7.95)*10.764</f>
        <v>422.14255200000002</v>
      </c>
      <c r="E207" s="38">
        <v>0</v>
      </c>
      <c r="F207" s="38">
        <f t="shared" si="9"/>
        <v>633.21382800000003</v>
      </c>
      <c r="G207" s="182"/>
      <c r="H207" s="183"/>
      <c r="I207" s="32"/>
    </row>
    <row r="208" spans="1:12" s="33" customFormat="1" ht="15.75" customHeight="1" x14ac:dyDescent="0.25">
      <c r="A208" s="78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103 ,.., 1103</v>
      </c>
      <c r="B208" s="79"/>
      <c r="C208" s="38" t="s">
        <v>262</v>
      </c>
      <c r="D208" s="38">
        <f>(45.633+9.835)*10.764</f>
        <v>597.05755199999999</v>
      </c>
      <c r="E208" s="38">
        <v>0</v>
      </c>
      <c r="F208" s="38">
        <f t="shared" si="9"/>
        <v>895.58632799999998</v>
      </c>
      <c r="G208" s="182"/>
      <c r="H208" s="183"/>
      <c r="I208" s="32"/>
      <c r="J208" s="32"/>
      <c r="K208" s="32"/>
    </row>
    <row r="209" spans="1:15" s="33" customFormat="1" ht="15.75" customHeight="1" x14ac:dyDescent="0.25">
      <c r="A209" s="78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,..,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104 ,.., 1104</v>
      </c>
      <c r="B209" s="79"/>
      <c r="C209" s="38" t="s">
        <v>261</v>
      </c>
      <c r="D209" s="38">
        <f>(36.94+3.4)*10.764</f>
        <v>434.21975999999995</v>
      </c>
      <c r="E209" s="38">
        <v>0</v>
      </c>
      <c r="F209" s="38">
        <f t="shared" si="9"/>
        <v>651.32963999999993</v>
      </c>
      <c r="G209" s="182"/>
      <c r="H209" s="183"/>
      <c r="I209" s="32"/>
    </row>
    <row r="210" spans="1:15" s="33" customFormat="1" ht="15.75" customHeight="1" x14ac:dyDescent="0.25">
      <c r="A210" s="78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,..,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105 ,.., 1105</v>
      </c>
      <c r="B210" s="79"/>
      <c r="C210" s="38" t="s">
        <v>261</v>
      </c>
      <c r="D210" s="38">
        <f>(26.475+7.3)*10.764</f>
        <v>363.55409999999995</v>
      </c>
      <c r="E210" s="38">
        <v>0</v>
      </c>
      <c r="F210" s="38">
        <f t="shared" si="9"/>
        <v>545.33114999999998</v>
      </c>
      <c r="G210" s="182"/>
      <c r="H210" s="183"/>
      <c r="I210" s="32"/>
      <c r="J210" s="32"/>
      <c r="K210" s="32"/>
    </row>
    <row r="211" spans="1:15" s="33" customFormat="1" ht="15.75" customHeight="1" x14ac:dyDescent="0.25">
      <c r="A211" s="78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,..,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106 ,.., 1106</v>
      </c>
      <c r="B211" s="79"/>
      <c r="C211" s="38" t="s">
        <v>261</v>
      </c>
      <c r="D211" s="38">
        <f>(26.475+7.45)*10.764</f>
        <v>365.1687</v>
      </c>
      <c r="E211" s="38">
        <v>0</v>
      </c>
      <c r="F211" s="38">
        <f t="shared" si="9"/>
        <v>547.75305000000003</v>
      </c>
      <c r="G211" s="182"/>
      <c r="H211" s="183"/>
      <c r="I211" s="32"/>
    </row>
    <row r="212" spans="1:15" s="33" customFormat="1" ht="15.75" customHeight="1" x14ac:dyDescent="0.25">
      <c r="A212" s="78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,..,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107 ,.., 1107</v>
      </c>
      <c r="B212" s="79"/>
      <c r="C212" s="38" t="s">
        <v>261</v>
      </c>
      <c r="D212" s="38">
        <f>(26.475+7.6)*10.764</f>
        <v>366.7833</v>
      </c>
      <c r="E212" s="38">
        <v>0</v>
      </c>
      <c r="F212" s="38">
        <f t="shared" si="9"/>
        <v>550.17494999999997</v>
      </c>
      <c r="G212" s="182"/>
      <c r="H212" s="183"/>
      <c r="I212" s="32"/>
      <c r="J212" s="32"/>
      <c r="K212" s="32"/>
    </row>
    <row r="213" spans="1:15" s="33" customFormat="1" ht="15.75" customHeight="1" x14ac:dyDescent="0.25">
      <c r="A213" s="78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,..,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108 ,.., 1108</v>
      </c>
      <c r="B213" s="79"/>
      <c r="C213" s="38" t="s">
        <v>261</v>
      </c>
      <c r="D213" s="38">
        <f>(26.475+7.45)*10.764</f>
        <v>365.1687</v>
      </c>
      <c r="E213" s="38">
        <v>0</v>
      </c>
      <c r="F213" s="38">
        <f t="shared" si="9"/>
        <v>547.75305000000003</v>
      </c>
      <c r="G213" s="182"/>
      <c r="H213" s="183"/>
      <c r="I213" s="32"/>
    </row>
    <row r="214" spans="1:15" s="33" customFormat="1" ht="15.75" customHeight="1" x14ac:dyDescent="0.25">
      <c r="A214" s="78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,..,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109 ,.., 1109</v>
      </c>
      <c r="B214" s="79"/>
      <c r="C214" s="38" t="s">
        <v>261</v>
      </c>
      <c r="D214" s="38">
        <f>(35.475+2.85)*10.764</f>
        <v>412.53030000000001</v>
      </c>
      <c r="E214" s="38">
        <v>0</v>
      </c>
      <c r="F214" s="38">
        <f t="shared" si="9"/>
        <v>618.79545000000007</v>
      </c>
      <c r="G214" s="182"/>
      <c r="H214" s="183"/>
      <c r="I214" s="32"/>
    </row>
    <row r="215" spans="1:15" s="33" customFormat="1" ht="15.75" customHeight="1" x14ac:dyDescent="0.25">
      <c r="A215" s="78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,..,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110 ,.., 1110</v>
      </c>
      <c r="B215" s="79"/>
      <c r="C215" s="38" t="s">
        <v>261</v>
      </c>
      <c r="D215" s="38">
        <f>(35.475+2.7)*10.764</f>
        <v>410.91570000000002</v>
      </c>
      <c r="E215" s="38">
        <v>0</v>
      </c>
      <c r="F215" s="38">
        <f t="shared" si="9"/>
        <v>616.37355000000002</v>
      </c>
      <c r="G215" s="182"/>
      <c r="H215" s="183"/>
      <c r="I215" s="32"/>
    </row>
    <row r="216" spans="1:15" s="33" customFormat="1" ht="15.75" customHeight="1" x14ac:dyDescent="0.25">
      <c r="A216" s="78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,..,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111 ,.., 1111</v>
      </c>
      <c r="B216" s="79"/>
      <c r="C216" s="38" t="s">
        <v>261</v>
      </c>
      <c r="D216" s="38">
        <f>(31.88+8.35)*10.764</f>
        <v>433.03571999999991</v>
      </c>
      <c r="E216" s="38">
        <v>0</v>
      </c>
      <c r="F216" s="38">
        <f t="shared" si="9"/>
        <v>649.5535799999999</v>
      </c>
      <c r="G216" s="184"/>
      <c r="H216" s="185"/>
      <c r="I216" s="32"/>
    </row>
    <row r="217" spans="1:15" s="33" customFormat="1" ht="15.75" customHeight="1" x14ac:dyDescent="0.25">
      <c r="A217" s="86" t="s">
        <v>265</v>
      </c>
      <c r="B217" s="86"/>
      <c r="C217" s="86"/>
      <c r="D217" s="86"/>
      <c r="E217" s="86"/>
      <c r="F217" s="86"/>
      <c r="G217" s="86"/>
      <c r="H217" s="86"/>
      <c r="I217" s="32"/>
    </row>
    <row r="218" spans="1:15" s="33" customFormat="1" ht="15.75" customHeight="1" x14ac:dyDescent="0.25">
      <c r="A218" s="85">
        <v>801</v>
      </c>
      <c r="B218" s="85"/>
      <c r="C218" s="85" t="s">
        <v>266</v>
      </c>
      <c r="D218" s="85"/>
      <c r="E218" s="85"/>
      <c r="F218" s="85"/>
      <c r="G218" s="85" t="str">
        <f>A217</f>
        <v>8th Floor (Part Refuge Area)</v>
      </c>
      <c r="H218" s="85"/>
      <c r="I218" s="32"/>
    </row>
    <row r="219" spans="1:15" s="33" customFormat="1" ht="15.75" customHeight="1" x14ac:dyDescent="0.25">
      <c r="A219" s="85">
        <f>A218+1</f>
        <v>802</v>
      </c>
      <c r="B219" s="85"/>
      <c r="C219" s="38" t="s">
        <v>261</v>
      </c>
      <c r="D219" s="38">
        <f>(31.268+7.95)*10.764</f>
        <v>422.14255200000002</v>
      </c>
      <c r="E219" s="38">
        <v>0</v>
      </c>
      <c r="F219" s="38">
        <f t="shared" ref="F219:F228" si="10">D219*(($F$174)+1)+(IF(E219&lt;101,E219,IF(E219&lt;201,E219/2,IF(E219&lt;=301,E219/3,E219/4))))</f>
        <v>633.21382800000003</v>
      </c>
      <c r="G219" s="85"/>
      <c r="H219" s="85"/>
      <c r="I219" s="31"/>
      <c r="J219" s="31"/>
      <c r="K219" s="31"/>
      <c r="L219" s="31"/>
      <c r="M219" s="31"/>
      <c r="N219" s="31"/>
      <c r="O219" s="31"/>
    </row>
    <row r="220" spans="1:15" s="33" customFormat="1" ht="15.75" customHeight="1" x14ac:dyDescent="0.25">
      <c r="A220" s="85">
        <f t="shared" ref="A220:A228" si="11">A219+1</f>
        <v>803</v>
      </c>
      <c r="B220" s="85"/>
      <c r="C220" s="38" t="s">
        <v>262</v>
      </c>
      <c r="D220" s="38">
        <f>(45.633+9.835)*10.764</f>
        <v>597.05755199999999</v>
      </c>
      <c r="E220" s="38">
        <v>0</v>
      </c>
      <c r="F220" s="38">
        <f t="shared" si="10"/>
        <v>895.58632799999998</v>
      </c>
      <c r="G220" s="85"/>
      <c r="H220" s="85"/>
      <c r="I220" s="31"/>
      <c r="J220" s="31"/>
      <c r="K220" s="31"/>
      <c r="L220" s="31"/>
      <c r="M220" s="31"/>
      <c r="N220" s="31"/>
      <c r="O220" s="31"/>
    </row>
    <row r="221" spans="1:15" s="33" customFormat="1" ht="15.75" customHeight="1" x14ac:dyDescent="0.25">
      <c r="A221" s="85">
        <f t="shared" si="11"/>
        <v>804</v>
      </c>
      <c r="B221" s="85"/>
      <c r="C221" s="38" t="s">
        <v>261</v>
      </c>
      <c r="D221" s="38">
        <f>(36.94+3.4)*10.764</f>
        <v>434.21975999999995</v>
      </c>
      <c r="E221" s="38">
        <v>0</v>
      </c>
      <c r="F221" s="38">
        <f t="shared" si="10"/>
        <v>651.32963999999993</v>
      </c>
      <c r="G221" s="85"/>
      <c r="H221" s="85"/>
      <c r="I221" s="31"/>
      <c r="J221" s="31"/>
      <c r="K221" s="31"/>
      <c r="L221" s="31"/>
      <c r="M221" s="31"/>
      <c r="N221" s="31"/>
      <c r="O221" s="31"/>
    </row>
    <row r="222" spans="1:15" s="33" customFormat="1" ht="15.75" customHeight="1" x14ac:dyDescent="0.25">
      <c r="A222" s="85">
        <f t="shared" si="11"/>
        <v>805</v>
      </c>
      <c r="B222" s="85"/>
      <c r="C222" s="38" t="s">
        <v>261</v>
      </c>
      <c r="D222" s="38">
        <f>(26.475+7.3)*10.764</f>
        <v>363.55409999999995</v>
      </c>
      <c r="E222" s="38">
        <v>0</v>
      </c>
      <c r="F222" s="38">
        <f t="shared" si="10"/>
        <v>545.33114999999998</v>
      </c>
      <c r="G222" s="85"/>
      <c r="H222" s="85"/>
      <c r="I222" s="31"/>
      <c r="J222" s="31"/>
      <c r="K222" s="31"/>
      <c r="L222" s="31"/>
      <c r="M222" s="31"/>
      <c r="N222" s="31"/>
      <c r="O222" s="31"/>
    </row>
    <row r="223" spans="1:15" s="33" customFormat="1" ht="15.75" customHeight="1" x14ac:dyDescent="0.25">
      <c r="A223" s="85">
        <f t="shared" si="11"/>
        <v>806</v>
      </c>
      <c r="B223" s="85"/>
      <c r="C223" s="38" t="s">
        <v>261</v>
      </c>
      <c r="D223" s="38">
        <f>(26.475+7.45)*10.764</f>
        <v>365.1687</v>
      </c>
      <c r="E223" s="38">
        <v>0</v>
      </c>
      <c r="F223" s="38">
        <f t="shared" si="10"/>
        <v>547.75305000000003</v>
      </c>
      <c r="G223" s="85"/>
      <c r="H223" s="85"/>
      <c r="I223" s="31"/>
      <c r="J223" s="31"/>
      <c r="K223" s="31"/>
      <c r="L223" s="31"/>
      <c r="M223" s="31"/>
      <c r="N223" s="31"/>
      <c r="O223" s="31"/>
    </row>
    <row r="224" spans="1:15" s="33" customFormat="1" ht="15.75" customHeight="1" x14ac:dyDescent="0.25">
      <c r="A224" s="85">
        <f t="shared" si="11"/>
        <v>807</v>
      </c>
      <c r="B224" s="85"/>
      <c r="C224" s="38" t="s">
        <v>261</v>
      </c>
      <c r="D224" s="38">
        <f>(26.475+7.6)*10.764</f>
        <v>366.7833</v>
      </c>
      <c r="E224" s="38">
        <v>0</v>
      </c>
      <c r="F224" s="38">
        <f t="shared" si="10"/>
        <v>550.17494999999997</v>
      </c>
      <c r="G224" s="85"/>
      <c r="H224" s="85"/>
      <c r="I224" s="31"/>
      <c r="J224" s="31"/>
      <c r="K224" s="31"/>
      <c r="L224" s="31"/>
      <c r="M224" s="31"/>
      <c r="N224" s="31"/>
      <c r="O224" s="31"/>
    </row>
    <row r="225" spans="1:15" s="33" customFormat="1" ht="15.75" customHeight="1" x14ac:dyDescent="0.25">
      <c r="A225" s="85">
        <f t="shared" si="11"/>
        <v>808</v>
      </c>
      <c r="B225" s="85"/>
      <c r="C225" s="38" t="s">
        <v>261</v>
      </c>
      <c r="D225" s="38">
        <f>(26.475+7.45)*10.764</f>
        <v>365.1687</v>
      </c>
      <c r="E225" s="38">
        <v>0</v>
      </c>
      <c r="F225" s="38">
        <f t="shared" si="10"/>
        <v>547.75305000000003</v>
      </c>
      <c r="G225" s="85"/>
      <c r="H225" s="85"/>
      <c r="I225" s="31"/>
      <c r="J225" s="31"/>
      <c r="K225" s="31"/>
      <c r="L225" s="31"/>
      <c r="M225" s="31"/>
      <c r="N225" s="31"/>
      <c r="O225" s="31"/>
    </row>
    <row r="226" spans="1:15" s="33" customFormat="1" ht="15.75" customHeight="1" x14ac:dyDescent="0.25">
      <c r="A226" s="85">
        <f t="shared" si="11"/>
        <v>809</v>
      </c>
      <c r="B226" s="85"/>
      <c r="C226" s="38" t="s">
        <v>261</v>
      </c>
      <c r="D226" s="38">
        <f>(35.475+2.85)*10.764</f>
        <v>412.53030000000001</v>
      </c>
      <c r="E226" s="38">
        <v>0</v>
      </c>
      <c r="F226" s="38">
        <f t="shared" si="10"/>
        <v>618.79545000000007</v>
      </c>
      <c r="G226" s="85"/>
      <c r="H226" s="85"/>
      <c r="I226" s="31"/>
      <c r="J226" s="31"/>
      <c r="K226" s="31"/>
      <c r="L226" s="31"/>
      <c r="M226" s="31"/>
      <c r="N226" s="31"/>
      <c r="O226" s="31"/>
    </row>
    <row r="227" spans="1:15" s="33" customFormat="1" ht="15.75" customHeight="1" x14ac:dyDescent="0.25">
      <c r="A227" s="85">
        <f t="shared" si="11"/>
        <v>810</v>
      </c>
      <c r="B227" s="85"/>
      <c r="C227" s="38" t="s">
        <v>261</v>
      </c>
      <c r="D227" s="38">
        <f>(35.475+2.7)*10.764</f>
        <v>410.91570000000002</v>
      </c>
      <c r="E227" s="38">
        <v>0</v>
      </c>
      <c r="F227" s="38">
        <f t="shared" si="10"/>
        <v>616.37355000000002</v>
      </c>
      <c r="G227" s="85"/>
      <c r="H227" s="85"/>
      <c r="I227" s="31"/>
      <c r="J227" s="31"/>
      <c r="K227" s="31"/>
      <c r="L227" s="31"/>
      <c r="M227" s="31"/>
      <c r="N227" s="31"/>
      <c r="O227" s="31"/>
    </row>
    <row r="228" spans="1:15" s="33" customFormat="1" ht="15.75" customHeight="1" x14ac:dyDescent="0.25">
      <c r="A228" s="85">
        <f t="shared" si="11"/>
        <v>811</v>
      </c>
      <c r="B228" s="85"/>
      <c r="C228" s="38" t="s">
        <v>261</v>
      </c>
      <c r="D228" s="38">
        <f>(31.88+8.35)*10.764</f>
        <v>433.03571999999991</v>
      </c>
      <c r="E228" s="38">
        <v>0</v>
      </c>
      <c r="F228" s="38">
        <f t="shared" si="10"/>
        <v>649.5535799999999</v>
      </c>
      <c r="G228" s="85"/>
      <c r="H228" s="85"/>
      <c r="I228" s="31"/>
      <c r="J228" s="31"/>
      <c r="K228" s="31"/>
      <c r="L228" s="31"/>
      <c r="M228" s="31"/>
      <c r="N228" s="31"/>
      <c r="O228" s="31"/>
    </row>
    <row r="229" spans="1:15" s="31" customFormat="1" x14ac:dyDescent="0.25">
      <c r="A229" s="84" t="s">
        <v>68</v>
      </c>
      <c r="B229" s="84"/>
      <c r="C229" s="84"/>
      <c r="D229" s="84"/>
      <c r="E229" s="84"/>
      <c r="F229" s="84"/>
      <c r="G229" s="84"/>
      <c r="H229" s="84"/>
    </row>
    <row r="230" spans="1:15" s="31" customFormat="1" ht="63.4" customHeight="1" x14ac:dyDescent="0.25">
      <c r="A230" s="41" t="s">
        <v>154</v>
      </c>
      <c r="B230" s="74" t="s">
        <v>291</v>
      </c>
      <c r="C230" s="75"/>
      <c r="D230" s="75"/>
      <c r="E230" s="75"/>
      <c r="F230" s="75"/>
      <c r="G230" s="75"/>
      <c r="H230" s="76"/>
      <c r="I230" s="17"/>
      <c r="J230" s="17"/>
      <c r="K230" s="17"/>
      <c r="L230" s="17"/>
      <c r="M230" s="17"/>
      <c r="N230" s="17"/>
      <c r="O230" s="17"/>
    </row>
    <row r="231" spans="1:15" s="31" customFormat="1" x14ac:dyDescent="0.25">
      <c r="A231" s="41" t="s">
        <v>154</v>
      </c>
      <c r="B231" s="74" t="str">
        <f>(IF(F173="Saleable area Loading :","We have considered Saleable area of Flats as per our Calculation.","We considered Saleable area of Flat as per Builder area Sheet."))</f>
        <v>We have considered Saleable area of Flats as per our Calculation.</v>
      </c>
      <c r="C231" s="75"/>
      <c r="D231" s="75"/>
      <c r="E231" s="75"/>
      <c r="F231" s="75"/>
      <c r="G231" s="75"/>
      <c r="H231" s="76"/>
      <c r="I231" s="17"/>
      <c r="J231" s="17"/>
      <c r="K231" s="17"/>
      <c r="L231" s="17"/>
      <c r="M231" s="17"/>
      <c r="N231" s="17"/>
      <c r="O231" s="17"/>
    </row>
    <row r="232" spans="1:15" s="31" customFormat="1" x14ac:dyDescent="0.25">
      <c r="A232" s="41" t="s">
        <v>154</v>
      </c>
      <c r="B232" s="74" t="str">
        <f>(IF(F166="Saleable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2" s="75"/>
      <c r="D232" s="75"/>
      <c r="E232" s="75"/>
      <c r="F232" s="75"/>
      <c r="G232" s="75"/>
      <c r="H232" s="76"/>
      <c r="I232" s="17"/>
      <c r="J232" s="17"/>
      <c r="K232" s="17"/>
      <c r="L232" s="17"/>
      <c r="M232" s="17"/>
      <c r="N232" s="17"/>
      <c r="O232" s="17"/>
    </row>
    <row r="233" spans="1:15" s="31" customFormat="1" x14ac:dyDescent="0.25">
      <c r="A233" s="41" t="s">
        <v>154</v>
      </c>
      <c r="B233" s="81" t="s">
        <v>124</v>
      </c>
      <c r="C233" s="82"/>
      <c r="D233" s="82"/>
      <c r="E233" s="82"/>
      <c r="F233" s="82"/>
      <c r="G233" s="82"/>
      <c r="H233" s="83"/>
      <c r="I233" s="17"/>
      <c r="J233" s="17"/>
      <c r="K233" s="17"/>
      <c r="L233" s="17"/>
      <c r="M233" s="17"/>
      <c r="N233" s="17"/>
      <c r="O233" s="17"/>
    </row>
    <row r="234" spans="1:15" s="31" customFormat="1" x14ac:dyDescent="0.25">
      <c r="A234" s="41" t="s">
        <v>154</v>
      </c>
      <c r="B234" s="81" t="s">
        <v>273</v>
      </c>
      <c r="C234" s="82"/>
      <c r="D234" s="82"/>
      <c r="E234" s="82"/>
      <c r="F234" s="82"/>
      <c r="G234" s="82"/>
      <c r="H234" s="83"/>
      <c r="I234" s="17"/>
      <c r="J234" s="17"/>
      <c r="K234" s="17"/>
      <c r="L234" s="17"/>
      <c r="M234" s="17"/>
      <c r="N234" s="17"/>
      <c r="O234" s="17"/>
    </row>
    <row r="235" spans="1:15" s="31" customFormat="1" x14ac:dyDescent="0.25">
      <c r="A235" s="41" t="s">
        <v>154</v>
      </c>
      <c r="B235" s="81" t="s">
        <v>153</v>
      </c>
      <c r="C235" s="82"/>
      <c r="D235" s="82"/>
      <c r="E235" s="82"/>
      <c r="F235" s="82"/>
      <c r="G235" s="82"/>
      <c r="H235" s="83"/>
      <c r="I235" s="17"/>
      <c r="J235" s="17"/>
      <c r="K235" s="17"/>
      <c r="L235" s="17"/>
      <c r="M235" s="17"/>
      <c r="N235" s="17"/>
      <c r="O235" s="17"/>
    </row>
    <row r="236" spans="1:15" s="31" customFormat="1" x14ac:dyDescent="0.25">
      <c r="A236" s="41" t="s">
        <v>154</v>
      </c>
      <c r="B236" s="81" t="s">
        <v>125</v>
      </c>
      <c r="C236" s="82"/>
      <c r="D236" s="82"/>
      <c r="E236" s="82"/>
      <c r="F236" s="82"/>
      <c r="G236" s="82"/>
      <c r="H236" s="83"/>
      <c r="I236" s="17"/>
      <c r="J236" s="17"/>
      <c r="K236" s="17"/>
      <c r="L236" s="17"/>
      <c r="M236" s="17"/>
      <c r="N236" s="17"/>
      <c r="O236" s="17"/>
    </row>
    <row r="237" spans="1:15" s="31" customFormat="1" ht="34.5" customHeight="1" x14ac:dyDescent="0.25">
      <c r="A237" s="41" t="s">
        <v>154</v>
      </c>
      <c r="B237" s="81" t="s">
        <v>155</v>
      </c>
      <c r="C237" s="82"/>
      <c r="D237" s="82"/>
      <c r="E237" s="82"/>
      <c r="F237" s="82"/>
      <c r="G237" s="82"/>
      <c r="H237" s="83"/>
      <c r="I237" s="17"/>
      <c r="J237" s="17"/>
      <c r="K237" s="17"/>
      <c r="L237" s="17"/>
      <c r="M237" s="17"/>
      <c r="N237" s="17"/>
      <c r="O237" s="17"/>
    </row>
    <row r="238" spans="1:15" s="31" customFormat="1" x14ac:dyDescent="0.25">
      <c r="A238" s="41" t="s">
        <v>154</v>
      </c>
      <c r="B238" s="81" t="s">
        <v>126</v>
      </c>
      <c r="C238" s="82"/>
      <c r="D238" s="82"/>
      <c r="E238" s="82"/>
      <c r="F238" s="82"/>
      <c r="G238" s="82"/>
      <c r="H238" s="83"/>
      <c r="I238" s="17"/>
      <c r="J238" s="17"/>
      <c r="K238" s="17"/>
      <c r="L238" s="17"/>
      <c r="M238" s="17"/>
      <c r="N238" s="17"/>
      <c r="O238" s="17"/>
    </row>
    <row r="239" spans="1:15" s="31" customFormat="1" x14ac:dyDescent="0.25">
      <c r="A239" s="41" t="s">
        <v>154</v>
      </c>
      <c r="B239" s="74" t="s">
        <v>283</v>
      </c>
      <c r="C239" s="75"/>
      <c r="D239" s="75"/>
      <c r="E239" s="75"/>
      <c r="F239" s="75"/>
      <c r="G239" s="75"/>
      <c r="H239" s="76"/>
      <c r="I239" s="17"/>
      <c r="J239" s="17"/>
      <c r="K239" s="17"/>
      <c r="L239" s="17"/>
      <c r="M239" s="17"/>
      <c r="N239" s="17"/>
      <c r="O239" s="17"/>
    </row>
    <row r="240" spans="1:15" s="31" customFormat="1" ht="33" hidden="1" customHeight="1" x14ac:dyDescent="0.25">
      <c r="A240" s="41" t="s">
        <v>154</v>
      </c>
      <c r="B240" s="71" t="s">
        <v>290</v>
      </c>
      <c r="C240" s="72"/>
      <c r="D240" s="72"/>
      <c r="E240" s="72"/>
      <c r="F240" s="72"/>
      <c r="G240" s="72"/>
      <c r="H240" s="73"/>
      <c r="I240" s="17"/>
      <c r="J240" s="17"/>
      <c r="K240" s="17"/>
      <c r="L240" s="17"/>
      <c r="M240" s="17"/>
      <c r="N240" s="17"/>
      <c r="O240" s="17"/>
    </row>
    <row r="241" spans="1:9" x14ac:dyDescent="0.25">
      <c r="A241" s="179" t="s">
        <v>61</v>
      </c>
      <c r="B241" s="179"/>
      <c r="C241" s="179"/>
      <c r="D241" s="179"/>
      <c r="E241" s="179"/>
      <c r="F241" s="179"/>
      <c r="G241" s="179"/>
      <c r="H241" s="179"/>
    </row>
    <row r="242" spans="1:9" x14ac:dyDescent="0.25">
      <c r="A242" s="77" t="s">
        <v>62</v>
      </c>
      <c r="B242" s="77"/>
      <c r="C242" s="77"/>
      <c r="D242" s="77"/>
      <c r="E242" s="77"/>
      <c r="F242" s="77"/>
      <c r="G242" s="77"/>
      <c r="H242" s="77"/>
    </row>
    <row r="243" spans="1:9" ht="15.75" customHeight="1" x14ac:dyDescent="0.25">
      <c r="A243" s="186" t="s">
        <v>63</v>
      </c>
      <c r="B243" s="186"/>
      <c r="C243" s="186"/>
      <c r="D243" s="186"/>
      <c r="E243" s="186"/>
      <c r="F243" s="186"/>
      <c r="G243" s="186"/>
      <c r="H243" s="186"/>
    </row>
    <row r="244" spans="1:9" x14ac:dyDescent="0.25">
      <c r="A244" s="77" t="s">
        <v>64</v>
      </c>
      <c r="B244" s="77"/>
      <c r="C244" s="77"/>
      <c r="D244" s="77"/>
      <c r="E244" s="77"/>
      <c r="F244" s="77"/>
      <c r="G244" s="77"/>
      <c r="H244" s="77"/>
    </row>
    <row r="245" spans="1:9" x14ac:dyDescent="0.25">
      <c r="A245" s="77" t="s">
        <v>65</v>
      </c>
      <c r="B245" s="77"/>
      <c r="C245" s="77"/>
      <c r="D245" s="77"/>
      <c r="E245" s="77"/>
      <c r="F245" s="77"/>
      <c r="G245" s="77"/>
      <c r="H245" s="77"/>
    </row>
    <row r="246" spans="1:9" x14ac:dyDescent="0.25">
      <c r="A246" s="77" t="s">
        <v>127</v>
      </c>
      <c r="B246" s="77"/>
      <c r="C246" s="77"/>
      <c r="D246" s="77"/>
      <c r="E246" s="77"/>
      <c r="F246" s="77"/>
      <c r="G246" s="77"/>
      <c r="H246" s="77"/>
    </row>
    <row r="247" spans="1:9" ht="34.15" customHeight="1" x14ac:dyDescent="0.25">
      <c r="A247" s="157" t="s">
        <v>128</v>
      </c>
      <c r="B247" s="157"/>
      <c r="C247" s="157"/>
      <c r="D247" s="157"/>
      <c r="E247" s="157"/>
      <c r="F247" s="157"/>
      <c r="G247" s="157"/>
      <c r="H247" s="157"/>
    </row>
    <row r="248" spans="1:9" x14ac:dyDescent="0.25">
      <c r="A248" s="178" t="s">
        <v>77</v>
      </c>
      <c r="B248" s="178"/>
      <c r="C248" s="178" t="s">
        <v>286</v>
      </c>
      <c r="D248" s="178"/>
      <c r="E248" s="178" t="s">
        <v>107</v>
      </c>
      <c r="F248" s="178"/>
      <c r="G248" s="178" t="s">
        <v>293</v>
      </c>
      <c r="H248" s="178"/>
    </row>
    <row r="249" spans="1:9" x14ac:dyDescent="0.25">
      <c r="A249" s="177" t="s">
        <v>79</v>
      </c>
      <c r="B249" s="177"/>
      <c r="C249" s="177"/>
      <c r="D249" s="177"/>
      <c r="E249" s="177"/>
      <c r="F249" s="177"/>
      <c r="G249" s="177"/>
      <c r="H249" s="177"/>
    </row>
    <row r="250" spans="1:9" x14ac:dyDescent="0.25">
      <c r="A250" s="177"/>
      <c r="B250" s="177"/>
      <c r="C250" s="177"/>
      <c r="D250" s="177"/>
      <c r="E250" s="177"/>
      <c r="F250" s="177"/>
      <c r="G250" s="177"/>
      <c r="H250" s="177"/>
    </row>
    <row r="251" spans="1:9" x14ac:dyDescent="0.25">
      <c r="A251" s="177"/>
      <c r="B251" s="177"/>
      <c r="C251" s="177"/>
      <c r="D251" s="177"/>
      <c r="E251" s="177"/>
      <c r="F251" s="177"/>
      <c r="G251" s="177"/>
      <c r="H251" s="177"/>
    </row>
    <row r="252" spans="1:9" x14ac:dyDescent="0.25">
      <c r="A252" s="177"/>
      <c r="B252" s="177"/>
      <c r="C252" s="177"/>
      <c r="D252" s="177"/>
      <c r="E252" s="177"/>
      <c r="F252" s="177"/>
      <c r="G252" s="177"/>
      <c r="H252" s="177"/>
    </row>
    <row r="253" spans="1:9" x14ac:dyDescent="0.25">
      <c r="A253" s="55" t="s">
        <v>66</v>
      </c>
      <c r="B253" s="54"/>
      <c r="C253" s="35"/>
      <c r="D253" s="34" t="str">
        <f>E8</f>
        <v>Nirvaana Residency Phase I &amp; II</v>
      </c>
      <c r="F253" s="35"/>
      <c r="G253" s="35"/>
      <c r="H253" s="35"/>
    </row>
    <row r="254" spans="1:9" x14ac:dyDescent="0.25">
      <c r="A254" s="35"/>
      <c r="B254" s="35"/>
      <c r="C254" s="35"/>
      <c r="D254" s="35"/>
      <c r="E254" s="35"/>
      <c r="F254" s="35"/>
      <c r="G254" s="35"/>
      <c r="H254" s="35"/>
      <c r="I254" s="17" t="s">
        <v>288</v>
      </c>
    </row>
    <row r="255" spans="1:9" x14ac:dyDescent="0.25">
      <c r="A255" s="35"/>
      <c r="B255" s="35"/>
      <c r="C255" s="35"/>
      <c r="D255" s="35"/>
      <c r="E255" s="35"/>
      <c r="F255" s="35"/>
      <c r="G255" s="35"/>
      <c r="H255" s="35"/>
    </row>
    <row r="256" spans="1:9" ht="15" customHeight="1" x14ac:dyDescent="0.25"/>
    <row r="299" spans="1:1" x14ac:dyDescent="0.25">
      <c r="A299" s="37" t="s">
        <v>165</v>
      </c>
    </row>
    <row r="343" spans="1:1" x14ac:dyDescent="0.25">
      <c r="A343" s="37" t="s">
        <v>67</v>
      </c>
    </row>
  </sheetData>
  <mergeCells count="428">
    <mergeCell ref="A89:B89"/>
    <mergeCell ref="A90:B90"/>
    <mergeCell ref="A91:B91"/>
    <mergeCell ref="A92:B92"/>
    <mergeCell ref="A93:B93"/>
    <mergeCell ref="A94:B94"/>
    <mergeCell ref="A95:B95"/>
    <mergeCell ref="A96:B96"/>
    <mergeCell ref="A199:B199"/>
    <mergeCell ref="A189:B189"/>
    <mergeCell ref="A188:B188"/>
    <mergeCell ref="A123:B123"/>
    <mergeCell ref="A150:E150"/>
    <mergeCell ref="A157:B157"/>
    <mergeCell ref="C157:D157"/>
    <mergeCell ref="E157:F157"/>
    <mergeCell ref="E159:F159"/>
    <mergeCell ref="A164:H164"/>
    <mergeCell ref="B166:B167"/>
    <mergeCell ref="A166:A167"/>
    <mergeCell ref="A165:H165"/>
    <mergeCell ref="A163:B163"/>
    <mergeCell ref="C163:D163"/>
    <mergeCell ref="E163:F163"/>
    <mergeCell ref="A200:B200"/>
    <mergeCell ref="A201:B201"/>
    <mergeCell ref="A202:B202"/>
    <mergeCell ref="G192:H202"/>
    <mergeCell ref="A190:B190"/>
    <mergeCell ref="A207:B207"/>
    <mergeCell ref="A215:B215"/>
    <mergeCell ref="A216:B216"/>
    <mergeCell ref="G206:H216"/>
    <mergeCell ref="C202:F202"/>
    <mergeCell ref="A198:B198"/>
    <mergeCell ref="A195:B195"/>
    <mergeCell ref="G218:H228"/>
    <mergeCell ref="A223:B223"/>
    <mergeCell ref="C218:F218"/>
    <mergeCell ref="A203:H203"/>
    <mergeCell ref="A204:H204"/>
    <mergeCell ref="A211:B211"/>
    <mergeCell ref="A212:B212"/>
    <mergeCell ref="A213:B213"/>
    <mergeCell ref="A214:B214"/>
    <mergeCell ref="A220:B220"/>
    <mergeCell ref="L179:M179"/>
    <mergeCell ref="A178:H178"/>
    <mergeCell ref="A184:B184"/>
    <mergeCell ref="L174:M174"/>
    <mergeCell ref="A185:B185"/>
    <mergeCell ref="L175:M175"/>
    <mergeCell ref="A186:B186"/>
    <mergeCell ref="L176:M176"/>
    <mergeCell ref="A187:B187"/>
    <mergeCell ref="L177:M177"/>
    <mergeCell ref="L178:M178"/>
    <mergeCell ref="A176:H176"/>
    <mergeCell ref="L181:M181"/>
    <mergeCell ref="L180:M180"/>
    <mergeCell ref="C173:C174"/>
    <mergeCell ref="I14:P14"/>
    <mergeCell ref="F150:H150"/>
    <mergeCell ref="F148:H148"/>
    <mergeCell ref="F34:H34"/>
    <mergeCell ref="E42:H42"/>
    <mergeCell ref="A42:D42"/>
    <mergeCell ref="A49:B49"/>
    <mergeCell ref="C49:E49"/>
    <mergeCell ref="G49:H49"/>
    <mergeCell ref="G51:H51"/>
    <mergeCell ref="A50:B50"/>
    <mergeCell ref="D56:H56"/>
    <mergeCell ref="D67:H67"/>
    <mergeCell ref="A73:B73"/>
    <mergeCell ref="G72:H72"/>
    <mergeCell ref="F139:H139"/>
    <mergeCell ref="F144:H144"/>
    <mergeCell ref="C52:H52"/>
    <mergeCell ref="D61:H61"/>
    <mergeCell ref="A58:C61"/>
    <mergeCell ref="A125:B125"/>
    <mergeCell ref="C125:H125"/>
    <mergeCell ref="A127:B127"/>
    <mergeCell ref="C127:H127"/>
    <mergeCell ref="G114:H114"/>
    <mergeCell ref="A113:B113"/>
    <mergeCell ref="C113:H113"/>
    <mergeCell ref="A114:B114"/>
    <mergeCell ref="A137:B137"/>
    <mergeCell ref="A138:B138"/>
    <mergeCell ref="F142:H142"/>
    <mergeCell ref="A51:B51"/>
    <mergeCell ref="A52:B52"/>
    <mergeCell ref="C51:E51"/>
    <mergeCell ref="D58:H58"/>
    <mergeCell ref="D59:H59"/>
    <mergeCell ref="A128:B128"/>
    <mergeCell ref="E128:F128"/>
    <mergeCell ref="G128:H128"/>
    <mergeCell ref="G100:H100"/>
    <mergeCell ref="A66:C66"/>
    <mergeCell ref="A53:B53"/>
    <mergeCell ref="C53:E53"/>
    <mergeCell ref="D55:H55"/>
    <mergeCell ref="A54:H54"/>
    <mergeCell ref="A55:C55"/>
    <mergeCell ref="A56:C56"/>
    <mergeCell ref="C97:H97"/>
    <mergeCell ref="A78:B78"/>
    <mergeCell ref="A118:B118"/>
    <mergeCell ref="A119:B119"/>
    <mergeCell ref="E101:F110"/>
    <mergeCell ref="A108:B108"/>
    <mergeCell ref="A109:B109"/>
    <mergeCell ref="E114:F114"/>
    <mergeCell ref="E100:F100"/>
    <mergeCell ref="E115:F124"/>
    <mergeCell ref="A110:B110"/>
    <mergeCell ref="A115:B115"/>
    <mergeCell ref="A97:B97"/>
    <mergeCell ref="A83:B83"/>
    <mergeCell ref="C83:H83"/>
    <mergeCell ref="A85:B85"/>
    <mergeCell ref="C85:H85"/>
    <mergeCell ref="A86:B86"/>
    <mergeCell ref="E86:F86"/>
    <mergeCell ref="G86:H86"/>
    <mergeCell ref="A87:B87"/>
    <mergeCell ref="E87:F96"/>
    <mergeCell ref="G87:H96"/>
    <mergeCell ref="A88:B88"/>
    <mergeCell ref="A101:B101"/>
    <mergeCell ref="A246:H246"/>
    <mergeCell ref="A243:H243"/>
    <mergeCell ref="A192:B192"/>
    <mergeCell ref="A159:B159"/>
    <mergeCell ref="D173:D174"/>
    <mergeCell ref="E173:E174"/>
    <mergeCell ref="G173:H174"/>
    <mergeCell ref="A105:B105"/>
    <mergeCell ref="A106:B106"/>
    <mergeCell ref="A107:B107"/>
    <mergeCell ref="A121:B121"/>
    <mergeCell ref="F140:H140"/>
    <mergeCell ref="G155:H155"/>
    <mergeCell ref="A124:B124"/>
    <mergeCell ref="F147:H147"/>
    <mergeCell ref="C154:D154"/>
    <mergeCell ref="C162:D162"/>
    <mergeCell ref="A179:H179"/>
    <mergeCell ref="A209:B209"/>
    <mergeCell ref="A206:B206"/>
    <mergeCell ref="A129:B129"/>
    <mergeCell ref="E129:F138"/>
    <mergeCell ref="A169:B169"/>
    <mergeCell ref="A242:H242"/>
    <mergeCell ref="B238:H238"/>
    <mergeCell ref="G171:H171"/>
    <mergeCell ref="G169:H169"/>
    <mergeCell ref="G170:H170"/>
    <mergeCell ref="G172:H172"/>
    <mergeCell ref="B236:H236"/>
    <mergeCell ref="B232:H232"/>
    <mergeCell ref="A226:B226"/>
    <mergeCell ref="A224:B224"/>
    <mergeCell ref="A225:B225"/>
    <mergeCell ref="A228:B228"/>
    <mergeCell ref="A227:B227"/>
    <mergeCell ref="B230:H230"/>
    <mergeCell ref="B231:H231"/>
    <mergeCell ref="A173:A174"/>
    <mergeCell ref="A180:B180"/>
    <mergeCell ref="A172:B172"/>
    <mergeCell ref="A171:B171"/>
    <mergeCell ref="A193:B193"/>
    <mergeCell ref="A194:B194"/>
    <mergeCell ref="A170:B170"/>
    <mergeCell ref="A177:H177"/>
    <mergeCell ref="G180:H190"/>
    <mergeCell ref="A197:B197"/>
    <mergeCell ref="A249:H252"/>
    <mergeCell ref="A248:B248"/>
    <mergeCell ref="E248:F248"/>
    <mergeCell ref="C248:D248"/>
    <mergeCell ref="G248:H248"/>
    <mergeCell ref="A153:H153"/>
    <mergeCell ref="A151:E151"/>
    <mergeCell ref="F151:H151"/>
    <mergeCell ref="A152:E152"/>
    <mergeCell ref="F152:H152"/>
    <mergeCell ref="A191:H191"/>
    <mergeCell ref="A160:B160"/>
    <mergeCell ref="A208:B208"/>
    <mergeCell ref="A155:B155"/>
    <mergeCell ref="A244:H244"/>
    <mergeCell ref="A158:H158"/>
    <mergeCell ref="A247:H247"/>
    <mergeCell ref="A245:H245"/>
    <mergeCell ref="A241:H241"/>
    <mergeCell ref="G159:H159"/>
    <mergeCell ref="A210:B210"/>
    <mergeCell ref="A218:B218"/>
    <mergeCell ref="A181:B181"/>
    <mergeCell ref="A196:B196"/>
    <mergeCell ref="A57:C57"/>
    <mergeCell ref="G50:H50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G53:H53"/>
    <mergeCell ref="D60:H60"/>
    <mergeCell ref="C50:E50"/>
    <mergeCell ref="D66:H66"/>
    <mergeCell ref="A67:C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A44:D4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D57:H57"/>
    <mergeCell ref="A37:H37"/>
    <mergeCell ref="A36:B36"/>
    <mergeCell ref="C36:E36"/>
    <mergeCell ref="G115:H124"/>
    <mergeCell ref="A41:D41"/>
    <mergeCell ref="E41:H41"/>
    <mergeCell ref="A40:H40"/>
    <mergeCell ref="A62:C62"/>
    <mergeCell ref="A63:C63"/>
    <mergeCell ref="D62:H62"/>
    <mergeCell ref="E73:F82"/>
    <mergeCell ref="G73:H82"/>
    <mergeCell ref="A81:B81"/>
    <mergeCell ref="A82:B82"/>
    <mergeCell ref="D63:H63"/>
    <mergeCell ref="A43:D43"/>
    <mergeCell ref="E43:H43"/>
    <mergeCell ref="E44:H44"/>
    <mergeCell ref="E45:H45"/>
    <mergeCell ref="A100:B100"/>
    <mergeCell ref="E46:H46"/>
    <mergeCell ref="A99:B99"/>
    <mergeCell ref="C99:H99"/>
    <mergeCell ref="E161:F161"/>
    <mergeCell ref="A38:B38"/>
    <mergeCell ref="C38:H38"/>
    <mergeCell ref="A45:D45"/>
    <mergeCell ref="L162:M162"/>
    <mergeCell ref="L161:M161"/>
    <mergeCell ref="L160:M160"/>
    <mergeCell ref="L159:M159"/>
    <mergeCell ref="A80:B80"/>
    <mergeCell ref="C160:D160"/>
    <mergeCell ref="E160:F160"/>
    <mergeCell ref="G160:H160"/>
    <mergeCell ref="F146:H146"/>
    <mergeCell ref="A140:E140"/>
    <mergeCell ref="A111:B111"/>
    <mergeCell ref="C111:H111"/>
    <mergeCell ref="G162:H162"/>
    <mergeCell ref="C159:D159"/>
    <mergeCell ref="A39:B39"/>
    <mergeCell ref="C39:H39"/>
    <mergeCell ref="J65:L65"/>
    <mergeCell ref="F143:H143"/>
    <mergeCell ref="A46:D46"/>
    <mergeCell ref="A47:H47"/>
    <mergeCell ref="A139:E139"/>
    <mergeCell ref="G163:H163"/>
    <mergeCell ref="G129:H138"/>
    <mergeCell ref="A120:B120"/>
    <mergeCell ref="A122:B122"/>
    <mergeCell ref="B173:B174"/>
    <mergeCell ref="L171:M171"/>
    <mergeCell ref="C155:D155"/>
    <mergeCell ref="E155:F155"/>
    <mergeCell ref="A145:E145"/>
    <mergeCell ref="F145:H145"/>
    <mergeCell ref="A146:E146"/>
    <mergeCell ref="A148:E148"/>
    <mergeCell ref="A147:E147"/>
    <mergeCell ref="C156:D156"/>
    <mergeCell ref="E156:F156"/>
    <mergeCell ref="G156:H156"/>
    <mergeCell ref="A156:B156"/>
    <mergeCell ref="A168:H168"/>
    <mergeCell ref="E166:E167"/>
    <mergeCell ref="G166:H167"/>
    <mergeCell ref="G157:H157"/>
    <mergeCell ref="A161:B161"/>
    <mergeCell ref="C161:D161"/>
    <mergeCell ref="C166:C167"/>
    <mergeCell ref="G161:H161"/>
    <mergeCell ref="A48:B48"/>
    <mergeCell ref="C48:H48"/>
    <mergeCell ref="B235:H235"/>
    <mergeCell ref="A116:B116"/>
    <mergeCell ref="A117:B117"/>
    <mergeCell ref="G101:H110"/>
    <mergeCell ref="A102:B102"/>
    <mergeCell ref="A103:B103"/>
    <mergeCell ref="A104:B104"/>
    <mergeCell ref="F141:H141"/>
    <mergeCell ref="A141:E141"/>
    <mergeCell ref="D166:D167"/>
    <mergeCell ref="A143:E143"/>
    <mergeCell ref="A130:B130"/>
    <mergeCell ref="A131:B131"/>
    <mergeCell ref="A132:B132"/>
    <mergeCell ref="A133:B133"/>
    <mergeCell ref="A134:B134"/>
    <mergeCell ref="A135:B135"/>
    <mergeCell ref="A136:B136"/>
    <mergeCell ref="A175:H175"/>
    <mergeCell ref="A142:E142"/>
    <mergeCell ref="B240:H240"/>
    <mergeCell ref="B239:H239"/>
    <mergeCell ref="A144:E144"/>
    <mergeCell ref="A182:B182"/>
    <mergeCell ref="L172:M172"/>
    <mergeCell ref="B233:H233"/>
    <mergeCell ref="B234:H234"/>
    <mergeCell ref="A229:H229"/>
    <mergeCell ref="A221:B221"/>
    <mergeCell ref="A222:B222"/>
    <mergeCell ref="A217:H217"/>
    <mergeCell ref="A205:H205"/>
    <mergeCell ref="A183:B183"/>
    <mergeCell ref="A219:B219"/>
    <mergeCell ref="G154:H154"/>
    <mergeCell ref="A149:E149"/>
    <mergeCell ref="A162:B162"/>
    <mergeCell ref="E162:F162"/>
    <mergeCell ref="F149:H149"/>
    <mergeCell ref="E154:F154"/>
    <mergeCell ref="A154:B154"/>
    <mergeCell ref="B237:H237"/>
    <mergeCell ref="L173:M173"/>
    <mergeCell ref="L170:M170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66:E167" xr:uid="{00000000-0002-0000-0000-000003000000}">
      <formula1>"Attached Loft area,Attached Terrace area,Attached Mezzanine area"</formula1>
    </dataValidation>
    <dataValidation type="list" allowBlank="1" showInputMessage="1" showErrorMessage="1" sqref="F167 F174" xr:uid="{00000000-0002-0000-0000-000004000000}">
      <formula1>"45%,50%,55%,60%"</formula1>
    </dataValidation>
    <dataValidation type="list" allowBlank="1" showInputMessage="1" showErrorMessage="1" sqref="G248:H248" xr:uid="{00000000-0002-0000-0000-000005000000}">
      <formula1>"Gaurav Panchal,Kunal Kadam,Pranita Mhatre,Shruti Fule,Pooja Kawale,Mansee Mohite,Anjali Kamble, Hitakshi Mhatre, Sachin Sawant"</formula1>
    </dataValidation>
    <dataValidation type="list" allowBlank="1" showInputMessage="1" showErrorMessage="1" sqref="F139:H139" xr:uid="{00000000-0002-0000-0000-000006000000}">
      <formula1>"On Saleable Area,On Builtup Area,On Carpet Area,On Plot Area"</formula1>
    </dataValidation>
    <dataValidation type="list" allowBlank="1" showInputMessage="1" showErrorMessage="1" sqref="F151:H151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66 F173" xr:uid="{00000000-0002-0000-0000-000008000000}">
      <formula1>"Saleable area Loading :,Builder Saleable area"</formula1>
    </dataValidation>
    <dataValidation type="list" allowBlank="1" showInputMessage="1" showErrorMessage="1" sqref="B166:B167" xr:uid="{00000000-0002-0000-0000-000009000000}">
      <formula1>"Shop No. (Sale Plan),Sale / Rehab,Sale / Mhada"</formula1>
    </dataValidation>
    <dataValidation type="list" allowBlank="1" showInputMessage="1" showErrorMessage="1" sqref="B173:B174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J65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8" max="16383" man="1"/>
    <brk id="110" max="7" man="1"/>
    <brk id="252" max="16383" man="1"/>
    <brk id="298" max="16383" man="1"/>
    <brk id="342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6" t="s">
        <v>108</v>
      </c>
      <c r="C3" s="206"/>
      <c r="D3" s="206"/>
      <c r="E3" s="206"/>
      <c r="F3" s="206"/>
      <c r="G3" s="206"/>
      <c r="H3" s="206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6"/>
      <c r="C4" s="46" t="s">
        <v>12</v>
      </c>
      <c r="D4" s="47" t="s">
        <v>177</v>
      </c>
      <c r="E4" s="47" t="s">
        <v>187</v>
      </c>
      <c r="F4" s="47" t="s">
        <v>173</v>
      </c>
      <c r="G4" s="47" t="s">
        <v>192</v>
      </c>
      <c r="H4" s="47" t="s">
        <v>210</v>
      </c>
      <c r="J4" t="s">
        <v>192</v>
      </c>
      <c r="K4" t="s">
        <v>208</v>
      </c>
    </row>
    <row r="5" spans="2:11" x14ac:dyDescent="0.25">
      <c r="B5" s="46"/>
      <c r="C5" s="46"/>
      <c r="D5" s="47" t="s">
        <v>178</v>
      </c>
      <c r="E5" s="47" t="s">
        <v>185</v>
      </c>
      <c r="F5" s="47" t="s">
        <v>207</v>
      </c>
      <c r="G5" s="47" t="s">
        <v>193</v>
      </c>
      <c r="H5" s="47" t="s">
        <v>211</v>
      </c>
    </row>
    <row r="6" spans="2:11" x14ac:dyDescent="0.25">
      <c r="B6" s="46"/>
      <c r="C6" s="46"/>
      <c r="D6" s="47" t="s">
        <v>179</v>
      </c>
      <c r="E6" s="47" t="s">
        <v>186</v>
      </c>
      <c r="F6" s="47" t="s">
        <v>208</v>
      </c>
      <c r="G6" s="47" t="s">
        <v>194</v>
      </c>
      <c r="H6" s="47" t="s">
        <v>224</v>
      </c>
    </row>
    <row r="7" spans="2:11" x14ac:dyDescent="0.25">
      <c r="B7" s="46"/>
      <c r="C7" s="46"/>
      <c r="D7" s="47" t="s">
        <v>180</v>
      </c>
      <c r="E7" s="47" t="s">
        <v>188</v>
      </c>
      <c r="F7" s="47" t="s">
        <v>209</v>
      </c>
      <c r="G7" s="47" t="s">
        <v>195</v>
      </c>
      <c r="H7" s="47" t="s">
        <v>212</v>
      </c>
    </row>
    <row r="8" spans="2:11" x14ac:dyDescent="0.25">
      <c r="B8" s="46"/>
      <c r="C8" s="46"/>
      <c r="D8" s="47" t="s">
        <v>181</v>
      </c>
      <c r="E8" s="47" t="s">
        <v>189</v>
      </c>
      <c r="F8" s="47"/>
      <c r="G8" s="47" t="s">
        <v>196</v>
      </c>
      <c r="H8" s="47" t="s">
        <v>213</v>
      </c>
    </row>
    <row r="9" spans="2:11" x14ac:dyDescent="0.25">
      <c r="B9" s="46"/>
      <c r="C9" s="46"/>
      <c r="D9" s="47" t="s">
        <v>182</v>
      </c>
      <c r="E9" s="47" t="s">
        <v>187</v>
      </c>
      <c r="F9" s="47"/>
      <c r="G9" s="47" t="s">
        <v>197</v>
      </c>
      <c r="H9" s="47" t="s">
        <v>214</v>
      </c>
    </row>
    <row r="10" spans="2:11" x14ac:dyDescent="0.25">
      <c r="B10" s="46"/>
      <c r="C10" s="46"/>
      <c r="D10" s="47" t="s">
        <v>183</v>
      </c>
      <c r="E10" s="47" t="s">
        <v>190</v>
      </c>
      <c r="F10" s="47"/>
      <c r="G10" s="47" t="s">
        <v>198</v>
      </c>
      <c r="H10" s="47" t="s">
        <v>215</v>
      </c>
    </row>
    <row r="11" spans="2:11" x14ac:dyDescent="0.25">
      <c r="B11" s="46"/>
      <c r="C11" s="46"/>
      <c r="D11" s="47" t="s">
        <v>184</v>
      </c>
      <c r="E11" s="47" t="s">
        <v>191</v>
      </c>
      <c r="F11" s="47"/>
      <c r="G11" s="47" t="s">
        <v>199</v>
      </c>
      <c r="H11" s="47" t="s">
        <v>216</v>
      </c>
    </row>
    <row r="12" spans="2:11" x14ac:dyDescent="0.25">
      <c r="B12" s="46"/>
      <c r="C12" s="46"/>
      <c r="D12" s="47"/>
      <c r="E12" s="47"/>
      <c r="F12" s="47"/>
      <c r="G12" s="47" t="s">
        <v>200</v>
      </c>
      <c r="H12" s="47" t="s">
        <v>217</v>
      </c>
    </row>
    <row r="13" spans="2:11" x14ac:dyDescent="0.25">
      <c r="B13" s="46"/>
      <c r="C13" s="46"/>
      <c r="D13" s="47"/>
      <c r="E13" s="47"/>
      <c r="F13" s="47"/>
      <c r="G13" s="47" t="s">
        <v>201</v>
      </c>
      <c r="H13" s="47" t="s">
        <v>218</v>
      </c>
    </row>
    <row r="14" spans="2:11" x14ac:dyDescent="0.25">
      <c r="B14" s="46"/>
      <c r="C14" s="46"/>
      <c r="D14" s="47"/>
      <c r="E14" s="47"/>
      <c r="F14" s="47"/>
      <c r="G14" s="47" t="s">
        <v>202</v>
      </c>
      <c r="H14" s="47" t="s">
        <v>219</v>
      </c>
    </row>
    <row r="15" spans="2:11" x14ac:dyDescent="0.25">
      <c r="B15" s="46"/>
      <c r="C15" s="46"/>
      <c r="D15" s="47"/>
      <c r="E15" s="47"/>
      <c r="F15" s="47"/>
      <c r="G15" s="47" t="s">
        <v>203</v>
      </c>
      <c r="H15" s="47" t="s">
        <v>220</v>
      </c>
    </row>
    <row r="16" spans="2:11" x14ac:dyDescent="0.25">
      <c r="B16" s="46"/>
      <c r="C16" s="46"/>
      <c r="D16" s="47"/>
      <c r="E16" s="47"/>
      <c r="F16" s="47"/>
      <c r="G16" s="47" t="s">
        <v>204</v>
      </c>
      <c r="H16" s="47" t="s">
        <v>221</v>
      </c>
    </row>
    <row r="17" spans="2:8" x14ac:dyDescent="0.25">
      <c r="B17" s="46"/>
      <c r="C17" s="46"/>
      <c r="D17" s="47"/>
      <c r="E17" s="47"/>
      <c r="F17" s="47"/>
      <c r="G17" s="47" t="s">
        <v>205</v>
      </c>
      <c r="H17" s="47" t="s">
        <v>222</v>
      </c>
    </row>
    <row r="18" spans="2:8" x14ac:dyDescent="0.25">
      <c r="B18" s="46"/>
      <c r="C18" s="46"/>
      <c r="D18" s="47"/>
      <c r="E18" s="47"/>
      <c r="F18" s="47"/>
      <c r="G18" s="47" t="s">
        <v>206</v>
      </c>
      <c r="H18" s="47" t="s">
        <v>223</v>
      </c>
    </row>
    <row r="24" spans="2:8" x14ac:dyDescent="0.25">
      <c r="C24" t="s">
        <v>171</v>
      </c>
    </row>
    <row r="25" spans="2:8" x14ac:dyDescent="0.25">
      <c r="C25" t="s">
        <v>225</v>
      </c>
    </row>
    <row r="26" spans="2:8" x14ac:dyDescent="0.25">
      <c r="C26" t="s">
        <v>226</v>
      </c>
    </row>
    <row r="27" spans="2:8" x14ac:dyDescent="0.25">
      <c r="C27" t="s">
        <v>227</v>
      </c>
    </row>
    <row r="28" spans="2:8" x14ac:dyDescent="0.25">
      <c r="C28" t="s">
        <v>228</v>
      </c>
    </row>
    <row r="29" spans="2:8" x14ac:dyDescent="0.25">
      <c r="C29" t="s">
        <v>229</v>
      </c>
    </row>
    <row r="30" spans="2:8" x14ac:dyDescent="0.25">
      <c r="C30" t="s">
        <v>171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2025-09-16T13:17:50Z</cp:lastPrinted>
  <dcterms:created xsi:type="dcterms:W3CDTF">2019-07-16T09:29:46Z</dcterms:created>
  <dcterms:modified xsi:type="dcterms:W3CDTF">2025-09-16T13:18:05Z</dcterms:modified>
</cp:coreProperties>
</file>