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0F9614AA-18B8-48F6-92F6-D67B6D119C75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8" i="1" l="1"/>
  <c r="G98" i="1" l="1"/>
  <c r="G95" i="1"/>
  <c r="E155" i="1"/>
  <c r="E154" i="1"/>
  <c r="E153" i="1"/>
  <c r="E152" i="1"/>
  <c r="D155" i="1"/>
  <c r="D154" i="1"/>
  <c r="D153" i="1"/>
  <c r="D152" i="1"/>
  <c r="D150" i="1"/>
  <c r="D149" i="1"/>
  <c r="D148" i="1"/>
  <c r="D147" i="1"/>
  <c r="D145" i="1"/>
  <c r="D144" i="1"/>
  <c r="D143" i="1"/>
  <c r="D142" i="1"/>
  <c r="D140" i="1"/>
  <c r="D139" i="1"/>
  <c r="D138" i="1"/>
  <c r="D137" i="1"/>
  <c r="D135" i="1"/>
  <c r="L135" i="1" s="1"/>
  <c r="D134" i="1"/>
  <c r="L134" i="1" s="1"/>
  <c r="D133" i="1"/>
  <c r="L133" i="1" s="1"/>
  <c r="D132" i="1"/>
  <c r="L132" i="1" s="1"/>
  <c r="D130" i="1"/>
  <c r="D129" i="1"/>
  <c r="D128" i="1"/>
  <c r="D127" i="1"/>
  <c r="D125" i="1"/>
  <c r="L125" i="1" s="1"/>
  <c r="D124" i="1"/>
  <c r="L124" i="1" s="1"/>
  <c r="D123" i="1"/>
  <c r="L123" i="1" s="1"/>
  <c r="D122" i="1"/>
  <c r="L122" i="1" s="1"/>
  <c r="D116" i="1"/>
  <c r="K116" i="1" s="1"/>
  <c r="D115" i="1"/>
  <c r="K115" i="1" s="1"/>
  <c r="D114" i="1"/>
  <c r="D113" i="1"/>
  <c r="K113" i="1" s="1"/>
  <c r="D112" i="1"/>
  <c r="K112" i="1" s="1"/>
  <c r="D111" i="1"/>
  <c r="K111" i="1" s="1"/>
  <c r="D110" i="1"/>
  <c r="K110" i="1" s="1"/>
  <c r="D109" i="1"/>
  <c r="K109" i="1" s="1"/>
  <c r="D108" i="1"/>
  <c r="K108" i="1" s="1"/>
  <c r="D107" i="1"/>
  <c r="K107" i="1" s="1"/>
  <c r="D106" i="1"/>
  <c r="K106" i="1" s="1"/>
  <c r="D105" i="1"/>
  <c r="K105" i="1" s="1"/>
  <c r="D104" i="1"/>
  <c r="K104" i="1" s="1"/>
  <c r="I142" i="1"/>
  <c r="K142" i="1"/>
  <c r="J142" i="1"/>
  <c r="I127" i="1"/>
  <c r="A153" i="1"/>
  <c r="A154" i="1" s="1"/>
  <c r="A155" i="1" s="1"/>
  <c r="G152" i="1"/>
  <c r="A148" i="1"/>
  <c r="A149" i="1" s="1"/>
  <c r="A150" i="1" s="1"/>
  <c r="G147" i="1"/>
  <c r="A143" i="1"/>
  <c r="A144" i="1" s="1"/>
  <c r="A145" i="1" s="1"/>
  <c r="I125" i="1"/>
  <c r="J125" i="1"/>
  <c r="J124" i="1"/>
  <c r="J122" i="1"/>
  <c r="I122" i="1"/>
  <c r="A138" i="1"/>
  <c r="A139" i="1" s="1"/>
  <c r="A140" i="1" s="1"/>
  <c r="G137" i="1"/>
  <c r="A128" i="1"/>
  <c r="A129" i="1" s="1"/>
  <c r="A130" i="1" s="1"/>
  <c r="G127" i="1"/>
  <c r="A133" i="1"/>
  <c r="A134" i="1" s="1"/>
  <c r="A135" i="1" s="1"/>
  <c r="G132" i="1"/>
  <c r="I113" i="1"/>
  <c r="I108" i="1"/>
  <c r="I104" i="1"/>
  <c r="C14" i="1"/>
  <c r="G99" i="1" l="1"/>
  <c r="E95" i="1"/>
  <c r="C95" i="1"/>
  <c r="E98" i="1"/>
  <c r="C98" i="1"/>
  <c r="K114" i="1"/>
  <c r="E7" i="1"/>
  <c r="C99" i="1" l="1"/>
  <c r="E99" i="1"/>
  <c r="D59" i="1"/>
  <c r="E29" i="1"/>
  <c r="B158" i="1"/>
  <c r="C65" i="1"/>
  <c r="B66" i="1" s="1"/>
  <c r="E24" i="1"/>
  <c r="E26" i="1" l="1"/>
  <c r="E42" i="1" l="1"/>
  <c r="E43" i="1" s="1"/>
  <c r="F92" i="1" l="1"/>
  <c r="B15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8" i="1"/>
  <c r="G142" i="1"/>
  <c r="G122" i="1"/>
  <c r="A123" i="1"/>
  <c r="A124" i="1" s="1"/>
  <c r="A125" i="1" s="1"/>
  <c r="A105" i="1"/>
  <c r="A106" i="1" s="1"/>
  <c r="A107" i="1" s="1"/>
  <c r="G104" i="1"/>
  <c r="D54" i="1"/>
  <c r="C49" i="1"/>
  <c r="E3" i="1"/>
  <c r="H66" i="1"/>
  <c r="A108" i="1" l="1"/>
  <c r="A109" i="1" s="1"/>
  <c r="A110" i="1" s="1"/>
  <c r="A111" i="1" s="1"/>
  <c r="A112" i="1" s="1"/>
  <c r="A113" i="1" s="1"/>
  <c r="A114" i="1" s="1"/>
  <c r="A115" i="1" s="1"/>
  <c r="A116" i="1" s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J73" i="1"/>
  <c r="J74" i="1" s="1"/>
  <c r="J75" i="1" s="1"/>
  <c r="J76" i="1" s="1"/>
  <c r="D71" i="1"/>
  <c r="J67" i="1"/>
  <c r="D69" i="1"/>
  <c r="J78" i="1" l="1"/>
  <c r="C70" i="1" l="1"/>
  <c r="G69" i="1" s="1"/>
  <c r="D63" i="1" s="1"/>
  <c r="D64" i="1" s="1"/>
  <c r="E69" i="1" l="1"/>
  <c r="D70" i="1"/>
  <c r="I66" i="1" s="1"/>
  <c r="I67" i="1" s="1"/>
  <c r="J66" i="1"/>
  <c r="F64" i="1"/>
  <c r="I65" i="1" l="1"/>
  <c r="C67" i="1" s="1"/>
</calcChain>
</file>

<file path=xl/sharedStrings.xml><?xml version="1.0" encoding="utf-8"?>
<sst xmlns="http://schemas.openxmlformats.org/spreadsheetml/2006/main" count="305" uniqueCount="224">
  <si>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</si>
  <si>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</si>
  <si>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</si>
  <si>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</si>
  <si>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</si>
  <si>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</si>
  <si>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</si>
  <si>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</si>
  <si>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</si>
  <si>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</si>
  <si>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</si>
  <si>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</si>
  <si>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</si>
  <si>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</si>
  <si>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</si>
  <si>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</si>
  <si>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</si>
  <si>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</si>
  <si>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</si>
  <si>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</si>
  <si>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</si>
  <si>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</si>
  <si>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</si>
  <si>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</si>
  <si>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</si>
  <si>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</si>
  <si>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</si>
  <si>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</si>
  <si>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</si>
  <si>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</si>
  <si>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</si>
  <si>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</si>
  <si>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</si>
  <si>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</si>
  <si>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</si>
  <si>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</si>
  <si>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</si>
  <si>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</si>
  <si>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</si>
  <si>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</si>
  <si>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</si>
  <si>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</si>
  <si>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</si>
  <si>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</si>
  <si>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</si>
  <si>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</si>
  <si>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</si>
  <si>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</si>
  <si>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</si>
  <si>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</si>
  <si>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</si>
  <si>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</si>
  <si>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</si>
  <si>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</si>
  <si>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</si>
  <si>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</si>
  <si>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</si>
  <si>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</si>
  <si>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</si>
  <si>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</si>
  <si>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</si>
  <si>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</si>
  <si>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</si>
  <si>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</si>
  <si>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</si>
  <si>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</si>
  <si>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</si>
  <si>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</si>
  <si>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</si>
  <si>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</si>
  <si>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</si>
  <si>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</si>
  <si>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</si>
  <si>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</si>
  <si>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</si>
  <si>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</si>
  <si>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</si>
  <si>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</si>
  <si>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</si>
  <si>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</si>
  <si>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</si>
  <si>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</si>
  <si>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</si>
  <si>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</si>
  <si>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</si>
  <si>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</si>
  <si>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</si>
  <si>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</si>
  <si>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</si>
  <si>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</si>
  <si>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</si>
  <si>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</si>
  <si>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</si>
  <si>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</si>
  <si>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</si>
  <si>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</si>
  <si>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</si>
  <si>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</si>
  <si>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</si>
  <si>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</si>
  <si>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</si>
  <si>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</si>
  <si>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</si>
  <si>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</si>
  <si>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</si>
  <si>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</si>
  <si>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</si>
  <si>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</si>
  <si>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</si>
  <si>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</si>
  <si>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</si>
  <si>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</si>
  <si>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</si>
  <si>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</si>
  <si>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</si>
  <si>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</si>
  <si>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</si>
  <si>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</si>
  <si>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</si>
  <si>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</si>
  <si>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</si>
  <si>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</si>
  <si>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</si>
  <si>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</si>
  <si>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</si>
  <si>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</si>
  <si>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</si>
  <si>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</si>
  <si>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</si>
  <si>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</si>
  <si>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</si>
  <si>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</si>
  <si>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</si>
  <si>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</si>
  <si>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</si>
  <si>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</si>
  <si>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</si>
  <si>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</si>
  <si>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</si>
  <si>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</si>
  <si>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</si>
  <si>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</si>
  <si>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</si>
  <si>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</si>
  <si>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</si>
  <si>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</si>
  <si>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</si>
  <si>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</si>
  <si>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</si>
  <si>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</si>
  <si>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</si>
  <si>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</si>
  <si>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</si>
  <si>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</si>
  <si>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</si>
  <si>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</si>
  <si>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</si>
  <si>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</si>
  <si>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</si>
  <si>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</si>
  <si>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</si>
  <si>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</si>
  <si>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</si>
  <si>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</si>
  <si>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</si>
  <si>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</si>
  <si>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</si>
  <si>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</si>
  <si>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</si>
  <si>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</si>
  <si>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</si>
  <si>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</si>
  <si>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</si>
  <si>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</si>
  <si>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</si>
  <si>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</si>
  <si>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Sanpada</t>
  </si>
  <si>
    <t>One Pyramid</t>
  </si>
  <si>
    <t>Pacific Properties</t>
  </si>
  <si>
    <t>P51700049829</t>
  </si>
  <si>
    <t>Approved Plans, CC, Builder Saleable Area, Cost Sheet</t>
  </si>
  <si>
    <t>Thane</t>
  </si>
  <si>
    <t>2.1 KM from Rabale Railway Station</t>
  </si>
  <si>
    <t>Rabale</t>
  </si>
  <si>
    <t>https://goo.gl/maps/RhUr156FGYCbgbVW8</t>
  </si>
  <si>
    <t>Airoli </t>
  </si>
  <si>
    <t>Rama Kalu Shahadkar Marg</t>
  </si>
  <si>
    <t>Gurukul CHS</t>
  </si>
  <si>
    <t>Plot No</t>
  </si>
  <si>
    <t>26, Sector No. 8</t>
  </si>
  <si>
    <t>19.144908, 72.992894</t>
  </si>
  <si>
    <t>Edan Tower</t>
  </si>
  <si>
    <t xml:space="preserve"> Rama Gosavi Marg</t>
  </si>
  <si>
    <t>Kasturi Gardens Apartment</t>
  </si>
  <si>
    <t>Navi Mumbai Municipal Corporation (NMMC)</t>
  </si>
  <si>
    <t>NRV/A/17375</t>
  </si>
  <si>
    <t>NMMC/TPO/BP/17375/2023</t>
  </si>
  <si>
    <t>As per RERA - 31/12/2026</t>
  </si>
  <si>
    <t>Shop</t>
  </si>
  <si>
    <t>Ground Floor For Meter Room, Fire Control Room, Pump Room, Commercial &amp; Parking</t>
  </si>
  <si>
    <t>1st to 6th Podium Floor For Parking</t>
  </si>
  <si>
    <t>G + 6P + 7th to 24th Floor</t>
  </si>
  <si>
    <t>7th Floor For Indoor Games, Fitness Center, Drivers Room, Banquet Hall &amp; Recreational Area</t>
  </si>
  <si>
    <t>12th, 13th &amp; 14th Floor</t>
  </si>
  <si>
    <t>2BHK</t>
  </si>
  <si>
    <t>3BHK</t>
  </si>
  <si>
    <t>11th Floor (Refuge Area Provided)</t>
  </si>
  <si>
    <t>15th Floor (Refuge Area Provided)</t>
  </si>
  <si>
    <t>16th, 17th, 18th, 20th, 21st, 22nd Floor</t>
  </si>
  <si>
    <t>24th Floor</t>
  </si>
  <si>
    <t>Indoor Games, Fitness Center, Drivers Room, Banquet Hall, Fire Fighting System, Landscaping &amp; Tree etc.</t>
  </si>
  <si>
    <t>19th &amp; 23rd Floor (Refuge Area Provided)</t>
  </si>
  <si>
    <t>Flats</t>
  </si>
  <si>
    <t>Builder Saleable area</t>
  </si>
  <si>
    <t>8th, 9th &amp; 10th Floor For Residential</t>
  </si>
  <si>
    <t>Flats - 68, Shops - 13</t>
  </si>
  <si>
    <t>We considered Gross carpet area = Net carpet + Enclose balcony + Balcony.</t>
  </si>
  <si>
    <t>Airoli</t>
  </si>
  <si>
    <t>Area Taken from Builder Area Sheet</t>
  </si>
  <si>
    <t>Khushi : 9136630604</t>
  </si>
  <si>
    <t>Construction work is in process at the time of Visit (labour found). Internal photos was not allowed.</t>
  </si>
  <si>
    <t>Shruti (Sales) 9136630604</t>
  </si>
  <si>
    <t>Gaurav panchal</t>
  </si>
  <si>
    <t>Tushar Mohite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</si>
</sst>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5" fillId="0" borderId="6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5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6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1" fontId="7" fillId="0" borderId="22" xfId="1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jpeg"/><Relationship Id="rId18" Type="http://schemas.openxmlformats.org/officeDocument/2006/relationships/image" Target="../media/image16.png"/><Relationship Id="rId3" Type="http://schemas.openxmlformats.org/officeDocument/2006/relationships/image" Target="../media/image3.png"/><Relationship Id="rId21" Type="http://schemas.openxmlformats.org/officeDocument/2006/relationships/image" Target="../media/image19.jpe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0" Type="http://schemas.openxmlformats.org/officeDocument/2006/relationships/image" Target="../media/image18.jp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9.png"/><Relationship Id="rId5" Type="http://schemas.openxmlformats.org/officeDocument/2006/relationships/image" Target="../media/image4.png"/><Relationship Id="rId15" Type="http://schemas.openxmlformats.org/officeDocument/2006/relationships/image" Target="../media/image13.jpg"/><Relationship Id="rId23" Type="http://schemas.openxmlformats.org/officeDocument/2006/relationships/image" Target="../media/image21.jpeg"/><Relationship Id="rId10" Type="http://schemas.openxmlformats.org/officeDocument/2006/relationships/image" Target="../media/image8.png"/><Relationship Id="rId19" Type="http://schemas.openxmlformats.org/officeDocument/2006/relationships/image" Target="../media/image17.jpg"/><Relationship Id="rId4" Type="http://schemas.microsoft.com/office/2007/relationships/hdphoto" Target="../media/hdphoto1.wdp"/><Relationship Id="rId9" Type="http://schemas.openxmlformats.org/officeDocument/2006/relationships/image" Target="../media/image7.png"/><Relationship Id="rId14" Type="http://schemas.openxmlformats.org/officeDocument/2006/relationships/image" Target="../media/image12.jpg"/><Relationship Id="rId22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737166</xdr:colOff>
      <xdr:row>279</xdr:row>
      <xdr:rowOff>26824</xdr:rowOff>
    </xdr:from>
    <xdr:to>
      <xdr:col>7</xdr:col>
      <xdr:colOff>29264</xdr:colOff>
      <xdr:row>295</xdr:row>
      <xdr:rowOff>80278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7166" y="65558824"/>
          <a:ext cx="4981121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736023</xdr:colOff>
      <xdr:row>262</xdr:row>
      <xdr:rowOff>1</xdr:rowOff>
    </xdr:from>
    <xdr:to>
      <xdr:col>7</xdr:col>
      <xdr:colOff>29264</xdr:colOff>
      <xdr:row>278</xdr:row>
      <xdr:rowOff>53456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6023" y="62146296"/>
          <a:ext cx="4982264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640773</xdr:colOff>
      <xdr:row>281</xdr:row>
      <xdr:rowOff>155864</xdr:rowOff>
    </xdr:from>
    <xdr:to>
      <xdr:col>5</xdr:col>
      <xdr:colOff>216478</xdr:colOff>
      <xdr:row>286</xdr:row>
      <xdr:rowOff>103909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048000" y="61505523"/>
          <a:ext cx="1298864" cy="943841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684068</xdr:colOff>
      <xdr:row>221</xdr:row>
      <xdr:rowOff>0</xdr:rowOff>
    </xdr:from>
    <xdr:to>
      <xdr:col>6</xdr:col>
      <xdr:colOff>186763</xdr:colOff>
      <xdr:row>235</xdr:row>
      <xdr:rowOff>91773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46068" y="47659636"/>
          <a:ext cx="365040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306733</xdr:colOff>
      <xdr:row>236</xdr:row>
      <xdr:rowOff>15505</xdr:rowOff>
    </xdr:from>
    <xdr:to>
      <xdr:col>5</xdr:col>
      <xdr:colOff>546781</xdr:colOff>
      <xdr:row>250</xdr:row>
      <xdr:rowOff>107278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795"/>
        <a:stretch/>
      </xdr:blipFill>
      <xdr:spPr>
        <a:xfrm>
          <a:off x="1865369" y="50662528"/>
          <a:ext cx="281179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693420</xdr:colOff>
      <xdr:row>177</xdr:row>
      <xdr:rowOff>166370</xdr:rowOff>
    </xdr:from>
    <xdr:to>
      <xdr:col>16</xdr:col>
      <xdr:colOff>442382</xdr:colOff>
      <xdr:row>218</xdr:row>
      <xdr:rowOff>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7227570" y="37799645"/>
          <a:ext cx="6130712" cy="8025130"/>
          <a:chOff x="190500" y="37198300"/>
          <a:chExt cx="6417732" cy="8039100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68812" y="43590748"/>
            <a:ext cx="2397778" cy="16466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342" y="371983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8013" y="371983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86544" y="41294524"/>
            <a:ext cx="162168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18032" y="4129452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129452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525780</xdr:colOff>
      <xdr:row>178</xdr:row>
      <xdr:rowOff>110490</xdr:rowOff>
    </xdr:from>
    <xdr:to>
      <xdr:col>15</xdr:col>
      <xdr:colOff>749163</xdr:colOff>
      <xdr:row>216</xdr:row>
      <xdr:rowOff>151552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601C0A6-BFBA-D078-57B4-D33147385EF1}"/>
            </a:ext>
          </a:extLst>
        </xdr:cNvPr>
        <xdr:cNvGrpSpPr/>
      </xdr:nvGrpSpPr>
      <xdr:grpSpPr>
        <a:xfrm>
          <a:off x="7059930" y="37943790"/>
          <a:ext cx="5824083" cy="7632487"/>
          <a:chOff x="231047" y="481186"/>
          <a:chExt cx="6001248" cy="7562002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C6987B37-B4D4-299E-4162-8EF93C19D3E0}"/>
              </a:ext>
            </a:extLst>
          </xdr:cNvPr>
          <xdr:cNvGrpSpPr/>
        </xdr:nvGrpSpPr>
        <xdr:grpSpPr>
          <a:xfrm>
            <a:off x="250523" y="5881186"/>
            <a:ext cx="5962296" cy="2162002"/>
            <a:chOff x="269999" y="5881186"/>
            <a:chExt cx="5962296" cy="2162002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7CEC17C0-1304-673C-C882-823E0E1A22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52295" y="5881186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C60E3A09-2AE7-3391-0EEF-BDD4FC7F23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69999" y="5881186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86C2F2AA-A75B-E4CC-80E1-FFAD6FC4BAE6}"/>
              </a:ext>
            </a:extLst>
          </xdr:cNvPr>
          <xdr:cNvGrpSpPr/>
        </xdr:nvGrpSpPr>
        <xdr:grpSpPr>
          <a:xfrm>
            <a:off x="231047" y="481186"/>
            <a:ext cx="6001248" cy="5220000"/>
            <a:chOff x="231047" y="481186"/>
            <a:chExt cx="6001248" cy="522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9C1BEC5E-1B71-A7CD-F876-E1EFEB15D3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1047" y="481186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3023DF69-8867-6E1B-1571-2E9514E0AF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44264" y="318118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B7A6FD85-2135-4D0E-CD5F-C3B2D697B5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44264" y="48118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 editAs="oneCell">
    <xdr:from>
      <xdr:col>8</xdr:col>
      <xdr:colOff>104775</xdr:colOff>
      <xdr:row>64</xdr:row>
      <xdr:rowOff>19050</xdr:rowOff>
    </xdr:from>
    <xdr:to>
      <xdr:col>15</xdr:col>
      <xdr:colOff>467557</xdr:colOff>
      <xdr:row>74</xdr:row>
      <xdr:rowOff>303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5F489A5-FF20-4EF7-A758-ED772BF9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38925" y="14773275"/>
          <a:ext cx="5963482" cy="2172003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178</xdr:row>
      <xdr:rowOff>161925</xdr:rowOff>
    </xdr:from>
    <xdr:to>
      <xdr:col>7</xdr:col>
      <xdr:colOff>759992</xdr:colOff>
      <xdr:row>208</xdr:row>
      <xdr:rowOff>131733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B3939D89-F7D5-446A-9532-E99A44529A13}"/>
            </a:ext>
          </a:extLst>
        </xdr:cNvPr>
        <xdr:cNvGrpSpPr/>
      </xdr:nvGrpSpPr>
      <xdr:grpSpPr>
        <a:xfrm>
          <a:off x="66675" y="37995225"/>
          <a:ext cx="6398792" cy="5961033"/>
          <a:chOff x="153219" y="484096"/>
          <a:chExt cx="6398792" cy="5961033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27585990-FD18-44A9-BD5D-DB9A2EDFAE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7285" y="484096"/>
            <a:ext cx="2697188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3C47DB3A-6051-4539-B02F-8AEFA9B496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46549" y="484096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E7EFEE4F-5501-45A4-86E2-2C4511D1D9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3219" y="428512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3B10D441-BA04-4B99-A6E4-8CC31D2351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28236" y="428512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21F2142F-D1B8-4217-B744-12834910AF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4678" y="4285129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hUr156FGYCbgbVW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61"/>
  <sheetViews>
    <sheetView tabSelected="1" view="pageBreakPreview" topLeftCell="A23" zoomScaleNormal="100" zoomScaleSheetLayoutView="100" workbookViewId="0">
      <selection activeCell="I164" sqref="I164"/>
    </sheetView>
  </sheetViews>
  <sheetFormatPr defaultColWidth="9.28515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28515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7109375" style="19" customWidth="1"/>
    <col min="14" max="14" width="12.5703125" style="19" customWidth="1"/>
    <col min="15" max="15" width="9.7109375" style="19" customWidth="1"/>
    <col min="16" max="16" width="11.7109375" style="19" customWidth="1"/>
    <col min="17" max="247" width="9.28515625" style="19"/>
    <col min="248" max="248" width="8.7109375" style="19" customWidth="1"/>
    <col min="249" max="249" width="9.71093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7109375" style="19" customWidth="1"/>
    <col min="256" max="256" width="11.28515625" style="19" customWidth="1"/>
    <col min="257" max="257" width="2.7109375" style="19" customWidth="1"/>
    <col min="258" max="258" width="3.5703125" style="19" customWidth="1"/>
    <col min="259" max="503" width="9.28515625" style="19"/>
    <col min="504" max="504" width="8.7109375" style="19" customWidth="1"/>
    <col min="505" max="505" width="9.71093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7109375" style="19" customWidth="1"/>
    <col min="512" max="512" width="11.28515625" style="19" customWidth="1"/>
    <col min="513" max="513" width="2.7109375" style="19" customWidth="1"/>
    <col min="514" max="514" width="3.5703125" style="19" customWidth="1"/>
    <col min="515" max="759" width="9.28515625" style="19"/>
    <col min="760" max="760" width="8.7109375" style="19" customWidth="1"/>
    <col min="761" max="761" width="9.71093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7109375" style="19" customWidth="1"/>
    <col min="768" max="768" width="11.28515625" style="19" customWidth="1"/>
    <col min="769" max="769" width="2.7109375" style="19" customWidth="1"/>
    <col min="770" max="770" width="3.5703125" style="19" customWidth="1"/>
    <col min="771" max="1015" width="9.28515625" style="19"/>
    <col min="1016" max="1016" width="8.7109375" style="19" customWidth="1"/>
    <col min="1017" max="1017" width="9.71093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7109375" style="19" customWidth="1"/>
    <col min="1024" max="1024" width="11.28515625" style="19" customWidth="1"/>
    <col min="1025" max="1025" width="2.7109375" style="19" customWidth="1"/>
    <col min="1026" max="1026" width="3.5703125" style="19" customWidth="1"/>
    <col min="1027" max="1271" width="9.28515625" style="19"/>
    <col min="1272" max="1272" width="8.7109375" style="19" customWidth="1"/>
    <col min="1273" max="1273" width="9.71093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7109375" style="19" customWidth="1"/>
    <col min="1280" max="1280" width="11.28515625" style="19" customWidth="1"/>
    <col min="1281" max="1281" width="2.7109375" style="19" customWidth="1"/>
    <col min="1282" max="1282" width="3.5703125" style="19" customWidth="1"/>
    <col min="1283" max="1527" width="9.28515625" style="19"/>
    <col min="1528" max="1528" width="8.7109375" style="19" customWidth="1"/>
    <col min="1529" max="1529" width="9.71093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7109375" style="19" customWidth="1"/>
    <col min="1536" max="1536" width="11.28515625" style="19" customWidth="1"/>
    <col min="1537" max="1537" width="2.7109375" style="19" customWidth="1"/>
    <col min="1538" max="1538" width="3.5703125" style="19" customWidth="1"/>
    <col min="1539" max="1783" width="9.28515625" style="19"/>
    <col min="1784" max="1784" width="8.7109375" style="19" customWidth="1"/>
    <col min="1785" max="1785" width="9.71093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7109375" style="19" customWidth="1"/>
    <col min="1792" max="1792" width="11.28515625" style="19" customWidth="1"/>
    <col min="1793" max="1793" width="2.7109375" style="19" customWidth="1"/>
    <col min="1794" max="1794" width="3.5703125" style="19" customWidth="1"/>
    <col min="1795" max="2039" width="9.28515625" style="19"/>
    <col min="2040" max="2040" width="8.7109375" style="19" customWidth="1"/>
    <col min="2041" max="2041" width="9.71093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7109375" style="19" customWidth="1"/>
    <col min="2048" max="2048" width="11.28515625" style="19" customWidth="1"/>
    <col min="2049" max="2049" width="2.7109375" style="19" customWidth="1"/>
    <col min="2050" max="2050" width="3.5703125" style="19" customWidth="1"/>
    <col min="2051" max="2295" width="9.28515625" style="19"/>
    <col min="2296" max="2296" width="8.7109375" style="19" customWidth="1"/>
    <col min="2297" max="2297" width="9.71093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7109375" style="19" customWidth="1"/>
    <col min="2304" max="2304" width="11.28515625" style="19" customWidth="1"/>
    <col min="2305" max="2305" width="2.7109375" style="19" customWidth="1"/>
    <col min="2306" max="2306" width="3.5703125" style="19" customWidth="1"/>
    <col min="2307" max="2551" width="9.28515625" style="19"/>
    <col min="2552" max="2552" width="8.7109375" style="19" customWidth="1"/>
    <col min="2553" max="2553" width="9.71093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7109375" style="19" customWidth="1"/>
    <col min="2560" max="2560" width="11.28515625" style="19" customWidth="1"/>
    <col min="2561" max="2561" width="2.7109375" style="19" customWidth="1"/>
    <col min="2562" max="2562" width="3.5703125" style="19" customWidth="1"/>
    <col min="2563" max="2807" width="9.28515625" style="19"/>
    <col min="2808" max="2808" width="8.7109375" style="19" customWidth="1"/>
    <col min="2809" max="2809" width="9.71093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7109375" style="19" customWidth="1"/>
    <col min="2816" max="2816" width="11.28515625" style="19" customWidth="1"/>
    <col min="2817" max="2817" width="2.7109375" style="19" customWidth="1"/>
    <col min="2818" max="2818" width="3.5703125" style="19" customWidth="1"/>
    <col min="2819" max="3063" width="9.28515625" style="19"/>
    <col min="3064" max="3064" width="8.7109375" style="19" customWidth="1"/>
    <col min="3065" max="3065" width="9.71093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7109375" style="19" customWidth="1"/>
    <col min="3072" max="3072" width="11.28515625" style="19" customWidth="1"/>
    <col min="3073" max="3073" width="2.7109375" style="19" customWidth="1"/>
    <col min="3074" max="3074" width="3.5703125" style="19" customWidth="1"/>
    <col min="3075" max="3319" width="9.28515625" style="19"/>
    <col min="3320" max="3320" width="8.7109375" style="19" customWidth="1"/>
    <col min="3321" max="3321" width="9.71093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7109375" style="19" customWidth="1"/>
    <col min="3328" max="3328" width="11.28515625" style="19" customWidth="1"/>
    <col min="3329" max="3329" width="2.7109375" style="19" customWidth="1"/>
    <col min="3330" max="3330" width="3.5703125" style="19" customWidth="1"/>
    <col min="3331" max="3575" width="9.28515625" style="19"/>
    <col min="3576" max="3576" width="8.7109375" style="19" customWidth="1"/>
    <col min="3577" max="3577" width="9.71093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7109375" style="19" customWidth="1"/>
    <col min="3584" max="3584" width="11.28515625" style="19" customWidth="1"/>
    <col min="3585" max="3585" width="2.7109375" style="19" customWidth="1"/>
    <col min="3586" max="3586" width="3.5703125" style="19" customWidth="1"/>
    <col min="3587" max="3831" width="9.28515625" style="19"/>
    <col min="3832" max="3832" width="8.7109375" style="19" customWidth="1"/>
    <col min="3833" max="3833" width="9.71093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7109375" style="19" customWidth="1"/>
    <col min="3840" max="3840" width="11.28515625" style="19" customWidth="1"/>
    <col min="3841" max="3841" width="2.7109375" style="19" customWidth="1"/>
    <col min="3842" max="3842" width="3.5703125" style="19" customWidth="1"/>
    <col min="3843" max="4087" width="9.28515625" style="19"/>
    <col min="4088" max="4088" width="8.7109375" style="19" customWidth="1"/>
    <col min="4089" max="4089" width="9.71093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7109375" style="19" customWidth="1"/>
    <col min="4096" max="4096" width="11.28515625" style="19" customWidth="1"/>
    <col min="4097" max="4097" width="2.7109375" style="19" customWidth="1"/>
    <col min="4098" max="4098" width="3.5703125" style="19" customWidth="1"/>
    <col min="4099" max="4343" width="9.28515625" style="19"/>
    <col min="4344" max="4344" width="8.7109375" style="19" customWidth="1"/>
    <col min="4345" max="4345" width="9.71093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7109375" style="19" customWidth="1"/>
    <col min="4352" max="4352" width="11.28515625" style="19" customWidth="1"/>
    <col min="4353" max="4353" width="2.7109375" style="19" customWidth="1"/>
    <col min="4354" max="4354" width="3.5703125" style="19" customWidth="1"/>
    <col min="4355" max="4599" width="9.28515625" style="19"/>
    <col min="4600" max="4600" width="8.7109375" style="19" customWidth="1"/>
    <col min="4601" max="4601" width="9.71093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7109375" style="19" customWidth="1"/>
    <col min="4608" max="4608" width="11.28515625" style="19" customWidth="1"/>
    <col min="4609" max="4609" width="2.7109375" style="19" customWidth="1"/>
    <col min="4610" max="4610" width="3.5703125" style="19" customWidth="1"/>
    <col min="4611" max="4855" width="9.28515625" style="19"/>
    <col min="4856" max="4856" width="8.7109375" style="19" customWidth="1"/>
    <col min="4857" max="4857" width="9.71093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7109375" style="19" customWidth="1"/>
    <col min="4864" max="4864" width="11.28515625" style="19" customWidth="1"/>
    <col min="4865" max="4865" width="2.7109375" style="19" customWidth="1"/>
    <col min="4866" max="4866" width="3.5703125" style="19" customWidth="1"/>
    <col min="4867" max="5111" width="9.28515625" style="19"/>
    <col min="5112" max="5112" width="8.7109375" style="19" customWidth="1"/>
    <col min="5113" max="5113" width="9.71093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7109375" style="19" customWidth="1"/>
    <col min="5120" max="5120" width="11.28515625" style="19" customWidth="1"/>
    <col min="5121" max="5121" width="2.7109375" style="19" customWidth="1"/>
    <col min="5122" max="5122" width="3.5703125" style="19" customWidth="1"/>
    <col min="5123" max="5367" width="9.28515625" style="19"/>
    <col min="5368" max="5368" width="8.7109375" style="19" customWidth="1"/>
    <col min="5369" max="5369" width="9.71093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7109375" style="19" customWidth="1"/>
    <col min="5376" max="5376" width="11.28515625" style="19" customWidth="1"/>
    <col min="5377" max="5377" width="2.7109375" style="19" customWidth="1"/>
    <col min="5378" max="5378" width="3.5703125" style="19" customWidth="1"/>
    <col min="5379" max="5623" width="9.28515625" style="19"/>
    <col min="5624" max="5624" width="8.7109375" style="19" customWidth="1"/>
    <col min="5625" max="5625" width="9.71093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7109375" style="19" customWidth="1"/>
    <col min="5632" max="5632" width="11.28515625" style="19" customWidth="1"/>
    <col min="5633" max="5633" width="2.7109375" style="19" customWidth="1"/>
    <col min="5634" max="5634" width="3.5703125" style="19" customWidth="1"/>
    <col min="5635" max="5879" width="9.28515625" style="19"/>
    <col min="5880" max="5880" width="8.7109375" style="19" customWidth="1"/>
    <col min="5881" max="5881" width="9.71093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7109375" style="19" customWidth="1"/>
    <col min="5888" max="5888" width="11.28515625" style="19" customWidth="1"/>
    <col min="5889" max="5889" width="2.7109375" style="19" customWidth="1"/>
    <col min="5890" max="5890" width="3.5703125" style="19" customWidth="1"/>
    <col min="5891" max="6135" width="9.28515625" style="19"/>
    <col min="6136" max="6136" width="8.7109375" style="19" customWidth="1"/>
    <col min="6137" max="6137" width="9.71093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7109375" style="19" customWidth="1"/>
    <col min="6144" max="6144" width="11.28515625" style="19" customWidth="1"/>
    <col min="6145" max="6145" width="2.7109375" style="19" customWidth="1"/>
    <col min="6146" max="6146" width="3.5703125" style="19" customWidth="1"/>
    <col min="6147" max="6391" width="9.28515625" style="19"/>
    <col min="6392" max="6392" width="8.7109375" style="19" customWidth="1"/>
    <col min="6393" max="6393" width="9.71093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7109375" style="19" customWidth="1"/>
    <col min="6400" max="6400" width="11.28515625" style="19" customWidth="1"/>
    <col min="6401" max="6401" width="2.7109375" style="19" customWidth="1"/>
    <col min="6402" max="6402" width="3.5703125" style="19" customWidth="1"/>
    <col min="6403" max="6647" width="9.28515625" style="19"/>
    <col min="6648" max="6648" width="8.7109375" style="19" customWidth="1"/>
    <col min="6649" max="6649" width="9.71093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7109375" style="19" customWidth="1"/>
    <col min="6656" max="6656" width="11.28515625" style="19" customWidth="1"/>
    <col min="6657" max="6657" width="2.7109375" style="19" customWidth="1"/>
    <col min="6658" max="6658" width="3.5703125" style="19" customWidth="1"/>
    <col min="6659" max="6903" width="9.28515625" style="19"/>
    <col min="6904" max="6904" width="8.7109375" style="19" customWidth="1"/>
    <col min="6905" max="6905" width="9.71093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7109375" style="19" customWidth="1"/>
    <col min="6912" max="6912" width="11.28515625" style="19" customWidth="1"/>
    <col min="6913" max="6913" width="2.7109375" style="19" customWidth="1"/>
    <col min="6914" max="6914" width="3.5703125" style="19" customWidth="1"/>
    <col min="6915" max="7159" width="9.28515625" style="19"/>
    <col min="7160" max="7160" width="8.7109375" style="19" customWidth="1"/>
    <col min="7161" max="7161" width="9.71093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7109375" style="19" customWidth="1"/>
    <col min="7168" max="7168" width="11.28515625" style="19" customWidth="1"/>
    <col min="7169" max="7169" width="2.7109375" style="19" customWidth="1"/>
    <col min="7170" max="7170" width="3.5703125" style="19" customWidth="1"/>
    <col min="7171" max="7415" width="9.28515625" style="19"/>
    <col min="7416" max="7416" width="8.7109375" style="19" customWidth="1"/>
    <col min="7417" max="7417" width="9.71093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7109375" style="19" customWidth="1"/>
    <col min="7424" max="7424" width="11.28515625" style="19" customWidth="1"/>
    <col min="7425" max="7425" width="2.7109375" style="19" customWidth="1"/>
    <col min="7426" max="7426" width="3.5703125" style="19" customWidth="1"/>
    <col min="7427" max="7671" width="9.28515625" style="19"/>
    <col min="7672" max="7672" width="8.7109375" style="19" customWidth="1"/>
    <col min="7673" max="7673" width="9.71093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7109375" style="19" customWidth="1"/>
    <col min="7680" max="7680" width="11.28515625" style="19" customWidth="1"/>
    <col min="7681" max="7681" width="2.7109375" style="19" customWidth="1"/>
    <col min="7682" max="7682" width="3.5703125" style="19" customWidth="1"/>
    <col min="7683" max="7927" width="9.28515625" style="19"/>
    <col min="7928" max="7928" width="8.7109375" style="19" customWidth="1"/>
    <col min="7929" max="7929" width="9.71093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7109375" style="19" customWidth="1"/>
    <col min="7936" max="7936" width="11.28515625" style="19" customWidth="1"/>
    <col min="7937" max="7937" width="2.7109375" style="19" customWidth="1"/>
    <col min="7938" max="7938" width="3.5703125" style="19" customWidth="1"/>
    <col min="7939" max="8183" width="9.28515625" style="19"/>
    <col min="8184" max="8184" width="8.7109375" style="19" customWidth="1"/>
    <col min="8185" max="8185" width="9.71093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7109375" style="19" customWidth="1"/>
    <col min="8192" max="8192" width="11.28515625" style="19" customWidth="1"/>
    <col min="8193" max="8193" width="2.7109375" style="19" customWidth="1"/>
    <col min="8194" max="8194" width="3.5703125" style="19" customWidth="1"/>
    <col min="8195" max="8439" width="9.28515625" style="19"/>
    <col min="8440" max="8440" width="8.7109375" style="19" customWidth="1"/>
    <col min="8441" max="8441" width="9.71093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7109375" style="19" customWidth="1"/>
    <col min="8448" max="8448" width="11.28515625" style="19" customWidth="1"/>
    <col min="8449" max="8449" width="2.7109375" style="19" customWidth="1"/>
    <col min="8450" max="8450" width="3.5703125" style="19" customWidth="1"/>
    <col min="8451" max="8695" width="9.28515625" style="19"/>
    <col min="8696" max="8696" width="8.7109375" style="19" customWidth="1"/>
    <col min="8697" max="8697" width="9.71093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7109375" style="19" customWidth="1"/>
    <col min="8704" max="8704" width="11.28515625" style="19" customWidth="1"/>
    <col min="8705" max="8705" width="2.7109375" style="19" customWidth="1"/>
    <col min="8706" max="8706" width="3.5703125" style="19" customWidth="1"/>
    <col min="8707" max="8951" width="9.28515625" style="19"/>
    <col min="8952" max="8952" width="8.7109375" style="19" customWidth="1"/>
    <col min="8953" max="8953" width="9.71093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7109375" style="19" customWidth="1"/>
    <col min="8960" max="8960" width="11.28515625" style="19" customWidth="1"/>
    <col min="8961" max="8961" width="2.7109375" style="19" customWidth="1"/>
    <col min="8962" max="8962" width="3.5703125" style="19" customWidth="1"/>
    <col min="8963" max="9207" width="9.28515625" style="19"/>
    <col min="9208" max="9208" width="8.7109375" style="19" customWidth="1"/>
    <col min="9209" max="9209" width="9.71093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7109375" style="19" customWidth="1"/>
    <col min="9216" max="9216" width="11.28515625" style="19" customWidth="1"/>
    <col min="9217" max="9217" width="2.7109375" style="19" customWidth="1"/>
    <col min="9218" max="9218" width="3.5703125" style="19" customWidth="1"/>
    <col min="9219" max="9463" width="9.28515625" style="19"/>
    <col min="9464" max="9464" width="8.7109375" style="19" customWidth="1"/>
    <col min="9465" max="9465" width="9.71093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7109375" style="19" customWidth="1"/>
    <col min="9472" max="9472" width="11.28515625" style="19" customWidth="1"/>
    <col min="9473" max="9473" width="2.7109375" style="19" customWidth="1"/>
    <col min="9474" max="9474" width="3.5703125" style="19" customWidth="1"/>
    <col min="9475" max="9719" width="9.28515625" style="19"/>
    <col min="9720" max="9720" width="8.7109375" style="19" customWidth="1"/>
    <col min="9721" max="9721" width="9.71093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7109375" style="19" customWidth="1"/>
    <col min="9728" max="9728" width="11.28515625" style="19" customWidth="1"/>
    <col min="9729" max="9729" width="2.7109375" style="19" customWidth="1"/>
    <col min="9730" max="9730" width="3.5703125" style="19" customWidth="1"/>
    <col min="9731" max="9975" width="9.28515625" style="19"/>
    <col min="9976" max="9976" width="8.7109375" style="19" customWidth="1"/>
    <col min="9977" max="9977" width="9.71093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7109375" style="19" customWidth="1"/>
    <col min="9984" max="9984" width="11.28515625" style="19" customWidth="1"/>
    <col min="9985" max="9985" width="2.7109375" style="19" customWidth="1"/>
    <col min="9986" max="9986" width="3.5703125" style="19" customWidth="1"/>
    <col min="9987" max="10231" width="9.28515625" style="19"/>
    <col min="10232" max="10232" width="8.7109375" style="19" customWidth="1"/>
    <col min="10233" max="10233" width="9.71093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7109375" style="19" customWidth="1"/>
    <col min="10240" max="10240" width="11.28515625" style="19" customWidth="1"/>
    <col min="10241" max="10241" width="2.7109375" style="19" customWidth="1"/>
    <col min="10242" max="10242" width="3.5703125" style="19" customWidth="1"/>
    <col min="10243" max="10487" width="9.28515625" style="19"/>
    <col min="10488" max="10488" width="8.7109375" style="19" customWidth="1"/>
    <col min="10489" max="10489" width="9.71093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7109375" style="19" customWidth="1"/>
    <col min="10496" max="10496" width="11.28515625" style="19" customWidth="1"/>
    <col min="10497" max="10497" width="2.7109375" style="19" customWidth="1"/>
    <col min="10498" max="10498" width="3.5703125" style="19" customWidth="1"/>
    <col min="10499" max="10743" width="9.28515625" style="19"/>
    <col min="10744" max="10744" width="8.7109375" style="19" customWidth="1"/>
    <col min="10745" max="10745" width="9.71093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7109375" style="19" customWidth="1"/>
    <col min="10752" max="10752" width="11.28515625" style="19" customWidth="1"/>
    <col min="10753" max="10753" width="2.7109375" style="19" customWidth="1"/>
    <col min="10754" max="10754" width="3.5703125" style="19" customWidth="1"/>
    <col min="10755" max="10999" width="9.28515625" style="19"/>
    <col min="11000" max="11000" width="8.7109375" style="19" customWidth="1"/>
    <col min="11001" max="11001" width="9.71093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7109375" style="19" customWidth="1"/>
    <col min="11008" max="11008" width="11.28515625" style="19" customWidth="1"/>
    <col min="11009" max="11009" width="2.7109375" style="19" customWidth="1"/>
    <col min="11010" max="11010" width="3.5703125" style="19" customWidth="1"/>
    <col min="11011" max="11255" width="9.28515625" style="19"/>
    <col min="11256" max="11256" width="8.7109375" style="19" customWidth="1"/>
    <col min="11257" max="11257" width="9.71093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7109375" style="19" customWidth="1"/>
    <col min="11264" max="11264" width="11.28515625" style="19" customWidth="1"/>
    <col min="11265" max="11265" width="2.7109375" style="19" customWidth="1"/>
    <col min="11266" max="11266" width="3.5703125" style="19" customWidth="1"/>
    <col min="11267" max="11511" width="9.28515625" style="19"/>
    <col min="11512" max="11512" width="8.7109375" style="19" customWidth="1"/>
    <col min="11513" max="11513" width="9.71093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7109375" style="19" customWidth="1"/>
    <col min="11520" max="11520" width="11.28515625" style="19" customWidth="1"/>
    <col min="11521" max="11521" width="2.7109375" style="19" customWidth="1"/>
    <col min="11522" max="11522" width="3.5703125" style="19" customWidth="1"/>
    <col min="11523" max="11767" width="9.28515625" style="19"/>
    <col min="11768" max="11768" width="8.7109375" style="19" customWidth="1"/>
    <col min="11769" max="11769" width="9.71093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7109375" style="19" customWidth="1"/>
    <col min="11776" max="11776" width="11.28515625" style="19" customWidth="1"/>
    <col min="11777" max="11777" width="2.7109375" style="19" customWidth="1"/>
    <col min="11778" max="11778" width="3.5703125" style="19" customWidth="1"/>
    <col min="11779" max="12023" width="9.28515625" style="19"/>
    <col min="12024" max="12024" width="8.7109375" style="19" customWidth="1"/>
    <col min="12025" max="12025" width="9.71093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7109375" style="19" customWidth="1"/>
    <col min="12032" max="12032" width="11.28515625" style="19" customWidth="1"/>
    <col min="12033" max="12033" width="2.7109375" style="19" customWidth="1"/>
    <col min="12034" max="12034" width="3.5703125" style="19" customWidth="1"/>
    <col min="12035" max="12279" width="9.28515625" style="19"/>
    <col min="12280" max="12280" width="8.7109375" style="19" customWidth="1"/>
    <col min="12281" max="12281" width="9.71093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7109375" style="19" customWidth="1"/>
    <col min="12288" max="12288" width="11.28515625" style="19" customWidth="1"/>
    <col min="12289" max="12289" width="2.7109375" style="19" customWidth="1"/>
    <col min="12290" max="12290" width="3.5703125" style="19" customWidth="1"/>
    <col min="12291" max="12535" width="9.28515625" style="19"/>
    <col min="12536" max="12536" width="8.7109375" style="19" customWidth="1"/>
    <col min="12537" max="12537" width="9.71093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7109375" style="19" customWidth="1"/>
    <col min="12544" max="12544" width="11.28515625" style="19" customWidth="1"/>
    <col min="12545" max="12545" width="2.7109375" style="19" customWidth="1"/>
    <col min="12546" max="12546" width="3.5703125" style="19" customWidth="1"/>
    <col min="12547" max="12791" width="9.28515625" style="19"/>
    <col min="12792" max="12792" width="8.7109375" style="19" customWidth="1"/>
    <col min="12793" max="12793" width="9.71093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7109375" style="19" customWidth="1"/>
    <col min="12800" max="12800" width="11.28515625" style="19" customWidth="1"/>
    <col min="12801" max="12801" width="2.7109375" style="19" customWidth="1"/>
    <col min="12802" max="12802" width="3.5703125" style="19" customWidth="1"/>
    <col min="12803" max="13047" width="9.28515625" style="19"/>
    <col min="13048" max="13048" width="8.7109375" style="19" customWidth="1"/>
    <col min="13049" max="13049" width="9.71093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7109375" style="19" customWidth="1"/>
    <col min="13056" max="13056" width="11.28515625" style="19" customWidth="1"/>
    <col min="13057" max="13057" width="2.7109375" style="19" customWidth="1"/>
    <col min="13058" max="13058" width="3.5703125" style="19" customWidth="1"/>
    <col min="13059" max="13303" width="9.28515625" style="19"/>
    <col min="13304" max="13304" width="8.7109375" style="19" customWidth="1"/>
    <col min="13305" max="13305" width="9.71093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7109375" style="19" customWidth="1"/>
    <col min="13312" max="13312" width="11.28515625" style="19" customWidth="1"/>
    <col min="13313" max="13313" width="2.7109375" style="19" customWidth="1"/>
    <col min="13314" max="13314" width="3.5703125" style="19" customWidth="1"/>
    <col min="13315" max="13559" width="9.28515625" style="19"/>
    <col min="13560" max="13560" width="8.7109375" style="19" customWidth="1"/>
    <col min="13561" max="13561" width="9.71093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7109375" style="19" customWidth="1"/>
    <col min="13568" max="13568" width="11.28515625" style="19" customWidth="1"/>
    <col min="13569" max="13569" width="2.7109375" style="19" customWidth="1"/>
    <col min="13570" max="13570" width="3.5703125" style="19" customWidth="1"/>
    <col min="13571" max="13815" width="9.28515625" style="19"/>
    <col min="13816" max="13816" width="8.7109375" style="19" customWidth="1"/>
    <col min="13817" max="13817" width="9.71093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7109375" style="19" customWidth="1"/>
    <col min="13824" max="13824" width="11.28515625" style="19" customWidth="1"/>
    <col min="13825" max="13825" width="2.7109375" style="19" customWidth="1"/>
    <col min="13826" max="13826" width="3.5703125" style="19" customWidth="1"/>
    <col min="13827" max="14071" width="9.28515625" style="19"/>
    <col min="14072" max="14072" width="8.7109375" style="19" customWidth="1"/>
    <col min="14073" max="14073" width="9.71093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7109375" style="19" customWidth="1"/>
    <col min="14080" max="14080" width="11.28515625" style="19" customWidth="1"/>
    <col min="14081" max="14081" width="2.7109375" style="19" customWidth="1"/>
    <col min="14082" max="14082" width="3.5703125" style="19" customWidth="1"/>
    <col min="14083" max="14327" width="9.28515625" style="19"/>
    <col min="14328" max="14328" width="8.7109375" style="19" customWidth="1"/>
    <col min="14329" max="14329" width="9.71093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7109375" style="19" customWidth="1"/>
    <col min="14336" max="14336" width="11.28515625" style="19" customWidth="1"/>
    <col min="14337" max="14337" width="2.7109375" style="19" customWidth="1"/>
    <col min="14338" max="14338" width="3.5703125" style="19" customWidth="1"/>
    <col min="14339" max="14583" width="9.28515625" style="19"/>
    <col min="14584" max="14584" width="8.7109375" style="19" customWidth="1"/>
    <col min="14585" max="14585" width="9.71093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7109375" style="19" customWidth="1"/>
    <col min="14592" max="14592" width="11.28515625" style="19" customWidth="1"/>
    <col min="14593" max="14593" width="2.7109375" style="19" customWidth="1"/>
    <col min="14594" max="14594" width="3.5703125" style="19" customWidth="1"/>
    <col min="14595" max="14839" width="9.28515625" style="19"/>
    <col min="14840" max="14840" width="8.7109375" style="19" customWidth="1"/>
    <col min="14841" max="14841" width="9.71093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7109375" style="19" customWidth="1"/>
    <col min="14848" max="14848" width="11.28515625" style="19" customWidth="1"/>
    <col min="14849" max="14849" width="2.7109375" style="19" customWidth="1"/>
    <col min="14850" max="14850" width="3.5703125" style="19" customWidth="1"/>
    <col min="14851" max="15095" width="9.28515625" style="19"/>
    <col min="15096" max="15096" width="8.7109375" style="19" customWidth="1"/>
    <col min="15097" max="15097" width="9.71093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7109375" style="19" customWidth="1"/>
    <col min="15104" max="15104" width="11.28515625" style="19" customWidth="1"/>
    <col min="15105" max="15105" width="2.7109375" style="19" customWidth="1"/>
    <col min="15106" max="15106" width="3.5703125" style="19" customWidth="1"/>
    <col min="15107" max="15351" width="9.28515625" style="19"/>
    <col min="15352" max="15352" width="8.7109375" style="19" customWidth="1"/>
    <col min="15353" max="15353" width="9.71093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7109375" style="19" customWidth="1"/>
    <col min="15360" max="15360" width="11.28515625" style="19" customWidth="1"/>
    <col min="15361" max="15361" width="2.7109375" style="19" customWidth="1"/>
    <col min="15362" max="15362" width="3.5703125" style="19" customWidth="1"/>
    <col min="15363" max="15607" width="9.28515625" style="19"/>
    <col min="15608" max="15608" width="8.7109375" style="19" customWidth="1"/>
    <col min="15609" max="15609" width="9.71093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7109375" style="19" customWidth="1"/>
    <col min="15616" max="15616" width="11.28515625" style="19" customWidth="1"/>
    <col min="15617" max="15617" width="2.7109375" style="19" customWidth="1"/>
    <col min="15618" max="15618" width="3.5703125" style="19" customWidth="1"/>
    <col min="15619" max="15863" width="9.28515625" style="19"/>
    <col min="15864" max="15864" width="8.7109375" style="19" customWidth="1"/>
    <col min="15865" max="15865" width="9.71093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7109375" style="19" customWidth="1"/>
    <col min="15872" max="15872" width="11.28515625" style="19" customWidth="1"/>
    <col min="15873" max="15873" width="2.7109375" style="19" customWidth="1"/>
    <col min="15874" max="15874" width="3.5703125" style="19" customWidth="1"/>
    <col min="15875" max="16119" width="9.28515625" style="19"/>
    <col min="16120" max="16120" width="8.7109375" style="19" customWidth="1"/>
    <col min="16121" max="16121" width="9.71093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7109375" style="19" customWidth="1"/>
    <col min="16128" max="16128" width="11.28515625" style="19" customWidth="1"/>
    <col min="16129" max="16129" width="2.7109375" style="19" customWidth="1"/>
    <col min="16130" max="16130" width="3.5703125" style="19" customWidth="1"/>
    <col min="16131" max="16384" width="9.28515625" style="19"/>
  </cols>
  <sheetData>
    <row r="1" spans="1:12" ht="46.5" customHeight="1" x14ac:dyDescent="0.25">
      <c r="A1" s="128" t="s">
        <v>171</v>
      </c>
      <c r="B1" s="128"/>
      <c r="C1" s="128"/>
      <c r="D1" s="128"/>
      <c r="E1" s="128"/>
      <c r="F1" s="128"/>
      <c r="G1" s="128"/>
      <c r="H1" s="128"/>
    </row>
    <row r="2" spans="1:12" ht="16.5" customHeight="1" x14ac:dyDescent="0.25">
      <c r="A2" s="93" t="s">
        <v>0</v>
      </c>
      <c r="B2" s="93"/>
      <c r="C2" s="93"/>
      <c r="D2" s="93"/>
      <c r="E2" s="93"/>
      <c r="F2" s="93"/>
      <c r="G2" s="93"/>
      <c r="H2" s="93"/>
    </row>
    <row r="3" spans="1:12" x14ac:dyDescent="0.25">
      <c r="A3" s="89" t="s">
        <v>1</v>
      </c>
      <c r="B3" s="89"/>
      <c r="C3" s="89"/>
      <c r="D3" s="89"/>
      <c r="E3" s="89" t="str">
        <f ca="1">TEXT(TODAY(),"DD/MM/YYYY")</f>
        <v>10/09/2025</v>
      </c>
      <c r="F3" s="89"/>
      <c r="G3" s="89"/>
      <c r="H3" s="89"/>
    </row>
    <row r="4" spans="1:12" x14ac:dyDescent="0.25">
      <c r="A4" s="89" t="s">
        <v>2</v>
      </c>
      <c r="B4" s="89"/>
      <c r="C4" s="89"/>
      <c r="D4" s="89"/>
      <c r="E4" s="89" t="s">
        <v>176</v>
      </c>
      <c r="F4" s="89"/>
      <c r="G4" s="89"/>
      <c r="H4" s="89"/>
    </row>
    <row r="5" spans="1:12" x14ac:dyDescent="0.25">
      <c r="A5" s="89" t="s">
        <v>3</v>
      </c>
      <c r="B5" s="89"/>
      <c r="C5" s="89"/>
      <c r="D5" s="89"/>
      <c r="E5" s="132">
        <v>45909</v>
      </c>
      <c r="F5" s="89"/>
      <c r="G5" s="89"/>
      <c r="H5" s="89"/>
    </row>
    <row r="6" spans="1:12" ht="16.5" customHeight="1" x14ac:dyDescent="0.25">
      <c r="A6" s="89" t="s">
        <v>4</v>
      </c>
      <c r="B6" s="89"/>
      <c r="C6" s="89"/>
      <c r="D6" s="89"/>
      <c r="E6" s="89" t="s">
        <v>178</v>
      </c>
      <c r="F6" s="89"/>
      <c r="G6" s="89"/>
      <c r="H6" s="89"/>
    </row>
    <row r="7" spans="1:12" x14ac:dyDescent="0.25">
      <c r="A7" s="89" t="s">
        <v>5</v>
      </c>
      <c r="B7" s="89"/>
      <c r="C7" s="89"/>
      <c r="D7" s="89"/>
      <c r="E7" s="89" t="str">
        <f>E6</f>
        <v>Pacific Properties</v>
      </c>
      <c r="F7" s="89"/>
      <c r="G7" s="89"/>
      <c r="H7" s="89"/>
    </row>
    <row r="8" spans="1:12" x14ac:dyDescent="0.25">
      <c r="A8" s="89" t="s">
        <v>6</v>
      </c>
      <c r="B8" s="89"/>
      <c r="C8" s="89"/>
      <c r="D8" s="89"/>
      <c r="E8" s="129" t="s">
        <v>177</v>
      </c>
      <c r="F8" s="130"/>
      <c r="G8" s="130"/>
      <c r="H8" s="131"/>
    </row>
    <row r="9" spans="1:12" x14ac:dyDescent="0.25">
      <c r="A9" s="89" t="s">
        <v>174</v>
      </c>
      <c r="B9" s="89"/>
      <c r="C9" s="89"/>
      <c r="D9" s="89"/>
      <c r="E9" s="89">
        <v>9930202121</v>
      </c>
      <c r="F9" s="89"/>
      <c r="G9" s="89"/>
      <c r="H9" s="89"/>
    </row>
    <row r="10" spans="1:12" x14ac:dyDescent="0.25">
      <c r="A10" s="89" t="s">
        <v>175</v>
      </c>
      <c r="B10" s="89"/>
      <c r="C10" s="89"/>
      <c r="D10" s="89"/>
      <c r="E10" s="89" t="s">
        <v>221</v>
      </c>
      <c r="F10" s="89"/>
      <c r="G10" s="89"/>
      <c r="H10" s="89"/>
      <c r="I10" s="89" t="s">
        <v>219</v>
      </c>
      <c r="J10" s="89"/>
      <c r="K10" s="89"/>
      <c r="L10" s="89"/>
    </row>
    <row r="11" spans="1:12" x14ac:dyDescent="0.25">
      <c r="A11" s="89" t="s">
        <v>7</v>
      </c>
      <c r="B11" s="89"/>
      <c r="C11" s="89"/>
      <c r="D11" s="89"/>
      <c r="E11" s="89" t="s">
        <v>127</v>
      </c>
      <c r="F11" s="89"/>
      <c r="G11" s="89"/>
      <c r="H11" s="89"/>
    </row>
    <row r="12" spans="1:12" ht="32.25" customHeight="1" x14ac:dyDescent="0.25">
      <c r="A12" s="69" t="s">
        <v>8</v>
      </c>
      <c r="B12" s="69"/>
      <c r="C12" s="69"/>
      <c r="D12" s="69"/>
      <c r="E12" s="88" t="s">
        <v>180</v>
      </c>
      <c r="F12" s="88"/>
      <c r="G12" s="88"/>
      <c r="H12" s="88"/>
    </row>
    <row r="13" spans="1:12" x14ac:dyDescent="0.25">
      <c r="A13" s="69" t="s">
        <v>9</v>
      </c>
      <c r="B13" s="69"/>
      <c r="C13" s="69"/>
      <c r="D13" s="69"/>
      <c r="E13" s="88" t="s">
        <v>179</v>
      </c>
      <c r="F13" s="89"/>
      <c r="G13" s="89"/>
      <c r="H13" s="89"/>
    </row>
    <row r="14" spans="1:12" ht="33" customHeight="1" x14ac:dyDescent="0.25">
      <c r="A14" s="88" t="s">
        <v>10</v>
      </c>
      <c r="B14" s="88"/>
      <c r="C14" s="8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One Pyramid, Plot No.26, Sector No. 8, near Gurukul CHS, Rama Kalu Shahadkar Marg, Airoli, Airoli , Rabale, Thane, Thane - 400708.</v>
      </c>
      <c r="D14" s="88"/>
      <c r="E14" s="88"/>
      <c r="F14" s="88"/>
      <c r="G14" s="88"/>
      <c r="H14" s="88"/>
    </row>
    <row r="15" spans="1:12" x14ac:dyDescent="0.25">
      <c r="A15" s="88" t="s">
        <v>188</v>
      </c>
      <c r="B15" s="88"/>
      <c r="C15" s="88" t="s">
        <v>189</v>
      </c>
      <c r="D15" s="88"/>
      <c r="E15" s="88"/>
      <c r="F15" s="88"/>
      <c r="G15" s="88"/>
      <c r="H15" s="88"/>
    </row>
    <row r="16" spans="1:12" ht="15.75" customHeight="1" x14ac:dyDescent="0.25">
      <c r="A16" s="88" t="s">
        <v>169</v>
      </c>
      <c r="B16" s="88"/>
      <c r="C16" s="88" t="s">
        <v>217</v>
      </c>
      <c r="D16" s="88"/>
      <c r="E16" s="88"/>
      <c r="F16" s="88"/>
      <c r="G16" s="88"/>
      <c r="H16" s="88"/>
    </row>
    <row r="17" spans="1:8" ht="33" customHeight="1" x14ac:dyDescent="0.25">
      <c r="A17" s="87" t="s">
        <v>11</v>
      </c>
      <c r="B17" s="87"/>
      <c r="C17" s="88" t="s">
        <v>186</v>
      </c>
      <c r="D17" s="88"/>
      <c r="E17" s="87" t="s">
        <v>75</v>
      </c>
      <c r="F17" s="87"/>
      <c r="G17" s="88" t="s">
        <v>185</v>
      </c>
      <c r="H17" s="88"/>
    </row>
    <row r="18" spans="1:8" x14ac:dyDescent="0.25">
      <c r="A18" s="69" t="s">
        <v>13</v>
      </c>
      <c r="B18" s="69"/>
      <c r="C18" s="88" t="s">
        <v>183</v>
      </c>
      <c r="D18" s="88"/>
      <c r="E18" s="87" t="s">
        <v>12</v>
      </c>
      <c r="F18" s="87"/>
      <c r="G18" s="133" t="s">
        <v>181</v>
      </c>
      <c r="H18" s="133"/>
    </row>
    <row r="19" spans="1:8" x14ac:dyDescent="0.25">
      <c r="A19" s="69" t="s">
        <v>76</v>
      </c>
      <c r="B19" s="69"/>
      <c r="C19" s="133" t="s">
        <v>181</v>
      </c>
      <c r="D19" s="133"/>
      <c r="E19" s="87" t="s">
        <v>14</v>
      </c>
      <c r="F19" s="87"/>
      <c r="G19" s="88">
        <v>400708</v>
      </c>
      <c r="H19" s="88"/>
    </row>
    <row r="20" spans="1:8" ht="32.25" customHeight="1" x14ac:dyDescent="0.25">
      <c r="A20" s="69" t="s">
        <v>128</v>
      </c>
      <c r="B20" s="69"/>
      <c r="C20" s="88" t="s">
        <v>187</v>
      </c>
      <c r="D20" s="88"/>
      <c r="E20" s="87" t="s">
        <v>15</v>
      </c>
      <c r="F20" s="87"/>
      <c r="G20" s="88" t="s">
        <v>182</v>
      </c>
      <c r="H20" s="88"/>
    </row>
    <row r="21" spans="1:8" ht="15" customHeight="1" x14ac:dyDescent="0.25">
      <c r="A21" s="87" t="s">
        <v>79</v>
      </c>
      <c r="B21" s="87"/>
      <c r="C21" s="87"/>
      <c r="D21" s="87"/>
      <c r="E21" s="89" t="s">
        <v>16</v>
      </c>
      <c r="F21" s="89"/>
      <c r="G21" s="89"/>
      <c r="H21" s="89"/>
    </row>
    <row r="22" spans="1:8" ht="18.75" customHeight="1" x14ac:dyDescent="0.25">
      <c r="A22" s="87"/>
      <c r="B22" s="87"/>
      <c r="C22" s="87"/>
      <c r="D22" s="87"/>
      <c r="E22" s="89"/>
      <c r="F22" s="89"/>
      <c r="G22" s="89"/>
      <c r="H22" s="89"/>
    </row>
    <row r="23" spans="1:8" ht="15" customHeight="1" x14ac:dyDescent="0.25">
      <c r="A23" s="87" t="s">
        <v>17</v>
      </c>
      <c r="B23" s="87"/>
      <c r="C23" s="87"/>
      <c r="D23" s="87"/>
      <c r="E23" s="88" t="s">
        <v>18</v>
      </c>
      <c r="F23" s="88"/>
      <c r="G23" s="88"/>
      <c r="H23" s="88"/>
    </row>
    <row r="24" spans="1:8" ht="15" customHeight="1" x14ac:dyDescent="0.25">
      <c r="A24" s="69" t="s">
        <v>19</v>
      </c>
      <c r="B24" s="69"/>
      <c r="C24" s="69"/>
      <c r="D24" s="69"/>
      <c r="E24" s="88" t="str">
        <f>IF(AND(G18="Mumbai"),"Upper Class","Middle Class")</f>
        <v>Middle Class</v>
      </c>
      <c r="F24" s="88"/>
      <c r="G24" s="88"/>
      <c r="H24" s="88"/>
    </row>
    <row r="25" spans="1:8" x14ac:dyDescent="0.25">
      <c r="A25" s="69" t="s">
        <v>20</v>
      </c>
      <c r="B25" s="69"/>
      <c r="C25" s="69"/>
      <c r="D25" s="69"/>
      <c r="E25" s="88" t="s">
        <v>21</v>
      </c>
      <c r="F25" s="88"/>
      <c r="G25" s="88"/>
      <c r="H25" s="88"/>
    </row>
    <row r="26" spans="1:8" ht="15.75" customHeight="1" x14ac:dyDescent="0.25">
      <c r="A26" s="69" t="s">
        <v>22</v>
      </c>
      <c r="B26" s="69"/>
      <c r="C26" s="69"/>
      <c r="D26" s="69"/>
      <c r="E26" s="88" t="str">
        <f>IF(AND(G18="Mumbai"),"Developed","Developing")</f>
        <v>Developing</v>
      </c>
      <c r="F26" s="88"/>
      <c r="G26" s="88"/>
      <c r="H26" s="88"/>
    </row>
    <row r="27" spans="1:8" x14ac:dyDescent="0.25">
      <c r="A27" s="69" t="s">
        <v>23</v>
      </c>
      <c r="B27" s="69"/>
      <c r="C27" s="69"/>
      <c r="D27" s="69"/>
      <c r="E27" s="88" t="s">
        <v>24</v>
      </c>
      <c r="F27" s="88"/>
      <c r="G27" s="88"/>
      <c r="H27" s="88"/>
    </row>
    <row r="28" spans="1:8" ht="15.75" customHeight="1" x14ac:dyDescent="0.25">
      <c r="A28" s="69" t="s">
        <v>84</v>
      </c>
      <c r="B28" s="69"/>
      <c r="C28" s="69"/>
      <c r="D28" s="69"/>
      <c r="E28" s="88" t="s">
        <v>85</v>
      </c>
      <c r="F28" s="88"/>
      <c r="G28" s="88"/>
      <c r="H28" s="88"/>
    </row>
    <row r="29" spans="1:8" ht="15" customHeight="1" x14ac:dyDescent="0.25">
      <c r="A29" s="69" t="s">
        <v>33</v>
      </c>
      <c r="B29" s="69"/>
      <c r="C29" s="69"/>
      <c r="D29" s="69"/>
      <c r="E29" s="8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8"/>
      <c r="G29" s="88"/>
      <c r="H29" s="88"/>
    </row>
    <row r="30" spans="1:8" ht="15.75" customHeight="1" x14ac:dyDescent="0.25">
      <c r="A30" s="69" t="s">
        <v>96</v>
      </c>
      <c r="B30" s="69"/>
      <c r="C30" s="69"/>
      <c r="D30" s="69"/>
      <c r="E30" s="88" t="s">
        <v>34</v>
      </c>
      <c r="F30" s="88"/>
      <c r="G30" s="88"/>
      <c r="H30" s="88"/>
    </row>
    <row r="31" spans="1:8" s="20" customFormat="1" x14ac:dyDescent="0.25">
      <c r="A31" s="137" t="s">
        <v>97</v>
      </c>
      <c r="B31" s="137"/>
      <c r="C31" s="136" t="s">
        <v>29</v>
      </c>
      <c r="D31" s="136"/>
      <c r="E31" s="136"/>
      <c r="F31" s="136" t="s">
        <v>31</v>
      </c>
      <c r="G31" s="136"/>
      <c r="H31" s="136"/>
    </row>
    <row r="32" spans="1:8" s="20" customFormat="1" x14ac:dyDescent="0.25">
      <c r="A32" s="134" t="s">
        <v>25</v>
      </c>
      <c r="B32" s="134" t="s">
        <v>30</v>
      </c>
      <c r="C32" s="135" t="s">
        <v>30</v>
      </c>
      <c r="D32" s="135"/>
      <c r="E32" s="135"/>
      <c r="F32" s="135" t="s">
        <v>191</v>
      </c>
      <c r="G32" s="135"/>
      <c r="H32" s="135"/>
    </row>
    <row r="33" spans="1:8" x14ac:dyDescent="0.25">
      <c r="A33" s="134" t="s">
        <v>26</v>
      </c>
      <c r="B33" s="134" t="s">
        <v>30</v>
      </c>
      <c r="C33" s="135" t="s">
        <v>30</v>
      </c>
      <c r="D33" s="135"/>
      <c r="E33" s="135"/>
      <c r="F33" s="135" t="s">
        <v>192</v>
      </c>
      <c r="G33" s="135"/>
      <c r="H33" s="135"/>
    </row>
    <row r="34" spans="1:8" s="20" customFormat="1" x14ac:dyDescent="0.25">
      <c r="A34" s="134" t="s">
        <v>28</v>
      </c>
      <c r="B34" s="134" t="s">
        <v>30</v>
      </c>
      <c r="C34" s="135" t="s">
        <v>30</v>
      </c>
      <c r="D34" s="135"/>
      <c r="E34" s="135"/>
      <c r="F34" s="135" t="s">
        <v>193</v>
      </c>
      <c r="G34" s="135"/>
      <c r="H34" s="135"/>
    </row>
    <row r="35" spans="1:8" x14ac:dyDescent="0.25">
      <c r="A35" s="134" t="s">
        <v>27</v>
      </c>
      <c r="B35" s="134" t="s">
        <v>30</v>
      </c>
      <c r="C35" s="135" t="s">
        <v>30</v>
      </c>
      <c r="D35" s="135"/>
      <c r="E35" s="135"/>
      <c r="F35" s="135" t="s">
        <v>186</v>
      </c>
      <c r="G35" s="135"/>
      <c r="H35" s="135"/>
    </row>
    <row r="36" spans="1:8" x14ac:dyDescent="0.25">
      <c r="A36" s="69" t="s">
        <v>32</v>
      </c>
      <c r="B36" s="69"/>
      <c r="C36" s="69"/>
      <c r="D36" s="69"/>
      <c r="E36" s="69"/>
      <c r="F36" s="69"/>
      <c r="G36" s="69"/>
      <c r="H36" s="69"/>
    </row>
    <row r="37" spans="1:8" ht="15.75" customHeight="1" x14ac:dyDescent="0.25">
      <c r="A37" s="69" t="s">
        <v>172</v>
      </c>
      <c r="B37" s="69"/>
      <c r="C37" s="121" t="s">
        <v>190</v>
      </c>
      <c r="D37" s="121"/>
      <c r="E37" s="121"/>
      <c r="F37" s="121"/>
      <c r="G37" s="121"/>
      <c r="H37" s="121"/>
    </row>
    <row r="38" spans="1:8" x14ac:dyDescent="0.25">
      <c r="A38" s="69" t="s">
        <v>168</v>
      </c>
      <c r="B38" s="69"/>
      <c r="C38" s="142" t="s">
        <v>184</v>
      </c>
      <c r="D38" s="88"/>
      <c r="E38" s="88"/>
      <c r="F38" s="88"/>
      <c r="G38" s="88"/>
      <c r="H38" s="88"/>
    </row>
    <row r="39" spans="1:8" x14ac:dyDescent="0.25">
      <c r="A39" s="121" t="s">
        <v>35</v>
      </c>
      <c r="B39" s="121"/>
      <c r="C39" s="121"/>
      <c r="D39" s="121"/>
      <c r="E39" s="121"/>
      <c r="F39" s="121"/>
      <c r="G39" s="121"/>
      <c r="H39" s="121"/>
    </row>
    <row r="40" spans="1:8" x14ac:dyDescent="0.25">
      <c r="A40" s="69" t="s">
        <v>36</v>
      </c>
      <c r="B40" s="69"/>
      <c r="C40" s="69"/>
      <c r="D40" s="69"/>
      <c r="E40" s="152">
        <v>1796.91</v>
      </c>
      <c r="F40" s="152"/>
      <c r="G40" s="152"/>
      <c r="H40" s="152"/>
    </row>
    <row r="41" spans="1:8" x14ac:dyDescent="0.25">
      <c r="A41" s="69" t="s">
        <v>37</v>
      </c>
      <c r="B41" s="69"/>
      <c r="C41" s="69"/>
      <c r="D41" s="69"/>
      <c r="E41" s="68">
        <v>1.1000000000000001</v>
      </c>
      <c r="F41" s="68"/>
      <c r="G41" s="68"/>
      <c r="H41" s="68"/>
    </row>
    <row r="42" spans="1:8" x14ac:dyDescent="0.25">
      <c r="A42" s="69" t="s">
        <v>38</v>
      </c>
      <c r="B42" s="69"/>
      <c r="C42" s="69"/>
      <c r="D42" s="69"/>
      <c r="E42" s="68">
        <f>E44/E40-E41</f>
        <v>3.7404026912867088</v>
      </c>
      <c r="F42" s="68"/>
      <c r="G42" s="68"/>
      <c r="H42" s="68"/>
    </row>
    <row r="43" spans="1:8" x14ac:dyDescent="0.25">
      <c r="A43" s="69" t="s">
        <v>39</v>
      </c>
      <c r="B43" s="69"/>
      <c r="C43" s="69"/>
      <c r="D43" s="69"/>
      <c r="E43" s="68">
        <f>E41+E42</f>
        <v>4.8404026912867089</v>
      </c>
      <c r="F43" s="68"/>
      <c r="G43" s="68"/>
      <c r="H43" s="68"/>
    </row>
    <row r="44" spans="1:8" x14ac:dyDescent="0.25">
      <c r="A44" s="69" t="s">
        <v>95</v>
      </c>
      <c r="B44" s="69"/>
      <c r="C44" s="69"/>
      <c r="D44" s="69"/>
      <c r="E44" s="139">
        <v>8697.768</v>
      </c>
      <c r="F44" s="139"/>
      <c r="G44" s="139"/>
      <c r="H44" s="139"/>
    </row>
    <row r="45" spans="1:8" x14ac:dyDescent="0.25">
      <c r="A45" s="89" t="s">
        <v>40</v>
      </c>
      <c r="B45" s="89"/>
      <c r="C45" s="89"/>
      <c r="D45" s="89"/>
      <c r="E45" s="89" t="s">
        <v>127</v>
      </c>
      <c r="F45" s="89"/>
      <c r="G45" s="89"/>
      <c r="H45" s="89"/>
    </row>
    <row r="46" spans="1:8" x14ac:dyDescent="0.25">
      <c r="A46" s="121" t="s">
        <v>41</v>
      </c>
      <c r="B46" s="121"/>
      <c r="C46" s="121"/>
      <c r="D46" s="121"/>
      <c r="E46" s="121"/>
      <c r="F46" s="121"/>
      <c r="G46" s="121"/>
      <c r="H46" s="121"/>
    </row>
    <row r="47" spans="1:8" ht="33.75" customHeight="1" x14ac:dyDescent="0.25">
      <c r="A47" s="77" t="s">
        <v>155</v>
      </c>
      <c r="B47" s="78"/>
      <c r="C47" s="129" t="s">
        <v>194</v>
      </c>
      <c r="D47" s="130"/>
      <c r="E47" s="130"/>
      <c r="F47" s="130"/>
      <c r="G47" s="130"/>
      <c r="H47" s="131"/>
    </row>
    <row r="48" spans="1:8" ht="15.75" customHeight="1" x14ac:dyDescent="0.25">
      <c r="A48" s="77" t="s">
        <v>42</v>
      </c>
      <c r="B48" s="78"/>
      <c r="C48" s="77" t="s">
        <v>195</v>
      </c>
      <c r="D48" s="79"/>
      <c r="E48" s="78"/>
      <c r="F48" s="17" t="s">
        <v>43</v>
      </c>
      <c r="G48" s="80">
        <v>45042</v>
      </c>
      <c r="H48" s="78"/>
    </row>
    <row r="49" spans="1:14" x14ac:dyDescent="0.25">
      <c r="A49" s="77" t="s">
        <v>44</v>
      </c>
      <c r="B49" s="78"/>
      <c r="C49" s="77" t="str">
        <f>C48</f>
        <v>NRV/A/17375</v>
      </c>
      <c r="D49" s="79"/>
      <c r="E49" s="78"/>
      <c r="F49" s="17" t="s">
        <v>43</v>
      </c>
      <c r="G49" s="80">
        <v>45042</v>
      </c>
      <c r="H49" s="78"/>
    </row>
    <row r="50" spans="1:14" s="21" customFormat="1" ht="15.75" customHeight="1" x14ac:dyDescent="0.25">
      <c r="A50" s="145" t="s">
        <v>159</v>
      </c>
      <c r="B50" s="146"/>
      <c r="C50" s="77" t="s">
        <v>196</v>
      </c>
      <c r="D50" s="79"/>
      <c r="E50" s="78"/>
      <c r="F50" s="17" t="s">
        <v>43</v>
      </c>
      <c r="G50" s="80">
        <v>45042</v>
      </c>
      <c r="H50" s="78"/>
    </row>
    <row r="51" spans="1:14" s="21" customFormat="1" x14ac:dyDescent="0.25">
      <c r="A51" s="147"/>
      <c r="B51" s="148"/>
      <c r="C51" s="77" t="s">
        <v>201</v>
      </c>
      <c r="D51" s="79"/>
      <c r="E51" s="79"/>
      <c r="F51" s="79"/>
      <c r="G51" s="79"/>
      <c r="H51" s="78"/>
    </row>
    <row r="52" spans="1:14" x14ac:dyDescent="0.25">
      <c r="A52" s="140" t="s">
        <v>45</v>
      </c>
      <c r="B52" s="141"/>
      <c r="C52" s="140" t="s">
        <v>109</v>
      </c>
      <c r="D52" s="149"/>
      <c r="E52" s="141"/>
      <c r="F52" s="42" t="s">
        <v>43</v>
      </c>
      <c r="G52" s="90" t="s">
        <v>30</v>
      </c>
      <c r="H52" s="91"/>
    </row>
    <row r="53" spans="1:14" x14ac:dyDescent="0.25">
      <c r="A53" s="123" t="s">
        <v>47</v>
      </c>
      <c r="B53" s="123"/>
      <c r="C53" s="123"/>
      <c r="D53" s="123"/>
      <c r="E53" s="123"/>
      <c r="F53" s="123"/>
      <c r="G53" s="123"/>
      <c r="H53" s="123"/>
    </row>
    <row r="54" spans="1:14" x14ac:dyDescent="0.25">
      <c r="A54" s="87" t="s">
        <v>94</v>
      </c>
      <c r="B54" s="87"/>
      <c r="C54" s="87"/>
      <c r="D54" s="69">
        <f>E44</f>
        <v>8697.768</v>
      </c>
      <c r="E54" s="69"/>
      <c r="F54" s="69"/>
      <c r="G54" s="69"/>
      <c r="H54" s="69"/>
    </row>
    <row r="55" spans="1:14" x14ac:dyDescent="0.25">
      <c r="A55" s="88" t="s">
        <v>48</v>
      </c>
      <c r="B55" s="89"/>
      <c r="C55" s="89"/>
      <c r="D55" s="89" t="s">
        <v>215</v>
      </c>
      <c r="E55" s="89"/>
      <c r="F55" s="89"/>
      <c r="G55" s="89"/>
      <c r="H55" s="89"/>
      <c r="I55" s="22"/>
    </row>
    <row r="56" spans="1:14" x14ac:dyDescent="0.25">
      <c r="A56" s="81" t="s">
        <v>49</v>
      </c>
      <c r="B56" s="82"/>
      <c r="C56" s="144"/>
      <c r="D56" s="102" t="s">
        <v>201</v>
      </c>
      <c r="E56" s="143"/>
      <c r="F56" s="143"/>
      <c r="G56" s="143"/>
      <c r="H56" s="143"/>
    </row>
    <row r="57" spans="1:14" ht="15.75" customHeight="1" x14ac:dyDescent="0.25">
      <c r="A57" s="81" t="s">
        <v>92</v>
      </c>
      <c r="B57" s="82"/>
      <c r="C57" s="82"/>
      <c r="D57" s="83" t="s">
        <v>201</v>
      </c>
      <c r="E57" s="84"/>
      <c r="F57" s="84"/>
      <c r="G57" s="84"/>
      <c r="H57" s="85"/>
    </row>
    <row r="58" spans="1:14" ht="15.75" customHeight="1" x14ac:dyDescent="0.25">
      <c r="A58" s="69" t="s">
        <v>46</v>
      </c>
      <c r="B58" s="69"/>
      <c r="C58" s="69"/>
      <c r="D58" s="138" t="s">
        <v>197</v>
      </c>
      <c r="E58" s="138"/>
      <c r="F58" s="138"/>
      <c r="G58" s="138"/>
      <c r="H58" s="138"/>
      <c r="J58" s="23"/>
      <c r="K58" s="22"/>
      <c r="N58" s="22"/>
    </row>
    <row r="59" spans="1:14" ht="15.75" customHeight="1" x14ac:dyDescent="0.25">
      <c r="A59" s="69" t="s">
        <v>90</v>
      </c>
      <c r="B59" s="69"/>
      <c r="C59" s="69"/>
      <c r="D59" s="104" t="str">
        <f>(IF(G52="NA","60 Years After Completion",IF(G52&lt;&gt;"NA",""&amp;60-ROUNDDOWN((E3-G52)/360,0)&amp;" Years"," ")))</f>
        <v>60 Years After Completion</v>
      </c>
      <c r="E59" s="104"/>
      <c r="F59" s="104"/>
      <c r="G59" s="104"/>
      <c r="H59" s="104"/>
      <c r="N59" s="22"/>
    </row>
    <row r="60" spans="1:14" ht="15.75" customHeight="1" x14ac:dyDescent="0.25">
      <c r="A60" s="69" t="s">
        <v>91</v>
      </c>
      <c r="B60" s="69"/>
      <c r="C60" s="69"/>
      <c r="D60" s="87" t="s">
        <v>24</v>
      </c>
      <c r="E60" s="87"/>
      <c r="F60" s="87"/>
      <c r="G60" s="87"/>
      <c r="H60" s="87"/>
      <c r="J60" s="24"/>
      <c r="K60" s="24"/>
    </row>
    <row r="61" spans="1:14" ht="33.75" customHeight="1" x14ac:dyDescent="0.25">
      <c r="A61" s="69" t="s">
        <v>77</v>
      </c>
      <c r="B61" s="69"/>
      <c r="C61" s="69"/>
      <c r="D61" s="88" t="s">
        <v>210</v>
      </c>
      <c r="E61" s="87"/>
      <c r="F61" s="87"/>
      <c r="G61" s="87"/>
      <c r="H61" s="87"/>
    </row>
    <row r="62" spans="1:14" x14ac:dyDescent="0.25">
      <c r="A62" s="87" t="s">
        <v>154</v>
      </c>
      <c r="B62" s="87"/>
      <c r="C62" s="87"/>
      <c r="D62" s="87" t="s">
        <v>30</v>
      </c>
      <c r="E62" s="87"/>
      <c r="F62" s="87"/>
      <c r="G62" s="87"/>
      <c r="H62" s="87"/>
      <c r="I62" s="25"/>
      <c r="J62" s="25"/>
      <c r="K62" s="25"/>
      <c r="L62" s="25"/>
      <c r="M62" s="25"/>
      <c r="N62" s="25"/>
    </row>
    <row r="63" spans="1:14" ht="15.75" customHeight="1" x14ac:dyDescent="0.25">
      <c r="A63" s="101" t="s">
        <v>89</v>
      </c>
      <c r="B63" s="101"/>
      <c r="C63" s="101"/>
      <c r="D63" s="102" t="str">
        <f ca="1">(IF(G69&gt;95%,"Nothing",IF(G69&gt;0%,"Cement, Aggregate, Steel, etc",IF(G69=0%,"Work not yet Started"))))</f>
        <v>Cement, Aggregate, Steel, etc</v>
      </c>
      <c r="E63" s="102"/>
      <c r="F63" s="102"/>
      <c r="G63" s="102"/>
      <c r="H63" s="102"/>
      <c r="J63" s="24"/>
    </row>
    <row r="64" spans="1:14" ht="33.75" customHeight="1" thickBot="1" x14ac:dyDescent="0.3">
      <c r="A64" s="106" t="s">
        <v>122</v>
      </c>
      <c r="B64" s="106"/>
      <c r="C64" s="106"/>
      <c r="D64" s="102" t="str">
        <f ca="1">(IF(D63="Nothing","Yes",IF(D63="Cement, Aggregate, Steel, etc","Under Construction",IF(D63="Work not yet Started","Work not yet Started"))))</f>
        <v>Under Construction</v>
      </c>
      <c r="E64" s="102"/>
      <c r="F64" s="102" t="str">
        <f ca="1">(IF(D63="Nothing","Yes",IF(D63="Cement, Aggregate, Steel, etc","Under Construction",IF(D63="Work not yet Started","Work not yet Started"))))</f>
        <v>Under Construction</v>
      </c>
      <c r="G64" s="102"/>
      <c r="H64" s="102"/>
    </row>
    <row r="65" spans="1:13" ht="15.75" customHeight="1" x14ac:dyDescent="0.25">
      <c r="A65" s="154" t="s">
        <v>146</v>
      </c>
      <c r="B65" s="155"/>
      <c r="C65" s="156" t="str">
        <f>D57</f>
        <v>G + 6P + 7th to 24th Floor</v>
      </c>
      <c r="D65" s="157"/>
      <c r="E65" s="157"/>
      <c r="F65" s="157"/>
      <c r="G65" s="157"/>
      <c r="H65" s="158"/>
      <c r="I65" s="46" t="str">
        <f ca="1">IF(D78=100%,"All work Completed. Possession granted to the Building.",IF(D77=100%,"All work Completed, Waiting for OC",I66&amp;""&amp;I67&amp;""&amp;J66&amp;""&amp;J65&amp;" "&amp;J67))</f>
        <v>Excavation, Plinth Completed, RCC upto 24 Slab, Brickwork upto 21 Floor, Internal Plaster upto 18 Floor, External Plaster upto 15 Floor Completed</v>
      </c>
      <c r="J65" s="47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24 Slab, Brickwork upto 21 Floor, Internal Plaster upto 18 Floor, External Plaster upto 15 Floor</v>
      </c>
    </row>
    <row r="66" spans="1:13" x14ac:dyDescent="0.25">
      <c r="A66" s="15" t="s">
        <v>148</v>
      </c>
      <c r="B66" s="44">
        <f>IF(AND(ISNUMBER(SEARCH("1B",C65))),1,IF(AND(ISNUMBER(SEARCH("2B",C65))),2,IF(AND(ISNUMBER(SEARCH("3B",C65))),3,IF(AND(ISNUMBER(SEARCH("4B",C65))),4,IF(ISNUMBER(SEARCH("5B",C65)),5,0)))))</f>
        <v>0</v>
      </c>
      <c r="C66" s="44" t="s">
        <v>74</v>
      </c>
      <c r="D66" s="44">
        <v>1</v>
      </c>
      <c r="E66" s="44" t="s">
        <v>73</v>
      </c>
      <c r="F66" s="44">
        <v>0</v>
      </c>
      <c r="G66" s="45" t="s">
        <v>83</v>
      </c>
      <c r="H66" s="16">
        <f ca="1">--TRIM(RIGHT(SUBSTITUTE(LEFT(C65,_xlfn.AGGREGATE(16,6,FIND({0,1,2,3,4,5,6,7,8,9},C65,ROW(INDIRECT("1:"&amp;LEN(C65)))),1))," ",REPT(" ",LEN(C65))),LEN(C65)))</f>
        <v>24</v>
      </c>
      <c r="I66" s="48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49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31.9" customHeight="1" x14ac:dyDescent="0.25">
      <c r="A67" s="153" t="s">
        <v>93</v>
      </c>
      <c r="B67" s="153"/>
      <c r="C67" s="159" t="str">
        <f ca="1">I65</f>
        <v>Excavation, Plinth Completed, RCC upto 24 Slab, Brickwork upto 21 Floor, Internal Plaster upto 18 Floor, External Plaster upto 15 Floor Completed</v>
      </c>
      <c r="D67" s="159"/>
      <c r="E67" s="159"/>
      <c r="F67" s="159"/>
      <c r="G67" s="159"/>
      <c r="H67" s="159"/>
      <c r="I67" s="55" t="str">
        <f ca="1">IF(I66&lt;&gt;""," Completed","")</f>
        <v xml:space="preserve"> Completed</v>
      </c>
      <c r="J67" s="49" t="str">
        <f ca="1">IF(J65&lt;&gt;"","Completed","")</f>
        <v>Completed</v>
      </c>
    </row>
    <row r="68" spans="1:13" ht="15.75" customHeight="1" x14ac:dyDescent="0.25">
      <c r="A68" s="73" t="s">
        <v>50</v>
      </c>
      <c r="B68" s="73"/>
      <c r="C68" s="54" t="s">
        <v>145</v>
      </c>
      <c r="D68" s="54" t="s">
        <v>86</v>
      </c>
      <c r="E68" s="73" t="s">
        <v>88</v>
      </c>
      <c r="F68" s="73"/>
      <c r="G68" s="73" t="s">
        <v>87</v>
      </c>
      <c r="H68" s="73"/>
      <c r="I68" s="13" t="s">
        <v>147</v>
      </c>
      <c r="J68" s="26">
        <f ca="1">H66*25%</f>
        <v>6</v>
      </c>
    </row>
    <row r="69" spans="1:13" x14ac:dyDescent="0.25">
      <c r="A69" s="73" t="s">
        <v>134</v>
      </c>
      <c r="B69" s="73"/>
      <c r="C69" s="54">
        <f ca="1">J70</f>
        <v>24</v>
      </c>
      <c r="D69" s="18">
        <f ca="1">((100/H66)*C69)/100</f>
        <v>1</v>
      </c>
      <c r="E69" s="103">
        <f ca="1">(((C70/H66*10)+(40/(D66+F66+H66)*C71)+(7.5/(H66)*C72)+(7.5/(H66)*C73)+(10/H66*C74)+(10/H66*C75)+(5/H66*C76)+(5/H66*C77)+(5/H66*C78))/100)</f>
        <v>0.66837500000000005</v>
      </c>
      <c r="F69" s="103"/>
      <c r="G69" s="103">
        <f ca="1">((((C69/H66)*20)+((C70/H66)*25)+(30/(H66+F66+D66)*C71)+(5/H66*C72)+(5/H66*C73)+(5/H66*C74)+(5/H66*C75)+(0/H66*C76)+(0/H66*C77)+(5/H66*C78))/100)</f>
        <v>0.85049999999999992</v>
      </c>
      <c r="H69" s="103"/>
      <c r="I69" s="13" t="s">
        <v>104</v>
      </c>
      <c r="J69" s="27">
        <f ca="1">H66*50%</f>
        <v>12</v>
      </c>
    </row>
    <row r="70" spans="1:13" x14ac:dyDescent="0.25">
      <c r="A70" s="73" t="s">
        <v>51</v>
      </c>
      <c r="B70" s="73"/>
      <c r="C70" s="50">
        <f ca="1">J78</f>
        <v>24</v>
      </c>
      <c r="D70" s="18">
        <f ca="1">((100/H66)*C70)/100</f>
        <v>1</v>
      </c>
      <c r="E70" s="103"/>
      <c r="F70" s="103"/>
      <c r="G70" s="103"/>
      <c r="H70" s="103"/>
      <c r="I70" s="13" t="s">
        <v>105</v>
      </c>
      <c r="J70" s="27">
        <f ca="1">H66</f>
        <v>24</v>
      </c>
    </row>
    <row r="71" spans="1:13" ht="15.75" customHeight="1" x14ac:dyDescent="0.25">
      <c r="A71" s="73" t="s">
        <v>135</v>
      </c>
      <c r="B71" s="73"/>
      <c r="C71" s="54">
        <v>24</v>
      </c>
      <c r="D71" s="18">
        <f ca="1">((100/(D66+F66+H66))*C71)/100</f>
        <v>0.96</v>
      </c>
      <c r="E71" s="103"/>
      <c r="F71" s="103"/>
      <c r="G71" s="103"/>
      <c r="H71" s="103"/>
      <c r="I71" s="13" t="s">
        <v>106</v>
      </c>
      <c r="J71" s="28">
        <f ca="1">(IF(B66&gt;1,(H66/(B66+2)),H66/4))</f>
        <v>6</v>
      </c>
    </row>
    <row r="72" spans="1:13" ht="15.75" customHeight="1" x14ac:dyDescent="0.25">
      <c r="A72" s="73" t="s">
        <v>142</v>
      </c>
      <c r="B72" s="73" t="s">
        <v>136</v>
      </c>
      <c r="C72" s="54">
        <v>21</v>
      </c>
      <c r="D72" s="18">
        <f ca="1">((100/H66)*C72)/100</f>
        <v>0.875</v>
      </c>
      <c r="E72" s="103"/>
      <c r="F72" s="103"/>
      <c r="G72" s="103"/>
      <c r="H72" s="103"/>
      <c r="I72" s="13" t="s">
        <v>107</v>
      </c>
      <c r="J72" s="28">
        <f ca="1">(IF(B66&gt;1,(H66/(B66+2)+J71),H66/4+J71))</f>
        <v>12</v>
      </c>
    </row>
    <row r="73" spans="1:13" ht="15.75" customHeight="1" x14ac:dyDescent="0.25">
      <c r="A73" s="73" t="s">
        <v>143</v>
      </c>
      <c r="B73" s="73" t="s">
        <v>136</v>
      </c>
      <c r="C73" s="54">
        <v>18</v>
      </c>
      <c r="D73" s="18">
        <f ca="1">((100/H66)*C73)/100</f>
        <v>0.75</v>
      </c>
      <c r="E73" s="103"/>
      <c r="F73" s="103"/>
      <c r="G73" s="103"/>
      <c r="H73" s="103"/>
      <c r="I73" s="13" t="s">
        <v>152</v>
      </c>
      <c r="J73" s="28">
        <f>(IF(B66&gt;1,(H66/(B66+2)+J72),0))</f>
        <v>0</v>
      </c>
    </row>
    <row r="74" spans="1:13" ht="15" customHeight="1" x14ac:dyDescent="0.25">
      <c r="A74" s="73" t="s">
        <v>141</v>
      </c>
      <c r="B74" s="73" t="s">
        <v>138</v>
      </c>
      <c r="C74" s="54">
        <v>15</v>
      </c>
      <c r="D74" s="18">
        <f ca="1">((100/(H66))*C74)/100</f>
        <v>0.62500000000000011</v>
      </c>
      <c r="E74" s="103"/>
      <c r="F74" s="103"/>
      <c r="G74" s="103"/>
      <c r="H74" s="103"/>
      <c r="I74" s="13" t="s">
        <v>149</v>
      </c>
      <c r="J74" s="28">
        <f>(IF(B66&gt;2,(H66/(B66+2)+J73),0))</f>
        <v>0</v>
      </c>
    </row>
    <row r="75" spans="1:13" ht="15.75" customHeight="1" x14ac:dyDescent="0.25">
      <c r="A75" s="73" t="s">
        <v>137</v>
      </c>
      <c r="B75" s="73" t="s">
        <v>137</v>
      </c>
      <c r="C75" s="54">
        <v>0</v>
      </c>
      <c r="D75" s="18">
        <f ca="1">((100/H66)*C75)/100</f>
        <v>0</v>
      </c>
      <c r="E75" s="103"/>
      <c r="F75" s="103"/>
      <c r="G75" s="103"/>
      <c r="H75" s="103"/>
      <c r="I75" s="13" t="s">
        <v>150</v>
      </c>
      <c r="J75" s="29">
        <f>(IF(B66&gt;3,(H66/(B66+2)+J74),0))</f>
        <v>0</v>
      </c>
    </row>
    <row r="76" spans="1:13" ht="15.75" customHeight="1" x14ac:dyDescent="0.25">
      <c r="A76" s="73" t="s">
        <v>144</v>
      </c>
      <c r="B76" s="73"/>
      <c r="C76" s="54">
        <v>0</v>
      </c>
      <c r="D76" s="18">
        <f ca="1">((100/H66)*C76)/100</f>
        <v>0</v>
      </c>
      <c r="E76" s="103"/>
      <c r="F76" s="103"/>
      <c r="G76" s="103"/>
      <c r="H76" s="103"/>
      <c r="I76" s="13" t="s">
        <v>151</v>
      </c>
      <c r="J76" s="28">
        <f>(IF(B66&gt;4,(H66/(B66+2)+J75),0))</f>
        <v>0</v>
      </c>
    </row>
    <row r="77" spans="1:13" ht="15.75" customHeight="1" x14ac:dyDescent="0.25">
      <c r="A77" s="73" t="s">
        <v>139</v>
      </c>
      <c r="B77" s="73" t="s">
        <v>139</v>
      </c>
      <c r="C77" s="54">
        <v>0</v>
      </c>
      <c r="D77" s="18">
        <f ca="1">((100/(H66))*C77)/100</f>
        <v>0</v>
      </c>
      <c r="E77" s="103"/>
      <c r="F77" s="103"/>
      <c r="G77" s="103"/>
      <c r="H77" s="103"/>
      <c r="I77" s="13" t="s">
        <v>153</v>
      </c>
      <c r="J77" s="28">
        <f ca="1">(IF(B66=1,(H66/(B66+3)+J72),IF(B66=0,(H66/4+J72),IF(B66&gt;1,0))))</f>
        <v>18</v>
      </c>
    </row>
    <row r="78" spans="1:13" ht="16.5" thickBot="1" x14ac:dyDescent="0.3">
      <c r="A78" s="73" t="s">
        <v>140</v>
      </c>
      <c r="B78" s="73"/>
      <c r="C78" s="54">
        <v>0</v>
      </c>
      <c r="D78" s="18">
        <f ca="1">((100/(H66))*C78)/100</f>
        <v>0</v>
      </c>
      <c r="E78" s="103"/>
      <c r="F78" s="103"/>
      <c r="G78" s="103"/>
      <c r="H78" s="103"/>
      <c r="I78" s="14" t="s">
        <v>108</v>
      </c>
      <c r="J78" s="30">
        <f ca="1">(IF(B66&gt;1.5,(H66/(B66+2)+J72+MAX(0,J73-J72)+MAX(0,J74-J73)+MAX(0,J75-J74)+MAX(0,J76-J75)+MAX(0,J77-J76)),IF(B66=1,(H66/(B66+3)+J77),IF(B66=0,H66/4+J77))))</f>
        <v>24</v>
      </c>
      <c r="M78" s="19">
        <f>17+7</f>
        <v>24</v>
      </c>
    </row>
    <row r="79" spans="1:13" x14ac:dyDescent="0.25">
      <c r="A79" s="160" t="s">
        <v>161</v>
      </c>
      <c r="B79" s="160"/>
      <c r="C79" s="160"/>
      <c r="D79" s="160"/>
      <c r="E79" s="160"/>
      <c r="F79" s="105" t="s">
        <v>166</v>
      </c>
      <c r="G79" s="105"/>
      <c r="H79" s="105"/>
    </row>
    <row r="80" spans="1:13" x14ac:dyDescent="0.25">
      <c r="A80" s="69" t="s">
        <v>164</v>
      </c>
      <c r="B80" s="69"/>
      <c r="C80" s="69"/>
      <c r="D80" s="69"/>
      <c r="E80" s="69"/>
      <c r="F80" s="74">
        <v>13500</v>
      </c>
      <c r="G80" s="74"/>
      <c r="H80" s="74"/>
    </row>
    <row r="81" spans="1:8" x14ac:dyDescent="0.25">
      <c r="A81" s="69" t="s">
        <v>163</v>
      </c>
      <c r="B81" s="69"/>
      <c r="C81" s="69"/>
      <c r="D81" s="69"/>
      <c r="E81" s="69"/>
      <c r="F81" s="74">
        <v>20000</v>
      </c>
      <c r="G81" s="74"/>
      <c r="H81" s="74"/>
    </row>
    <row r="82" spans="1:8" hidden="1" x14ac:dyDescent="0.25">
      <c r="A82" s="69" t="s">
        <v>165</v>
      </c>
      <c r="B82" s="69"/>
      <c r="C82" s="69"/>
      <c r="D82" s="69"/>
      <c r="E82" s="69"/>
      <c r="F82" s="74"/>
      <c r="G82" s="74"/>
      <c r="H82" s="74"/>
    </row>
    <row r="83" spans="1:8" s="31" customFormat="1" hidden="1" x14ac:dyDescent="0.25">
      <c r="A83" s="69" t="s">
        <v>162</v>
      </c>
      <c r="B83" s="69"/>
      <c r="C83" s="69"/>
      <c r="D83" s="69"/>
      <c r="E83" s="69"/>
      <c r="F83" s="74"/>
      <c r="G83" s="74"/>
      <c r="H83" s="74"/>
    </row>
    <row r="84" spans="1:8" s="31" customFormat="1" x14ac:dyDescent="0.25">
      <c r="A84" s="69" t="s">
        <v>98</v>
      </c>
      <c r="B84" s="69"/>
      <c r="C84" s="69"/>
      <c r="D84" s="69"/>
      <c r="E84" s="69"/>
      <c r="F84" s="74">
        <v>800000</v>
      </c>
      <c r="G84" s="74"/>
      <c r="H84" s="74"/>
    </row>
    <row r="85" spans="1:8" s="31" customFormat="1" hidden="1" x14ac:dyDescent="0.25">
      <c r="A85" s="69" t="s">
        <v>99</v>
      </c>
      <c r="B85" s="69"/>
      <c r="C85" s="69"/>
      <c r="D85" s="69"/>
      <c r="E85" s="69"/>
      <c r="F85" s="74"/>
      <c r="G85" s="74"/>
      <c r="H85" s="74"/>
    </row>
    <row r="86" spans="1:8" s="31" customFormat="1" hidden="1" x14ac:dyDescent="0.25">
      <c r="A86" s="69" t="s">
        <v>167</v>
      </c>
      <c r="B86" s="69"/>
      <c r="C86" s="69"/>
      <c r="D86" s="69"/>
      <c r="E86" s="69"/>
      <c r="F86" s="74"/>
      <c r="G86" s="74"/>
      <c r="H86" s="74"/>
    </row>
    <row r="87" spans="1:8" s="31" customFormat="1" hidden="1" x14ac:dyDescent="0.25">
      <c r="A87" s="69" t="s">
        <v>100</v>
      </c>
      <c r="B87" s="69"/>
      <c r="C87" s="69"/>
      <c r="D87" s="69"/>
      <c r="E87" s="69"/>
      <c r="F87" s="74"/>
      <c r="G87" s="74"/>
      <c r="H87" s="74"/>
    </row>
    <row r="88" spans="1:8" s="31" customFormat="1" hidden="1" x14ac:dyDescent="0.25">
      <c r="A88" s="69" t="s">
        <v>101</v>
      </c>
      <c r="B88" s="69"/>
      <c r="C88" s="69"/>
      <c r="D88" s="69"/>
      <c r="E88" s="69"/>
      <c r="F88" s="74"/>
      <c r="G88" s="74"/>
      <c r="H88" s="74"/>
    </row>
    <row r="89" spans="1:8" s="31" customFormat="1" x14ac:dyDescent="0.25">
      <c r="A89" s="69" t="s">
        <v>102</v>
      </c>
      <c r="B89" s="69"/>
      <c r="C89" s="69"/>
      <c r="D89" s="69"/>
      <c r="E89" s="69"/>
      <c r="F89" s="74">
        <v>150000</v>
      </c>
      <c r="G89" s="74"/>
      <c r="H89" s="74"/>
    </row>
    <row r="90" spans="1:8" s="31" customFormat="1" hidden="1" x14ac:dyDescent="0.25">
      <c r="A90" s="69" t="s">
        <v>103</v>
      </c>
      <c r="B90" s="69"/>
      <c r="C90" s="69"/>
      <c r="D90" s="69"/>
      <c r="E90" s="69"/>
      <c r="F90" s="74"/>
      <c r="G90" s="74"/>
      <c r="H90" s="74"/>
    </row>
    <row r="91" spans="1:8" x14ac:dyDescent="0.25">
      <c r="A91" s="69" t="s">
        <v>52</v>
      </c>
      <c r="B91" s="69"/>
      <c r="C91" s="69"/>
      <c r="D91" s="69"/>
      <c r="E91" s="69"/>
      <c r="F91" s="74">
        <v>500000</v>
      </c>
      <c r="G91" s="74"/>
      <c r="H91" s="74"/>
    </row>
    <row r="92" spans="1:8" s="32" customFormat="1" x14ac:dyDescent="0.25">
      <c r="A92" s="121" t="s">
        <v>53</v>
      </c>
      <c r="B92" s="121"/>
      <c r="C92" s="121"/>
      <c r="D92" s="121"/>
      <c r="E92" s="121"/>
      <c r="F92" s="74">
        <f>F80*0.8</f>
        <v>10800</v>
      </c>
      <c r="G92" s="74"/>
      <c r="H92" s="74"/>
    </row>
    <row r="93" spans="1:8" s="33" customFormat="1" ht="15.75" customHeight="1" x14ac:dyDescent="0.25">
      <c r="A93" s="120" t="s">
        <v>78</v>
      </c>
      <c r="B93" s="120"/>
      <c r="C93" s="120"/>
      <c r="D93" s="120"/>
      <c r="E93" s="120"/>
      <c r="F93" s="120"/>
      <c r="G93" s="120"/>
      <c r="H93" s="120"/>
    </row>
    <row r="94" spans="1:8" s="33" customFormat="1" ht="15.75" customHeight="1" x14ac:dyDescent="0.25">
      <c r="A94" s="71" t="s">
        <v>54</v>
      </c>
      <c r="B94" s="71"/>
      <c r="C94" s="92" t="s">
        <v>81</v>
      </c>
      <c r="D94" s="92"/>
      <c r="E94" s="96" t="s">
        <v>55</v>
      </c>
      <c r="F94" s="96"/>
      <c r="G94" s="71" t="s">
        <v>56</v>
      </c>
      <c r="H94" s="71"/>
    </row>
    <row r="95" spans="1:8" s="33" customFormat="1" x14ac:dyDescent="0.25">
      <c r="A95" s="122" t="s">
        <v>198</v>
      </c>
      <c r="B95" s="122"/>
      <c r="C95" s="94">
        <f>COUNT(D104:D116)</f>
        <v>13</v>
      </c>
      <c r="D95" s="95"/>
      <c r="E95" s="75">
        <f t="shared" ref="E95" si="0">SUM(D104:D116)</f>
        <v>6734.9486880000004</v>
      </c>
      <c r="F95" s="76"/>
      <c r="G95" s="75">
        <f>SUM(F104:F116)</f>
        <v>14005</v>
      </c>
      <c r="H95" s="76"/>
    </row>
    <row r="96" spans="1:8" s="33" customFormat="1" x14ac:dyDescent="0.25">
      <c r="A96" s="120" t="s">
        <v>72</v>
      </c>
      <c r="B96" s="120"/>
      <c r="C96" s="120"/>
      <c r="D96" s="120"/>
      <c r="E96" s="120"/>
      <c r="F96" s="120"/>
      <c r="G96" s="120"/>
      <c r="H96" s="120"/>
    </row>
    <row r="97" spans="1:14" s="33" customFormat="1" ht="15.75" customHeight="1" x14ac:dyDescent="0.25">
      <c r="A97" s="71" t="s">
        <v>54</v>
      </c>
      <c r="B97" s="71"/>
      <c r="C97" s="92" t="s">
        <v>81</v>
      </c>
      <c r="D97" s="92"/>
      <c r="E97" s="96" t="s">
        <v>55</v>
      </c>
      <c r="F97" s="96"/>
      <c r="G97" s="71" t="s">
        <v>56</v>
      </c>
      <c r="H97" s="71"/>
    </row>
    <row r="98" spans="1:14" s="33" customFormat="1" ht="16.5" thickBot="1" x14ac:dyDescent="0.3">
      <c r="A98" s="122" t="s">
        <v>212</v>
      </c>
      <c r="B98" s="122"/>
      <c r="C98" s="94">
        <f>COUNT(D122:D125)*3+COUNT(D127:D130)+COUNT(D132:D135)*3+COUNT(D137:D140)+COUNT(D142:D145)*6+COUNT(D147:D150)*2+COUNT(D152:D155)</f>
        <v>68</v>
      </c>
      <c r="D98" s="94"/>
      <c r="E98" s="75">
        <f>SUM(D122:D125)*3+SUM(D127:D130)+SUM(D132:D135)*3+SUM(D137:D140)+SUM(D142:D145)*6+SUM(D147:D150)*2+SUM(D152:D155)</f>
        <v>66370.178159999996</v>
      </c>
      <c r="F98" s="75"/>
      <c r="G98" s="75">
        <f>SUM(F122:F125)*3+SUM(F127:F130)+SUM(F132:F135)*3+SUM(F137:F140)+SUM(F142:F145)*6+SUM(F147:F150)*2+SUM(F152:F155)</f>
        <v>115770</v>
      </c>
      <c r="H98" s="75"/>
    </row>
    <row r="99" spans="1:14" s="33" customFormat="1" ht="16.5" thickBot="1" x14ac:dyDescent="0.3">
      <c r="A99" s="97" t="s">
        <v>173</v>
      </c>
      <c r="B99" s="98"/>
      <c r="C99" s="99">
        <f>C95+C98</f>
        <v>81</v>
      </c>
      <c r="D99" s="100"/>
      <c r="E99" s="99">
        <f>E95+E98</f>
        <v>73105.126848</v>
      </c>
      <c r="F99" s="100"/>
      <c r="G99" s="99">
        <f>G95+G98</f>
        <v>129775</v>
      </c>
      <c r="H99" s="100"/>
    </row>
    <row r="100" spans="1:14" s="32" customFormat="1" x14ac:dyDescent="0.25">
      <c r="A100" s="105" t="s">
        <v>57</v>
      </c>
      <c r="B100" s="105"/>
      <c r="C100" s="105"/>
      <c r="D100" s="105"/>
      <c r="E100" s="105"/>
      <c r="F100" s="105"/>
      <c r="G100" s="105"/>
      <c r="H100" s="105"/>
    </row>
    <row r="101" spans="1:14" x14ac:dyDescent="0.25">
      <c r="A101" s="93" t="s">
        <v>58</v>
      </c>
      <c r="B101" s="93"/>
      <c r="C101" s="93"/>
      <c r="D101" s="93"/>
      <c r="E101" s="93"/>
      <c r="F101" s="93"/>
      <c r="G101" s="93"/>
      <c r="H101" s="93"/>
    </row>
    <row r="102" spans="1:14" ht="47.25" customHeight="1" x14ac:dyDescent="0.25">
      <c r="A102" s="41" t="s">
        <v>124</v>
      </c>
      <c r="B102" s="41" t="s">
        <v>123</v>
      </c>
      <c r="C102" s="41" t="s">
        <v>59</v>
      </c>
      <c r="D102" s="41" t="s">
        <v>60</v>
      </c>
      <c r="E102" s="51" t="s">
        <v>160</v>
      </c>
      <c r="F102" s="41" t="s">
        <v>213</v>
      </c>
      <c r="G102" s="116" t="s">
        <v>62</v>
      </c>
      <c r="H102" s="117"/>
    </row>
    <row r="103" spans="1:14" s="35" customFormat="1" x14ac:dyDescent="0.25">
      <c r="A103" s="113" t="s">
        <v>199</v>
      </c>
      <c r="B103" s="114"/>
      <c r="C103" s="114"/>
      <c r="D103" s="114"/>
      <c r="E103" s="114"/>
      <c r="F103" s="114"/>
      <c r="G103" s="114"/>
      <c r="H103" s="115"/>
      <c r="J103" s="34"/>
    </row>
    <row r="104" spans="1:14" s="35" customFormat="1" ht="15.75" customHeight="1" x14ac:dyDescent="0.25">
      <c r="A104" s="66">
        <v>1</v>
      </c>
      <c r="B104" s="67"/>
      <c r="C104" s="40" t="s">
        <v>198</v>
      </c>
      <c r="D104" s="53">
        <f>(67.458)*(10.764)</f>
        <v>726.11791199999993</v>
      </c>
      <c r="E104" s="40">
        <v>0</v>
      </c>
      <c r="F104" s="40">
        <v>1495</v>
      </c>
      <c r="G104" s="60" t="str">
        <f>A103</f>
        <v>Ground Floor For Meter Room, Fire Control Room, Pump Room, Commercial &amp; Parking</v>
      </c>
      <c r="H104" s="61"/>
      <c r="I104" s="52">
        <f>5.025*12.374+3.425*1.05+1.5*0.95</f>
        <v>67.200600000000009</v>
      </c>
      <c r="J104" s="35">
        <v>1495</v>
      </c>
      <c r="K104" s="35">
        <f>J104/D104</f>
        <v>2.0588942584851151</v>
      </c>
      <c r="L104" s="58"/>
      <c r="M104" s="58"/>
      <c r="N104" s="34"/>
    </row>
    <row r="105" spans="1:14" s="35" customFormat="1" ht="15.75" customHeight="1" x14ac:dyDescent="0.25">
      <c r="A105" s="66">
        <f t="shared" ref="A105:A116" si="1">A104+1</f>
        <v>2</v>
      </c>
      <c r="B105" s="67"/>
      <c r="C105" s="40" t="s">
        <v>198</v>
      </c>
      <c r="D105" s="53">
        <f>(44.972)*(10.764)</f>
        <v>484.07860799999997</v>
      </c>
      <c r="E105" s="40">
        <v>0</v>
      </c>
      <c r="F105" s="40">
        <v>1000</v>
      </c>
      <c r="G105" s="62"/>
      <c r="H105" s="63"/>
      <c r="I105" s="34"/>
      <c r="J105" s="35">
        <v>1000</v>
      </c>
      <c r="K105" s="35">
        <f t="shared" ref="K105:K116" si="2">J105/D105</f>
        <v>2.0657801924599819</v>
      </c>
      <c r="L105" s="58"/>
      <c r="M105" s="58"/>
      <c r="N105" s="34"/>
    </row>
    <row r="106" spans="1:14" s="35" customFormat="1" ht="15.75" customHeight="1" x14ac:dyDescent="0.25">
      <c r="A106" s="66">
        <f t="shared" si="1"/>
        <v>3</v>
      </c>
      <c r="B106" s="67"/>
      <c r="C106" s="40" t="s">
        <v>198</v>
      </c>
      <c r="D106" s="53">
        <f>(44.972)*(10.764)</f>
        <v>484.07860799999997</v>
      </c>
      <c r="E106" s="40">
        <v>0</v>
      </c>
      <c r="F106" s="40">
        <v>1000</v>
      </c>
      <c r="G106" s="62"/>
      <c r="H106" s="63"/>
      <c r="I106" s="34"/>
      <c r="J106" s="35">
        <v>1000</v>
      </c>
      <c r="K106" s="35">
        <f t="shared" si="2"/>
        <v>2.0657801924599819</v>
      </c>
      <c r="L106" s="58"/>
      <c r="M106" s="58"/>
      <c r="N106" s="34"/>
    </row>
    <row r="107" spans="1:14" s="35" customFormat="1" ht="15.75" customHeight="1" x14ac:dyDescent="0.25">
      <c r="A107" s="66">
        <f t="shared" si="1"/>
        <v>4</v>
      </c>
      <c r="B107" s="67"/>
      <c r="C107" s="40" t="s">
        <v>198</v>
      </c>
      <c r="D107" s="53">
        <f>(44.972)*(10.764)</f>
        <v>484.07860799999997</v>
      </c>
      <c r="E107" s="40">
        <v>0</v>
      </c>
      <c r="F107" s="40">
        <v>1000</v>
      </c>
      <c r="G107" s="62"/>
      <c r="H107" s="63"/>
      <c r="I107" s="34"/>
      <c r="J107" s="35">
        <v>1000</v>
      </c>
      <c r="K107" s="35">
        <f t="shared" si="2"/>
        <v>2.0657801924599819</v>
      </c>
      <c r="L107" s="58"/>
      <c r="M107" s="58"/>
      <c r="N107" s="34"/>
    </row>
    <row r="108" spans="1:14" s="35" customFormat="1" x14ac:dyDescent="0.25">
      <c r="A108" s="66">
        <f t="shared" si="1"/>
        <v>5</v>
      </c>
      <c r="B108" s="67"/>
      <c r="C108" s="40" t="s">
        <v>198</v>
      </c>
      <c r="D108" s="53">
        <f>(46.671)*(10.764)</f>
        <v>502.36664399999995</v>
      </c>
      <c r="E108" s="40">
        <v>0</v>
      </c>
      <c r="F108" s="40">
        <v>1030</v>
      </c>
      <c r="G108" s="62"/>
      <c r="H108" s="63"/>
      <c r="I108" s="52">
        <f>3.35*13.274+2*0.9</f>
        <v>46.267899999999997</v>
      </c>
      <c r="J108" s="35">
        <v>1030</v>
      </c>
      <c r="K108" s="35">
        <f t="shared" si="2"/>
        <v>2.0502953615686317</v>
      </c>
      <c r="L108" s="58"/>
      <c r="M108" s="58"/>
      <c r="N108" s="34"/>
    </row>
    <row r="109" spans="1:14" s="35" customFormat="1" x14ac:dyDescent="0.25">
      <c r="A109" s="66">
        <f t="shared" si="1"/>
        <v>6</v>
      </c>
      <c r="B109" s="67"/>
      <c r="C109" s="40" t="s">
        <v>198</v>
      </c>
      <c r="D109" s="53">
        <f>(43.537)*(10.764)</f>
        <v>468.63226799999995</v>
      </c>
      <c r="E109" s="40">
        <v>0</v>
      </c>
      <c r="F109" s="40">
        <v>965</v>
      </c>
      <c r="G109" s="62"/>
      <c r="H109" s="63"/>
      <c r="I109" s="34"/>
      <c r="J109" s="35">
        <v>965</v>
      </c>
      <c r="K109" s="35">
        <f t="shared" si="2"/>
        <v>2.059183854578277</v>
      </c>
      <c r="L109" s="58"/>
      <c r="M109" s="58"/>
      <c r="N109" s="34"/>
    </row>
    <row r="110" spans="1:14" s="35" customFormat="1" x14ac:dyDescent="0.25">
      <c r="A110" s="66">
        <f t="shared" si="1"/>
        <v>7</v>
      </c>
      <c r="B110" s="67"/>
      <c r="C110" s="40" t="s">
        <v>198</v>
      </c>
      <c r="D110" s="53">
        <f>(63.164)*(10.764)</f>
        <v>679.89729599999998</v>
      </c>
      <c r="E110" s="40">
        <v>0</v>
      </c>
      <c r="F110" s="40">
        <v>1400</v>
      </c>
      <c r="G110" s="62"/>
      <c r="H110" s="63"/>
      <c r="I110" s="34"/>
      <c r="J110" s="35">
        <v>1400</v>
      </c>
      <c r="K110" s="35">
        <f t="shared" si="2"/>
        <v>2.0591345314013427</v>
      </c>
      <c r="L110" s="58"/>
      <c r="M110" s="58"/>
      <c r="N110" s="34"/>
    </row>
    <row r="111" spans="1:14" s="35" customFormat="1" x14ac:dyDescent="0.25">
      <c r="A111" s="66">
        <f t="shared" si="1"/>
        <v>8</v>
      </c>
      <c r="B111" s="67"/>
      <c r="C111" s="40" t="s">
        <v>198</v>
      </c>
      <c r="D111" s="53">
        <f>(63.164)*(10.764)</f>
        <v>679.89729599999998</v>
      </c>
      <c r="E111" s="40">
        <v>0</v>
      </c>
      <c r="F111" s="40">
        <v>1400</v>
      </c>
      <c r="G111" s="62"/>
      <c r="H111" s="63"/>
      <c r="I111" s="34"/>
      <c r="J111" s="35">
        <v>1400</v>
      </c>
      <c r="K111" s="35">
        <f t="shared" si="2"/>
        <v>2.0591345314013427</v>
      </c>
      <c r="L111" s="58"/>
      <c r="M111" s="58"/>
      <c r="N111" s="34"/>
    </row>
    <row r="112" spans="1:14" s="35" customFormat="1" x14ac:dyDescent="0.25">
      <c r="A112" s="66">
        <f t="shared" si="1"/>
        <v>9</v>
      </c>
      <c r="B112" s="67"/>
      <c r="C112" s="40" t="s">
        <v>198</v>
      </c>
      <c r="D112" s="53">
        <f>(67.714)*(10.764)</f>
        <v>728.87349599999993</v>
      </c>
      <c r="E112" s="40">
        <v>0</v>
      </c>
      <c r="F112" s="40">
        <v>1590</v>
      </c>
      <c r="G112" s="62"/>
      <c r="H112" s="63"/>
      <c r="I112" s="34"/>
      <c r="J112" s="35">
        <v>1590</v>
      </c>
      <c r="K112" s="35">
        <f t="shared" si="2"/>
        <v>2.1814485074924446</v>
      </c>
      <c r="L112" s="58"/>
      <c r="M112" s="58"/>
      <c r="N112" s="34"/>
    </row>
    <row r="113" spans="1:14" s="35" customFormat="1" x14ac:dyDescent="0.25">
      <c r="A113" s="66">
        <f t="shared" si="1"/>
        <v>10</v>
      </c>
      <c r="B113" s="67"/>
      <c r="C113" s="40" t="s">
        <v>198</v>
      </c>
      <c r="D113" s="53">
        <f>(27.051)*(10.764)</f>
        <v>291.17696399999994</v>
      </c>
      <c r="E113" s="40">
        <v>0</v>
      </c>
      <c r="F113" s="40">
        <v>615</v>
      </c>
      <c r="G113" s="62"/>
      <c r="H113" s="63"/>
      <c r="I113" s="34">
        <f>6.514*3.6+1.975*1+1.525*0.9</f>
        <v>26.797900000000002</v>
      </c>
      <c r="J113" s="35">
        <v>615</v>
      </c>
      <c r="K113" s="35">
        <f t="shared" si="2"/>
        <v>2.1121176330418781</v>
      </c>
      <c r="L113" s="58"/>
      <c r="M113" s="58"/>
      <c r="N113" s="34"/>
    </row>
    <row r="114" spans="1:14" s="35" customFormat="1" x14ac:dyDescent="0.25">
      <c r="A114" s="66">
        <f t="shared" si="1"/>
        <v>11</v>
      </c>
      <c r="B114" s="67"/>
      <c r="C114" s="40" t="s">
        <v>198</v>
      </c>
      <c r="D114" s="53">
        <f>(32.738)*(10.764)</f>
        <v>352.39183199999997</v>
      </c>
      <c r="E114" s="40">
        <v>0</v>
      </c>
      <c r="F114" s="40">
        <v>735</v>
      </c>
      <c r="G114" s="62"/>
      <c r="H114" s="63"/>
      <c r="I114" s="34"/>
      <c r="J114" s="35">
        <v>735</v>
      </c>
      <c r="K114" s="35">
        <f t="shared" si="2"/>
        <v>2.0857464142358442</v>
      </c>
      <c r="L114" s="58"/>
      <c r="M114" s="58"/>
      <c r="N114" s="34"/>
    </row>
    <row r="115" spans="1:14" s="35" customFormat="1" x14ac:dyDescent="0.25">
      <c r="A115" s="66">
        <f t="shared" si="1"/>
        <v>12</v>
      </c>
      <c r="B115" s="67"/>
      <c r="C115" s="40" t="s">
        <v>198</v>
      </c>
      <c r="D115" s="53">
        <f>(32.105)*(10.764)</f>
        <v>345.57821999999993</v>
      </c>
      <c r="E115" s="40">
        <v>0</v>
      </c>
      <c r="F115" s="40">
        <v>720</v>
      </c>
      <c r="G115" s="62"/>
      <c r="H115" s="63"/>
      <c r="I115" s="34"/>
      <c r="J115" s="35">
        <v>720</v>
      </c>
      <c r="K115" s="35">
        <f t="shared" si="2"/>
        <v>2.0834646350108526</v>
      </c>
      <c r="L115" s="58"/>
      <c r="M115" s="58"/>
      <c r="N115" s="34"/>
    </row>
    <row r="116" spans="1:14" s="35" customFormat="1" x14ac:dyDescent="0.25">
      <c r="A116" s="66">
        <f t="shared" si="1"/>
        <v>13</v>
      </c>
      <c r="B116" s="67"/>
      <c r="C116" s="40" t="s">
        <v>198</v>
      </c>
      <c r="D116" s="53">
        <f>(47.174)*(10.764)</f>
        <v>507.78093599999994</v>
      </c>
      <c r="E116" s="40">
        <v>0</v>
      </c>
      <c r="F116" s="40">
        <v>1055</v>
      </c>
      <c r="G116" s="64"/>
      <c r="H116" s="65"/>
      <c r="I116" s="34"/>
      <c r="J116" s="35">
        <v>1055</v>
      </c>
      <c r="K116" s="35">
        <f t="shared" si="2"/>
        <v>2.0776676027081096</v>
      </c>
      <c r="L116" s="58"/>
      <c r="M116" s="58"/>
      <c r="N116" s="34"/>
    </row>
    <row r="117" spans="1:14" s="35" customFormat="1" x14ac:dyDescent="0.25">
      <c r="A117" s="59"/>
      <c r="B117" s="59"/>
      <c r="C117" s="59"/>
      <c r="D117" s="59"/>
      <c r="E117" s="59"/>
      <c r="F117" s="59"/>
      <c r="G117" s="59"/>
      <c r="H117" s="59"/>
      <c r="I117" s="34"/>
      <c r="N117" s="34"/>
    </row>
    <row r="118" spans="1:14" ht="47.25" customHeight="1" x14ac:dyDescent="0.25">
      <c r="A118" s="56" t="s">
        <v>125</v>
      </c>
      <c r="B118" s="56" t="s">
        <v>126</v>
      </c>
      <c r="C118" s="56" t="s">
        <v>59</v>
      </c>
      <c r="D118" s="56" t="s">
        <v>60</v>
      </c>
      <c r="E118" s="57" t="s">
        <v>61</v>
      </c>
      <c r="F118" s="56" t="s">
        <v>213</v>
      </c>
      <c r="G118" s="72" t="s">
        <v>62</v>
      </c>
      <c r="H118" s="72"/>
      <c r="I118" s="34"/>
    </row>
    <row r="119" spans="1:14" s="35" customFormat="1" x14ac:dyDescent="0.25">
      <c r="A119" s="86" t="s">
        <v>200</v>
      </c>
      <c r="B119" s="86"/>
      <c r="C119" s="86"/>
      <c r="D119" s="86"/>
      <c r="E119" s="86"/>
      <c r="F119" s="86"/>
      <c r="G119" s="86"/>
      <c r="H119" s="86"/>
      <c r="J119" s="34"/>
    </row>
    <row r="120" spans="1:14" s="35" customFormat="1" x14ac:dyDescent="0.25">
      <c r="A120" s="86" t="s">
        <v>202</v>
      </c>
      <c r="B120" s="86"/>
      <c r="C120" s="86"/>
      <c r="D120" s="86"/>
      <c r="E120" s="86"/>
      <c r="F120" s="86"/>
      <c r="G120" s="86"/>
      <c r="H120" s="86"/>
      <c r="J120" s="34"/>
    </row>
    <row r="121" spans="1:14" s="35" customFormat="1" x14ac:dyDescent="0.25">
      <c r="A121" s="86" t="s">
        <v>214</v>
      </c>
      <c r="B121" s="86"/>
      <c r="C121" s="86"/>
      <c r="D121" s="86"/>
      <c r="E121" s="86"/>
      <c r="F121" s="86"/>
      <c r="G121" s="86"/>
      <c r="H121" s="86"/>
      <c r="I121" s="150" t="s">
        <v>218</v>
      </c>
      <c r="J121" s="151"/>
      <c r="K121" s="151"/>
      <c r="L121" s="151"/>
      <c r="M121" s="151"/>
    </row>
    <row r="122" spans="1:14" s="35" customFormat="1" ht="15.75" customHeight="1" x14ac:dyDescent="0.25">
      <c r="A122" s="59">
        <v>1</v>
      </c>
      <c r="B122" s="59"/>
      <c r="C122" s="40" t="s">
        <v>204</v>
      </c>
      <c r="D122" s="53">
        <f>(63.523+4.312)*(10.764)</f>
        <v>730.17594000000008</v>
      </c>
      <c r="E122" s="40">
        <v>0</v>
      </c>
      <c r="F122" s="40">
        <v>1275</v>
      </c>
      <c r="G122" s="59" t="str">
        <f>A121</f>
        <v>8th, 9th &amp; 10th Floor For Residential</v>
      </c>
      <c r="H122" s="59"/>
      <c r="I122" s="34">
        <f>3.05*5.388+0.925*4.025+2.3*3.65+3.05*3.05+3.026*3.995+2.1*1.5+2.45*1.2+5*0.9+1.2*0.6</f>
        <v>61.252894999999988</v>
      </c>
      <c r="J122" s="35">
        <f>2.875*1.5</f>
        <v>4.3125</v>
      </c>
      <c r="K122" s="35">
        <v>1275</v>
      </c>
      <c r="L122" s="35">
        <f>K122/D122</f>
        <v>1.7461544953124584</v>
      </c>
      <c r="N122" s="34"/>
    </row>
    <row r="123" spans="1:14" s="35" customFormat="1" ht="15.75" customHeight="1" x14ac:dyDescent="0.25">
      <c r="A123" s="59">
        <f>A122+1</f>
        <v>2</v>
      </c>
      <c r="B123" s="59"/>
      <c r="C123" s="40" t="s">
        <v>205</v>
      </c>
      <c r="D123" s="53">
        <f>(95.602+4.857)*(10.764)</f>
        <v>1081.340676</v>
      </c>
      <c r="E123" s="40">
        <v>0</v>
      </c>
      <c r="F123" s="40">
        <v>1875</v>
      </c>
      <c r="G123" s="59"/>
      <c r="H123" s="59"/>
      <c r="I123" s="52"/>
      <c r="K123" s="35">
        <v>1875</v>
      </c>
      <c r="L123" s="35">
        <f t="shared" ref="L123:L125" si="3">K123/D123</f>
        <v>1.7339586326631442</v>
      </c>
      <c r="N123" s="34"/>
    </row>
    <row r="124" spans="1:14" s="35" customFormat="1" ht="15.75" customHeight="1" x14ac:dyDescent="0.25">
      <c r="A124" s="59">
        <f>A123+1</f>
        <v>3</v>
      </c>
      <c r="B124" s="59"/>
      <c r="C124" s="40" t="s">
        <v>204</v>
      </c>
      <c r="D124" s="53">
        <f>(70.423+4.407)*(10.764)</f>
        <v>805.47011999999995</v>
      </c>
      <c r="E124" s="40">
        <v>0</v>
      </c>
      <c r="F124" s="40">
        <v>1395</v>
      </c>
      <c r="G124" s="59"/>
      <c r="H124" s="59"/>
      <c r="I124" s="34"/>
      <c r="J124" s="35">
        <f>2.938*1.5</f>
        <v>4.407</v>
      </c>
      <c r="K124" s="35">
        <v>1395</v>
      </c>
      <c r="L124" s="35">
        <f t="shared" si="3"/>
        <v>1.7319078204912184</v>
      </c>
      <c r="N124" s="34"/>
    </row>
    <row r="125" spans="1:14" s="35" customFormat="1" ht="15.75" customHeight="1" x14ac:dyDescent="0.25">
      <c r="A125" s="59">
        <f>A124+1</f>
        <v>4</v>
      </c>
      <c r="B125" s="59"/>
      <c r="C125" s="40" t="s">
        <v>205</v>
      </c>
      <c r="D125" s="53">
        <f>(116.206+6.413)*(10.764)</f>
        <v>1319.8709159999999</v>
      </c>
      <c r="E125" s="40">
        <v>0</v>
      </c>
      <c r="F125" s="40">
        <v>2265</v>
      </c>
      <c r="G125" s="59"/>
      <c r="H125" s="59"/>
      <c r="I125" s="34">
        <f>6.45*4.45+3.075*2.875+4.6*2.75+4.45*3.35+2.45*1.5+1.5*0.45+2.45*1.5+4*3.05+3.5*4.45+2.45*1.5+3.2*0.9+1.22*1.5+1.4*2</f>
        <v>112.08562499999999</v>
      </c>
      <c r="J125" s="35">
        <f>4.275*1.5</f>
        <v>6.4125000000000005</v>
      </c>
      <c r="K125" s="35">
        <v>2265</v>
      </c>
      <c r="L125" s="35">
        <f t="shared" si="3"/>
        <v>1.7160769076299582</v>
      </c>
      <c r="N125" s="34"/>
    </row>
    <row r="126" spans="1:14" s="35" customFormat="1" x14ac:dyDescent="0.25">
      <c r="A126" s="86" t="s">
        <v>206</v>
      </c>
      <c r="B126" s="86"/>
      <c r="C126" s="86"/>
      <c r="D126" s="86"/>
      <c r="E126" s="86"/>
      <c r="F126" s="86"/>
      <c r="G126" s="86"/>
      <c r="H126" s="86"/>
      <c r="I126" s="34"/>
      <c r="L126" s="58"/>
      <c r="M126" s="58"/>
    </row>
    <row r="127" spans="1:14" s="35" customFormat="1" ht="15.75" customHeight="1" x14ac:dyDescent="0.25">
      <c r="A127" s="59">
        <v>1</v>
      </c>
      <c r="B127" s="59"/>
      <c r="C127" s="40" t="s">
        <v>204</v>
      </c>
      <c r="D127" s="53">
        <f>(63.523+4.312)*(10.764)</f>
        <v>730.17594000000008</v>
      </c>
      <c r="E127" s="40">
        <v>0</v>
      </c>
      <c r="F127" s="40">
        <v>1275</v>
      </c>
      <c r="G127" s="60" t="str">
        <f>A126</f>
        <v>11th Floor (Refuge Area Provided)</v>
      </c>
      <c r="H127" s="61"/>
      <c r="I127" s="53">
        <f>10.764</f>
        <v>10.763999999999999</v>
      </c>
      <c r="N127" s="34"/>
    </row>
    <row r="128" spans="1:14" s="35" customFormat="1" ht="15.75" customHeight="1" x14ac:dyDescent="0.25">
      <c r="A128" s="59">
        <f>A127+1</f>
        <v>2</v>
      </c>
      <c r="B128" s="59"/>
      <c r="C128" s="40" t="s">
        <v>205</v>
      </c>
      <c r="D128" s="53">
        <f>(95.602+4.857)*(10.764)</f>
        <v>1081.340676</v>
      </c>
      <c r="E128" s="40">
        <v>0</v>
      </c>
      <c r="F128" s="40">
        <v>1875</v>
      </c>
      <c r="G128" s="62"/>
      <c r="H128" s="63"/>
      <c r="I128" s="34"/>
      <c r="N128" s="34"/>
    </row>
    <row r="129" spans="1:14" s="35" customFormat="1" ht="15.75" customHeight="1" x14ac:dyDescent="0.25">
      <c r="A129" s="59">
        <f>A128+1</f>
        <v>3</v>
      </c>
      <c r="B129" s="59"/>
      <c r="C129" s="40" t="s">
        <v>204</v>
      </c>
      <c r="D129" s="53">
        <f>(70.423+4.407)*(10.764)</f>
        <v>805.47011999999995</v>
      </c>
      <c r="E129" s="40">
        <v>0</v>
      </c>
      <c r="F129" s="40">
        <v>1395</v>
      </c>
      <c r="G129" s="62"/>
      <c r="H129" s="63"/>
      <c r="I129" s="34"/>
      <c r="N129" s="34"/>
    </row>
    <row r="130" spans="1:14" s="35" customFormat="1" ht="15.75" customHeight="1" x14ac:dyDescent="0.25">
      <c r="A130" s="59">
        <f>A129+1</f>
        <v>4</v>
      </c>
      <c r="B130" s="59"/>
      <c r="C130" s="40" t="s">
        <v>205</v>
      </c>
      <c r="D130" s="53">
        <f>(116.206+6.413)*(10.764)</f>
        <v>1319.8709159999999</v>
      </c>
      <c r="E130" s="40">
        <v>0</v>
      </c>
      <c r="F130" s="40">
        <v>2265</v>
      </c>
      <c r="G130" s="62"/>
      <c r="H130" s="63"/>
      <c r="I130" s="34"/>
      <c r="N130" s="34"/>
    </row>
    <row r="131" spans="1:14" s="35" customFormat="1" x14ac:dyDescent="0.25">
      <c r="A131" s="86" t="s">
        <v>203</v>
      </c>
      <c r="B131" s="86"/>
      <c r="C131" s="86"/>
      <c r="D131" s="86"/>
      <c r="E131" s="86"/>
      <c r="F131" s="86"/>
      <c r="G131" s="86"/>
      <c r="H131" s="86"/>
      <c r="I131" s="34"/>
      <c r="L131" s="58"/>
      <c r="M131" s="58"/>
    </row>
    <row r="132" spans="1:14" s="35" customFormat="1" ht="15.75" customHeight="1" x14ac:dyDescent="0.25">
      <c r="A132" s="59">
        <v>1</v>
      </c>
      <c r="B132" s="59"/>
      <c r="C132" s="40" t="s">
        <v>204</v>
      </c>
      <c r="D132" s="53">
        <f>(63.523+4.312)*(10.764)</f>
        <v>730.17594000000008</v>
      </c>
      <c r="E132" s="40">
        <v>0</v>
      </c>
      <c r="F132" s="40">
        <v>1275</v>
      </c>
      <c r="G132" s="60" t="str">
        <f>A131</f>
        <v>12th, 13th &amp; 14th Floor</v>
      </c>
      <c r="H132" s="61"/>
      <c r="I132" s="34"/>
      <c r="K132" s="35">
        <v>1275</v>
      </c>
      <c r="L132" s="35">
        <f>K132/D132</f>
        <v>1.7461544953124584</v>
      </c>
      <c r="N132" s="34"/>
    </row>
    <row r="133" spans="1:14" s="35" customFormat="1" ht="15.75" customHeight="1" x14ac:dyDescent="0.25">
      <c r="A133" s="59">
        <f>A132+1</f>
        <v>2</v>
      </c>
      <c r="B133" s="59"/>
      <c r="C133" s="40" t="s">
        <v>205</v>
      </c>
      <c r="D133" s="53">
        <f>(95.602+4.857)*(10.764)</f>
        <v>1081.340676</v>
      </c>
      <c r="E133" s="40">
        <v>0</v>
      </c>
      <c r="F133" s="40">
        <v>1875</v>
      </c>
      <c r="G133" s="62"/>
      <c r="H133" s="63"/>
      <c r="I133" s="34"/>
      <c r="K133" s="35">
        <v>1875</v>
      </c>
      <c r="L133" s="35">
        <f t="shared" ref="L133:L135" si="4">K133/D133</f>
        <v>1.7339586326631442</v>
      </c>
      <c r="N133" s="34"/>
    </row>
    <row r="134" spans="1:14" s="35" customFormat="1" ht="15.75" customHeight="1" x14ac:dyDescent="0.25">
      <c r="A134" s="59">
        <f>A133+1</f>
        <v>3</v>
      </c>
      <c r="B134" s="59"/>
      <c r="C134" s="40" t="s">
        <v>204</v>
      </c>
      <c r="D134" s="53">
        <f>(70.423+4.407)*(10.764)</f>
        <v>805.47011999999995</v>
      </c>
      <c r="E134" s="40">
        <v>0</v>
      </c>
      <c r="F134" s="40">
        <v>1395</v>
      </c>
      <c r="G134" s="62"/>
      <c r="H134" s="63"/>
      <c r="I134" s="34"/>
      <c r="K134" s="35">
        <v>1395</v>
      </c>
      <c r="L134" s="35">
        <f t="shared" si="4"/>
        <v>1.7319078204912184</v>
      </c>
      <c r="N134" s="34"/>
    </row>
    <row r="135" spans="1:14" s="35" customFormat="1" ht="15.75" customHeight="1" x14ac:dyDescent="0.25">
      <c r="A135" s="59">
        <f>A134+1</f>
        <v>4</v>
      </c>
      <c r="B135" s="59"/>
      <c r="C135" s="40" t="s">
        <v>205</v>
      </c>
      <c r="D135" s="53">
        <f>(116.206+6.413)*(10.764)</f>
        <v>1319.8709159999999</v>
      </c>
      <c r="E135" s="40">
        <v>0</v>
      </c>
      <c r="F135" s="40">
        <v>2265</v>
      </c>
      <c r="G135" s="62"/>
      <c r="H135" s="63"/>
      <c r="I135" s="34"/>
      <c r="K135" s="35">
        <v>2265</v>
      </c>
      <c r="L135" s="35">
        <f t="shared" si="4"/>
        <v>1.7160769076299582</v>
      </c>
      <c r="N135" s="34"/>
    </row>
    <row r="136" spans="1:14" s="35" customFormat="1" x14ac:dyDescent="0.25">
      <c r="A136" s="86" t="s">
        <v>207</v>
      </c>
      <c r="B136" s="86"/>
      <c r="C136" s="86"/>
      <c r="D136" s="86"/>
      <c r="E136" s="86"/>
      <c r="F136" s="86"/>
      <c r="G136" s="86"/>
      <c r="H136" s="86"/>
      <c r="I136" s="34"/>
      <c r="L136" s="58"/>
      <c r="M136" s="58"/>
    </row>
    <row r="137" spans="1:14" s="35" customFormat="1" ht="15.75" customHeight="1" x14ac:dyDescent="0.25">
      <c r="A137" s="59">
        <v>1</v>
      </c>
      <c r="B137" s="59"/>
      <c r="C137" s="40" t="s">
        <v>204</v>
      </c>
      <c r="D137" s="53">
        <f>(63.523+4.312)*(10.764)</f>
        <v>730.17594000000008</v>
      </c>
      <c r="E137" s="40">
        <v>0</v>
      </c>
      <c r="F137" s="40">
        <v>1275</v>
      </c>
      <c r="G137" s="60" t="str">
        <f>A136</f>
        <v>15th Floor (Refuge Area Provided)</v>
      </c>
      <c r="H137" s="61"/>
      <c r="I137" s="34"/>
      <c r="N137" s="34"/>
    </row>
    <row r="138" spans="1:14" s="35" customFormat="1" ht="15.75" customHeight="1" x14ac:dyDescent="0.25">
      <c r="A138" s="59">
        <f>A137+1</f>
        <v>2</v>
      </c>
      <c r="B138" s="59"/>
      <c r="C138" s="40" t="s">
        <v>205</v>
      </c>
      <c r="D138" s="53">
        <f>(95.602+4.857)*(10.764)</f>
        <v>1081.340676</v>
      </c>
      <c r="E138" s="40">
        <v>0</v>
      </c>
      <c r="F138" s="40">
        <v>1875</v>
      </c>
      <c r="G138" s="62"/>
      <c r="H138" s="63"/>
      <c r="I138" s="34"/>
      <c r="N138" s="34"/>
    </row>
    <row r="139" spans="1:14" s="35" customFormat="1" ht="15.75" customHeight="1" x14ac:dyDescent="0.25">
      <c r="A139" s="59">
        <f>A138+1</f>
        <v>3</v>
      </c>
      <c r="B139" s="59"/>
      <c r="C139" s="40" t="s">
        <v>204</v>
      </c>
      <c r="D139" s="53">
        <f>(70.423+4.407)*(10.764)</f>
        <v>805.47011999999995</v>
      </c>
      <c r="E139" s="40">
        <v>0</v>
      </c>
      <c r="F139" s="40">
        <v>1395</v>
      </c>
      <c r="G139" s="62"/>
      <c r="H139" s="63"/>
      <c r="I139" s="34"/>
      <c r="N139" s="34"/>
    </row>
    <row r="140" spans="1:14" s="35" customFormat="1" ht="15.75" customHeight="1" x14ac:dyDescent="0.25">
      <c r="A140" s="59">
        <f>A139+1</f>
        <v>4</v>
      </c>
      <c r="B140" s="59"/>
      <c r="C140" s="40" t="s">
        <v>205</v>
      </c>
      <c r="D140" s="53">
        <f>(116.206+6.413)*(10.764)</f>
        <v>1319.8709159999999</v>
      </c>
      <c r="E140" s="40">
        <v>0</v>
      </c>
      <c r="F140" s="40">
        <v>2265</v>
      </c>
      <c r="G140" s="62"/>
      <c r="H140" s="63"/>
      <c r="I140" s="34"/>
      <c r="N140" s="34"/>
    </row>
    <row r="141" spans="1:14" s="35" customFormat="1" ht="15.75" customHeight="1" x14ac:dyDescent="0.25">
      <c r="A141" s="125" t="s">
        <v>208</v>
      </c>
      <c r="B141" s="126"/>
      <c r="C141" s="126"/>
      <c r="D141" s="126"/>
      <c r="E141" s="126"/>
      <c r="F141" s="126"/>
      <c r="G141" s="126"/>
      <c r="H141" s="127"/>
      <c r="I141" s="34"/>
    </row>
    <row r="142" spans="1:14" s="35" customFormat="1" ht="15.75" customHeight="1" x14ac:dyDescent="0.25">
      <c r="A142" s="66">
        <v>1</v>
      </c>
      <c r="B142" s="67"/>
      <c r="C142" s="40" t="s">
        <v>204</v>
      </c>
      <c r="D142" s="53">
        <f>(58.135+4.312+6.295)*(10.764)</f>
        <v>739.93888799999991</v>
      </c>
      <c r="E142" s="40">
        <v>0</v>
      </c>
      <c r="F142" s="40">
        <v>1275</v>
      </c>
      <c r="G142" s="60" t="str">
        <f>A141</f>
        <v>16th, 17th, 18th, 20th, 21st, 22nd Floor</v>
      </c>
      <c r="H142" s="61"/>
      <c r="I142" s="34">
        <f>(3.05*5.388+0.925*4.025+2.3*2.8+3.05*3.05+2.176*3.995+2.1*1.5+2.45*1.2+5*0.9+1.2*0.6+2.3*1+3.995*1)-5</f>
        <v>57.197144999999985</v>
      </c>
      <c r="J142" s="35">
        <f>2.875*1.5</f>
        <v>4.3125</v>
      </c>
      <c r="K142" s="35">
        <f>2.3*1+3.995</f>
        <v>6.2949999999999999</v>
      </c>
    </row>
    <row r="143" spans="1:14" s="35" customFormat="1" ht="15.75" customHeight="1" x14ac:dyDescent="0.25">
      <c r="A143" s="66">
        <f>A142+1</f>
        <v>2</v>
      </c>
      <c r="B143" s="67"/>
      <c r="C143" s="40" t="s">
        <v>205</v>
      </c>
      <c r="D143" s="53">
        <f>(95.602+4.857)*(10.764)</f>
        <v>1081.340676</v>
      </c>
      <c r="E143" s="40">
        <v>0</v>
      </c>
      <c r="F143" s="40">
        <v>1875</v>
      </c>
      <c r="G143" s="62"/>
      <c r="H143" s="63"/>
      <c r="I143" s="34"/>
    </row>
    <row r="144" spans="1:14" s="35" customFormat="1" ht="15.75" customHeight="1" x14ac:dyDescent="0.25">
      <c r="A144" s="66">
        <f t="shared" ref="A144:A145" si="5">A143+1</f>
        <v>3</v>
      </c>
      <c r="B144" s="67"/>
      <c r="C144" s="40" t="s">
        <v>204</v>
      </c>
      <c r="D144" s="53">
        <f>(70.423+4.407)*(10.764)</f>
        <v>805.47011999999995</v>
      </c>
      <c r="E144" s="40">
        <v>0</v>
      </c>
      <c r="F144" s="40">
        <v>1395</v>
      </c>
      <c r="G144" s="62"/>
      <c r="H144" s="63"/>
      <c r="I144" s="34"/>
    </row>
    <row r="145" spans="1:9" s="35" customFormat="1" ht="15.75" customHeight="1" x14ac:dyDescent="0.25">
      <c r="A145" s="66">
        <f t="shared" si="5"/>
        <v>4</v>
      </c>
      <c r="B145" s="67"/>
      <c r="C145" s="40" t="s">
        <v>205</v>
      </c>
      <c r="D145" s="53">
        <f>(116.206+6.413)*(10.764)</f>
        <v>1319.8709159999999</v>
      </c>
      <c r="E145" s="40">
        <v>0</v>
      </c>
      <c r="F145" s="40">
        <v>2265</v>
      </c>
      <c r="G145" s="64"/>
      <c r="H145" s="65"/>
      <c r="I145" s="34"/>
    </row>
    <row r="146" spans="1:9" s="35" customFormat="1" ht="15.75" customHeight="1" x14ac:dyDescent="0.25">
      <c r="A146" s="113" t="s">
        <v>211</v>
      </c>
      <c r="B146" s="114"/>
      <c r="C146" s="114"/>
      <c r="D146" s="114"/>
      <c r="E146" s="114"/>
      <c r="F146" s="114"/>
      <c r="G146" s="114"/>
      <c r="H146" s="115"/>
      <c r="I146" s="34"/>
    </row>
    <row r="147" spans="1:9" s="35" customFormat="1" ht="15.75" customHeight="1" x14ac:dyDescent="0.25">
      <c r="A147" s="66">
        <v>1</v>
      </c>
      <c r="B147" s="67"/>
      <c r="C147" s="40" t="s">
        <v>204</v>
      </c>
      <c r="D147" s="53">
        <f>(58.135+4.312+6.295)*(10.764)</f>
        <v>739.93888799999991</v>
      </c>
      <c r="E147" s="40">
        <v>0</v>
      </c>
      <c r="F147" s="40">
        <v>1275</v>
      </c>
      <c r="G147" s="60" t="str">
        <f>A146</f>
        <v>19th &amp; 23rd Floor (Refuge Area Provided)</v>
      </c>
      <c r="H147" s="61"/>
      <c r="I147" s="34"/>
    </row>
    <row r="148" spans="1:9" s="35" customFormat="1" ht="15.75" customHeight="1" x14ac:dyDescent="0.25">
      <c r="A148" s="66">
        <f>A147+1</f>
        <v>2</v>
      </c>
      <c r="B148" s="67"/>
      <c r="C148" s="40" t="s">
        <v>205</v>
      </c>
      <c r="D148" s="53">
        <f>(95.602+4.857)*(10.764)</f>
        <v>1081.340676</v>
      </c>
      <c r="E148" s="40">
        <v>0</v>
      </c>
      <c r="F148" s="40">
        <v>1875</v>
      </c>
      <c r="G148" s="62"/>
      <c r="H148" s="63"/>
      <c r="I148" s="34"/>
    </row>
    <row r="149" spans="1:9" s="35" customFormat="1" ht="15.75" customHeight="1" x14ac:dyDescent="0.25">
      <c r="A149" s="66">
        <f t="shared" ref="A149:A150" si="6">A148+1</f>
        <v>3</v>
      </c>
      <c r="B149" s="67"/>
      <c r="C149" s="40" t="s">
        <v>204</v>
      </c>
      <c r="D149" s="53">
        <f>(70.423+4.407)*(10.764)</f>
        <v>805.47011999999995</v>
      </c>
      <c r="E149" s="40">
        <v>0</v>
      </c>
      <c r="F149" s="40">
        <v>1395</v>
      </c>
      <c r="G149" s="62"/>
      <c r="H149" s="63"/>
      <c r="I149" s="34"/>
    </row>
    <row r="150" spans="1:9" s="35" customFormat="1" ht="15.75" customHeight="1" x14ac:dyDescent="0.25">
      <c r="A150" s="66">
        <f t="shared" si="6"/>
        <v>4</v>
      </c>
      <c r="B150" s="67"/>
      <c r="C150" s="40" t="s">
        <v>205</v>
      </c>
      <c r="D150" s="53">
        <f>(116.206+6.413)*(10.764)</f>
        <v>1319.8709159999999</v>
      </c>
      <c r="E150" s="40">
        <v>0</v>
      </c>
      <c r="F150" s="40">
        <v>2265</v>
      </c>
      <c r="G150" s="64"/>
      <c r="H150" s="65"/>
      <c r="I150" s="34"/>
    </row>
    <row r="151" spans="1:9" s="35" customFormat="1" ht="15.75" customHeight="1" x14ac:dyDescent="0.25">
      <c r="A151" s="113" t="s">
        <v>209</v>
      </c>
      <c r="B151" s="114"/>
      <c r="C151" s="114"/>
      <c r="D151" s="114"/>
      <c r="E151" s="114"/>
      <c r="F151" s="114"/>
      <c r="G151" s="114"/>
      <c r="H151" s="115"/>
      <c r="I151" s="34"/>
    </row>
    <row r="152" spans="1:9" s="35" customFormat="1" ht="15.75" customHeight="1" x14ac:dyDescent="0.25">
      <c r="A152" s="66">
        <v>1</v>
      </c>
      <c r="B152" s="67"/>
      <c r="C152" s="40" t="s">
        <v>204</v>
      </c>
      <c r="D152" s="53">
        <f>(58.135+6.295)*(10.764)</f>
        <v>693.52451999999982</v>
      </c>
      <c r="E152" s="53">
        <f>(3.025*1.53)*(10.764)</f>
        <v>49.818482999999993</v>
      </c>
      <c r="F152" s="40">
        <v>1275</v>
      </c>
      <c r="G152" s="60" t="str">
        <f>A151</f>
        <v>24th Floor</v>
      </c>
      <c r="H152" s="61"/>
      <c r="I152" s="34"/>
    </row>
    <row r="153" spans="1:9" s="35" customFormat="1" ht="15.75" customHeight="1" x14ac:dyDescent="0.25">
      <c r="A153" s="66">
        <f>A152+1</f>
        <v>2</v>
      </c>
      <c r="B153" s="67"/>
      <c r="C153" s="40" t="s">
        <v>205</v>
      </c>
      <c r="D153" s="53">
        <f>(75.965)*(10.764)</f>
        <v>817.68726000000004</v>
      </c>
      <c r="E153" s="53">
        <f>(3.025*1.53)*(10.764)</f>
        <v>49.818482999999993</v>
      </c>
      <c r="F153" s="40">
        <v>1875</v>
      </c>
      <c r="G153" s="62"/>
      <c r="H153" s="63"/>
      <c r="I153" s="34"/>
    </row>
    <row r="154" spans="1:9" s="35" customFormat="1" ht="15.75" customHeight="1" x14ac:dyDescent="0.25">
      <c r="A154" s="66">
        <f t="shared" ref="A154:A155" si="7">A153+1</f>
        <v>3</v>
      </c>
      <c r="B154" s="67"/>
      <c r="C154" s="40" t="s">
        <v>204</v>
      </c>
      <c r="D154" s="53">
        <f>(70.423)*(10.764)</f>
        <v>758.03317199999992</v>
      </c>
      <c r="E154" s="53">
        <f>(3.025*1.53)*(10.764)</f>
        <v>49.818482999999993</v>
      </c>
      <c r="F154" s="40">
        <v>1395</v>
      </c>
      <c r="G154" s="62"/>
      <c r="H154" s="63"/>
      <c r="I154" s="34"/>
    </row>
    <row r="155" spans="1:9" s="35" customFormat="1" ht="15.75" customHeight="1" x14ac:dyDescent="0.25">
      <c r="A155" s="66">
        <f t="shared" si="7"/>
        <v>4</v>
      </c>
      <c r="B155" s="67"/>
      <c r="C155" s="40" t="s">
        <v>204</v>
      </c>
      <c r="D155" s="53">
        <f>(95.978)*(10.764)</f>
        <v>1033.1071919999999</v>
      </c>
      <c r="E155" s="53">
        <f>(1.5*4.275+6.078*3.077)*(10.764)</f>
        <v>270.33254258400001</v>
      </c>
      <c r="F155" s="40">
        <v>2265</v>
      </c>
      <c r="G155" s="64"/>
      <c r="H155" s="65"/>
      <c r="I155" s="34"/>
    </row>
    <row r="156" spans="1:9" s="33" customFormat="1" x14ac:dyDescent="0.25">
      <c r="A156" s="124" t="s">
        <v>70</v>
      </c>
      <c r="B156" s="124"/>
      <c r="C156" s="124"/>
      <c r="D156" s="124"/>
      <c r="E156" s="124"/>
      <c r="F156" s="124"/>
      <c r="G156" s="124"/>
      <c r="H156" s="124"/>
    </row>
    <row r="157" spans="1:9" s="33" customFormat="1" ht="31.9" customHeight="1" x14ac:dyDescent="0.25">
      <c r="A157" s="43" t="s">
        <v>157</v>
      </c>
      <c r="B157" s="110" t="s">
        <v>220</v>
      </c>
      <c r="C157" s="111"/>
      <c r="D157" s="111"/>
      <c r="E157" s="111"/>
      <c r="F157" s="111"/>
      <c r="G157" s="111"/>
      <c r="H157" s="112"/>
    </row>
    <row r="158" spans="1:9" s="33" customFormat="1" x14ac:dyDescent="0.25">
      <c r="A158" s="43" t="s">
        <v>157</v>
      </c>
      <c r="B158" s="110" t="str">
        <f>(IF(F118="Saleable area Loading :","We have considered Saleable area of Flats as per our Calculation.","We considered Saleable area of Flat as per Builder area Sheet."))</f>
        <v>We considered Saleable area of Flat as per Builder area Sheet.</v>
      </c>
      <c r="C158" s="111"/>
      <c r="D158" s="111"/>
      <c r="E158" s="111"/>
      <c r="F158" s="111"/>
      <c r="G158" s="111"/>
      <c r="H158" s="112"/>
    </row>
    <row r="159" spans="1:9" s="33" customFormat="1" x14ac:dyDescent="0.25">
      <c r="A159" s="43" t="s">
        <v>157</v>
      </c>
      <c r="B159" s="110" t="str">
        <f>(IF(F102="Saleable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59" s="111"/>
      <c r="D159" s="111"/>
      <c r="E159" s="111"/>
      <c r="F159" s="111"/>
      <c r="G159" s="111"/>
      <c r="H159" s="112"/>
    </row>
    <row r="160" spans="1:9" s="33" customFormat="1" x14ac:dyDescent="0.25">
      <c r="A160" s="43" t="s">
        <v>157</v>
      </c>
      <c r="B160" s="107" t="s">
        <v>129</v>
      </c>
      <c r="C160" s="108"/>
      <c r="D160" s="108"/>
      <c r="E160" s="108"/>
      <c r="F160" s="108"/>
      <c r="G160" s="108"/>
      <c r="H160" s="109"/>
    </row>
    <row r="161" spans="1:8" s="33" customFormat="1" x14ac:dyDescent="0.25">
      <c r="A161" s="43" t="s">
        <v>157</v>
      </c>
      <c r="B161" s="107" t="s">
        <v>216</v>
      </c>
      <c r="C161" s="108"/>
      <c r="D161" s="108"/>
      <c r="E161" s="108"/>
      <c r="F161" s="108"/>
      <c r="G161" s="108"/>
      <c r="H161" s="109"/>
    </row>
    <row r="162" spans="1:8" s="33" customFormat="1" x14ac:dyDescent="0.25">
      <c r="A162" s="43" t="s">
        <v>157</v>
      </c>
      <c r="B162" s="107" t="s">
        <v>156</v>
      </c>
      <c r="C162" s="108"/>
      <c r="D162" s="108"/>
      <c r="E162" s="108"/>
      <c r="F162" s="108"/>
      <c r="G162" s="108"/>
      <c r="H162" s="109"/>
    </row>
    <row r="163" spans="1:8" s="33" customFormat="1" x14ac:dyDescent="0.25">
      <c r="A163" s="43" t="s">
        <v>157</v>
      </c>
      <c r="B163" s="107" t="s">
        <v>130</v>
      </c>
      <c r="C163" s="108"/>
      <c r="D163" s="108"/>
      <c r="E163" s="108"/>
      <c r="F163" s="108"/>
      <c r="G163" s="108"/>
      <c r="H163" s="109"/>
    </row>
    <row r="164" spans="1:8" s="33" customFormat="1" ht="34.5" customHeight="1" x14ac:dyDescent="0.25">
      <c r="A164" s="43" t="s">
        <v>157</v>
      </c>
      <c r="B164" s="107" t="s">
        <v>158</v>
      </c>
      <c r="C164" s="108"/>
      <c r="D164" s="108"/>
      <c r="E164" s="108"/>
      <c r="F164" s="108"/>
      <c r="G164" s="108"/>
      <c r="H164" s="109"/>
    </row>
    <row r="165" spans="1:8" s="33" customFormat="1" x14ac:dyDescent="0.25">
      <c r="A165" s="43" t="s">
        <v>157</v>
      </c>
      <c r="B165" s="107" t="s">
        <v>131</v>
      </c>
      <c r="C165" s="108"/>
      <c r="D165" s="108"/>
      <c r="E165" s="108"/>
      <c r="F165" s="108"/>
      <c r="G165" s="108"/>
      <c r="H165" s="109"/>
    </row>
    <row r="166" spans="1:8" x14ac:dyDescent="0.25">
      <c r="A166" s="123" t="s">
        <v>63</v>
      </c>
      <c r="B166" s="123"/>
      <c r="C166" s="123"/>
      <c r="D166" s="123"/>
      <c r="E166" s="123"/>
      <c r="F166" s="123"/>
      <c r="G166" s="123"/>
      <c r="H166" s="123"/>
    </row>
    <row r="167" spans="1:8" x14ac:dyDescent="0.25">
      <c r="A167" s="69" t="s">
        <v>64</v>
      </c>
      <c r="B167" s="69"/>
      <c r="C167" s="69"/>
      <c r="D167" s="69"/>
      <c r="E167" s="69"/>
      <c r="F167" s="69"/>
      <c r="G167" s="69"/>
      <c r="H167" s="69"/>
    </row>
    <row r="168" spans="1:8" ht="15.75" customHeight="1" x14ac:dyDescent="0.25">
      <c r="A168" s="70" t="s">
        <v>65</v>
      </c>
      <c r="B168" s="70"/>
      <c r="C168" s="70"/>
      <c r="D168" s="70"/>
      <c r="E168" s="70"/>
      <c r="F168" s="70"/>
      <c r="G168" s="70"/>
      <c r="H168" s="70"/>
    </row>
    <row r="169" spans="1:8" x14ac:dyDescent="0.25">
      <c r="A169" s="69" t="s">
        <v>66</v>
      </c>
      <c r="B169" s="69"/>
      <c r="C169" s="69"/>
      <c r="D169" s="69"/>
      <c r="E169" s="69"/>
      <c r="F169" s="69"/>
      <c r="G169" s="69"/>
      <c r="H169" s="69"/>
    </row>
    <row r="170" spans="1:8" x14ac:dyDescent="0.25">
      <c r="A170" s="69" t="s">
        <v>67</v>
      </c>
      <c r="B170" s="69"/>
      <c r="C170" s="69"/>
      <c r="D170" s="69"/>
      <c r="E170" s="69"/>
      <c r="F170" s="69"/>
      <c r="G170" s="69"/>
      <c r="H170" s="69"/>
    </row>
    <row r="171" spans="1:8" x14ac:dyDescent="0.25">
      <c r="A171" s="69" t="s">
        <v>132</v>
      </c>
      <c r="B171" s="69"/>
      <c r="C171" s="69"/>
      <c r="D171" s="69"/>
      <c r="E171" s="69"/>
      <c r="F171" s="69"/>
      <c r="G171" s="69"/>
      <c r="H171" s="69"/>
    </row>
    <row r="172" spans="1:8" ht="33" customHeight="1" x14ac:dyDescent="0.25">
      <c r="A172" s="87" t="s">
        <v>133</v>
      </c>
      <c r="B172" s="87"/>
      <c r="C172" s="87"/>
      <c r="D172" s="87"/>
      <c r="E172" s="87"/>
      <c r="F172" s="87"/>
      <c r="G172" s="87"/>
      <c r="H172" s="87"/>
    </row>
    <row r="173" spans="1:8" x14ac:dyDescent="0.25">
      <c r="A173" s="119" t="s">
        <v>80</v>
      </c>
      <c r="B173" s="119"/>
      <c r="C173" s="119" t="s">
        <v>223</v>
      </c>
      <c r="D173" s="119"/>
      <c r="E173" s="119" t="s">
        <v>110</v>
      </c>
      <c r="F173" s="119"/>
      <c r="G173" s="119" t="s">
        <v>222</v>
      </c>
      <c r="H173" s="119"/>
    </row>
    <row r="174" spans="1:8" x14ac:dyDescent="0.25">
      <c r="A174" s="118" t="s">
        <v>82</v>
      </c>
      <c r="B174" s="118"/>
      <c r="C174" s="118"/>
      <c r="D174" s="118"/>
      <c r="E174" s="118"/>
      <c r="F174" s="118"/>
      <c r="G174" s="118"/>
      <c r="H174" s="118"/>
    </row>
    <row r="175" spans="1:8" x14ac:dyDescent="0.25">
      <c r="A175" s="118"/>
      <c r="B175" s="118"/>
      <c r="C175" s="118"/>
      <c r="D175" s="118"/>
      <c r="E175" s="118"/>
      <c r="F175" s="118"/>
      <c r="G175" s="118"/>
      <c r="H175" s="118"/>
    </row>
    <row r="176" spans="1:8" x14ac:dyDescent="0.25">
      <c r="A176" s="118"/>
      <c r="B176" s="118"/>
      <c r="C176" s="118"/>
      <c r="D176" s="118"/>
      <c r="E176" s="118"/>
      <c r="F176" s="118"/>
      <c r="G176" s="118"/>
      <c r="H176" s="118"/>
    </row>
    <row r="177" spans="1:8" x14ac:dyDescent="0.25">
      <c r="A177" s="118"/>
      <c r="B177" s="118"/>
      <c r="C177" s="118"/>
      <c r="D177" s="118"/>
      <c r="E177" s="118"/>
      <c r="F177" s="118"/>
      <c r="G177" s="118"/>
      <c r="H177" s="118"/>
    </row>
    <row r="178" spans="1:8" x14ac:dyDescent="0.25">
      <c r="A178" s="36" t="s">
        <v>68</v>
      </c>
      <c r="B178" s="37"/>
      <c r="C178" s="37"/>
      <c r="D178" s="36" t="str">
        <f>E8</f>
        <v>One Pyramid</v>
      </c>
      <c r="F178" s="37"/>
      <c r="G178" s="37"/>
      <c r="H178" s="37"/>
    </row>
    <row r="179" spans="1:8" x14ac:dyDescent="0.25">
      <c r="A179" s="37"/>
      <c r="B179" s="37"/>
      <c r="C179" s="37"/>
      <c r="D179" s="37"/>
      <c r="E179" s="37"/>
      <c r="F179" s="37"/>
      <c r="G179" s="37"/>
      <c r="H179" s="37"/>
    </row>
    <row r="180" spans="1:8" x14ac:dyDescent="0.25">
      <c r="A180" s="37"/>
      <c r="B180" s="37"/>
      <c r="C180" s="37"/>
      <c r="D180" s="37"/>
      <c r="E180" s="37"/>
      <c r="F180" s="37"/>
      <c r="G180" s="37"/>
      <c r="H180" s="37"/>
    </row>
    <row r="181" spans="1:8" ht="15" customHeight="1" x14ac:dyDescent="0.25"/>
    <row r="220" spans="1:1" x14ac:dyDescent="0.25">
      <c r="A220" s="39" t="s">
        <v>170</v>
      </c>
    </row>
    <row r="261" spans="1:1" x14ac:dyDescent="0.25">
      <c r="A261" s="39" t="s">
        <v>69</v>
      </c>
    </row>
  </sheetData>
  <mergeCells count="309">
    <mergeCell ref="I10:L10"/>
    <mergeCell ref="B164:H164"/>
    <mergeCell ref="A47:B47"/>
    <mergeCell ref="C47:H47"/>
    <mergeCell ref="B162:H162"/>
    <mergeCell ref="F81:H81"/>
    <mergeCell ref="A81:E81"/>
    <mergeCell ref="A83:E83"/>
    <mergeCell ref="A104:B104"/>
    <mergeCell ref="A105:B105"/>
    <mergeCell ref="F84:H84"/>
    <mergeCell ref="A117:H117"/>
    <mergeCell ref="A123:B123"/>
    <mergeCell ref="A124:B124"/>
    <mergeCell ref="A90:E90"/>
    <mergeCell ref="B160:H160"/>
    <mergeCell ref="B161:H161"/>
    <mergeCell ref="A153:B153"/>
    <mergeCell ref="A154:B154"/>
    <mergeCell ref="A125:B125"/>
    <mergeCell ref="A106:B106"/>
    <mergeCell ref="F82:H82"/>
    <mergeCell ref="A87:E87"/>
    <mergeCell ref="A82:E82"/>
    <mergeCell ref="A79:E79"/>
    <mergeCell ref="A88:E88"/>
    <mergeCell ref="I121:M121"/>
    <mergeCell ref="A36:H36"/>
    <mergeCell ref="A35:B35"/>
    <mergeCell ref="C35:E35"/>
    <mergeCell ref="A40:D40"/>
    <mergeCell ref="E40:H40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A107:B107"/>
    <mergeCell ref="F35:H35"/>
    <mergeCell ref="A45:D45"/>
    <mergeCell ref="A46:H46"/>
    <mergeCell ref="D56:H56"/>
    <mergeCell ref="A56:C56"/>
    <mergeCell ref="G49:H49"/>
    <mergeCell ref="A50:B51"/>
    <mergeCell ref="C52:E52"/>
    <mergeCell ref="A49:B49"/>
    <mergeCell ref="A53:H53"/>
    <mergeCell ref="A39:H39"/>
    <mergeCell ref="A58:C58"/>
    <mergeCell ref="D58:H58"/>
    <mergeCell ref="A42:D42"/>
    <mergeCell ref="E42:H42"/>
    <mergeCell ref="E43:H43"/>
    <mergeCell ref="E44:H44"/>
    <mergeCell ref="E45:H45"/>
    <mergeCell ref="A37:B37"/>
    <mergeCell ref="C37:H37"/>
    <mergeCell ref="A44:D44"/>
    <mergeCell ref="A43:D43"/>
    <mergeCell ref="C51:H51"/>
    <mergeCell ref="A52:B52"/>
    <mergeCell ref="A38:B38"/>
    <mergeCell ref="C38:H38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74:H177"/>
    <mergeCell ref="A173:B173"/>
    <mergeCell ref="E173:F173"/>
    <mergeCell ref="C173:D173"/>
    <mergeCell ref="G173:H173"/>
    <mergeCell ref="A93:H93"/>
    <mergeCell ref="A91:E91"/>
    <mergeCell ref="F91:H91"/>
    <mergeCell ref="A92:E92"/>
    <mergeCell ref="F92:H92"/>
    <mergeCell ref="A121:H121"/>
    <mergeCell ref="A98:B98"/>
    <mergeCell ref="A144:B144"/>
    <mergeCell ref="A95:B95"/>
    <mergeCell ref="A169:H169"/>
    <mergeCell ref="A96:H96"/>
    <mergeCell ref="A172:H172"/>
    <mergeCell ref="A170:H170"/>
    <mergeCell ref="A166:H166"/>
    <mergeCell ref="C97:D97"/>
    <mergeCell ref="A156:H156"/>
    <mergeCell ref="A155:B155"/>
    <mergeCell ref="A151:H151"/>
    <mergeCell ref="A141:H141"/>
    <mergeCell ref="G99:H99"/>
    <mergeCell ref="A136:H136"/>
    <mergeCell ref="G97:H97"/>
    <mergeCell ref="C98:D98"/>
    <mergeCell ref="E98:F98"/>
    <mergeCell ref="G98:H98"/>
    <mergeCell ref="A167:H167"/>
    <mergeCell ref="E97:F97"/>
    <mergeCell ref="B165:H165"/>
    <mergeCell ref="B163:H163"/>
    <mergeCell ref="B159:H159"/>
    <mergeCell ref="A100:H100"/>
    <mergeCell ref="B157:H157"/>
    <mergeCell ref="B158:H158"/>
    <mergeCell ref="A152:B152"/>
    <mergeCell ref="A103:H103"/>
    <mergeCell ref="G102:H102"/>
    <mergeCell ref="A146:H146"/>
    <mergeCell ref="A147:B147"/>
    <mergeCell ref="G147:H150"/>
    <mergeCell ref="A148:B148"/>
    <mergeCell ref="A149:B149"/>
    <mergeCell ref="A150:B150"/>
    <mergeCell ref="G152:H155"/>
    <mergeCell ref="F86:H86"/>
    <mergeCell ref="A80:E80"/>
    <mergeCell ref="F79:H79"/>
    <mergeCell ref="D61:H61"/>
    <mergeCell ref="A64:C64"/>
    <mergeCell ref="D64:H64"/>
    <mergeCell ref="A62:C62"/>
    <mergeCell ref="A85:E85"/>
    <mergeCell ref="F85:H85"/>
    <mergeCell ref="A86:E86"/>
    <mergeCell ref="F83:H83"/>
    <mergeCell ref="A84:E84"/>
    <mergeCell ref="D62:H62"/>
    <mergeCell ref="A63:C63"/>
    <mergeCell ref="D63:H63"/>
    <mergeCell ref="A69:B69"/>
    <mergeCell ref="G68:H68"/>
    <mergeCell ref="A59:C59"/>
    <mergeCell ref="E69:F78"/>
    <mergeCell ref="G69:H78"/>
    <mergeCell ref="A77:B77"/>
    <mergeCell ref="A78:B78"/>
    <mergeCell ref="D59:H59"/>
    <mergeCell ref="A76:B76"/>
    <mergeCell ref="A119:H119"/>
    <mergeCell ref="G122:H125"/>
    <mergeCell ref="A131:H131"/>
    <mergeCell ref="A54:C54"/>
    <mergeCell ref="A55:C55"/>
    <mergeCell ref="D55:H55"/>
    <mergeCell ref="G52:H52"/>
    <mergeCell ref="C94:D94"/>
    <mergeCell ref="F90:H90"/>
    <mergeCell ref="F88:H88"/>
    <mergeCell ref="A101:H101"/>
    <mergeCell ref="G94:H94"/>
    <mergeCell ref="A89:E89"/>
    <mergeCell ref="C95:D95"/>
    <mergeCell ref="E95:F95"/>
    <mergeCell ref="A120:H120"/>
    <mergeCell ref="F89:H89"/>
    <mergeCell ref="E94:F94"/>
    <mergeCell ref="A94:B94"/>
    <mergeCell ref="A99:B99"/>
    <mergeCell ref="C99:D99"/>
    <mergeCell ref="E99:F99"/>
    <mergeCell ref="A126:H126"/>
    <mergeCell ref="F87:H87"/>
    <mergeCell ref="L107:M107"/>
    <mergeCell ref="L106:M106"/>
    <mergeCell ref="L105:M105"/>
    <mergeCell ref="L104:M104"/>
    <mergeCell ref="E41:H41"/>
    <mergeCell ref="A41:D41"/>
    <mergeCell ref="A171:H171"/>
    <mergeCell ref="A168:H168"/>
    <mergeCell ref="A122:B122"/>
    <mergeCell ref="A97:B97"/>
    <mergeCell ref="G118:H118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114:B114"/>
    <mergeCell ref="L126:M126"/>
    <mergeCell ref="A127:B127"/>
    <mergeCell ref="G127:H130"/>
    <mergeCell ref="A128:B128"/>
    <mergeCell ref="A129:B129"/>
    <mergeCell ref="A130:B130"/>
    <mergeCell ref="L114:M114"/>
    <mergeCell ref="A115:B115"/>
    <mergeCell ref="L115:M115"/>
    <mergeCell ref="A116:B116"/>
    <mergeCell ref="L116:M116"/>
    <mergeCell ref="G104:H116"/>
    <mergeCell ref="A111:B111"/>
    <mergeCell ref="L111:M111"/>
    <mergeCell ref="A112:B112"/>
    <mergeCell ref="L112:M112"/>
    <mergeCell ref="A113:B113"/>
    <mergeCell ref="L113:M113"/>
    <mergeCell ref="A108:B108"/>
    <mergeCell ref="L108:M108"/>
    <mergeCell ref="A109:B109"/>
    <mergeCell ref="L109:M109"/>
    <mergeCell ref="A110:B110"/>
    <mergeCell ref="L110:M110"/>
    <mergeCell ref="L136:M136"/>
    <mergeCell ref="A137:B137"/>
    <mergeCell ref="G137:H140"/>
    <mergeCell ref="A138:B138"/>
    <mergeCell ref="A139:B139"/>
    <mergeCell ref="A140:B140"/>
    <mergeCell ref="G142:H145"/>
    <mergeCell ref="A145:B145"/>
    <mergeCell ref="L131:M131"/>
    <mergeCell ref="A132:B132"/>
    <mergeCell ref="G132:H135"/>
    <mergeCell ref="A133:B133"/>
    <mergeCell ref="A134:B134"/>
    <mergeCell ref="A135:B135"/>
    <mergeCell ref="A143:B143"/>
    <mergeCell ref="A142:B14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6" max="16383" man="1"/>
    <brk id="117" max="7" man="1"/>
    <brk id="155" max="16383" man="1"/>
    <brk id="177" max="16383" man="1"/>
    <brk id="219" max="16383" man="1"/>
    <brk id="26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1" t="s">
        <v>111</v>
      </c>
      <c r="C3" s="161"/>
      <c r="D3" s="161"/>
      <c r="E3" s="161"/>
      <c r="F3" s="161"/>
      <c r="G3" s="161"/>
      <c r="H3" s="161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2025-09-10T11:14:55Z</cp:lastPrinted>
  <dcterms:created xsi:type="dcterms:W3CDTF">2019-07-16T09:29:46Z</dcterms:created>
  <dcterms:modified xsi:type="dcterms:W3CDTF">2025-09-10T11:15:38Z</dcterms:modified>
</cp:coreProperties>
</file>