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E861FF8C-8600-4C5E-887E-06ECD952B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 (2)" sheetId="1" r:id="rId1"/>
    <sheet name="Sheet1" sheetId="8" r:id="rId2"/>
    <sheet name="A%" sheetId="2" r:id="rId3"/>
    <sheet name="Note" sheetId="6" r:id="rId4"/>
    <sheet name="Valuation" sheetId="7" r:id="rId5"/>
    <sheet name="C%" sheetId="5" r:id="rId6"/>
    <sheet name="Flat detail" sheetId="3" r:id="rId7"/>
  </sheets>
  <definedNames>
    <definedName name="_xlnm.Print_Area" localSheetId="0">'Report (2)'!$A$1:$J$240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3" l="1"/>
  <c r="I33" i="3"/>
  <c r="E33" i="3"/>
  <c r="L32" i="3"/>
  <c r="I32" i="3"/>
  <c r="E32" i="3"/>
  <c r="L31" i="3"/>
  <c r="I31" i="3"/>
  <c r="G31" i="3"/>
  <c r="E31" i="3"/>
  <c r="L30" i="3"/>
  <c r="I30" i="3"/>
  <c r="D121" i="1" s="1"/>
  <c r="G121" i="1" s="1"/>
  <c r="G30" i="3"/>
  <c r="E30" i="3"/>
  <c r="L29" i="3"/>
  <c r="I29" i="3"/>
  <c r="G29" i="3"/>
  <c r="E29" i="3"/>
  <c r="L28" i="3"/>
  <c r="I28" i="3"/>
  <c r="D119" i="1" s="1"/>
  <c r="G119" i="1" s="1"/>
  <c r="E28" i="3"/>
  <c r="L27" i="3"/>
  <c r="G27" i="3"/>
  <c r="I27" i="3" s="1"/>
  <c r="D118" i="1" s="1"/>
  <c r="G118" i="1" s="1"/>
  <c r="E27" i="3"/>
  <c r="L26" i="3"/>
  <c r="G26" i="3"/>
  <c r="I26" i="3" s="1"/>
  <c r="D117" i="1" s="1"/>
  <c r="G117" i="1" s="1"/>
  <c r="E26" i="3"/>
  <c r="L25" i="3"/>
  <c r="G25" i="3"/>
  <c r="I25" i="3" s="1"/>
  <c r="D116" i="1" s="1"/>
  <c r="G116" i="1" s="1"/>
  <c r="E25" i="3"/>
  <c r="L24" i="3"/>
  <c r="I24" i="3"/>
  <c r="D115" i="1" s="1"/>
  <c r="G115" i="1" s="1"/>
  <c r="E24" i="3"/>
  <c r="L23" i="3"/>
  <c r="G23" i="3"/>
  <c r="I23" i="3" s="1"/>
  <c r="D114" i="1" s="1"/>
  <c r="G114" i="1" s="1"/>
  <c r="E23" i="3"/>
  <c r="L22" i="3"/>
  <c r="G22" i="3"/>
  <c r="I22" i="3" s="1"/>
  <c r="D113" i="1" s="1"/>
  <c r="G113" i="1" s="1"/>
  <c r="E22" i="3"/>
  <c r="L21" i="3"/>
  <c r="I21" i="3"/>
  <c r="E21" i="3"/>
  <c r="L20" i="3"/>
  <c r="I20" i="3"/>
  <c r="E20" i="3"/>
  <c r="L19" i="3"/>
  <c r="I19" i="3"/>
  <c r="E19" i="3"/>
  <c r="L18" i="3"/>
  <c r="G18" i="3"/>
  <c r="I18" i="3" s="1"/>
  <c r="D109" i="1" s="1"/>
  <c r="G109" i="1" s="1"/>
  <c r="E18" i="3"/>
  <c r="L17" i="3"/>
  <c r="G17" i="3"/>
  <c r="I17" i="3" s="1"/>
  <c r="D108" i="1" s="1"/>
  <c r="G108" i="1" s="1"/>
  <c r="E17" i="3"/>
  <c r="L16" i="3"/>
  <c r="G16" i="3"/>
  <c r="I16" i="3" s="1"/>
  <c r="D107" i="1" s="1"/>
  <c r="G107" i="1" s="1"/>
  <c r="D16" i="3"/>
  <c r="C16" i="3"/>
  <c r="E16" i="3" s="1"/>
  <c r="D134" i="1" s="1"/>
  <c r="G134" i="1" s="1"/>
  <c r="L15" i="3"/>
  <c r="H15" i="3"/>
  <c r="G15" i="3"/>
  <c r="I15" i="3" s="1"/>
  <c r="D106" i="1" s="1"/>
  <c r="G106" i="1" s="1"/>
  <c r="E15" i="3"/>
  <c r="D15" i="3"/>
  <c r="C15" i="3"/>
  <c r="L14" i="3"/>
  <c r="I14" i="3"/>
  <c r="D105" i="1" s="1"/>
  <c r="G105" i="1" s="1"/>
  <c r="H14" i="3"/>
  <c r="G14" i="3"/>
  <c r="D14" i="3"/>
  <c r="E14" i="3" s="1"/>
  <c r="D132" i="1" s="1"/>
  <c r="G132" i="1" s="1"/>
  <c r="C14" i="3"/>
  <c r="L13" i="3"/>
  <c r="H13" i="3"/>
  <c r="I13" i="3" s="1"/>
  <c r="D104" i="1" s="1"/>
  <c r="G104" i="1" s="1"/>
  <c r="G13" i="3"/>
  <c r="D13" i="3"/>
  <c r="C13" i="3"/>
  <c r="E13" i="3" s="1"/>
  <c r="D131" i="1" s="1"/>
  <c r="G131" i="1" s="1"/>
  <c r="L12" i="3"/>
  <c r="H12" i="3"/>
  <c r="G12" i="3"/>
  <c r="I12" i="3" s="1"/>
  <c r="D103" i="1" s="1"/>
  <c r="G103" i="1" s="1"/>
  <c r="D12" i="3"/>
  <c r="C12" i="3"/>
  <c r="E12" i="3" s="1"/>
  <c r="D130" i="1" s="1"/>
  <c r="G130" i="1" s="1"/>
  <c r="L11" i="3"/>
  <c r="H11" i="3"/>
  <c r="G11" i="3"/>
  <c r="I11" i="3" s="1"/>
  <c r="D102" i="1" s="1"/>
  <c r="G102" i="1" s="1"/>
  <c r="E11" i="3"/>
  <c r="D11" i="3"/>
  <c r="C11" i="3"/>
  <c r="L10" i="3"/>
  <c r="I10" i="3"/>
  <c r="D101" i="1" s="1"/>
  <c r="G101" i="1" s="1"/>
  <c r="G10" i="3"/>
  <c r="D10" i="3"/>
  <c r="C10" i="3"/>
  <c r="E10" i="3" s="1"/>
  <c r="D128" i="1" s="1"/>
  <c r="G128" i="1" s="1"/>
  <c r="L9" i="3"/>
  <c r="I9" i="3"/>
  <c r="D9" i="3"/>
  <c r="E9" i="3" s="1"/>
  <c r="D127" i="1" s="1"/>
  <c r="G127" i="1" s="1"/>
  <c r="C9" i="3"/>
  <c r="L8" i="3"/>
  <c r="H8" i="3"/>
  <c r="I8" i="3" s="1"/>
  <c r="D99" i="1" s="1"/>
  <c r="G99" i="1" s="1"/>
  <c r="G8" i="3"/>
  <c r="D8" i="3"/>
  <c r="C8" i="3"/>
  <c r="E8" i="3" s="1"/>
  <c r="D126" i="1" s="1"/>
  <c r="G126" i="1" s="1"/>
  <c r="K7" i="3"/>
  <c r="J7" i="3"/>
  <c r="L7" i="3" s="1"/>
  <c r="H7" i="3"/>
  <c r="G7" i="3"/>
  <c r="I7" i="3" s="1"/>
  <c r="D98" i="1" s="1"/>
  <c r="G98" i="1" s="1"/>
  <c r="E7" i="3"/>
  <c r="D7" i="3"/>
  <c r="C7" i="3"/>
  <c r="J6" i="3"/>
  <c r="L6" i="3" s="1"/>
  <c r="G6" i="3"/>
  <c r="I6" i="3" s="1"/>
  <c r="D6" i="3"/>
  <c r="E6" i="3" s="1"/>
  <c r="C6" i="3"/>
  <c r="G16" i="5"/>
  <c r="C15" i="5" s="1"/>
  <c r="L15" i="5"/>
  <c r="B20" i="5" s="1"/>
  <c r="H15" i="5"/>
  <c r="B16" i="5" s="1"/>
  <c r="G15" i="5"/>
  <c r="B15" i="5"/>
  <c r="B11" i="5"/>
  <c r="D11" i="5" s="1"/>
  <c r="B9" i="5"/>
  <c r="J16" i="5" s="1"/>
  <c r="C18" i="5" s="1"/>
  <c r="B7" i="5"/>
  <c r="D7" i="5" s="1"/>
  <c r="D6" i="5"/>
  <c r="C5" i="5"/>
  <c r="B12" i="5" s="1"/>
  <c r="F6" i="7"/>
  <c r="G6" i="7" s="1"/>
  <c r="F5" i="7"/>
  <c r="G5" i="7" s="1"/>
  <c r="G7" i="7" s="1"/>
  <c r="G15" i="2"/>
  <c r="G16" i="2" s="1"/>
  <c r="C15" i="2" s="1"/>
  <c r="B15" i="2"/>
  <c r="B11" i="2"/>
  <c r="L15" i="2" s="1"/>
  <c r="B20" i="2" s="1"/>
  <c r="B9" i="2"/>
  <c r="J16" i="2" s="1"/>
  <c r="C18" i="2" s="1"/>
  <c r="B7" i="2"/>
  <c r="H15" i="2" s="1"/>
  <c r="B16" i="2" s="1"/>
  <c r="D6" i="2"/>
  <c r="C5" i="2"/>
  <c r="B12" i="2" s="1"/>
  <c r="D161" i="1"/>
  <c r="G146" i="1"/>
  <c r="D146" i="1"/>
  <c r="D145" i="1"/>
  <c r="G145" i="1" s="1"/>
  <c r="G144" i="1"/>
  <c r="D144" i="1"/>
  <c r="G143" i="1"/>
  <c r="G142" i="1"/>
  <c r="G140" i="1"/>
  <c r="D140" i="1"/>
  <c r="D139" i="1"/>
  <c r="G139" i="1" s="1"/>
  <c r="G138" i="1"/>
  <c r="G89" i="1" s="1"/>
  <c r="D138" i="1"/>
  <c r="G137" i="1"/>
  <c r="D133" i="1"/>
  <c r="G133" i="1" s="1"/>
  <c r="D129" i="1"/>
  <c r="G129" i="1" s="1"/>
  <c r="D125" i="1"/>
  <c r="G125" i="1" s="1"/>
  <c r="D122" i="1"/>
  <c r="G122" i="1" s="1"/>
  <c r="D120" i="1"/>
  <c r="G120" i="1" s="1"/>
  <c r="D112" i="1"/>
  <c r="G112" i="1" s="1"/>
  <c r="D111" i="1"/>
  <c r="G111" i="1" s="1"/>
  <c r="D110" i="1"/>
  <c r="G110" i="1" s="1"/>
  <c r="D100" i="1"/>
  <c r="G100" i="1" s="1"/>
  <c r="D89" i="1"/>
  <c r="C89" i="1"/>
  <c r="G82" i="1"/>
  <c r="L67" i="1"/>
  <c r="L66" i="1"/>
  <c r="L65" i="1"/>
  <c r="L64" i="1"/>
  <c r="H47" i="1"/>
  <c r="D49" i="1" s="1"/>
  <c r="H46" i="1"/>
  <c r="C46" i="1"/>
  <c r="F41" i="1"/>
  <c r="F42" i="1" s="1"/>
  <c r="C13" i="1"/>
  <c r="F7" i="1"/>
  <c r="F3" i="1"/>
  <c r="I57" i="1"/>
  <c r="P7" i="3" l="1"/>
  <c r="D136" i="1" s="1"/>
  <c r="L34" i="3"/>
  <c r="K34" i="3" s="1"/>
  <c r="D12" i="2"/>
  <c r="M15" i="2"/>
  <c r="B21" i="2" s="1"/>
  <c r="M16" i="2"/>
  <c r="C21" i="2" s="1"/>
  <c r="D124" i="1"/>
  <c r="E34" i="3"/>
  <c r="M16" i="5"/>
  <c r="C21" i="5" s="1"/>
  <c r="D12" i="5"/>
  <c r="M15" i="5"/>
  <c r="B21" i="5" s="1"/>
  <c r="I34" i="3"/>
  <c r="H34" i="3" s="1"/>
  <c r="D97" i="1"/>
  <c r="H16" i="2"/>
  <c r="C16" i="2" s="1"/>
  <c r="D7" i="2"/>
  <c r="D9" i="2"/>
  <c r="J15" i="2"/>
  <c r="B18" i="2" s="1"/>
  <c r="H16" i="5"/>
  <c r="C16" i="5" s="1"/>
  <c r="L16" i="5"/>
  <c r="C20" i="5" s="1"/>
  <c r="L16" i="2"/>
  <c r="C20" i="2" s="1"/>
  <c r="D11" i="2"/>
  <c r="B8" i="2"/>
  <c r="B10" i="2"/>
  <c r="D9" i="5"/>
  <c r="J15" i="5"/>
  <c r="B18" i="5" s="1"/>
  <c r="B8" i="5"/>
  <c r="B10" i="5"/>
  <c r="D66" i="1"/>
  <c r="D62" i="1"/>
  <c r="D69" i="1"/>
  <c r="D67" i="1"/>
  <c r="D63" i="1"/>
  <c r="L62" i="1"/>
  <c r="L63" i="1" s="1"/>
  <c r="L68" i="1" s="1"/>
  <c r="L69" i="1" s="1"/>
  <c r="C61" i="1" s="1"/>
  <c r="L61" i="1"/>
  <c r="C60" i="1" s="1"/>
  <c r="D60" i="1" s="1"/>
  <c r="L59" i="1"/>
  <c r="D65" i="1"/>
  <c r="D68" i="1"/>
  <c r="D64" i="1"/>
  <c r="L60" i="1"/>
  <c r="G97" i="1" l="1"/>
  <c r="G87" i="1" s="1"/>
  <c r="C87" i="1"/>
  <c r="D87" i="1"/>
  <c r="E36" i="3"/>
  <c r="D34" i="3"/>
  <c r="D36" i="3" s="1"/>
  <c r="G124" i="1"/>
  <c r="G85" i="1" s="1"/>
  <c r="L86" i="1" s="1"/>
  <c r="D85" i="1"/>
  <c r="C85" i="1"/>
  <c r="K15" i="5"/>
  <c r="B19" i="5" s="1"/>
  <c r="K16" i="5"/>
  <c r="C19" i="5" s="1"/>
  <c r="D10" i="5"/>
  <c r="K16" i="2"/>
  <c r="C19" i="2" s="1"/>
  <c r="D10" i="2"/>
  <c r="K15" i="2"/>
  <c r="B19" i="2" s="1"/>
  <c r="C91" i="1"/>
  <c r="G136" i="1"/>
  <c r="G91" i="1" s="1"/>
  <c r="D91" i="1"/>
  <c r="I16" i="5"/>
  <c r="C17" i="5" s="1"/>
  <c r="C22" i="5" s="1"/>
  <c r="I15" i="5"/>
  <c r="B17" i="5" s="1"/>
  <c r="B22" i="5" s="1"/>
  <c r="D8" i="5"/>
  <c r="D8" i="2"/>
  <c r="I16" i="2"/>
  <c r="C17" i="2" s="1"/>
  <c r="C22" i="2" s="1"/>
  <c r="I15" i="2"/>
  <c r="B17" i="2" s="1"/>
  <c r="F60" i="1"/>
  <c r="K56" i="1" s="1"/>
  <c r="C58" i="1" s="1"/>
  <c r="D61" i="1"/>
  <c r="H60" i="1"/>
  <c r="B22" i="2" l="1"/>
  <c r="L87" i="1"/>
</calcChain>
</file>

<file path=xl/sharedStrings.xml><?xml version="1.0" encoding="utf-8"?>
<sst xmlns="http://schemas.openxmlformats.org/spreadsheetml/2006/main" count="494" uniqueCount="273">
  <si>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</si>
  <si>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</si>
  <si>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</si>
  <si>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</si>
  <si>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</si>
  <si>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</si>
  <si>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</si>
  <si>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M/s.Wadhwa Buildcon LLP</t>
  </si>
  <si>
    <t>Name of the builder company</t>
  </si>
  <si>
    <t>Name of the Project</t>
  </si>
  <si>
    <t>Wadhwa Regalia Phase I</t>
  </si>
  <si>
    <t>Contect Details ( Name &amp; Contect No.)</t>
  </si>
  <si>
    <t>Name / No of the Building</t>
  </si>
  <si>
    <t>Building Type A</t>
  </si>
  <si>
    <t>Docouments Provided</t>
  </si>
  <si>
    <t>Approved Layout, Approved Building Plan, CC</t>
  </si>
  <si>
    <t>RERA No.</t>
  </si>
  <si>
    <t xml:space="preserve">P51700006948
</t>
  </si>
  <si>
    <t xml:space="preserve">Project location details       </t>
  </si>
  <si>
    <t>CTS No</t>
  </si>
  <si>
    <t>98, 133, 134</t>
  </si>
  <si>
    <t>S No</t>
  </si>
  <si>
    <t>8/1(P) &amp; 7/2</t>
  </si>
  <si>
    <t>Road</t>
  </si>
  <si>
    <t>Kalyan Shilphata Road</t>
  </si>
  <si>
    <t>Village</t>
  </si>
  <si>
    <t>Netivali</t>
  </si>
  <si>
    <t>City</t>
  </si>
  <si>
    <t>Kalyan</t>
  </si>
  <si>
    <t>District</t>
  </si>
  <si>
    <t>Thane</t>
  </si>
  <si>
    <t>Taluka</t>
  </si>
  <si>
    <t>Pin Code</t>
  </si>
  <si>
    <t>Near by Landmark</t>
  </si>
  <si>
    <t>Tata Power House</t>
  </si>
  <si>
    <t xml:space="preserve">Distance from city centre: </t>
  </si>
  <si>
    <t>3.2 Km Kalyan from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</si>
  <si>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</si>
  <si>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</si>
  <si>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</si>
  <si>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</si>
  <si>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</si>
  <si>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</si>
  <si>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</si>
  <si>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</si>
  <si>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</si>
  <si>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</si>
  <si>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</si>
  <si>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</si>
  <si>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</si>
  <si>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</si>
  <si>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</si>
  <si>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North</t>
  </si>
  <si>
    <t>South</t>
  </si>
  <si>
    <t>As per deed</t>
  </si>
  <si>
    <t>NA</t>
  </si>
  <si>
    <t>At site</t>
  </si>
  <si>
    <t>Industries</t>
  </si>
  <si>
    <t>Slum</t>
  </si>
  <si>
    <t>Does the boundaries at site match, as mentioned in the Docoumentation: NA</t>
  </si>
  <si>
    <t>Type of Structure : RCC Frame Structure</t>
  </si>
  <si>
    <t xml:space="preserve">Latitude &amp; Longitude </t>
  </si>
  <si>
    <t>19.2234034, 73.122715</t>
  </si>
  <si>
    <t>Location Link</t>
  </si>
  <si>
    <t>https://goo.gl/maps/DK8R3QAotNUZfQo77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</si>
  <si>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</si>
  <si>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</si>
  <si>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>Commercial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</si>
  <si>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</si>
  <si>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</si>
  <si>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</si>
  <si>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</si>
  <si>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</si>
  <si>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</si>
  <si>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</si>
  <si>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</si>
  <si>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</si>
  <si>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>1 Building</t>
  </si>
  <si>
    <t xml:space="preserve">Approval Detail : Plan approval </t>
  </si>
  <si>
    <t xml:space="preserve">Layout Approval No     </t>
  </si>
  <si>
    <t>KDMP/NRV/BP/KV/2017-18/36</t>
  </si>
  <si>
    <t>Dated</t>
  </si>
  <si>
    <t xml:space="preserve">Approved Floor plan No.  </t>
  </si>
  <si>
    <t>Commencement Certificate No.</t>
  </si>
  <si>
    <t xml:space="preserve">KDMP/NRV/BP/KV/2017-18/36
Valid Up to: 
Building A - Lower Ground + Gr. + 1st to 2nd Floor
</t>
  </si>
  <si>
    <t xml:space="preserve">O. Certificate No.: </t>
  </si>
  <si>
    <t>NA
Approved upto :</t>
  </si>
  <si>
    <t xml:space="preserve">Date of approval: </t>
  </si>
  <si>
    <t xml:space="preserve">Commencement date of construction </t>
  </si>
  <si>
    <t>Expected Completion</t>
  </si>
  <si>
    <t>As per RERA = 30/12/2023</t>
  </si>
  <si>
    <t>Building wise Construction details</t>
  </si>
  <si>
    <t>Approved area of the building in Sq.Mt</t>
  </si>
  <si>
    <t>Approved no of units</t>
  </si>
  <si>
    <t>Stores = 26, Office = 06, Hall = 04  &amp; shop = 11</t>
  </si>
  <si>
    <t>Approved no of Floors</t>
  </si>
  <si>
    <t>Building A - Lower Ground + Gr. + 1st to 2nd Floor</t>
  </si>
  <si>
    <t>No of floors at site : See Construction details</t>
  </si>
  <si>
    <t>Quality of construction: Good</t>
  </si>
  <si>
    <t>Projected life of the structure: 60 Years After Completion</t>
  </si>
  <si>
    <t>Material laying at Site: Bricks, Cement &amp; Steel etc.</t>
  </si>
  <si>
    <t xml:space="preserve">Construction details:                                                                 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</si>
  <si>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</si>
  <si>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</si>
  <si>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</si>
  <si>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</si>
  <si>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</si>
  <si>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</si>
  <si>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</si>
  <si>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</si>
  <si>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</si>
  <si>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</si>
  <si>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</si>
  <si>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</si>
  <si>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</si>
  <si>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</si>
  <si>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</si>
  <si>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</si>
  <si>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</si>
  <si>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</si>
  <si>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</si>
  <si>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</si>
  <si>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</si>
  <si>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</si>
  <si>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</si>
  <si>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</si>
  <si>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</si>
  <si>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</si>
  <si>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</si>
  <si>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</si>
  <si>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</si>
  <si>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</si>
  <si>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</si>
  <si>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</si>
  <si>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</si>
  <si>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</si>
  <si>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</si>
  <si>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Wheather the construction is as per approved Building plan : Under Construction</t>
  </si>
  <si>
    <t>Violations Observed if any : NA</t>
  </si>
  <si>
    <r>
      <rPr>
        <b/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</si>
  <si>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</si>
  <si>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Rates of the Property :</t>
  </si>
  <si>
    <t>Recommended rate of the Shop Per Sq. Ft. ( on Saleable area)</t>
  </si>
  <si>
    <t>Recommended rate of the Office Per Sq. Ft. ( on Saleable area)</t>
  </si>
  <si>
    <t>Recommended rate of the Hall Per Sq. Ft. ( on Saleable area)</t>
  </si>
  <si>
    <t>Recommended rate of the Store Per Sq. Ft. ( on Saleable area)</t>
  </si>
  <si>
    <t>Any Other amenities</t>
  </si>
  <si>
    <t>Society formation charges</t>
  </si>
  <si>
    <t xml:space="preserve">Recommended rate of Parking </t>
  </si>
  <si>
    <t>200000/-</t>
  </si>
  <si>
    <t>Development charges Per Sq. Ft.</t>
  </si>
  <si>
    <t>Distressed valuation of the Property</t>
  </si>
  <si>
    <t>Commercial Area Details :</t>
  </si>
  <si>
    <t>Building &amp; Wing</t>
  </si>
  <si>
    <t>No. of Shops</t>
  </si>
  <si>
    <t>Total Carpet Area</t>
  </si>
  <si>
    <t>Total Saleable Area</t>
  </si>
  <si>
    <t>No. of Stores</t>
  </si>
  <si>
    <t>No. of Office</t>
  </si>
  <si>
    <t>No. of Halls</t>
  </si>
  <si>
    <t>Building details Floor Wise</t>
  </si>
  <si>
    <t xml:space="preserve">Details of Flats in Building   </t>
  </si>
  <si>
    <t>Flat/Shop No.</t>
  </si>
  <si>
    <t>Description</t>
  </si>
  <si>
    <t>Gross Carpet area</t>
  </si>
  <si>
    <t>Attached Terrace area</t>
  </si>
  <si>
    <t>Saleable area</t>
  </si>
  <si>
    <t>PLC Y/N</t>
  </si>
  <si>
    <t>Floor</t>
  </si>
  <si>
    <t>Lower Ground Floor is for Parking &amp; Commercial</t>
  </si>
  <si>
    <t>Store</t>
  </si>
  <si>
    <t>N</t>
  </si>
  <si>
    <t>Lower Ground Floor</t>
  </si>
  <si>
    <t>Ground Floor is for Parking &amp; Commercial</t>
  </si>
  <si>
    <t>Shop</t>
  </si>
  <si>
    <t>Ground Floor</t>
  </si>
  <si>
    <t>1st Floor is for Commercial</t>
  </si>
  <si>
    <t>Multipurpose Hall</t>
  </si>
  <si>
    <t>1st Floor</t>
  </si>
  <si>
    <t>Office</t>
  </si>
  <si>
    <t>2nd Floor is for Commercial</t>
  </si>
  <si>
    <t>2nd Floor</t>
  </si>
  <si>
    <t xml:space="preserve">Remarks:  </t>
  </si>
  <si>
    <r>
      <t xml:space="preserve">1. Construction work was stopped. Work is same as visit. (08/06/2022)
2. We considered Saleable area as per our calculation.
3. We considered Carpet area as per Approved Plan.
4. We considered Gross carpet area = Net carpet + Enclose balcony + C.B Area + E.P Area.
5. We considered Commercial rate as per Market Inquire.
6. Recommended rate should be considered as all inclusive rate if other charges are not mentioned. (Excluding GST &amp; other government Taxes)
7. Car parking is subjected to authentic documentation.
8. </t>
    </r>
    <r>
      <rPr>
        <b/>
        <sz val="12"/>
        <color rgb="FFFF0000"/>
        <rFont val="Times New Roman"/>
        <family val="1"/>
      </rPr>
      <t>As per RERA, completion period of project Wadhwa Regalia Phase I is expired on 30/12/2023 but still project is under construction.</t>
    </r>
    <r>
      <rPr>
        <b/>
        <sz val="12"/>
        <rFont val="Times New Roman"/>
        <family val="1"/>
      </rPr>
      <t xml:space="preserve">
9. Since building type A have received CC on 12/06/2017, but still projecct is Under construction.
9. On site, we meet Mr. Hitesh - 9763997700.</t>
    </r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</si>
  <si>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</si>
  <si>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</si>
  <si>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</si>
  <si>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</si>
  <si>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</si>
  <si>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</si>
  <si>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</si>
  <si>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</si>
  <si>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Prepared By :</t>
  </si>
  <si>
    <t>Authorized Signatory
Name &amp; Seal of the agency</t>
  </si>
  <si>
    <t xml:space="preserve">PHOTOGRAPHS OF PROPERTY : 
</t>
  </si>
  <si>
    <t>Google Map :</t>
  </si>
  <si>
    <t>Upper Floor</t>
  </si>
  <si>
    <t>Particulars</t>
  </si>
  <si>
    <t xml:space="preserve">total floor </t>
  </si>
  <si>
    <t>plinth</t>
  </si>
  <si>
    <t>slab</t>
  </si>
  <si>
    <t>Parking</t>
  </si>
  <si>
    <t>Rate</t>
  </si>
  <si>
    <t xml:space="preserve">Bricks </t>
  </si>
  <si>
    <t>Palghar</t>
  </si>
  <si>
    <t>100000/-</t>
  </si>
  <si>
    <t>plaster</t>
  </si>
  <si>
    <t>Ulwe, karanjade</t>
  </si>
  <si>
    <t>Flooring</t>
  </si>
  <si>
    <t>Panvel</t>
  </si>
  <si>
    <t>300000/-</t>
  </si>
  <si>
    <t>Wood &amp; painting</t>
  </si>
  <si>
    <t>Mumbai - G + 15</t>
  </si>
  <si>
    <t>500000/-</t>
  </si>
  <si>
    <t>Finishing</t>
  </si>
  <si>
    <t>Mumbai - G + 25</t>
  </si>
  <si>
    <t>800000/-</t>
  </si>
  <si>
    <t>Mumbai - G + 35</t>
  </si>
  <si>
    <t>1000000/-</t>
  </si>
  <si>
    <t>Progress</t>
  </si>
  <si>
    <t>Recommended</t>
  </si>
  <si>
    <t>rcc</t>
  </si>
  <si>
    <t>Bricks</t>
  </si>
  <si>
    <t>Plaster</t>
  </si>
  <si>
    <t>RCC</t>
  </si>
  <si>
    <t xml:space="preserve">Recommended </t>
  </si>
  <si>
    <t>total</t>
  </si>
  <si>
    <t>Thane - G + 7</t>
  </si>
  <si>
    <t>Thane - G + 15</t>
  </si>
  <si>
    <t>400000/-</t>
  </si>
  <si>
    <t>Thane - G + 25</t>
  </si>
  <si>
    <t>600000/-</t>
  </si>
  <si>
    <t>Pratiksha</t>
  </si>
  <si>
    <t>engineer side meet kirtikumar Jadhav 9767624922 lockdown mule side bandh ahe working start no idea side person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</si>
  <si>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</si>
  <si>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</si>
  <si>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</si>
  <si>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</si>
  <si>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</si>
  <si>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</si>
  <si>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</si>
  <si>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</si>
  <si>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Housing</t>
  </si>
  <si>
    <t xml:space="preserve">Wadhwa Regalia </t>
  </si>
  <si>
    <t>2BHK</t>
  </si>
  <si>
    <t>3BHK</t>
  </si>
  <si>
    <t>Average</t>
  </si>
  <si>
    <t xml:space="preserve">Valuation Adopted </t>
  </si>
  <si>
    <t xml:space="preserve">Floor No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</si>
  <si>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</si>
  <si>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</si>
  <si>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</si>
  <si>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</si>
  <si>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</si>
  <si>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</si>
  <si>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</si>
  <si>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</si>
  <si>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</si>
  <si>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</si>
  <si>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</si>
  <si>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</si>
  <si>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</si>
  <si>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</si>
  <si>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</si>
  <si>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</si>
  <si>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</si>
  <si>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</si>
  <si>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</si>
  <si>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</si>
  <si>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</si>
  <si>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Total</t>
  </si>
  <si>
    <t>Gaurav Panchal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</si>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</sst>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dd/mm/yyyy;@"/>
  </numFmts>
  <fonts count="22">
    <font>
      <sz val="11"/>
      <color rgb="FF000000"/>
      <name val="Calibri"/>
      <charset val="13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9" fontId="2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228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1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9" fontId="2" fillId="0" borderId="1" xfId="1" applyFont="1" applyBorder="1"/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5"/>
    <xf numFmtId="14" fontId="5" fillId="0" borderId="0" xfId="5" applyNumberFormat="1"/>
    <xf numFmtId="0" fontId="6" fillId="0" borderId="0" xfId="8"/>
    <xf numFmtId="0" fontId="1" fillId="0" borderId="1" xfId="8" applyFont="1" applyBorder="1" applyAlignment="1">
      <alignment horizontal="center" vertical="top" wrapText="1"/>
    </xf>
    <xf numFmtId="0" fontId="6" fillId="0" borderId="1" xfId="8" applyBorder="1" applyAlignment="1">
      <alignment horizontal="center" vertical="center"/>
    </xf>
    <xf numFmtId="0" fontId="6" fillId="0" borderId="1" xfId="8" applyBorder="1" applyAlignment="1">
      <alignment horizontal="left" vertical="center"/>
    </xf>
    <xf numFmtId="1" fontId="6" fillId="0" borderId="1" xfId="8" applyNumberFormat="1" applyBorder="1" applyAlignment="1">
      <alignment horizontal="center" vertical="center"/>
    </xf>
    <xf numFmtId="165" fontId="6" fillId="0" borderId="1" xfId="3" applyNumberFormat="1" applyFont="1" applyBorder="1" applyAlignment="1">
      <alignment horizontal="right" vertical="center"/>
    </xf>
    <xf numFmtId="0" fontId="1" fillId="0" borderId="1" xfId="8" applyFont="1" applyBorder="1" applyAlignment="1">
      <alignment horizontal="center" vertical="center"/>
    </xf>
    <xf numFmtId="1" fontId="7" fillId="0" borderId="1" xfId="8" applyNumberFormat="1" applyFont="1" applyBorder="1" applyAlignment="1">
      <alignment horizontal="center" vertical="center"/>
    </xf>
    <xf numFmtId="0" fontId="5" fillId="0" borderId="1" xfId="5" applyBorder="1" applyAlignment="1">
      <alignment horizontal="center" vertical="center"/>
    </xf>
    <xf numFmtId="0" fontId="8" fillId="0" borderId="0" xfId="5" applyFont="1"/>
    <xf numFmtId="0" fontId="9" fillId="0" borderId="0" xfId="4" applyFont="1"/>
    <xf numFmtId="0" fontId="10" fillId="0" borderId="0" xfId="0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0" applyFont="1"/>
    <xf numFmtId="0" fontId="10" fillId="0" borderId="0" xfId="7" applyFont="1"/>
    <xf numFmtId="0" fontId="9" fillId="0" borderId="1" xfId="7" applyFont="1" applyBorder="1" applyAlignment="1">
      <alignment horizontal="left" vertical="top"/>
    </xf>
    <xf numFmtId="0" fontId="9" fillId="0" borderId="1" xfId="7" applyFont="1" applyBorder="1" applyAlignment="1">
      <alignment vertical="top"/>
    </xf>
    <xf numFmtId="0" fontId="13" fillId="0" borderId="16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horizontal="center" vertical="top" wrapText="1"/>
      <protection locked="0"/>
    </xf>
    <xf numFmtId="0" fontId="13" fillId="0" borderId="1" xfId="7" applyFont="1" applyBorder="1" applyAlignment="1" applyProtection="1">
      <alignment horizontal="center" wrapText="1"/>
      <protection locked="0"/>
    </xf>
    <xf numFmtId="1" fontId="13" fillId="0" borderId="1" xfId="7" applyNumberFormat="1" applyFont="1" applyBorder="1" applyAlignment="1" applyProtection="1">
      <alignment horizontal="center" wrapText="1"/>
      <protection locked="0"/>
    </xf>
    <xf numFmtId="0" fontId="10" fillId="0" borderId="20" xfId="7" applyFont="1" applyBorder="1" applyProtection="1">
      <protection hidden="1"/>
    </xf>
    <xf numFmtId="0" fontId="10" fillId="0" borderId="21" xfId="7" applyFont="1" applyBorder="1" applyProtection="1">
      <protection hidden="1"/>
    </xf>
    <xf numFmtId="0" fontId="10" fillId="0" borderId="0" xfId="7" applyFont="1" applyProtection="1">
      <protection hidden="1"/>
    </xf>
    <xf numFmtId="0" fontId="10" fillId="0" borderId="23" xfId="7" applyFont="1" applyBorder="1" applyProtection="1">
      <protection hidden="1"/>
    </xf>
    <xf numFmtId="0" fontId="2" fillId="0" borderId="0" xfId="0" applyFont="1" applyProtection="1">
      <protection hidden="1"/>
    </xf>
    <xf numFmtId="0" fontId="10" fillId="0" borderId="23" xfId="7" applyFont="1" applyBorder="1"/>
    <xf numFmtId="0" fontId="2" fillId="0" borderId="23" xfId="0" applyFont="1" applyBorder="1" applyProtection="1">
      <protection hidden="1"/>
    </xf>
    <xf numFmtId="1" fontId="0" fillId="0" borderId="23" xfId="0" applyNumberFormat="1" applyBorder="1"/>
    <xf numFmtId="0" fontId="13" fillId="0" borderId="27" xfId="7" applyFont="1" applyBorder="1" applyAlignment="1" applyProtection="1">
      <alignment horizontal="center" wrapText="1"/>
      <protection locked="0"/>
    </xf>
    <xf numFmtId="0" fontId="16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2" fillId="0" borderId="1" xfId="7" applyNumberFormat="1" applyFont="1" applyBorder="1" applyAlignment="1">
      <alignment horizontal="center" vertical="top" wrapText="1"/>
    </xf>
    <xf numFmtId="1" fontId="17" fillId="0" borderId="1" xfId="7" applyNumberFormat="1" applyFont="1" applyBorder="1" applyAlignment="1">
      <alignment horizontal="center" vertical="top" wrapText="1"/>
    </xf>
    <xf numFmtId="1" fontId="9" fillId="0" borderId="1" xfId="7" applyNumberFormat="1" applyFont="1" applyBorder="1" applyAlignment="1">
      <alignment horizontal="center" vertical="center" wrapText="1"/>
    </xf>
    <xf numFmtId="1" fontId="0" fillId="0" borderId="23" xfId="0" applyNumberFormat="1" applyBorder="1" applyAlignment="1">
      <alignment horizontal="right"/>
    </xf>
    <xf numFmtId="0" fontId="2" fillId="0" borderId="31" xfId="0" applyFont="1" applyBorder="1" applyProtection="1">
      <protection hidden="1"/>
    </xf>
    <xf numFmtId="1" fontId="0" fillId="0" borderId="32" xfId="0" applyNumberFormat="1" applyBorder="1"/>
    <xf numFmtId="1" fontId="10" fillId="0" borderId="0" xfId="0" applyNumberFormat="1" applyFont="1" applyAlignment="1">
      <alignment horizontal="center" vertical="center"/>
    </xf>
    <xf numFmtId="1" fontId="10" fillId="0" borderId="0" xfId="7" applyNumberFormat="1" applyFont="1" applyAlignment="1">
      <alignment horizontal="center" vertical="center"/>
    </xf>
    <xf numFmtId="0" fontId="12" fillId="0" borderId="0" xfId="7" applyFont="1" applyAlignment="1">
      <alignment vertical="top"/>
    </xf>
    <xf numFmtId="0" fontId="12" fillId="0" borderId="0" xfId="7" applyFont="1" applyAlignment="1">
      <alignment vertical="top" wrapText="1"/>
    </xf>
    <xf numFmtId="0" fontId="16" fillId="0" borderId="0" xfId="7" applyFont="1"/>
    <xf numFmtId="0" fontId="12" fillId="0" borderId="1" xfId="7" applyFont="1" applyBorder="1" applyAlignment="1">
      <alignment horizontal="center" vertical="top" wrapText="1"/>
    </xf>
    <xf numFmtId="0" fontId="9" fillId="0" borderId="7" xfId="7" applyFont="1" applyBorder="1" applyAlignment="1">
      <alignment horizontal="left" vertical="top" wrapText="1"/>
    </xf>
    <xf numFmtId="0" fontId="9" fillId="0" borderId="9" xfId="7" applyFont="1" applyBorder="1" applyAlignment="1">
      <alignment horizontal="left" vertical="top" wrapText="1"/>
    </xf>
    <xf numFmtId="0" fontId="9" fillId="0" borderId="8" xfId="7" applyFont="1" applyBorder="1" applyAlignment="1">
      <alignment horizontal="left" vertical="top" wrapText="1"/>
    </xf>
    <xf numFmtId="0" fontId="9" fillId="0" borderId="10" xfId="7" applyFont="1" applyBorder="1" applyAlignment="1">
      <alignment horizontal="left" vertical="top" wrapText="1"/>
    </xf>
    <xf numFmtId="0" fontId="9" fillId="0" borderId="2" xfId="7" applyFont="1" applyBorder="1" applyAlignment="1">
      <alignment horizontal="left" vertical="top" wrapText="1"/>
    </xf>
    <xf numFmtId="0" fontId="9" fillId="0" borderId="11" xfId="7" applyFont="1" applyBorder="1" applyAlignment="1">
      <alignment horizontal="left" vertical="top" wrapText="1"/>
    </xf>
    <xf numFmtId="0" fontId="9" fillId="0" borderId="7" xfId="7" applyFont="1" applyBorder="1" applyAlignment="1">
      <alignment horizontal="left" vertical="top"/>
    </xf>
    <xf numFmtId="0" fontId="9" fillId="0" borderId="9" xfId="7" applyFont="1" applyBorder="1" applyAlignment="1">
      <alignment horizontal="left" vertical="top"/>
    </xf>
    <xf numFmtId="0" fontId="9" fillId="0" borderId="8" xfId="7" applyFont="1" applyBorder="1" applyAlignment="1">
      <alignment horizontal="left" vertical="top"/>
    </xf>
    <xf numFmtId="0" fontId="9" fillId="0" borderId="10" xfId="7" applyFont="1" applyBorder="1" applyAlignment="1">
      <alignment horizontal="left" vertical="top"/>
    </xf>
    <xf numFmtId="0" fontId="9" fillId="0" borderId="2" xfId="7" applyFont="1" applyBorder="1" applyAlignment="1">
      <alignment horizontal="left" vertical="top"/>
    </xf>
    <xf numFmtId="0" fontId="9" fillId="0" borderId="11" xfId="7" applyFont="1" applyBorder="1" applyAlignment="1">
      <alignment horizontal="left" vertical="top"/>
    </xf>
    <xf numFmtId="1" fontId="9" fillId="0" borderId="7" xfId="7" applyNumberFormat="1" applyFont="1" applyBorder="1" applyAlignment="1">
      <alignment horizontal="center" vertical="center" wrapText="1"/>
    </xf>
    <xf numFmtId="1" fontId="9" fillId="0" borderId="8" xfId="7" applyNumberFormat="1" applyFont="1" applyBorder="1" applyAlignment="1">
      <alignment horizontal="center" vertical="center" wrapText="1"/>
    </xf>
    <xf numFmtId="1" fontId="9" fillId="0" borderId="18" xfId="7" applyNumberFormat="1" applyFont="1" applyBorder="1" applyAlignment="1">
      <alignment horizontal="center" vertical="center" wrapText="1"/>
    </xf>
    <xf numFmtId="1" fontId="9" fillId="0" borderId="33" xfId="7" applyNumberFormat="1" applyFont="1" applyBorder="1" applyAlignment="1">
      <alignment horizontal="center" vertical="center" wrapText="1"/>
    </xf>
    <xf numFmtId="1" fontId="9" fillId="0" borderId="10" xfId="7" applyNumberFormat="1" applyFont="1" applyBorder="1" applyAlignment="1">
      <alignment horizontal="center" vertical="center" wrapText="1"/>
    </xf>
    <xf numFmtId="1" fontId="9" fillId="0" borderId="11" xfId="7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top" wrapText="1"/>
    </xf>
    <xf numFmtId="0" fontId="9" fillId="0" borderId="4" xfId="7" applyFont="1" applyBorder="1" applyAlignment="1">
      <alignment vertical="top"/>
    </xf>
    <xf numFmtId="0" fontId="9" fillId="0" borderId="5" xfId="7" applyFont="1" applyBorder="1" applyAlignment="1">
      <alignment vertical="top"/>
    </xf>
    <xf numFmtId="0" fontId="9" fillId="0" borderId="6" xfId="7" applyFont="1" applyBorder="1" applyAlignment="1">
      <alignment vertical="top"/>
    </xf>
    <xf numFmtId="0" fontId="9" fillId="0" borderId="4" xfId="7" applyFont="1" applyBorder="1" applyAlignment="1">
      <alignment horizontal="left" vertical="top"/>
    </xf>
    <xf numFmtId="0" fontId="9" fillId="0" borderId="5" xfId="7" applyFont="1" applyBorder="1" applyAlignment="1">
      <alignment horizontal="left" vertical="top"/>
    </xf>
    <xf numFmtId="0" fontId="9" fillId="0" borderId="6" xfId="7" applyFont="1" applyBorder="1" applyAlignment="1">
      <alignment horizontal="left" vertical="top"/>
    </xf>
    <xf numFmtId="0" fontId="9" fillId="0" borderId="4" xfId="7" applyFont="1" applyBorder="1" applyAlignment="1">
      <alignment horizontal="left" vertical="top" wrapText="1"/>
    </xf>
    <xf numFmtId="0" fontId="9" fillId="0" borderId="5" xfId="7" applyFont="1" applyBorder="1" applyAlignment="1">
      <alignment horizontal="left" vertical="top" wrapText="1"/>
    </xf>
    <xf numFmtId="0" fontId="9" fillId="0" borderId="6" xfId="7" applyFont="1" applyBorder="1" applyAlignment="1">
      <alignment horizontal="left" vertical="top" wrapText="1"/>
    </xf>
    <xf numFmtId="0" fontId="18" fillId="0" borderId="1" xfId="7" applyFont="1" applyBorder="1" applyAlignment="1">
      <alignment horizontal="center" vertical="top" wrapText="1"/>
    </xf>
    <xf numFmtId="0" fontId="19" fillId="0" borderId="1" xfId="7" applyFont="1" applyBorder="1" applyAlignment="1">
      <alignment horizontal="center" vertical="top" wrapText="1"/>
    </xf>
    <xf numFmtId="1" fontId="9" fillId="0" borderId="4" xfId="7" applyNumberFormat="1" applyFont="1" applyBorder="1" applyAlignment="1">
      <alignment horizontal="center" vertical="center" wrapText="1"/>
    </xf>
    <xf numFmtId="1" fontId="9" fillId="0" borderId="6" xfId="7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left" vertical="top" wrapText="1"/>
    </xf>
    <xf numFmtId="1" fontId="12" fillId="0" borderId="4" xfId="7" applyNumberFormat="1" applyFont="1" applyBorder="1" applyAlignment="1">
      <alignment horizontal="center" vertical="center" wrapText="1"/>
    </xf>
    <xf numFmtId="1" fontId="12" fillId="0" borderId="5" xfId="7" applyNumberFormat="1" applyFont="1" applyBorder="1" applyAlignment="1">
      <alignment horizontal="center" vertical="center" wrapText="1"/>
    </xf>
    <xf numFmtId="1" fontId="12" fillId="0" borderId="6" xfId="7" applyNumberFormat="1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top"/>
    </xf>
    <xf numFmtId="0" fontId="12" fillId="0" borderId="5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/>
    </xf>
    <xf numFmtId="1" fontId="12" fillId="0" borderId="4" xfId="7" applyNumberFormat="1" applyFont="1" applyBorder="1" applyAlignment="1">
      <alignment horizontal="center" vertical="top" wrapText="1"/>
    </xf>
    <xf numFmtId="1" fontId="12" fillId="0" borderId="6" xfId="7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1" fontId="9" fillId="0" borderId="5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top" wrapText="1"/>
    </xf>
    <xf numFmtId="0" fontId="12" fillId="0" borderId="4" xfId="7" applyFont="1" applyBorder="1" applyAlignment="1">
      <alignment horizontal="left" vertical="top"/>
    </xf>
    <xf numFmtId="0" fontId="12" fillId="0" borderId="5" xfId="7" applyFont="1" applyBorder="1" applyAlignment="1">
      <alignment horizontal="left" vertical="top"/>
    </xf>
    <xf numFmtId="0" fontId="12" fillId="0" borderId="6" xfId="7" applyFont="1" applyBorder="1" applyAlignment="1">
      <alignment horizontal="left" vertical="top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3" fillId="0" borderId="4" xfId="7" applyFont="1" applyBorder="1" applyAlignment="1">
      <alignment horizontal="left" vertical="top"/>
    </xf>
    <xf numFmtId="0" fontId="13" fillId="0" borderId="5" xfId="7" applyFont="1" applyBorder="1" applyAlignment="1">
      <alignment horizontal="left" vertical="top"/>
    </xf>
    <xf numFmtId="0" fontId="13" fillId="0" borderId="6" xfId="7" applyFont="1" applyBorder="1" applyAlignment="1">
      <alignment horizontal="left" vertical="top"/>
    </xf>
    <xf numFmtId="0" fontId="15" fillId="0" borderId="4" xfId="7" applyFont="1" applyBorder="1" applyAlignment="1">
      <alignment horizontal="left" vertical="top"/>
    </xf>
    <xf numFmtId="0" fontId="15" fillId="0" borderId="6" xfId="7" applyFont="1" applyBorder="1" applyAlignment="1">
      <alignment horizontal="left" vertical="top"/>
    </xf>
    <xf numFmtId="0" fontId="15" fillId="0" borderId="4" xfId="7" applyFont="1" applyBorder="1" applyAlignment="1">
      <alignment horizontal="left" vertical="top" wrapText="1"/>
    </xf>
    <xf numFmtId="0" fontId="15" fillId="0" borderId="5" xfId="7" applyFont="1" applyBorder="1" applyAlignment="1">
      <alignment horizontal="left" vertical="top" wrapText="1"/>
    </xf>
    <xf numFmtId="0" fontId="15" fillId="0" borderId="6" xfId="7" applyFont="1" applyBorder="1" applyAlignment="1">
      <alignment horizontal="left" vertical="top" wrapText="1"/>
    </xf>
    <xf numFmtId="0" fontId="15" fillId="0" borderId="5" xfId="7" applyFont="1" applyBorder="1" applyAlignment="1">
      <alignment horizontal="left" vertical="top"/>
    </xf>
    <xf numFmtId="0" fontId="13" fillId="0" borderId="4" xfId="7" applyFont="1" applyBorder="1" applyAlignment="1">
      <alignment horizontal="left" vertical="top" wrapText="1"/>
    </xf>
    <xf numFmtId="0" fontId="13" fillId="0" borderId="5" xfId="7" applyFont="1" applyBorder="1" applyAlignment="1">
      <alignment horizontal="left" vertical="top" wrapText="1"/>
    </xf>
    <xf numFmtId="0" fontId="13" fillId="0" borderId="6" xfId="7" applyFont="1" applyBorder="1" applyAlignment="1">
      <alignment horizontal="left" vertical="top" wrapText="1"/>
    </xf>
    <xf numFmtId="0" fontId="13" fillId="0" borderId="16" xfId="7" applyFont="1" applyBorder="1" applyAlignment="1" applyProtection="1">
      <alignment horizontal="center" vertical="top" wrapText="1"/>
      <protection locked="0"/>
    </xf>
    <xf numFmtId="0" fontId="13" fillId="0" borderId="1" xfId="7" applyFont="1" applyBorder="1" applyAlignment="1" applyProtection="1">
      <alignment horizontal="center" vertical="top" wrapText="1"/>
      <protection locked="0"/>
    </xf>
    <xf numFmtId="9" fontId="13" fillId="0" borderId="4" xfId="7" applyNumberFormat="1" applyFont="1" applyBorder="1" applyAlignment="1" applyProtection="1">
      <alignment horizontal="center" vertical="center" wrapText="1"/>
      <protection hidden="1"/>
    </xf>
    <xf numFmtId="9" fontId="13" fillId="0" borderId="6" xfId="7" applyNumberFormat="1" applyFont="1" applyBorder="1" applyAlignment="1" applyProtection="1">
      <alignment horizontal="center" vertical="center" wrapText="1"/>
      <protection hidden="1"/>
    </xf>
    <xf numFmtId="0" fontId="13" fillId="0" borderId="26" xfId="7" applyFont="1" applyBorder="1" applyAlignment="1" applyProtection="1">
      <alignment horizontal="center" vertical="top" wrapText="1"/>
      <protection locked="0"/>
    </xf>
    <xf numFmtId="0" fontId="13" fillId="0" borderId="27" xfId="7" applyFont="1" applyBorder="1" applyAlignment="1" applyProtection="1">
      <alignment horizontal="center" vertical="top" wrapText="1"/>
      <protection locked="0"/>
    </xf>
    <xf numFmtId="9" fontId="13" fillId="0" borderId="28" xfId="7" applyNumberFormat="1" applyFont="1" applyBorder="1" applyAlignment="1" applyProtection="1">
      <alignment horizontal="center" vertical="center" wrapText="1"/>
      <protection hidden="1"/>
    </xf>
    <xf numFmtId="9" fontId="13" fillId="0" borderId="29" xfId="7" applyNumberFormat="1" applyFont="1" applyBorder="1" applyAlignment="1" applyProtection="1">
      <alignment horizontal="center" vertical="center" wrapText="1"/>
      <protection hidden="1"/>
    </xf>
    <xf numFmtId="9" fontId="13" fillId="0" borderId="1" xfId="7" applyNumberFormat="1" applyFont="1" applyBorder="1" applyAlignment="1" applyProtection="1">
      <alignment horizontal="center" vertical="center" wrapText="1"/>
      <protection hidden="1"/>
    </xf>
    <xf numFmtId="9" fontId="13" fillId="0" borderId="27" xfId="7" applyNumberFormat="1" applyFont="1" applyBorder="1" applyAlignment="1" applyProtection="1">
      <alignment horizontal="center" vertical="center" wrapText="1"/>
      <protection hidden="1"/>
    </xf>
    <xf numFmtId="9" fontId="13" fillId="0" borderId="7" xfId="7" applyNumberFormat="1" applyFont="1" applyBorder="1" applyAlignment="1" applyProtection="1">
      <alignment horizontal="center" vertical="center" wrapText="1"/>
      <protection hidden="1"/>
    </xf>
    <xf numFmtId="9" fontId="13" fillId="0" borderId="9" xfId="7" applyNumberFormat="1" applyFont="1" applyBorder="1" applyAlignment="1" applyProtection="1">
      <alignment horizontal="center" vertical="center" wrapText="1"/>
      <protection hidden="1"/>
    </xf>
    <xf numFmtId="9" fontId="13" fillId="0" borderId="25" xfId="7" applyNumberFormat="1" applyFont="1" applyBorder="1" applyAlignment="1" applyProtection="1">
      <alignment horizontal="center" vertical="center" wrapText="1"/>
      <protection hidden="1"/>
    </xf>
    <xf numFmtId="9" fontId="13" fillId="0" borderId="18" xfId="7" applyNumberFormat="1" applyFont="1" applyBorder="1" applyAlignment="1" applyProtection="1">
      <alignment horizontal="center" vertical="center" wrapText="1"/>
      <protection hidden="1"/>
    </xf>
    <xf numFmtId="9" fontId="13" fillId="0" borderId="0" xfId="7" applyNumberFormat="1" applyFont="1" applyAlignment="1" applyProtection="1">
      <alignment horizontal="center" vertical="center" wrapText="1"/>
      <protection hidden="1"/>
    </xf>
    <xf numFmtId="9" fontId="13" fillId="0" borderId="23" xfId="7" applyNumberFormat="1" applyFont="1" applyBorder="1" applyAlignment="1" applyProtection="1">
      <alignment horizontal="center" vertical="center" wrapText="1"/>
      <protection hidden="1"/>
    </xf>
    <xf numFmtId="9" fontId="13" fillId="0" borderId="30" xfId="7" applyNumberFormat="1" applyFont="1" applyBorder="1" applyAlignment="1" applyProtection="1">
      <alignment horizontal="center" vertical="center" wrapText="1"/>
      <protection hidden="1"/>
    </xf>
    <xf numFmtId="9" fontId="13" fillId="0" borderId="31" xfId="7" applyNumberFormat="1" applyFont="1" applyBorder="1" applyAlignment="1" applyProtection="1">
      <alignment horizontal="center" vertical="center" wrapText="1"/>
      <protection hidden="1"/>
    </xf>
    <xf numFmtId="9" fontId="13" fillId="0" borderId="32" xfId="7" applyNumberFormat="1" applyFont="1" applyBorder="1" applyAlignment="1" applyProtection="1">
      <alignment horizontal="center" vertical="center" wrapText="1"/>
      <protection hidden="1"/>
    </xf>
    <xf numFmtId="0" fontId="13" fillId="0" borderId="4" xfId="7" applyFont="1" applyBorder="1" applyAlignment="1" applyProtection="1">
      <alignment horizontal="center" vertical="top"/>
      <protection locked="0"/>
    </xf>
    <xf numFmtId="0" fontId="13" fillId="0" borderId="6" xfId="7" applyFont="1" applyBorder="1" applyAlignment="1" applyProtection="1">
      <alignment horizontal="center" vertical="top"/>
      <protection locked="0"/>
    </xf>
    <xf numFmtId="0" fontId="13" fillId="0" borderId="22" xfId="7" applyFont="1" applyBorder="1" applyAlignment="1" applyProtection="1">
      <alignment horizontal="center" vertical="top"/>
      <protection locked="0"/>
    </xf>
    <xf numFmtId="0" fontId="15" fillId="0" borderId="16" xfId="7" applyFont="1" applyBorder="1" applyAlignment="1" applyProtection="1">
      <alignment horizontal="left" vertical="top"/>
      <protection locked="0"/>
    </xf>
    <xf numFmtId="0" fontId="15" fillId="0" borderId="1" xfId="7" applyFont="1" applyBorder="1" applyAlignment="1" applyProtection="1">
      <alignment horizontal="left" vertical="top"/>
      <protection locked="0"/>
    </xf>
    <xf numFmtId="0" fontId="15" fillId="0" borderId="4" xfId="7" applyFont="1" applyBorder="1" applyAlignment="1" applyProtection="1">
      <alignment horizontal="left" vertical="top" wrapText="1"/>
      <protection locked="0"/>
    </xf>
    <xf numFmtId="0" fontId="15" fillId="0" borderId="5" xfId="7" applyFont="1" applyBorder="1" applyAlignment="1" applyProtection="1">
      <alignment horizontal="left" vertical="top" wrapText="1"/>
      <protection locked="0"/>
    </xf>
    <xf numFmtId="0" fontId="15" fillId="0" borderId="22" xfId="7" applyFont="1" applyBorder="1" applyAlignment="1" applyProtection="1">
      <alignment horizontal="left" vertical="top" wrapText="1"/>
      <protection locked="0"/>
    </xf>
    <xf numFmtId="0" fontId="13" fillId="0" borderId="17" xfId="7" applyFont="1" applyBorder="1" applyAlignment="1" applyProtection="1">
      <alignment horizontal="center" vertical="top" wrapText="1"/>
      <protection locked="0"/>
    </xf>
    <xf numFmtId="0" fontId="13" fillId="0" borderId="6" xfId="7" applyFont="1" applyBorder="1" applyAlignment="1" applyProtection="1">
      <alignment horizontal="center" vertical="top" wrapText="1"/>
      <protection locked="0"/>
    </xf>
    <xf numFmtId="0" fontId="13" fillId="0" borderId="24" xfId="7" applyFont="1" applyBorder="1" applyAlignment="1" applyProtection="1">
      <alignment horizontal="center" vertical="top" wrapText="1"/>
      <protection locked="0"/>
    </xf>
    <xf numFmtId="0" fontId="12" fillId="0" borderId="4" xfId="7" applyFont="1" applyBorder="1" applyAlignment="1">
      <alignment horizontal="left" vertical="top" wrapText="1"/>
    </xf>
    <xf numFmtId="0" fontId="12" fillId="0" borderId="5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5" fillId="0" borderId="12" xfId="7" applyFont="1" applyBorder="1" applyAlignment="1" applyProtection="1">
      <alignment horizontal="center" vertical="top" wrapText="1"/>
      <protection locked="0"/>
    </xf>
    <xf numFmtId="0" fontId="15" fillId="0" borderId="13" xfId="7" applyFont="1" applyBorder="1" applyAlignment="1" applyProtection="1">
      <alignment horizontal="center" vertical="top" wrapText="1"/>
      <protection locked="0"/>
    </xf>
    <xf numFmtId="0" fontId="15" fillId="0" borderId="14" xfId="7" applyFont="1" applyBorder="1" applyAlignment="1" applyProtection="1">
      <alignment horizontal="left" vertical="top" wrapText="1"/>
      <protection locked="0"/>
    </xf>
    <xf numFmtId="0" fontId="15" fillId="0" borderId="15" xfId="7" applyFont="1" applyBorder="1" applyAlignment="1" applyProtection="1">
      <alignment horizontal="left" vertical="top" wrapText="1"/>
      <protection locked="0"/>
    </xf>
    <xf numFmtId="0" fontId="15" fillId="0" borderId="19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>
      <alignment horizontal="left" vertical="top"/>
    </xf>
    <xf numFmtId="167" fontId="9" fillId="0" borderId="1" xfId="7" applyNumberFormat="1" applyFont="1" applyBorder="1" applyAlignment="1">
      <alignment horizontal="center" vertical="top"/>
    </xf>
    <xf numFmtId="0" fontId="10" fillId="0" borderId="6" xfId="7" applyFont="1" applyBorder="1" applyAlignment="1">
      <alignment horizontal="left" wrapText="1"/>
    </xf>
    <xf numFmtId="0" fontId="12" fillId="0" borderId="4" xfId="7" applyFont="1" applyBorder="1" applyAlignment="1">
      <alignment vertical="top"/>
    </xf>
    <xf numFmtId="0" fontId="12" fillId="0" borderId="5" xfId="7" applyFont="1" applyBorder="1" applyAlignment="1">
      <alignment vertical="top"/>
    </xf>
    <xf numFmtId="0" fontId="12" fillId="0" borderId="6" xfId="7" applyFont="1" applyBorder="1" applyAlignment="1">
      <alignment vertical="top"/>
    </xf>
    <xf numFmtId="0" fontId="9" fillId="0" borderId="4" xfId="7" applyFont="1" applyBorder="1" applyAlignment="1">
      <alignment horizontal="center" vertical="top"/>
    </xf>
    <xf numFmtId="0" fontId="9" fillId="0" borderId="6" xfId="7" applyFont="1" applyBorder="1" applyAlignment="1">
      <alignment horizontal="center" vertical="top"/>
    </xf>
    <xf numFmtId="0" fontId="13" fillId="0" borderId="4" xfId="7" applyFont="1" applyBorder="1" applyAlignment="1">
      <alignment horizontal="center" vertical="top" wrapText="1"/>
    </xf>
    <xf numFmtId="0" fontId="13" fillId="0" borderId="6" xfId="7" applyFont="1" applyBorder="1" applyAlignment="1">
      <alignment horizontal="center" vertical="top" wrapText="1"/>
    </xf>
    <xf numFmtId="0" fontId="13" fillId="0" borderId="5" xfId="7" applyFont="1" applyBorder="1" applyAlignment="1">
      <alignment horizontal="center" vertical="top" wrapText="1"/>
    </xf>
    <xf numFmtId="167" fontId="9" fillId="0" borderId="4" xfId="7" applyNumberFormat="1" applyFont="1" applyBorder="1" applyAlignment="1">
      <alignment horizontal="left" vertical="top" wrapText="1"/>
    </xf>
    <xf numFmtId="167" fontId="9" fillId="0" borderId="5" xfId="7" applyNumberFormat="1" applyFont="1" applyBorder="1" applyAlignment="1">
      <alignment horizontal="left" vertical="top" wrapText="1"/>
    </xf>
    <xf numFmtId="167" fontId="9" fillId="0" borderId="6" xfId="7" applyNumberFormat="1" applyFont="1" applyBorder="1" applyAlignment="1">
      <alignment horizontal="left" vertical="top" wrapText="1"/>
    </xf>
    <xf numFmtId="167" fontId="9" fillId="0" borderId="4" xfId="7" applyNumberFormat="1" applyFont="1" applyBorder="1" applyAlignment="1">
      <alignment horizontal="left" vertical="top"/>
    </xf>
    <xf numFmtId="167" fontId="9" fillId="0" borderId="5" xfId="7" applyNumberFormat="1" applyFont="1" applyBorder="1" applyAlignment="1">
      <alignment horizontal="left" vertical="top"/>
    </xf>
    <xf numFmtId="167" fontId="9" fillId="0" borderId="6" xfId="7" applyNumberFormat="1" applyFont="1" applyBorder="1" applyAlignment="1">
      <alignment horizontal="left" vertical="top"/>
    </xf>
    <xf numFmtId="166" fontId="9" fillId="0" borderId="4" xfId="7" applyNumberFormat="1" applyFont="1" applyBorder="1" applyAlignment="1">
      <alignment horizontal="left" vertical="top"/>
    </xf>
    <xf numFmtId="166" fontId="9" fillId="0" borderId="5" xfId="7" applyNumberFormat="1" applyFont="1" applyBorder="1" applyAlignment="1">
      <alignment horizontal="left" vertical="top"/>
    </xf>
    <xf numFmtId="166" fontId="9" fillId="0" borderId="6" xfId="7" applyNumberFormat="1" applyFont="1" applyBorder="1" applyAlignment="1">
      <alignment horizontal="left" vertical="top"/>
    </xf>
    <xf numFmtId="14" fontId="9" fillId="0" borderId="4" xfId="7" applyNumberFormat="1" applyFont="1" applyBorder="1" applyAlignment="1">
      <alignment horizontal="left" vertical="top" wrapText="1"/>
    </xf>
    <xf numFmtId="166" fontId="9" fillId="0" borderId="4" xfId="7" applyNumberFormat="1" applyFont="1" applyBorder="1" applyAlignment="1">
      <alignment horizontal="left" vertical="top" wrapText="1"/>
    </xf>
    <xf numFmtId="166" fontId="9" fillId="0" borderId="5" xfId="7" applyNumberFormat="1" applyFont="1" applyBorder="1" applyAlignment="1">
      <alignment horizontal="left" vertical="top" wrapText="1"/>
    </xf>
    <xf numFmtId="166" fontId="9" fillId="0" borderId="6" xfId="7" applyNumberFormat="1" applyFont="1" applyBorder="1" applyAlignment="1">
      <alignment horizontal="left" vertical="top" wrapText="1"/>
    </xf>
    <xf numFmtId="0" fontId="14" fillId="0" borderId="4" xfId="2" applyBorder="1" applyAlignment="1">
      <alignment vertical="top"/>
    </xf>
    <xf numFmtId="0" fontId="13" fillId="0" borderId="4" xfId="7" applyFont="1" applyBorder="1" applyAlignment="1" applyProtection="1">
      <alignment horizontal="left" vertical="center" wrapText="1"/>
      <protection locked="0"/>
    </xf>
    <xf numFmtId="0" fontId="13" fillId="0" borderId="5" xfId="7" applyFont="1" applyBorder="1" applyAlignment="1" applyProtection="1">
      <alignment horizontal="left" vertical="center" wrapText="1"/>
      <protection locked="0"/>
    </xf>
    <xf numFmtId="0" fontId="13" fillId="0" borderId="6" xfId="7" applyFont="1" applyBorder="1" applyAlignment="1" applyProtection="1">
      <alignment horizontal="left" vertical="center" wrapText="1"/>
      <protection locked="0"/>
    </xf>
    <xf numFmtId="0" fontId="10" fillId="0" borderId="4" xfId="7" applyFont="1" applyBorder="1" applyAlignment="1" applyProtection="1">
      <alignment horizontal="left" vertical="center" wrapText="1"/>
      <protection locked="0"/>
    </xf>
    <xf numFmtId="0" fontId="10" fillId="0" borderId="5" xfId="7" applyFont="1" applyBorder="1" applyAlignment="1" applyProtection="1">
      <alignment horizontal="left" vertical="center" wrapText="1"/>
      <protection locked="0"/>
    </xf>
    <xf numFmtId="0" fontId="10" fillId="0" borderId="6" xfId="7" applyFont="1" applyBorder="1" applyAlignment="1" applyProtection="1">
      <alignment horizontal="left" vertical="center" wrapText="1"/>
      <protection locked="0"/>
    </xf>
    <xf numFmtId="0" fontId="10" fillId="0" borderId="4" xfId="7" applyFont="1" applyBorder="1" applyAlignment="1">
      <alignment horizontal="center" vertical="top"/>
    </xf>
    <xf numFmtId="0" fontId="10" fillId="0" borderId="6" xfId="7" applyFont="1" applyBorder="1" applyAlignment="1">
      <alignment horizontal="center" vertical="top"/>
    </xf>
    <xf numFmtId="0" fontId="13" fillId="0" borderId="1" xfId="7" applyFont="1" applyBorder="1" applyAlignment="1">
      <alignment horizontal="left" vertical="top"/>
    </xf>
    <xf numFmtId="0" fontId="13" fillId="0" borderId="1" xfId="7" applyFont="1" applyBorder="1" applyAlignment="1">
      <alignment horizontal="left"/>
    </xf>
    <xf numFmtId="0" fontId="9" fillId="0" borderId="1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center" vertical="top" wrapText="1"/>
    </xf>
    <xf numFmtId="0" fontId="11" fillId="0" borderId="5" xfId="7" applyFont="1" applyBorder="1" applyAlignment="1">
      <alignment horizontal="center" vertical="top" wrapText="1"/>
    </xf>
    <xf numFmtId="0" fontId="11" fillId="0" borderId="6" xfId="7" applyFont="1" applyBorder="1" applyAlignment="1">
      <alignment horizontal="center" vertical="top" wrapText="1"/>
    </xf>
    <xf numFmtId="14" fontId="9" fillId="0" borderId="4" xfId="7" applyNumberFormat="1" applyFont="1" applyBorder="1" applyAlignment="1">
      <alignment horizontal="left" vertical="top"/>
    </xf>
    <xf numFmtId="14" fontId="9" fillId="0" borderId="5" xfId="7" applyNumberFormat="1" applyFont="1" applyBorder="1" applyAlignment="1">
      <alignment horizontal="left" vertical="top"/>
    </xf>
    <xf numFmtId="14" fontId="9" fillId="0" borderId="6" xfId="7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8" applyFont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9">
    <cellStyle name="Comma 2" xfId="3" xr:uid="{00000000-0005-0000-0000-000031000000}"/>
    <cellStyle name="Excel Built-in Normal" xfId="4" xr:uid="{00000000-0005-0000-0000-000032000000}"/>
    <cellStyle name="Excel Built-in Normal 2" xfId="5" xr:uid="{00000000-0005-0000-0000-000033000000}"/>
    <cellStyle name="Hyperlink" xfId="2" builtinId="8"/>
    <cellStyle name="Normal" xfId="0" builtinId="0"/>
    <cellStyle name="Normal 2" xfId="6" xr:uid="{00000000-0005-0000-0000-000034000000}"/>
    <cellStyle name="Normal 3" xfId="7" xr:uid="{00000000-0005-0000-0000-000035000000}"/>
    <cellStyle name="Normal 4" xfId="8" xr:uid="{00000000-0005-0000-0000-000036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200672</xdr:colOff>
      <xdr:row>203</xdr:row>
      <xdr:rowOff>0</xdr:rowOff>
    </xdr:from>
    <xdr:to>
      <xdr:col>9</xdr:col>
      <xdr:colOff>55093</xdr:colOff>
      <xdr:row>221</xdr:row>
      <xdr:rowOff>21913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200660" y="45475525"/>
          <a:ext cx="5854065" cy="3622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575322</xdr:colOff>
      <xdr:row>221</xdr:row>
      <xdr:rowOff>164040</xdr:rowOff>
    </xdr:from>
    <xdr:to>
      <xdr:col>8</xdr:col>
      <xdr:colOff>425422</xdr:colOff>
      <xdr:row>237</xdr:row>
      <xdr:rowOff>149498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575310" y="49239805"/>
          <a:ext cx="5146675" cy="31857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17145</xdr:colOff>
      <xdr:row>162</xdr:row>
      <xdr:rowOff>179070</xdr:rowOff>
    </xdr:from>
    <xdr:to>
      <xdr:col>20</xdr:col>
      <xdr:colOff>331470</xdr:colOff>
      <xdr:row>199</xdr:row>
      <xdr:rowOff>165100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37120" y="37459920"/>
          <a:ext cx="5972175" cy="7377430"/>
          <a:chOff x="180" y="58425"/>
          <a:chExt cx="9372" cy="11618"/>
        </a:xfrm>
      </xdr:grpSpPr>
      <xdr:pic>
        <xdr:nvPicPr>
          <xdr:cNvPr id="4" name="Picture 2" descr="https://vsjcllp.vsjadon.com/upload/insp-220691-1525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>
          <a:xfrm>
            <a:off x="2718" y="66487"/>
            <a:ext cx="4740" cy="35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https://vsjcllp.vsjadon.com/upload/insp-220691-845.jp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>
          <a:xfrm>
            <a:off x="442" y="63037"/>
            <a:ext cx="4433" cy="33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6" descr="https://vsjcllp.vsjadon.com/upload/insp-220691-849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>
          <a:xfrm>
            <a:off x="6228" y="58425"/>
            <a:ext cx="3325" cy="441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0" descr="https://vsjcllp.vsjadon.com/upload/insp-220691-862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>
          <a:xfrm>
            <a:off x="5040" y="63037"/>
            <a:ext cx="4452" cy="33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180" y="58432"/>
            <a:ext cx="5876" cy="4420"/>
            <a:chOff x="180" y="58432"/>
            <a:chExt cx="5876" cy="4420"/>
          </a:xfrm>
        </xdr:grpSpPr>
        <xdr:pic>
          <xdr:nvPicPr>
            <xdr:cNvPr id="7" name="Picture 8" descr="https://vsjcllp.vsjadon.com/upload/insp-220691-851.jpg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/>
            <a:srcRect/>
            <a:stretch>
              <a:fillRect/>
            </a:stretch>
          </xdr:blipFill>
          <xdr:spPr>
            <a:xfrm>
              <a:off x="180" y="58432"/>
              <a:ext cx="5876" cy="442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Text 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555" y="58590"/>
              <a:ext cx="1893" cy="600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600" b="1"/>
                <a:t>Bldg Type A</a:t>
              </a:r>
            </a:p>
          </xdr:txBody>
        </xdr:sp>
      </xdr:grpSp>
    </xdr:grpSp>
    <xdr:clientData/>
  </xdr:twoCellAnchor>
  <xdr:twoCellAnchor>
    <xdr:from>
      <xdr:col>10</xdr:col>
      <xdr:colOff>236220</xdr:colOff>
      <xdr:row>163</xdr:row>
      <xdr:rowOff>1905</xdr:rowOff>
    </xdr:from>
    <xdr:to>
      <xdr:col>18</xdr:col>
      <xdr:colOff>365512</xdr:colOff>
      <xdr:row>183</xdr:row>
      <xdr:rowOff>161513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AAF836D-5323-E4A4-1499-462CA152C342}"/>
            </a:ext>
          </a:extLst>
        </xdr:cNvPr>
        <xdr:cNvGrpSpPr/>
      </xdr:nvGrpSpPr>
      <xdr:grpSpPr>
        <a:xfrm>
          <a:off x="6456045" y="37482780"/>
          <a:ext cx="5749042" cy="4150583"/>
          <a:chOff x="231856" y="155623"/>
          <a:chExt cx="5924302" cy="4114388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3FAA28BE-3A3E-F045-E569-DAD61A76A65B}"/>
              </a:ext>
            </a:extLst>
          </xdr:cNvPr>
          <xdr:cNvGrpSpPr/>
        </xdr:nvGrpSpPr>
        <xdr:grpSpPr>
          <a:xfrm>
            <a:off x="231856" y="155623"/>
            <a:ext cx="5924302" cy="2161715"/>
            <a:chOff x="231856" y="155623"/>
            <a:chExt cx="5924302" cy="2161715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A5869747-C92E-1B7F-AC2A-D7AC8942E4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6158" y="155623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C4D45EF6-B15A-D00C-90A1-4900FFEA211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1856" y="155623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CA178584-C0EC-2F3B-455F-93236EAC3B53}"/>
              </a:ext>
            </a:extLst>
          </xdr:cNvPr>
          <xdr:cNvGrpSpPr/>
        </xdr:nvGrpSpPr>
        <xdr:grpSpPr>
          <a:xfrm>
            <a:off x="481577" y="2467542"/>
            <a:ext cx="5424861" cy="1802469"/>
            <a:chOff x="395144" y="2467542"/>
            <a:chExt cx="5424861" cy="1802469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C6260AD4-516D-F0B5-C788-53C744162E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5144" y="247001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8745B5E3-3B0E-9A1F-B469-F5D4573895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16603" y="2470011"/>
              <a:ext cx="239050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5265101A-D3B9-045B-3B01-1DB3159675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71411" y="246754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200025</xdr:colOff>
      <xdr:row>161</xdr:row>
      <xdr:rowOff>161925</xdr:rowOff>
    </xdr:from>
    <xdr:to>
      <xdr:col>9</xdr:col>
      <xdr:colOff>106044</xdr:colOff>
      <xdr:row>192</xdr:row>
      <xdr:rowOff>196434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8E98255C-5D3C-4D78-BDD4-04396FA7A3CB}"/>
            </a:ext>
          </a:extLst>
        </xdr:cNvPr>
        <xdr:cNvGrpSpPr/>
      </xdr:nvGrpSpPr>
      <xdr:grpSpPr>
        <a:xfrm>
          <a:off x="200025" y="37242750"/>
          <a:ext cx="5887719" cy="6225759"/>
          <a:chOff x="596064" y="288141"/>
          <a:chExt cx="5887719" cy="6225759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ED734B67-7F2F-49A1-8610-2C1C2798D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96064" y="4533900"/>
            <a:ext cx="263790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6A97EF6A-A782-4C60-9084-01CFE5EF7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9000" y="288141"/>
            <a:ext cx="5400000" cy="405321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D4397D03-BFD0-456A-8D3C-B5DCEA84CA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5423" y="45339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9F826FC7-9FFA-4067-9DDF-414C517A2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0330" y="45339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25</xdr:row>
      <xdr:rowOff>75668</xdr:rowOff>
    </xdr:from>
    <xdr:to>
      <xdr:col>7</xdr:col>
      <xdr:colOff>313387</xdr:colOff>
      <xdr:row>36</xdr:row>
      <xdr:rowOff>140168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3525" y="3123565"/>
          <a:ext cx="1621155" cy="2159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503264</xdr:colOff>
      <xdr:row>25</xdr:row>
      <xdr:rowOff>66675</xdr:rowOff>
    </xdr:from>
    <xdr:to>
      <xdr:col>9</xdr:col>
      <xdr:colOff>397551</xdr:colOff>
      <xdr:row>36</xdr:row>
      <xdr:rowOff>131175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84545" y="3114675"/>
          <a:ext cx="1622425" cy="2159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2446</xdr:colOff>
      <xdr:row>9</xdr:row>
      <xdr:rowOff>0</xdr:rowOff>
    </xdr:from>
    <xdr:to>
      <xdr:col>6</xdr:col>
      <xdr:colOff>4771</xdr:colOff>
      <xdr:row>27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724025"/>
          <a:ext cx="640969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28</xdr:row>
      <xdr:rowOff>170104</xdr:rowOff>
    </xdr:from>
    <xdr:to>
      <xdr:col>6</xdr:col>
      <xdr:colOff>2325</xdr:colOff>
      <xdr:row>47</xdr:row>
      <xdr:rowOff>150604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" y="5513070"/>
          <a:ext cx="6409055" cy="3600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K8R3QAotNUZfQo7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2"/>
  <sheetViews>
    <sheetView tabSelected="1" view="pageBreakPreview" zoomScaleNormal="100" zoomScalePageLayoutView="85" workbookViewId="0">
      <selection activeCell="K148" sqref="K148"/>
    </sheetView>
  </sheetViews>
  <sheetFormatPr defaultColWidth="9" defaultRowHeight="15.75"/>
  <cols>
    <col min="1" max="1" width="10.7109375" style="37" customWidth="1"/>
    <col min="2" max="2" width="12.42578125" style="37" customWidth="1"/>
    <col min="3" max="3" width="14.7109375" style="37" customWidth="1"/>
    <col min="4" max="4" width="7.28515625" style="37" customWidth="1"/>
    <col min="5" max="5" width="5.5703125" style="37" customWidth="1"/>
    <col min="6" max="6" width="9.7109375" style="37" customWidth="1"/>
    <col min="7" max="7" width="9" style="37" customWidth="1"/>
    <col min="8" max="8" width="9.7109375" style="37" customWidth="1"/>
    <col min="9" max="9" width="10.5703125" style="37" customWidth="1"/>
    <col min="10" max="10" width="3.5703125" style="37" customWidth="1"/>
    <col min="11" max="11" width="18" style="37" customWidth="1"/>
    <col min="12" max="12" width="10.5703125" style="37" customWidth="1"/>
    <col min="13" max="253" width="9.28515625" style="37"/>
    <col min="254" max="254" width="8.7109375" style="37" customWidth="1"/>
    <col min="255" max="255" width="9.7109375" style="37" customWidth="1"/>
    <col min="256" max="256" width="14.42578125" style="37" customWidth="1"/>
    <col min="257" max="257" width="7.28515625" style="37" customWidth="1"/>
    <col min="258" max="258" width="5.5703125" style="37" customWidth="1"/>
    <col min="259" max="259" width="9" style="37" customWidth="1"/>
    <col min="260" max="261" width="9.7109375" style="37" customWidth="1"/>
    <col min="262" max="262" width="11.28515625" style="37" customWidth="1"/>
    <col min="263" max="263" width="2.7109375" style="37" customWidth="1"/>
    <col min="264" max="264" width="3.5703125" style="37" customWidth="1"/>
    <col min="265" max="509" width="9.28515625" style="37"/>
    <col min="510" max="510" width="8.7109375" style="37" customWidth="1"/>
    <col min="511" max="511" width="9.7109375" style="37" customWidth="1"/>
    <col min="512" max="512" width="14.42578125" style="37" customWidth="1"/>
    <col min="513" max="513" width="7.28515625" style="37" customWidth="1"/>
    <col min="514" max="514" width="5.5703125" style="37" customWidth="1"/>
    <col min="515" max="515" width="9" style="37" customWidth="1"/>
    <col min="516" max="517" width="9.7109375" style="37" customWidth="1"/>
    <col min="518" max="518" width="11.28515625" style="37" customWidth="1"/>
    <col min="519" max="519" width="2.7109375" style="37" customWidth="1"/>
    <col min="520" max="520" width="3.5703125" style="37" customWidth="1"/>
    <col min="521" max="765" width="9.28515625" style="37"/>
    <col min="766" max="766" width="8.7109375" style="37" customWidth="1"/>
    <col min="767" max="767" width="9.7109375" style="37" customWidth="1"/>
    <col min="768" max="768" width="14.42578125" style="37" customWidth="1"/>
    <col min="769" max="769" width="7.28515625" style="37" customWidth="1"/>
    <col min="770" max="770" width="5.5703125" style="37" customWidth="1"/>
    <col min="771" max="771" width="9" style="37" customWidth="1"/>
    <col min="772" max="773" width="9.7109375" style="37" customWidth="1"/>
    <col min="774" max="774" width="11.28515625" style="37" customWidth="1"/>
    <col min="775" max="775" width="2.7109375" style="37" customWidth="1"/>
    <col min="776" max="776" width="3.5703125" style="37" customWidth="1"/>
    <col min="777" max="1021" width="9.28515625" style="37"/>
    <col min="1022" max="1022" width="8.7109375" style="37" customWidth="1"/>
    <col min="1023" max="1023" width="9.7109375" style="37" customWidth="1"/>
    <col min="1024" max="1024" width="14.42578125" style="37" customWidth="1"/>
    <col min="1025" max="1025" width="7.28515625" style="37" customWidth="1"/>
    <col min="1026" max="1026" width="5.5703125" style="37" customWidth="1"/>
    <col min="1027" max="1027" width="9" style="37" customWidth="1"/>
    <col min="1028" max="1029" width="9.7109375" style="37" customWidth="1"/>
    <col min="1030" max="1030" width="11.28515625" style="37" customWidth="1"/>
    <col min="1031" max="1031" width="2.7109375" style="37" customWidth="1"/>
    <col min="1032" max="1032" width="3.5703125" style="37" customWidth="1"/>
    <col min="1033" max="1277" width="9.28515625" style="37"/>
    <col min="1278" max="1278" width="8.7109375" style="37" customWidth="1"/>
    <col min="1279" max="1279" width="9.7109375" style="37" customWidth="1"/>
    <col min="1280" max="1280" width="14.42578125" style="37" customWidth="1"/>
    <col min="1281" max="1281" width="7.28515625" style="37" customWidth="1"/>
    <col min="1282" max="1282" width="5.5703125" style="37" customWidth="1"/>
    <col min="1283" max="1283" width="9" style="37" customWidth="1"/>
    <col min="1284" max="1285" width="9.7109375" style="37" customWidth="1"/>
    <col min="1286" max="1286" width="11.28515625" style="37" customWidth="1"/>
    <col min="1287" max="1287" width="2.7109375" style="37" customWidth="1"/>
    <col min="1288" max="1288" width="3.5703125" style="37" customWidth="1"/>
    <col min="1289" max="1533" width="9.28515625" style="37"/>
    <col min="1534" max="1534" width="8.7109375" style="37" customWidth="1"/>
    <col min="1535" max="1535" width="9.7109375" style="37" customWidth="1"/>
    <col min="1536" max="1536" width="14.42578125" style="37" customWidth="1"/>
    <col min="1537" max="1537" width="7.28515625" style="37" customWidth="1"/>
    <col min="1538" max="1538" width="5.5703125" style="37" customWidth="1"/>
    <col min="1539" max="1539" width="9" style="37" customWidth="1"/>
    <col min="1540" max="1541" width="9.7109375" style="37" customWidth="1"/>
    <col min="1542" max="1542" width="11.28515625" style="37" customWidth="1"/>
    <col min="1543" max="1543" width="2.7109375" style="37" customWidth="1"/>
    <col min="1544" max="1544" width="3.5703125" style="37" customWidth="1"/>
    <col min="1545" max="1789" width="9.28515625" style="37"/>
    <col min="1790" max="1790" width="8.7109375" style="37" customWidth="1"/>
    <col min="1791" max="1791" width="9.7109375" style="37" customWidth="1"/>
    <col min="1792" max="1792" width="14.42578125" style="37" customWidth="1"/>
    <col min="1793" max="1793" width="7.28515625" style="37" customWidth="1"/>
    <col min="1794" max="1794" width="5.5703125" style="37" customWidth="1"/>
    <col min="1795" max="1795" width="9" style="37" customWidth="1"/>
    <col min="1796" max="1797" width="9.7109375" style="37" customWidth="1"/>
    <col min="1798" max="1798" width="11.28515625" style="37" customWidth="1"/>
    <col min="1799" max="1799" width="2.7109375" style="37" customWidth="1"/>
    <col min="1800" max="1800" width="3.5703125" style="37" customWidth="1"/>
    <col min="1801" max="2045" width="9.28515625" style="37"/>
    <col min="2046" max="2046" width="8.7109375" style="37" customWidth="1"/>
    <col min="2047" max="2047" width="9.7109375" style="37" customWidth="1"/>
    <col min="2048" max="2048" width="14.42578125" style="37" customWidth="1"/>
    <col min="2049" max="2049" width="7.28515625" style="37" customWidth="1"/>
    <col min="2050" max="2050" width="5.5703125" style="37" customWidth="1"/>
    <col min="2051" max="2051" width="9" style="37" customWidth="1"/>
    <col min="2052" max="2053" width="9.7109375" style="37" customWidth="1"/>
    <col min="2054" max="2054" width="11.28515625" style="37" customWidth="1"/>
    <col min="2055" max="2055" width="2.7109375" style="37" customWidth="1"/>
    <col min="2056" max="2056" width="3.5703125" style="37" customWidth="1"/>
    <col min="2057" max="2301" width="9.28515625" style="37"/>
    <col min="2302" max="2302" width="8.7109375" style="37" customWidth="1"/>
    <col min="2303" max="2303" width="9.7109375" style="37" customWidth="1"/>
    <col min="2304" max="2304" width="14.42578125" style="37" customWidth="1"/>
    <col min="2305" max="2305" width="7.28515625" style="37" customWidth="1"/>
    <col min="2306" max="2306" width="5.5703125" style="37" customWidth="1"/>
    <col min="2307" max="2307" width="9" style="37" customWidth="1"/>
    <col min="2308" max="2309" width="9.7109375" style="37" customWidth="1"/>
    <col min="2310" max="2310" width="11.28515625" style="37" customWidth="1"/>
    <col min="2311" max="2311" width="2.7109375" style="37" customWidth="1"/>
    <col min="2312" max="2312" width="3.5703125" style="37" customWidth="1"/>
    <col min="2313" max="2557" width="9.28515625" style="37"/>
    <col min="2558" max="2558" width="8.7109375" style="37" customWidth="1"/>
    <col min="2559" max="2559" width="9.7109375" style="37" customWidth="1"/>
    <col min="2560" max="2560" width="14.42578125" style="37" customWidth="1"/>
    <col min="2561" max="2561" width="7.28515625" style="37" customWidth="1"/>
    <col min="2562" max="2562" width="5.5703125" style="37" customWidth="1"/>
    <col min="2563" max="2563" width="9" style="37" customWidth="1"/>
    <col min="2564" max="2565" width="9.7109375" style="37" customWidth="1"/>
    <col min="2566" max="2566" width="11.28515625" style="37" customWidth="1"/>
    <col min="2567" max="2567" width="2.7109375" style="37" customWidth="1"/>
    <col min="2568" max="2568" width="3.5703125" style="37" customWidth="1"/>
    <col min="2569" max="2813" width="9.28515625" style="37"/>
    <col min="2814" max="2814" width="8.7109375" style="37" customWidth="1"/>
    <col min="2815" max="2815" width="9.7109375" style="37" customWidth="1"/>
    <col min="2816" max="2816" width="14.42578125" style="37" customWidth="1"/>
    <col min="2817" max="2817" width="7.28515625" style="37" customWidth="1"/>
    <col min="2818" max="2818" width="5.5703125" style="37" customWidth="1"/>
    <col min="2819" max="2819" width="9" style="37" customWidth="1"/>
    <col min="2820" max="2821" width="9.7109375" style="37" customWidth="1"/>
    <col min="2822" max="2822" width="11.28515625" style="37" customWidth="1"/>
    <col min="2823" max="2823" width="2.7109375" style="37" customWidth="1"/>
    <col min="2824" max="2824" width="3.5703125" style="37" customWidth="1"/>
    <col min="2825" max="3069" width="9.28515625" style="37"/>
    <col min="3070" max="3070" width="8.7109375" style="37" customWidth="1"/>
    <col min="3071" max="3071" width="9.7109375" style="37" customWidth="1"/>
    <col min="3072" max="3072" width="14.42578125" style="37" customWidth="1"/>
    <col min="3073" max="3073" width="7.28515625" style="37" customWidth="1"/>
    <col min="3074" max="3074" width="5.5703125" style="37" customWidth="1"/>
    <col min="3075" max="3075" width="9" style="37" customWidth="1"/>
    <col min="3076" max="3077" width="9.7109375" style="37" customWidth="1"/>
    <col min="3078" max="3078" width="11.28515625" style="37" customWidth="1"/>
    <col min="3079" max="3079" width="2.7109375" style="37" customWidth="1"/>
    <col min="3080" max="3080" width="3.5703125" style="37" customWidth="1"/>
    <col min="3081" max="3325" width="9.28515625" style="37"/>
    <col min="3326" max="3326" width="8.7109375" style="37" customWidth="1"/>
    <col min="3327" max="3327" width="9.7109375" style="37" customWidth="1"/>
    <col min="3328" max="3328" width="14.42578125" style="37" customWidth="1"/>
    <col min="3329" max="3329" width="7.28515625" style="37" customWidth="1"/>
    <col min="3330" max="3330" width="5.5703125" style="37" customWidth="1"/>
    <col min="3331" max="3331" width="9" style="37" customWidth="1"/>
    <col min="3332" max="3333" width="9.7109375" style="37" customWidth="1"/>
    <col min="3334" max="3334" width="11.28515625" style="37" customWidth="1"/>
    <col min="3335" max="3335" width="2.7109375" style="37" customWidth="1"/>
    <col min="3336" max="3336" width="3.5703125" style="37" customWidth="1"/>
    <col min="3337" max="3581" width="9.28515625" style="37"/>
    <col min="3582" max="3582" width="8.7109375" style="37" customWidth="1"/>
    <col min="3583" max="3583" width="9.7109375" style="37" customWidth="1"/>
    <col min="3584" max="3584" width="14.42578125" style="37" customWidth="1"/>
    <col min="3585" max="3585" width="7.28515625" style="37" customWidth="1"/>
    <col min="3586" max="3586" width="5.5703125" style="37" customWidth="1"/>
    <col min="3587" max="3587" width="9" style="37" customWidth="1"/>
    <col min="3588" max="3589" width="9.7109375" style="37" customWidth="1"/>
    <col min="3590" max="3590" width="11.28515625" style="37" customWidth="1"/>
    <col min="3591" max="3591" width="2.7109375" style="37" customWidth="1"/>
    <col min="3592" max="3592" width="3.5703125" style="37" customWidth="1"/>
    <col min="3593" max="3837" width="9.28515625" style="37"/>
    <col min="3838" max="3838" width="8.7109375" style="37" customWidth="1"/>
    <col min="3839" max="3839" width="9.7109375" style="37" customWidth="1"/>
    <col min="3840" max="3840" width="14.42578125" style="37" customWidth="1"/>
    <col min="3841" max="3841" width="7.28515625" style="37" customWidth="1"/>
    <col min="3842" max="3842" width="5.5703125" style="37" customWidth="1"/>
    <col min="3843" max="3843" width="9" style="37" customWidth="1"/>
    <col min="3844" max="3845" width="9.7109375" style="37" customWidth="1"/>
    <col min="3846" max="3846" width="11.28515625" style="37" customWidth="1"/>
    <col min="3847" max="3847" width="2.7109375" style="37" customWidth="1"/>
    <col min="3848" max="3848" width="3.5703125" style="37" customWidth="1"/>
    <col min="3849" max="4093" width="9.28515625" style="37"/>
    <col min="4094" max="4094" width="8.7109375" style="37" customWidth="1"/>
    <col min="4095" max="4095" width="9.7109375" style="37" customWidth="1"/>
    <col min="4096" max="4096" width="14.42578125" style="37" customWidth="1"/>
    <col min="4097" max="4097" width="7.28515625" style="37" customWidth="1"/>
    <col min="4098" max="4098" width="5.5703125" style="37" customWidth="1"/>
    <col min="4099" max="4099" width="9" style="37" customWidth="1"/>
    <col min="4100" max="4101" width="9.7109375" style="37" customWidth="1"/>
    <col min="4102" max="4102" width="11.28515625" style="37" customWidth="1"/>
    <col min="4103" max="4103" width="2.7109375" style="37" customWidth="1"/>
    <col min="4104" max="4104" width="3.5703125" style="37" customWidth="1"/>
    <col min="4105" max="4349" width="9.28515625" style="37"/>
    <col min="4350" max="4350" width="8.7109375" style="37" customWidth="1"/>
    <col min="4351" max="4351" width="9.7109375" style="37" customWidth="1"/>
    <col min="4352" max="4352" width="14.42578125" style="37" customWidth="1"/>
    <col min="4353" max="4353" width="7.28515625" style="37" customWidth="1"/>
    <col min="4354" max="4354" width="5.5703125" style="37" customWidth="1"/>
    <col min="4355" max="4355" width="9" style="37" customWidth="1"/>
    <col min="4356" max="4357" width="9.7109375" style="37" customWidth="1"/>
    <col min="4358" max="4358" width="11.28515625" style="37" customWidth="1"/>
    <col min="4359" max="4359" width="2.7109375" style="37" customWidth="1"/>
    <col min="4360" max="4360" width="3.5703125" style="37" customWidth="1"/>
    <col min="4361" max="4605" width="9.28515625" style="37"/>
    <col min="4606" max="4606" width="8.7109375" style="37" customWidth="1"/>
    <col min="4607" max="4607" width="9.7109375" style="37" customWidth="1"/>
    <col min="4608" max="4608" width="14.42578125" style="37" customWidth="1"/>
    <col min="4609" max="4609" width="7.28515625" style="37" customWidth="1"/>
    <col min="4610" max="4610" width="5.5703125" style="37" customWidth="1"/>
    <col min="4611" max="4611" width="9" style="37" customWidth="1"/>
    <col min="4612" max="4613" width="9.7109375" style="37" customWidth="1"/>
    <col min="4614" max="4614" width="11.28515625" style="37" customWidth="1"/>
    <col min="4615" max="4615" width="2.7109375" style="37" customWidth="1"/>
    <col min="4616" max="4616" width="3.5703125" style="37" customWidth="1"/>
    <col min="4617" max="4861" width="9.28515625" style="37"/>
    <col min="4862" max="4862" width="8.7109375" style="37" customWidth="1"/>
    <col min="4863" max="4863" width="9.7109375" style="37" customWidth="1"/>
    <col min="4864" max="4864" width="14.42578125" style="37" customWidth="1"/>
    <col min="4865" max="4865" width="7.28515625" style="37" customWidth="1"/>
    <col min="4866" max="4866" width="5.5703125" style="37" customWidth="1"/>
    <col min="4867" max="4867" width="9" style="37" customWidth="1"/>
    <col min="4868" max="4869" width="9.7109375" style="37" customWidth="1"/>
    <col min="4870" max="4870" width="11.28515625" style="37" customWidth="1"/>
    <col min="4871" max="4871" width="2.7109375" style="37" customWidth="1"/>
    <col min="4872" max="4872" width="3.5703125" style="37" customWidth="1"/>
    <col min="4873" max="5117" width="9.28515625" style="37"/>
    <col min="5118" max="5118" width="8.7109375" style="37" customWidth="1"/>
    <col min="5119" max="5119" width="9.7109375" style="37" customWidth="1"/>
    <col min="5120" max="5120" width="14.42578125" style="37" customWidth="1"/>
    <col min="5121" max="5121" width="7.28515625" style="37" customWidth="1"/>
    <col min="5122" max="5122" width="5.5703125" style="37" customWidth="1"/>
    <col min="5123" max="5123" width="9" style="37" customWidth="1"/>
    <col min="5124" max="5125" width="9.7109375" style="37" customWidth="1"/>
    <col min="5126" max="5126" width="11.28515625" style="37" customWidth="1"/>
    <col min="5127" max="5127" width="2.7109375" style="37" customWidth="1"/>
    <col min="5128" max="5128" width="3.5703125" style="37" customWidth="1"/>
    <col min="5129" max="5373" width="9.28515625" style="37"/>
    <col min="5374" max="5374" width="8.7109375" style="37" customWidth="1"/>
    <col min="5375" max="5375" width="9.7109375" style="37" customWidth="1"/>
    <col min="5376" max="5376" width="14.42578125" style="37" customWidth="1"/>
    <col min="5377" max="5377" width="7.28515625" style="37" customWidth="1"/>
    <col min="5378" max="5378" width="5.5703125" style="37" customWidth="1"/>
    <col min="5379" max="5379" width="9" style="37" customWidth="1"/>
    <col min="5380" max="5381" width="9.7109375" style="37" customWidth="1"/>
    <col min="5382" max="5382" width="11.28515625" style="37" customWidth="1"/>
    <col min="5383" max="5383" width="2.7109375" style="37" customWidth="1"/>
    <col min="5384" max="5384" width="3.5703125" style="37" customWidth="1"/>
    <col min="5385" max="5629" width="9.28515625" style="37"/>
    <col min="5630" max="5630" width="8.7109375" style="37" customWidth="1"/>
    <col min="5631" max="5631" width="9.7109375" style="37" customWidth="1"/>
    <col min="5632" max="5632" width="14.42578125" style="37" customWidth="1"/>
    <col min="5633" max="5633" width="7.28515625" style="37" customWidth="1"/>
    <col min="5634" max="5634" width="5.5703125" style="37" customWidth="1"/>
    <col min="5635" max="5635" width="9" style="37" customWidth="1"/>
    <col min="5636" max="5637" width="9.7109375" style="37" customWidth="1"/>
    <col min="5638" max="5638" width="11.28515625" style="37" customWidth="1"/>
    <col min="5639" max="5639" width="2.7109375" style="37" customWidth="1"/>
    <col min="5640" max="5640" width="3.5703125" style="37" customWidth="1"/>
    <col min="5641" max="5885" width="9.28515625" style="37"/>
    <col min="5886" max="5886" width="8.7109375" style="37" customWidth="1"/>
    <col min="5887" max="5887" width="9.7109375" style="37" customWidth="1"/>
    <col min="5888" max="5888" width="14.42578125" style="37" customWidth="1"/>
    <col min="5889" max="5889" width="7.28515625" style="37" customWidth="1"/>
    <col min="5890" max="5890" width="5.5703125" style="37" customWidth="1"/>
    <col min="5891" max="5891" width="9" style="37" customWidth="1"/>
    <col min="5892" max="5893" width="9.7109375" style="37" customWidth="1"/>
    <col min="5894" max="5894" width="11.28515625" style="37" customWidth="1"/>
    <col min="5895" max="5895" width="2.7109375" style="37" customWidth="1"/>
    <col min="5896" max="5896" width="3.5703125" style="37" customWidth="1"/>
    <col min="5897" max="6141" width="9.28515625" style="37"/>
    <col min="6142" max="6142" width="8.7109375" style="37" customWidth="1"/>
    <col min="6143" max="6143" width="9.7109375" style="37" customWidth="1"/>
    <col min="6144" max="6144" width="14.42578125" style="37" customWidth="1"/>
    <col min="6145" max="6145" width="7.28515625" style="37" customWidth="1"/>
    <col min="6146" max="6146" width="5.5703125" style="37" customWidth="1"/>
    <col min="6147" max="6147" width="9" style="37" customWidth="1"/>
    <col min="6148" max="6149" width="9.7109375" style="37" customWidth="1"/>
    <col min="6150" max="6150" width="11.28515625" style="37" customWidth="1"/>
    <col min="6151" max="6151" width="2.7109375" style="37" customWidth="1"/>
    <col min="6152" max="6152" width="3.5703125" style="37" customWidth="1"/>
    <col min="6153" max="6397" width="9.28515625" style="37"/>
    <col min="6398" max="6398" width="8.7109375" style="37" customWidth="1"/>
    <col min="6399" max="6399" width="9.7109375" style="37" customWidth="1"/>
    <col min="6400" max="6400" width="14.42578125" style="37" customWidth="1"/>
    <col min="6401" max="6401" width="7.28515625" style="37" customWidth="1"/>
    <col min="6402" max="6402" width="5.5703125" style="37" customWidth="1"/>
    <col min="6403" max="6403" width="9" style="37" customWidth="1"/>
    <col min="6404" max="6405" width="9.7109375" style="37" customWidth="1"/>
    <col min="6406" max="6406" width="11.28515625" style="37" customWidth="1"/>
    <col min="6407" max="6407" width="2.7109375" style="37" customWidth="1"/>
    <col min="6408" max="6408" width="3.5703125" style="37" customWidth="1"/>
    <col min="6409" max="6653" width="9.28515625" style="37"/>
    <col min="6654" max="6654" width="8.7109375" style="37" customWidth="1"/>
    <col min="6655" max="6655" width="9.7109375" style="37" customWidth="1"/>
    <col min="6656" max="6656" width="14.42578125" style="37" customWidth="1"/>
    <col min="6657" max="6657" width="7.28515625" style="37" customWidth="1"/>
    <col min="6658" max="6658" width="5.5703125" style="37" customWidth="1"/>
    <col min="6659" max="6659" width="9" style="37" customWidth="1"/>
    <col min="6660" max="6661" width="9.7109375" style="37" customWidth="1"/>
    <col min="6662" max="6662" width="11.28515625" style="37" customWidth="1"/>
    <col min="6663" max="6663" width="2.7109375" style="37" customWidth="1"/>
    <col min="6664" max="6664" width="3.5703125" style="37" customWidth="1"/>
    <col min="6665" max="6909" width="9.28515625" style="37"/>
    <col min="6910" max="6910" width="8.7109375" style="37" customWidth="1"/>
    <col min="6911" max="6911" width="9.7109375" style="37" customWidth="1"/>
    <col min="6912" max="6912" width="14.42578125" style="37" customWidth="1"/>
    <col min="6913" max="6913" width="7.28515625" style="37" customWidth="1"/>
    <col min="6914" max="6914" width="5.5703125" style="37" customWidth="1"/>
    <col min="6915" max="6915" width="9" style="37" customWidth="1"/>
    <col min="6916" max="6917" width="9.7109375" style="37" customWidth="1"/>
    <col min="6918" max="6918" width="11.28515625" style="37" customWidth="1"/>
    <col min="6919" max="6919" width="2.7109375" style="37" customWidth="1"/>
    <col min="6920" max="6920" width="3.5703125" style="37" customWidth="1"/>
    <col min="6921" max="7165" width="9.28515625" style="37"/>
    <col min="7166" max="7166" width="8.7109375" style="37" customWidth="1"/>
    <col min="7167" max="7167" width="9.7109375" style="37" customWidth="1"/>
    <col min="7168" max="7168" width="14.42578125" style="37" customWidth="1"/>
    <col min="7169" max="7169" width="7.28515625" style="37" customWidth="1"/>
    <col min="7170" max="7170" width="5.5703125" style="37" customWidth="1"/>
    <col min="7171" max="7171" width="9" style="37" customWidth="1"/>
    <col min="7172" max="7173" width="9.7109375" style="37" customWidth="1"/>
    <col min="7174" max="7174" width="11.28515625" style="37" customWidth="1"/>
    <col min="7175" max="7175" width="2.7109375" style="37" customWidth="1"/>
    <col min="7176" max="7176" width="3.5703125" style="37" customWidth="1"/>
    <col min="7177" max="7421" width="9.28515625" style="37"/>
    <col min="7422" max="7422" width="8.7109375" style="37" customWidth="1"/>
    <col min="7423" max="7423" width="9.7109375" style="37" customWidth="1"/>
    <col min="7424" max="7424" width="14.42578125" style="37" customWidth="1"/>
    <col min="7425" max="7425" width="7.28515625" style="37" customWidth="1"/>
    <col min="7426" max="7426" width="5.5703125" style="37" customWidth="1"/>
    <col min="7427" max="7427" width="9" style="37" customWidth="1"/>
    <col min="7428" max="7429" width="9.7109375" style="37" customWidth="1"/>
    <col min="7430" max="7430" width="11.28515625" style="37" customWidth="1"/>
    <col min="7431" max="7431" width="2.7109375" style="37" customWidth="1"/>
    <col min="7432" max="7432" width="3.5703125" style="37" customWidth="1"/>
    <col min="7433" max="7677" width="9.28515625" style="37"/>
    <col min="7678" max="7678" width="8.7109375" style="37" customWidth="1"/>
    <col min="7679" max="7679" width="9.7109375" style="37" customWidth="1"/>
    <col min="7680" max="7680" width="14.42578125" style="37" customWidth="1"/>
    <col min="7681" max="7681" width="7.28515625" style="37" customWidth="1"/>
    <col min="7682" max="7682" width="5.5703125" style="37" customWidth="1"/>
    <col min="7683" max="7683" width="9" style="37" customWidth="1"/>
    <col min="7684" max="7685" width="9.7109375" style="37" customWidth="1"/>
    <col min="7686" max="7686" width="11.28515625" style="37" customWidth="1"/>
    <col min="7687" max="7687" width="2.7109375" style="37" customWidth="1"/>
    <col min="7688" max="7688" width="3.5703125" style="37" customWidth="1"/>
    <col min="7689" max="7933" width="9.28515625" style="37"/>
    <col min="7934" max="7934" width="8.7109375" style="37" customWidth="1"/>
    <col min="7935" max="7935" width="9.7109375" style="37" customWidth="1"/>
    <col min="7936" max="7936" width="14.42578125" style="37" customWidth="1"/>
    <col min="7937" max="7937" width="7.28515625" style="37" customWidth="1"/>
    <col min="7938" max="7938" width="5.5703125" style="37" customWidth="1"/>
    <col min="7939" max="7939" width="9" style="37" customWidth="1"/>
    <col min="7940" max="7941" width="9.7109375" style="37" customWidth="1"/>
    <col min="7942" max="7942" width="11.28515625" style="37" customWidth="1"/>
    <col min="7943" max="7943" width="2.7109375" style="37" customWidth="1"/>
    <col min="7944" max="7944" width="3.5703125" style="37" customWidth="1"/>
    <col min="7945" max="8189" width="9.28515625" style="37"/>
    <col min="8190" max="8190" width="8.7109375" style="37" customWidth="1"/>
    <col min="8191" max="8191" width="9.7109375" style="37" customWidth="1"/>
    <col min="8192" max="8192" width="14.42578125" style="37" customWidth="1"/>
    <col min="8193" max="8193" width="7.28515625" style="37" customWidth="1"/>
    <col min="8194" max="8194" width="5.5703125" style="37" customWidth="1"/>
    <col min="8195" max="8195" width="9" style="37" customWidth="1"/>
    <col min="8196" max="8197" width="9.7109375" style="37" customWidth="1"/>
    <col min="8198" max="8198" width="11.28515625" style="37" customWidth="1"/>
    <col min="8199" max="8199" width="2.7109375" style="37" customWidth="1"/>
    <col min="8200" max="8200" width="3.5703125" style="37" customWidth="1"/>
    <col min="8201" max="8445" width="9.28515625" style="37"/>
    <col min="8446" max="8446" width="8.7109375" style="37" customWidth="1"/>
    <col min="8447" max="8447" width="9.7109375" style="37" customWidth="1"/>
    <col min="8448" max="8448" width="14.42578125" style="37" customWidth="1"/>
    <col min="8449" max="8449" width="7.28515625" style="37" customWidth="1"/>
    <col min="8450" max="8450" width="5.5703125" style="37" customWidth="1"/>
    <col min="8451" max="8451" width="9" style="37" customWidth="1"/>
    <col min="8452" max="8453" width="9.7109375" style="37" customWidth="1"/>
    <col min="8454" max="8454" width="11.28515625" style="37" customWidth="1"/>
    <col min="8455" max="8455" width="2.7109375" style="37" customWidth="1"/>
    <col min="8456" max="8456" width="3.5703125" style="37" customWidth="1"/>
    <col min="8457" max="8701" width="9.28515625" style="37"/>
    <col min="8702" max="8702" width="8.7109375" style="37" customWidth="1"/>
    <col min="8703" max="8703" width="9.7109375" style="37" customWidth="1"/>
    <col min="8704" max="8704" width="14.42578125" style="37" customWidth="1"/>
    <col min="8705" max="8705" width="7.28515625" style="37" customWidth="1"/>
    <col min="8706" max="8706" width="5.5703125" style="37" customWidth="1"/>
    <col min="8707" max="8707" width="9" style="37" customWidth="1"/>
    <col min="8708" max="8709" width="9.7109375" style="37" customWidth="1"/>
    <col min="8710" max="8710" width="11.28515625" style="37" customWidth="1"/>
    <col min="8711" max="8711" width="2.7109375" style="37" customWidth="1"/>
    <col min="8712" max="8712" width="3.5703125" style="37" customWidth="1"/>
    <col min="8713" max="8957" width="9.28515625" style="37"/>
    <col min="8958" max="8958" width="8.7109375" style="37" customWidth="1"/>
    <col min="8959" max="8959" width="9.7109375" style="37" customWidth="1"/>
    <col min="8960" max="8960" width="14.42578125" style="37" customWidth="1"/>
    <col min="8961" max="8961" width="7.28515625" style="37" customWidth="1"/>
    <col min="8962" max="8962" width="5.5703125" style="37" customWidth="1"/>
    <col min="8963" max="8963" width="9" style="37" customWidth="1"/>
    <col min="8964" max="8965" width="9.7109375" style="37" customWidth="1"/>
    <col min="8966" max="8966" width="11.28515625" style="37" customWidth="1"/>
    <col min="8967" max="8967" width="2.7109375" style="37" customWidth="1"/>
    <col min="8968" max="8968" width="3.5703125" style="37" customWidth="1"/>
    <col min="8969" max="9213" width="9.28515625" style="37"/>
    <col min="9214" max="9214" width="8.7109375" style="37" customWidth="1"/>
    <col min="9215" max="9215" width="9.7109375" style="37" customWidth="1"/>
    <col min="9216" max="9216" width="14.42578125" style="37" customWidth="1"/>
    <col min="9217" max="9217" width="7.28515625" style="37" customWidth="1"/>
    <col min="9218" max="9218" width="5.5703125" style="37" customWidth="1"/>
    <col min="9219" max="9219" width="9" style="37" customWidth="1"/>
    <col min="9220" max="9221" width="9.7109375" style="37" customWidth="1"/>
    <col min="9222" max="9222" width="11.28515625" style="37" customWidth="1"/>
    <col min="9223" max="9223" width="2.7109375" style="37" customWidth="1"/>
    <col min="9224" max="9224" width="3.5703125" style="37" customWidth="1"/>
    <col min="9225" max="9469" width="9.28515625" style="37"/>
    <col min="9470" max="9470" width="8.7109375" style="37" customWidth="1"/>
    <col min="9471" max="9471" width="9.7109375" style="37" customWidth="1"/>
    <col min="9472" max="9472" width="14.42578125" style="37" customWidth="1"/>
    <col min="9473" max="9473" width="7.28515625" style="37" customWidth="1"/>
    <col min="9474" max="9474" width="5.5703125" style="37" customWidth="1"/>
    <col min="9475" max="9475" width="9" style="37" customWidth="1"/>
    <col min="9476" max="9477" width="9.7109375" style="37" customWidth="1"/>
    <col min="9478" max="9478" width="11.28515625" style="37" customWidth="1"/>
    <col min="9479" max="9479" width="2.7109375" style="37" customWidth="1"/>
    <col min="9480" max="9480" width="3.5703125" style="37" customWidth="1"/>
    <col min="9481" max="9725" width="9.28515625" style="37"/>
    <col min="9726" max="9726" width="8.7109375" style="37" customWidth="1"/>
    <col min="9727" max="9727" width="9.7109375" style="37" customWidth="1"/>
    <col min="9728" max="9728" width="14.42578125" style="37" customWidth="1"/>
    <col min="9729" max="9729" width="7.28515625" style="37" customWidth="1"/>
    <col min="9730" max="9730" width="5.5703125" style="37" customWidth="1"/>
    <col min="9731" max="9731" width="9" style="37" customWidth="1"/>
    <col min="9732" max="9733" width="9.7109375" style="37" customWidth="1"/>
    <col min="9734" max="9734" width="11.28515625" style="37" customWidth="1"/>
    <col min="9735" max="9735" width="2.7109375" style="37" customWidth="1"/>
    <col min="9736" max="9736" width="3.5703125" style="37" customWidth="1"/>
    <col min="9737" max="9981" width="9.28515625" style="37"/>
    <col min="9982" max="9982" width="8.7109375" style="37" customWidth="1"/>
    <col min="9983" max="9983" width="9.7109375" style="37" customWidth="1"/>
    <col min="9984" max="9984" width="14.42578125" style="37" customWidth="1"/>
    <col min="9985" max="9985" width="7.28515625" style="37" customWidth="1"/>
    <col min="9986" max="9986" width="5.5703125" style="37" customWidth="1"/>
    <col min="9987" max="9987" width="9" style="37" customWidth="1"/>
    <col min="9988" max="9989" width="9.7109375" style="37" customWidth="1"/>
    <col min="9990" max="9990" width="11.28515625" style="37" customWidth="1"/>
    <col min="9991" max="9991" width="2.7109375" style="37" customWidth="1"/>
    <col min="9992" max="9992" width="3.5703125" style="37" customWidth="1"/>
    <col min="9993" max="10237" width="9.28515625" style="37"/>
    <col min="10238" max="10238" width="8.7109375" style="37" customWidth="1"/>
    <col min="10239" max="10239" width="9.7109375" style="37" customWidth="1"/>
    <col min="10240" max="10240" width="14.42578125" style="37" customWidth="1"/>
    <col min="10241" max="10241" width="7.28515625" style="37" customWidth="1"/>
    <col min="10242" max="10242" width="5.5703125" style="37" customWidth="1"/>
    <col min="10243" max="10243" width="9" style="37" customWidth="1"/>
    <col min="10244" max="10245" width="9.7109375" style="37" customWidth="1"/>
    <col min="10246" max="10246" width="11.28515625" style="37" customWidth="1"/>
    <col min="10247" max="10247" width="2.7109375" style="37" customWidth="1"/>
    <col min="10248" max="10248" width="3.5703125" style="37" customWidth="1"/>
    <col min="10249" max="10493" width="9.28515625" style="37"/>
    <col min="10494" max="10494" width="8.7109375" style="37" customWidth="1"/>
    <col min="10495" max="10495" width="9.7109375" style="37" customWidth="1"/>
    <col min="10496" max="10496" width="14.42578125" style="37" customWidth="1"/>
    <col min="10497" max="10497" width="7.28515625" style="37" customWidth="1"/>
    <col min="10498" max="10498" width="5.5703125" style="37" customWidth="1"/>
    <col min="10499" max="10499" width="9" style="37" customWidth="1"/>
    <col min="10500" max="10501" width="9.7109375" style="37" customWidth="1"/>
    <col min="10502" max="10502" width="11.28515625" style="37" customWidth="1"/>
    <col min="10503" max="10503" width="2.7109375" style="37" customWidth="1"/>
    <col min="10504" max="10504" width="3.5703125" style="37" customWidth="1"/>
    <col min="10505" max="10749" width="9.28515625" style="37"/>
    <col min="10750" max="10750" width="8.7109375" style="37" customWidth="1"/>
    <col min="10751" max="10751" width="9.7109375" style="37" customWidth="1"/>
    <col min="10752" max="10752" width="14.42578125" style="37" customWidth="1"/>
    <col min="10753" max="10753" width="7.28515625" style="37" customWidth="1"/>
    <col min="10754" max="10754" width="5.5703125" style="37" customWidth="1"/>
    <col min="10755" max="10755" width="9" style="37" customWidth="1"/>
    <col min="10756" max="10757" width="9.7109375" style="37" customWidth="1"/>
    <col min="10758" max="10758" width="11.28515625" style="37" customWidth="1"/>
    <col min="10759" max="10759" width="2.7109375" style="37" customWidth="1"/>
    <col min="10760" max="10760" width="3.5703125" style="37" customWidth="1"/>
    <col min="10761" max="11005" width="9.28515625" style="37"/>
    <col min="11006" max="11006" width="8.7109375" style="37" customWidth="1"/>
    <col min="11007" max="11007" width="9.7109375" style="37" customWidth="1"/>
    <col min="11008" max="11008" width="14.42578125" style="37" customWidth="1"/>
    <col min="11009" max="11009" width="7.28515625" style="37" customWidth="1"/>
    <col min="11010" max="11010" width="5.5703125" style="37" customWidth="1"/>
    <col min="11011" max="11011" width="9" style="37" customWidth="1"/>
    <col min="11012" max="11013" width="9.7109375" style="37" customWidth="1"/>
    <col min="11014" max="11014" width="11.28515625" style="37" customWidth="1"/>
    <col min="11015" max="11015" width="2.7109375" style="37" customWidth="1"/>
    <col min="11016" max="11016" width="3.5703125" style="37" customWidth="1"/>
    <col min="11017" max="11261" width="9.28515625" style="37"/>
    <col min="11262" max="11262" width="8.7109375" style="37" customWidth="1"/>
    <col min="11263" max="11263" width="9.7109375" style="37" customWidth="1"/>
    <col min="11264" max="11264" width="14.42578125" style="37" customWidth="1"/>
    <col min="11265" max="11265" width="7.28515625" style="37" customWidth="1"/>
    <col min="11266" max="11266" width="5.5703125" style="37" customWidth="1"/>
    <col min="11267" max="11267" width="9" style="37" customWidth="1"/>
    <col min="11268" max="11269" width="9.7109375" style="37" customWidth="1"/>
    <col min="11270" max="11270" width="11.28515625" style="37" customWidth="1"/>
    <col min="11271" max="11271" width="2.7109375" style="37" customWidth="1"/>
    <col min="11272" max="11272" width="3.5703125" style="37" customWidth="1"/>
    <col min="11273" max="11517" width="9.28515625" style="37"/>
    <col min="11518" max="11518" width="8.7109375" style="37" customWidth="1"/>
    <col min="11519" max="11519" width="9.7109375" style="37" customWidth="1"/>
    <col min="11520" max="11520" width="14.42578125" style="37" customWidth="1"/>
    <col min="11521" max="11521" width="7.28515625" style="37" customWidth="1"/>
    <col min="11522" max="11522" width="5.5703125" style="37" customWidth="1"/>
    <col min="11523" max="11523" width="9" style="37" customWidth="1"/>
    <col min="11524" max="11525" width="9.7109375" style="37" customWidth="1"/>
    <col min="11526" max="11526" width="11.28515625" style="37" customWidth="1"/>
    <col min="11527" max="11527" width="2.7109375" style="37" customWidth="1"/>
    <col min="11528" max="11528" width="3.5703125" style="37" customWidth="1"/>
    <col min="11529" max="11773" width="9.28515625" style="37"/>
    <col min="11774" max="11774" width="8.7109375" style="37" customWidth="1"/>
    <col min="11775" max="11775" width="9.7109375" style="37" customWidth="1"/>
    <col min="11776" max="11776" width="14.42578125" style="37" customWidth="1"/>
    <col min="11777" max="11777" width="7.28515625" style="37" customWidth="1"/>
    <col min="11778" max="11778" width="5.5703125" style="37" customWidth="1"/>
    <col min="11779" max="11779" width="9" style="37" customWidth="1"/>
    <col min="11780" max="11781" width="9.7109375" style="37" customWidth="1"/>
    <col min="11782" max="11782" width="11.28515625" style="37" customWidth="1"/>
    <col min="11783" max="11783" width="2.7109375" style="37" customWidth="1"/>
    <col min="11784" max="11784" width="3.5703125" style="37" customWidth="1"/>
    <col min="11785" max="12029" width="9.28515625" style="37"/>
    <col min="12030" max="12030" width="8.7109375" style="37" customWidth="1"/>
    <col min="12031" max="12031" width="9.7109375" style="37" customWidth="1"/>
    <col min="12032" max="12032" width="14.42578125" style="37" customWidth="1"/>
    <col min="12033" max="12033" width="7.28515625" style="37" customWidth="1"/>
    <col min="12034" max="12034" width="5.5703125" style="37" customWidth="1"/>
    <col min="12035" max="12035" width="9" style="37" customWidth="1"/>
    <col min="12036" max="12037" width="9.7109375" style="37" customWidth="1"/>
    <col min="12038" max="12038" width="11.28515625" style="37" customWidth="1"/>
    <col min="12039" max="12039" width="2.7109375" style="37" customWidth="1"/>
    <col min="12040" max="12040" width="3.5703125" style="37" customWidth="1"/>
    <col min="12041" max="12285" width="9.28515625" style="37"/>
    <col min="12286" max="12286" width="8.7109375" style="37" customWidth="1"/>
    <col min="12287" max="12287" width="9.7109375" style="37" customWidth="1"/>
    <col min="12288" max="12288" width="14.42578125" style="37" customWidth="1"/>
    <col min="12289" max="12289" width="7.28515625" style="37" customWidth="1"/>
    <col min="12290" max="12290" width="5.5703125" style="37" customWidth="1"/>
    <col min="12291" max="12291" width="9" style="37" customWidth="1"/>
    <col min="12292" max="12293" width="9.7109375" style="37" customWidth="1"/>
    <col min="12294" max="12294" width="11.28515625" style="37" customWidth="1"/>
    <col min="12295" max="12295" width="2.7109375" style="37" customWidth="1"/>
    <col min="12296" max="12296" width="3.5703125" style="37" customWidth="1"/>
    <col min="12297" max="12541" width="9.28515625" style="37"/>
    <col min="12542" max="12542" width="8.7109375" style="37" customWidth="1"/>
    <col min="12543" max="12543" width="9.7109375" style="37" customWidth="1"/>
    <col min="12544" max="12544" width="14.42578125" style="37" customWidth="1"/>
    <col min="12545" max="12545" width="7.28515625" style="37" customWidth="1"/>
    <col min="12546" max="12546" width="5.5703125" style="37" customWidth="1"/>
    <col min="12547" max="12547" width="9" style="37" customWidth="1"/>
    <col min="12548" max="12549" width="9.7109375" style="37" customWidth="1"/>
    <col min="12550" max="12550" width="11.28515625" style="37" customWidth="1"/>
    <col min="12551" max="12551" width="2.7109375" style="37" customWidth="1"/>
    <col min="12552" max="12552" width="3.5703125" style="37" customWidth="1"/>
    <col min="12553" max="12797" width="9.28515625" style="37"/>
    <col min="12798" max="12798" width="8.7109375" style="37" customWidth="1"/>
    <col min="12799" max="12799" width="9.7109375" style="37" customWidth="1"/>
    <col min="12800" max="12800" width="14.42578125" style="37" customWidth="1"/>
    <col min="12801" max="12801" width="7.28515625" style="37" customWidth="1"/>
    <col min="12802" max="12802" width="5.5703125" style="37" customWidth="1"/>
    <col min="12803" max="12803" width="9" style="37" customWidth="1"/>
    <col min="12804" max="12805" width="9.7109375" style="37" customWidth="1"/>
    <col min="12806" max="12806" width="11.28515625" style="37" customWidth="1"/>
    <col min="12807" max="12807" width="2.7109375" style="37" customWidth="1"/>
    <col min="12808" max="12808" width="3.5703125" style="37" customWidth="1"/>
    <col min="12809" max="13053" width="9.28515625" style="37"/>
    <col min="13054" max="13054" width="8.7109375" style="37" customWidth="1"/>
    <col min="13055" max="13055" width="9.7109375" style="37" customWidth="1"/>
    <col min="13056" max="13056" width="14.42578125" style="37" customWidth="1"/>
    <col min="13057" max="13057" width="7.28515625" style="37" customWidth="1"/>
    <col min="13058" max="13058" width="5.5703125" style="37" customWidth="1"/>
    <col min="13059" max="13059" width="9" style="37" customWidth="1"/>
    <col min="13060" max="13061" width="9.7109375" style="37" customWidth="1"/>
    <col min="13062" max="13062" width="11.28515625" style="37" customWidth="1"/>
    <col min="13063" max="13063" width="2.7109375" style="37" customWidth="1"/>
    <col min="13064" max="13064" width="3.5703125" style="37" customWidth="1"/>
    <col min="13065" max="13309" width="9.28515625" style="37"/>
    <col min="13310" max="13310" width="8.7109375" style="37" customWidth="1"/>
    <col min="13311" max="13311" width="9.7109375" style="37" customWidth="1"/>
    <col min="13312" max="13312" width="14.42578125" style="37" customWidth="1"/>
    <col min="13313" max="13313" width="7.28515625" style="37" customWidth="1"/>
    <col min="13314" max="13314" width="5.5703125" style="37" customWidth="1"/>
    <col min="13315" max="13315" width="9" style="37" customWidth="1"/>
    <col min="13316" max="13317" width="9.7109375" style="37" customWidth="1"/>
    <col min="13318" max="13318" width="11.28515625" style="37" customWidth="1"/>
    <col min="13319" max="13319" width="2.7109375" style="37" customWidth="1"/>
    <col min="13320" max="13320" width="3.5703125" style="37" customWidth="1"/>
    <col min="13321" max="13565" width="9.28515625" style="37"/>
    <col min="13566" max="13566" width="8.7109375" style="37" customWidth="1"/>
    <col min="13567" max="13567" width="9.7109375" style="37" customWidth="1"/>
    <col min="13568" max="13568" width="14.42578125" style="37" customWidth="1"/>
    <col min="13569" max="13569" width="7.28515625" style="37" customWidth="1"/>
    <col min="13570" max="13570" width="5.5703125" style="37" customWidth="1"/>
    <col min="13571" max="13571" width="9" style="37" customWidth="1"/>
    <col min="13572" max="13573" width="9.7109375" style="37" customWidth="1"/>
    <col min="13574" max="13574" width="11.28515625" style="37" customWidth="1"/>
    <col min="13575" max="13575" width="2.7109375" style="37" customWidth="1"/>
    <col min="13576" max="13576" width="3.5703125" style="37" customWidth="1"/>
    <col min="13577" max="13821" width="9.28515625" style="37"/>
    <col min="13822" max="13822" width="8.7109375" style="37" customWidth="1"/>
    <col min="13823" max="13823" width="9.7109375" style="37" customWidth="1"/>
    <col min="13824" max="13824" width="14.42578125" style="37" customWidth="1"/>
    <col min="13825" max="13825" width="7.28515625" style="37" customWidth="1"/>
    <col min="13826" max="13826" width="5.5703125" style="37" customWidth="1"/>
    <col min="13827" max="13827" width="9" style="37" customWidth="1"/>
    <col min="13828" max="13829" width="9.7109375" style="37" customWidth="1"/>
    <col min="13830" max="13830" width="11.28515625" style="37" customWidth="1"/>
    <col min="13831" max="13831" width="2.7109375" style="37" customWidth="1"/>
    <col min="13832" max="13832" width="3.5703125" style="37" customWidth="1"/>
    <col min="13833" max="14077" width="9.28515625" style="37"/>
    <col min="14078" max="14078" width="8.7109375" style="37" customWidth="1"/>
    <col min="14079" max="14079" width="9.7109375" style="37" customWidth="1"/>
    <col min="14080" max="14080" width="14.42578125" style="37" customWidth="1"/>
    <col min="14081" max="14081" width="7.28515625" style="37" customWidth="1"/>
    <col min="14082" max="14082" width="5.5703125" style="37" customWidth="1"/>
    <col min="14083" max="14083" width="9" style="37" customWidth="1"/>
    <col min="14084" max="14085" width="9.7109375" style="37" customWidth="1"/>
    <col min="14086" max="14086" width="11.28515625" style="37" customWidth="1"/>
    <col min="14087" max="14087" width="2.7109375" style="37" customWidth="1"/>
    <col min="14088" max="14088" width="3.5703125" style="37" customWidth="1"/>
    <col min="14089" max="14333" width="9.28515625" style="37"/>
    <col min="14334" max="14334" width="8.7109375" style="37" customWidth="1"/>
    <col min="14335" max="14335" width="9.7109375" style="37" customWidth="1"/>
    <col min="14336" max="14336" width="14.42578125" style="37" customWidth="1"/>
    <col min="14337" max="14337" width="7.28515625" style="37" customWidth="1"/>
    <col min="14338" max="14338" width="5.5703125" style="37" customWidth="1"/>
    <col min="14339" max="14339" width="9" style="37" customWidth="1"/>
    <col min="14340" max="14341" width="9.7109375" style="37" customWidth="1"/>
    <col min="14342" max="14342" width="11.28515625" style="37" customWidth="1"/>
    <col min="14343" max="14343" width="2.7109375" style="37" customWidth="1"/>
    <col min="14344" max="14344" width="3.5703125" style="37" customWidth="1"/>
    <col min="14345" max="14589" width="9.28515625" style="37"/>
    <col min="14590" max="14590" width="8.7109375" style="37" customWidth="1"/>
    <col min="14591" max="14591" width="9.7109375" style="37" customWidth="1"/>
    <col min="14592" max="14592" width="14.42578125" style="37" customWidth="1"/>
    <col min="14593" max="14593" width="7.28515625" style="37" customWidth="1"/>
    <col min="14594" max="14594" width="5.5703125" style="37" customWidth="1"/>
    <col min="14595" max="14595" width="9" style="37" customWidth="1"/>
    <col min="14596" max="14597" width="9.7109375" style="37" customWidth="1"/>
    <col min="14598" max="14598" width="11.28515625" style="37" customWidth="1"/>
    <col min="14599" max="14599" width="2.7109375" style="37" customWidth="1"/>
    <col min="14600" max="14600" width="3.5703125" style="37" customWidth="1"/>
    <col min="14601" max="14845" width="9.28515625" style="37"/>
    <col min="14846" max="14846" width="8.7109375" style="37" customWidth="1"/>
    <col min="14847" max="14847" width="9.7109375" style="37" customWidth="1"/>
    <col min="14848" max="14848" width="14.42578125" style="37" customWidth="1"/>
    <col min="14849" max="14849" width="7.28515625" style="37" customWidth="1"/>
    <col min="14850" max="14850" width="5.5703125" style="37" customWidth="1"/>
    <col min="14851" max="14851" width="9" style="37" customWidth="1"/>
    <col min="14852" max="14853" width="9.7109375" style="37" customWidth="1"/>
    <col min="14854" max="14854" width="11.28515625" style="37" customWidth="1"/>
    <col min="14855" max="14855" width="2.7109375" style="37" customWidth="1"/>
    <col min="14856" max="14856" width="3.5703125" style="37" customWidth="1"/>
    <col min="14857" max="15101" width="9.28515625" style="37"/>
    <col min="15102" max="15102" width="8.7109375" style="37" customWidth="1"/>
    <col min="15103" max="15103" width="9.7109375" style="37" customWidth="1"/>
    <col min="15104" max="15104" width="14.42578125" style="37" customWidth="1"/>
    <col min="15105" max="15105" width="7.28515625" style="37" customWidth="1"/>
    <col min="15106" max="15106" width="5.5703125" style="37" customWidth="1"/>
    <col min="15107" max="15107" width="9" style="37" customWidth="1"/>
    <col min="15108" max="15109" width="9.7109375" style="37" customWidth="1"/>
    <col min="15110" max="15110" width="11.28515625" style="37" customWidth="1"/>
    <col min="15111" max="15111" width="2.7109375" style="37" customWidth="1"/>
    <col min="15112" max="15112" width="3.5703125" style="37" customWidth="1"/>
    <col min="15113" max="15357" width="9.28515625" style="37"/>
    <col min="15358" max="15358" width="8.7109375" style="37" customWidth="1"/>
    <col min="15359" max="15359" width="9.7109375" style="37" customWidth="1"/>
    <col min="15360" max="15360" width="14.42578125" style="37" customWidth="1"/>
    <col min="15361" max="15361" width="7.28515625" style="37" customWidth="1"/>
    <col min="15362" max="15362" width="5.5703125" style="37" customWidth="1"/>
    <col min="15363" max="15363" width="9" style="37" customWidth="1"/>
    <col min="15364" max="15365" width="9.7109375" style="37" customWidth="1"/>
    <col min="15366" max="15366" width="11.28515625" style="37" customWidth="1"/>
    <col min="15367" max="15367" width="2.7109375" style="37" customWidth="1"/>
    <col min="15368" max="15368" width="3.5703125" style="37" customWidth="1"/>
    <col min="15369" max="15613" width="9.28515625" style="37"/>
    <col min="15614" max="15614" width="8.7109375" style="37" customWidth="1"/>
    <col min="15615" max="15615" width="9.7109375" style="37" customWidth="1"/>
    <col min="15616" max="15616" width="14.42578125" style="37" customWidth="1"/>
    <col min="15617" max="15617" width="7.28515625" style="37" customWidth="1"/>
    <col min="15618" max="15618" width="5.5703125" style="37" customWidth="1"/>
    <col min="15619" max="15619" width="9" style="37" customWidth="1"/>
    <col min="15620" max="15621" width="9.7109375" style="37" customWidth="1"/>
    <col min="15622" max="15622" width="11.28515625" style="37" customWidth="1"/>
    <col min="15623" max="15623" width="2.7109375" style="37" customWidth="1"/>
    <col min="15624" max="15624" width="3.5703125" style="37" customWidth="1"/>
    <col min="15625" max="15869" width="9.28515625" style="37"/>
    <col min="15870" max="15870" width="8.7109375" style="37" customWidth="1"/>
    <col min="15871" max="15871" width="9.7109375" style="37" customWidth="1"/>
    <col min="15872" max="15872" width="14.42578125" style="37" customWidth="1"/>
    <col min="15873" max="15873" width="7.28515625" style="37" customWidth="1"/>
    <col min="15874" max="15874" width="5.5703125" style="37" customWidth="1"/>
    <col min="15875" max="15875" width="9" style="37" customWidth="1"/>
    <col min="15876" max="15877" width="9.7109375" style="37" customWidth="1"/>
    <col min="15878" max="15878" width="11.28515625" style="37" customWidth="1"/>
    <col min="15879" max="15879" width="2.7109375" style="37" customWidth="1"/>
    <col min="15880" max="15880" width="3.5703125" style="37" customWidth="1"/>
    <col min="15881" max="16125" width="9.28515625" style="37"/>
    <col min="16126" max="16126" width="8.7109375" style="37" customWidth="1"/>
    <col min="16127" max="16127" width="9.7109375" style="37" customWidth="1"/>
    <col min="16128" max="16128" width="14.42578125" style="37" customWidth="1"/>
    <col min="16129" max="16129" width="7.28515625" style="37" customWidth="1"/>
    <col min="16130" max="16130" width="5.5703125" style="37" customWidth="1"/>
    <col min="16131" max="16131" width="9" style="37" customWidth="1"/>
    <col min="16132" max="16133" width="9.7109375" style="37" customWidth="1"/>
    <col min="16134" max="16134" width="11.28515625" style="37" customWidth="1"/>
    <col min="16135" max="16135" width="2.7109375" style="37" customWidth="1"/>
    <col min="16136" max="16136" width="3.5703125" style="37" customWidth="1"/>
    <col min="16137" max="16384" width="9.28515625" style="37"/>
  </cols>
  <sheetData>
    <row r="1" spans="1:10" ht="46.5" customHeight="1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7"/>
    </row>
    <row r="2" spans="1:10" ht="16.5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>
      <c r="A3" s="90" t="s">
        <v>2</v>
      </c>
      <c r="B3" s="91"/>
      <c r="C3" s="91"/>
      <c r="D3" s="91"/>
      <c r="E3" s="92"/>
      <c r="F3" s="218" t="str">
        <f ca="1">TEXT(TODAY(),"DD/MM/YYYY")</f>
        <v>13/09/2025</v>
      </c>
      <c r="G3" s="219"/>
      <c r="H3" s="219"/>
      <c r="I3" s="219"/>
      <c r="J3" s="220"/>
    </row>
    <row r="4" spans="1:10" ht="15" customHeight="1">
      <c r="A4" s="90" t="s">
        <v>3</v>
      </c>
      <c r="B4" s="91"/>
      <c r="C4" s="91"/>
      <c r="D4" s="91"/>
      <c r="E4" s="92"/>
      <c r="F4" s="207" t="s">
        <v>4</v>
      </c>
      <c r="G4" s="208"/>
      <c r="H4" s="208"/>
      <c r="I4" s="208"/>
      <c r="J4" s="209"/>
    </row>
    <row r="5" spans="1:10">
      <c r="A5" s="90" t="s">
        <v>5</v>
      </c>
      <c r="B5" s="91"/>
      <c r="C5" s="91"/>
      <c r="D5" s="91"/>
      <c r="E5" s="92"/>
      <c r="F5" s="218">
        <v>45908</v>
      </c>
      <c r="G5" s="219"/>
      <c r="H5" s="219"/>
      <c r="I5" s="219"/>
      <c r="J5" s="220"/>
    </row>
    <row r="6" spans="1:10" ht="16.5" customHeight="1">
      <c r="A6" s="90" t="s">
        <v>6</v>
      </c>
      <c r="B6" s="91"/>
      <c r="C6" s="91"/>
      <c r="D6" s="91"/>
      <c r="E6" s="92"/>
      <c r="F6" s="93" t="s">
        <v>7</v>
      </c>
      <c r="G6" s="94"/>
      <c r="H6" s="94"/>
      <c r="I6" s="94"/>
      <c r="J6" s="95"/>
    </row>
    <row r="7" spans="1:10" ht="15" customHeight="1">
      <c r="A7" s="90" t="s">
        <v>8</v>
      </c>
      <c r="B7" s="91"/>
      <c r="C7" s="91"/>
      <c r="D7" s="91"/>
      <c r="E7" s="92"/>
      <c r="F7" s="93" t="str">
        <f>F6</f>
        <v>M/s.Wadhwa Buildcon LLP</v>
      </c>
      <c r="G7" s="94"/>
      <c r="H7" s="94"/>
      <c r="I7" s="94"/>
      <c r="J7" s="95"/>
    </row>
    <row r="8" spans="1:10">
      <c r="A8" s="90" t="s">
        <v>9</v>
      </c>
      <c r="B8" s="91"/>
      <c r="C8" s="91"/>
      <c r="D8" s="91"/>
      <c r="E8" s="92"/>
      <c r="F8" s="123" t="s">
        <v>10</v>
      </c>
      <c r="G8" s="124"/>
      <c r="H8" s="124"/>
      <c r="I8" s="124"/>
      <c r="J8" s="125"/>
    </row>
    <row r="9" spans="1:10">
      <c r="A9" s="90" t="s">
        <v>11</v>
      </c>
      <c r="B9" s="91"/>
      <c r="C9" s="91"/>
      <c r="D9" s="91"/>
      <c r="E9" s="92"/>
      <c r="F9" s="90">
        <v>8108482951</v>
      </c>
      <c r="G9" s="91"/>
      <c r="H9" s="91"/>
      <c r="I9" s="91"/>
      <c r="J9" s="92"/>
    </row>
    <row r="10" spans="1:10" ht="17.25" customHeight="1">
      <c r="A10" s="90" t="s">
        <v>12</v>
      </c>
      <c r="B10" s="91"/>
      <c r="C10" s="91"/>
      <c r="D10" s="91"/>
      <c r="E10" s="92"/>
      <c r="F10" s="138" t="s">
        <v>13</v>
      </c>
      <c r="G10" s="130"/>
      <c r="H10" s="130"/>
      <c r="I10" s="130"/>
      <c r="J10" s="131"/>
    </row>
    <row r="11" spans="1:10" ht="16.5" customHeight="1">
      <c r="A11" s="90" t="s">
        <v>14</v>
      </c>
      <c r="B11" s="91"/>
      <c r="C11" s="91"/>
      <c r="D11" s="91"/>
      <c r="E11" s="92"/>
      <c r="F11" s="138" t="s">
        <v>15</v>
      </c>
      <c r="G11" s="139"/>
      <c r="H11" s="139"/>
      <c r="I11" s="139"/>
      <c r="J11" s="140"/>
    </row>
    <row r="12" spans="1:10" ht="17.25" customHeight="1">
      <c r="A12" s="90" t="s">
        <v>16</v>
      </c>
      <c r="B12" s="91"/>
      <c r="C12" s="91"/>
      <c r="D12" s="91"/>
      <c r="E12" s="92"/>
      <c r="F12" s="93" t="s">
        <v>17</v>
      </c>
      <c r="G12" s="91"/>
      <c r="H12" s="91"/>
      <c r="I12" s="91"/>
      <c r="J12" s="92"/>
    </row>
    <row r="13" spans="1:10" ht="31.5" customHeight="1">
      <c r="A13" s="214" t="s">
        <v>18</v>
      </c>
      <c r="B13" s="214"/>
      <c r="C13" s="93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",(IF(OR(C16="",C16="NA"),"",C16)),", ",(IF(OR(C17="",C17="NA"),"",C17)),", ",(IF(OR(H16="",H16="NA"),"",H16)),".")</f>
        <v>Wadhwa Regalia Phase I, CTS No.98, 133, 134, S No.8/1(P) &amp; 7/2, Kalyan Shilphata Road, Netivali, Kalyan, Kalyan, Thane.</v>
      </c>
      <c r="D13" s="94"/>
      <c r="E13" s="94"/>
      <c r="F13" s="94"/>
      <c r="G13" s="94"/>
      <c r="H13" s="94"/>
      <c r="I13" s="94"/>
      <c r="J13" s="95"/>
    </row>
    <row r="14" spans="1:10" ht="15.75" customHeight="1">
      <c r="A14" s="93" t="s">
        <v>19</v>
      </c>
      <c r="B14" s="95"/>
      <c r="C14" s="138" t="s">
        <v>20</v>
      </c>
      <c r="D14" s="139"/>
      <c r="E14" s="139"/>
      <c r="F14" s="68" t="s">
        <v>21</v>
      </c>
      <c r="G14" s="70"/>
      <c r="H14" s="138" t="s">
        <v>22</v>
      </c>
      <c r="I14" s="139"/>
      <c r="J14" s="140"/>
    </row>
    <row r="15" spans="1:10" ht="15.75" customHeight="1">
      <c r="A15" s="93" t="s">
        <v>23</v>
      </c>
      <c r="B15" s="95"/>
      <c r="C15" s="212" t="s">
        <v>24</v>
      </c>
      <c r="D15" s="212"/>
      <c r="E15" s="212"/>
      <c r="F15" s="68" t="s">
        <v>25</v>
      </c>
      <c r="G15" s="70"/>
      <c r="H15" s="138" t="s">
        <v>26</v>
      </c>
      <c r="I15" s="139"/>
      <c r="J15" s="140"/>
    </row>
    <row r="16" spans="1:10">
      <c r="A16" s="179" t="s">
        <v>27</v>
      </c>
      <c r="B16" s="179"/>
      <c r="C16" s="212" t="s">
        <v>28</v>
      </c>
      <c r="D16" s="212"/>
      <c r="E16" s="212"/>
      <c r="F16" s="68" t="s">
        <v>29</v>
      </c>
      <c r="G16" s="70"/>
      <c r="H16" s="213" t="s">
        <v>30</v>
      </c>
      <c r="I16" s="213"/>
      <c r="J16" s="213"/>
    </row>
    <row r="17" spans="1:10">
      <c r="A17" s="179" t="s">
        <v>31</v>
      </c>
      <c r="B17" s="179"/>
      <c r="C17" s="138" t="s">
        <v>28</v>
      </c>
      <c r="D17" s="139"/>
      <c r="E17" s="140"/>
      <c r="F17" s="68" t="s">
        <v>32</v>
      </c>
      <c r="G17" s="70"/>
      <c r="H17" s="138">
        <v>421306</v>
      </c>
      <c r="I17" s="139"/>
      <c r="J17" s="140"/>
    </row>
    <row r="18" spans="1:10" ht="33" customHeight="1">
      <c r="A18" s="179" t="s">
        <v>33</v>
      </c>
      <c r="B18" s="179"/>
      <c r="C18" s="214" t="s">
        <v>34</v>
      </c>
      <c r="D18" s="214"/>
      <c r="E18" s="214"/>
      <c r="F18" s="214" t="s">
        <v>35</v>
      </c>
      <c r="G18" s="214"/>
      <c r="H18" s="139" t="s">
        <v>36</v>
      </c>
      <c r="I18" s="139"/>
      <c r="J18" s="140"/>
    </row>
    <row r="19" spans="1:10" ht="15" customHeight="1">
      <c r="A19" s="68" t="s">
        <v>37</v>
      </c>
      <c r="B19" s="69"/>
      <c r="C19" s="69"/>
      <c r="D19" s="69"/>
      <c r="E19" s="70"/>
      <c r="F19" s="74" t="s">
        <v>38</v>
      </c>
      <c r="G19" s="75"/>
      <c r="H19" s="75"/>
      <c r="I19" s="75"/>
      <c r="J19" s="76"/>
    </row>
    <row r="20" spans="1:10" ht="18.75" customHeight="1">
      <c r="A20" s="71"/>
      <c r="B20" s="72"/>
      <c r="C20" s="72"/>
      <c r="D20" s="72"/>
      <c r="E20" s="73"/>
      <c r="F20" s="77"/>
      <c r="G20" s="78"/>
      <c r="H20" s="78"/>
      <c r="I20" s="78"/>
      <c r="J20" s="79"/>
    </row>
    <row r="21" spans="1:10" ht="15" customHeight="1">
      <c r="A21" s="68" t="s">
        <v>39</v>
      </c>
      <c r="B21" s="69"/>
      <c r="C21" s="69"/>
      <c r="D21" s="69"/>
      <c r="E21" s="70"/>
      <c r="F21" s="68" t="s">
        <v>40</v>
      </c>
      <c r="G21" s="69"/>
      <c r="H21" s="69"/>
      <c r="I21" s="69"/>
      <c r="J21" s="70"/>
    </row>
    <row r="22" spans="1:10">
      <c r="A22" s="71"/>
      <c r="B22" s="72"/>
      <c r="C22" s="72"/>
      <c r="D22" s="72"/>
      <c r="E22" s="73"/>
      <c r="F22" s="71"/>
      <c r="G22" s="72"/>
      <c r="H22" s="72"/>
      <c r="I22" s="72"/>
      <c r="J22" s="73"/>
    </row>
    <row r="23" spans="1:10" ht="15" customHeight="1">
      <c r="A23" s="90" t="s">
        <v>41</v>
      </c>
      <c r="B23" s="91"/>
      <c r="C23" s="91"/>
      <c r="D23" s="91"/>
      <c r="E23" s="92"/>
      <c r="F23" s="207" t="s">
        <v>42</v>
      </c>
      <c r="G23" s="208"/>
      <c r="H23" s="208"/>
      <c r="I23" s="208"/>
      <c r="J23" s="209"/>
    </row>
    <row r="24" spans="1:10">
      <c r="A24" s="90" t="s">
        <v>43</v>
      </c>
      <c r="B24" s="91"/>
      <c r="C24" s="91"/>
      <c r="D24" s="91"/>
      <c r="E24" s="92"/>
      <c r="F24" s="207" t="s">
        <v>44</v>
      </c>
      <c r="G24" s="208"/>
      <c r="H24" s="208"/>
      <c r="I24" s="208"/>
      <c r="J24" s="209"/>
    </row>
    <row r="25" spans="1:10" ht="15" customHeight="1">
      <c r="A25" s="90" t="s">
        <v>45</v>
      </c>
      <c r="B25" s="91"/>
      <c r="C25" s="91"/>
      <c r="D25" s="91"/>
      <c r="E25" s="92"/>
      <c r="F25" s="207" t="s">
        <v>46</v>
      </c>
      <c r="G25" s="208"/>
      <c r="H25" s="208"/>
      <c r="I25" s="208"/>
      <c r="J25" s="209"/>
    </row>
    <row r="26" spans="1:10">
      <c r="A26" s="90" t="s">
        <v>47</v>
      </c>
      <c r="B26" s="91"/>
      <c r="C26" s="91"/>
      <c r="D26" s="91"/>
      <c r="E26" s="92"/>
      <c r="F26" s="207" t="s">
        <v>48</v>
      </c>
      <c r="G26" s="208"/>
      <c r="H26" s="208"/>
      <c r="I26" s="208"/>
      <c r="J26" s="209"/>
    </row>
    <row r="27" spans="1:10">
      <c r="A27" s="210" t="s">
        <v>49</v>
      </c>
      <c r="B27" s="211"/>
      <c r="C27" s="210" t="s">
        <v>50</v>
      </c>
      <c r="D27" s="211"/>
      <c r="E27" s="210" t="s">
        <v>51</v>
      </c>
      <c r="F27" s="211"/>
      <c r="G27" s="210" t="s">
        <v>52</v>
      </c>
      <c r="H27" s="211"/>
      <c r="I27" s="210" t="s">
        <v>53</v>
      </c>
      <c r="J27" s="211"/>
    </row>
    <row r="28" spans="1:10">
      <c r="A28" s="185" t="s">
        <v>54</v>
      </c>
      <c r="B28" s="186"/>
      <c r="C28" s="185" t="s">
        <v>55</v>
      </c>
      <c r="D28" s="186"/>
      <c r="E28" s="185" t="s">
        <v>55</v>
      </c>
      <c r="F28" s="186"/>
      <c r="G28" s="185" t="s">
        <v>55</v>
      </c>
      <c r="H28" s="186"/>
      <c r="I28" s="185" t="s">
        <v>55</v>
      </c>
      <c r="J28" s="186"/>
    </row>
    <row r="29" spans="1:10">
      <c r="A29" s="185" t="s">
        <v>56</v>
      </c>
      <c r="B29" s="186"/>
      <c r="C29" s="185" t="s">
        <v>57</v>
      </c>
      <c r="D29" s="186"/>
      <c r="E29" s="185" t="s">
        <v>23</v>
      </c>
      <c r="F29" s="186"/>
      <c r="G29" s="185" t="s">
        <v>23</v>
      </c>
      <c r="H29" s="186"/>
      <c r="I29" s="185" t="s">
        <v>58</v>
      </c>
      <c r="J29" s="186"/>
    </row>
    <row r="30" spans="1:10">
      <c r="A30" s="90" t="s">
        <v>59</v>
      </c>
      <c r="B30" s="91"/>
      <c r="C30" s="91"/>
      <c r="D30" s="91"/>
      <c r="E30" s="91"/>
      <c r="F30" s="91"/>
      <c r="G30" s="91"/>
      <c r="H30" s="91"/>
      <c r="I30" s="91"/>
      <c r="J30" s="92"/>
    </row>
    <row r="31" spans="1:10">
      <c r="A31" s="90" t="s">
        <v>60</v>
      </c>
      <c r="B31" s="91"/>
      <c r="C31" s="91"/>
      <c r="D31" s="91"/>
      <c r="E31" s="91"/>
      <c r="F31" s="91"/>
      <c r="G31" s="91"/>
      <c r="H31" s="91"/>
      <c r="I31" s="91"/>
      <c r="J31" s="92"/>
    </row>
    <row r="32" spans="1:10">
      <c r="A32" s="87" t="s">
        <v>61</v>
      </c>
      <c r="B32" s="89"/>
      <c r="C32" s="87" t="s">
        <v>62</v>
      </c>
      <c r="D32" s="88"/>
      <c r="E32" s="88"/>
      <c r="F32" s="88"/>
      <c r="G32" s="88"/>
      <c r="H32" s="88"/>
      <c r="I32" s="88"/>
      <c r="J32" s="89"/>
    </row>
    <row r="33" spans="1:10">
      <c r="A33" s="87" t="s">
        <v>63</v>
      </c>
      <c r="B33" s="89"/>
      <c r="C33" s="203" t="s">
        <v>64</v>
      </c>
      <c r="D33" s="88"/>
      <c r="E33" s="88"/>
      <c r="F33" s="88"/>
      <c r="G33" s="88"/>
      <c r="H33" s="88"/>
      <c r="I33" s="88"/>
      <c r="J33" s="89"/>
    </row>
    <row r="34" spans="1:10">
      <c r="A34" s="123" t="s">
        <v>65</v>
      </c>
      <c r="B34" s="124"/>
      <c r="C34" s="124"/>
      <c r="D34" s="124"/>
      <c r="E34" s="124"/>
      <c r="F34" s="124"/>
      <c r="G34" s="124"/>
      <c r="H34" s="124"/>
      <c r="I34" s="124"/>
      <c r="J34" s="125"/>
    </row>
    <row r="35" spans="1:10" ht="15" customHeight="1">
      <c r="A35" s="93" t="s">
        <v>66</v>
      </c>
      <c r="B35" s="94"/>
      <c r="C35" s="94"/>
      <c r="D35" s="94"/>
      <c r="E35" s="95"/>
      <c r="F35" s="204" t="s">
        <v>67</v>
      </c>
      <c r="G35" s="205"/>
      <c r="H35" s="205"/>
      <c r="I35" s="205"/>
      <c r="J35" s="206"/>
    </row>
    <row r="36" spans="1:10" ht="15" customHeight="1">
      <c r="A36" s="71" t="s">
        <v>68</v>
      </c>
      <c r="B36" s="72"/>
      <c r="C36" s="72"/>
      <c r="D36" s="72"/>
      <c r="E36" s="72"/>
      <c r="F36" s="93" t="s">
        <v>69</v>
      </c>
      <c r="G36" s="94"/>
      <c r="H36" s="94"/>
      <c r="I36" s="94"/>
      <c r="J36" s="95"/>
    </row>
    <row r="37" spans="1:10">
      <c r="A37" s="123" t="s">
        <v>70</v>
      </c>
      <c r="B37" s="124"/>
      <c r="C37" s="124"/>
      <c r="D37" s="124"/>
      <c r="E37" s="124"/>
      <c r="F37" s="124"/>
      <c r="G37" s="124"/>
      <c r="H37" s="124"/>
      <c r="I37" s="124"/>
      <c r="J37" s="125"/>
    </row>
    <row r="38" spans="1:10">
      <c r="A38" s="90" t="s">
        <v>71</v>
      </c>
      <c r="B38" s="91"/>
      <c r="C38" s="91"/>
      <c r="D38" s="91"/>
      <c r="E38" s="92"/>
      <c r="F38" s="200">
        <v>14136.23</v>
      </c>
      <c r="G38" s="201"/>
      <c r="H38" s="201"/>
      <c r="I38" s="201"/>
      <c r="J38" s="202"/>
    </row>
    <row r="39" spans="1:10">
      <c r="A39" s="90" t="s">
        <v>72</v>
      </c>
      <c r="B39" s="91"/>
      <c r="C39" s="91"/>
      <c r="D39" s="91"/>
      <c r="E39" s="92"/>
      <c r="F39" s="196">
        <v>1</v>
      </c>
      <c r="G39" s="197"/>
      <c r="H39" s="197"/>
      <c r="I39" s="197"/>
      <c r="J39" s="198"/>
    </row>
    <row r="40" spans="1:10">
      <c r="A40" s="90" t="s">
        <v>73</v>
      </c>
      <c r="B40" s="91"/>
      <c r="C40" s="91"/>
      <c r="D40" s="91"/>
      <c r="E40" s="92"/>
      <c r="F40" s="196">
        <v>0</v>
      </c>
      <c r="G40" s="197"/>
      <c r="H40" s="197"/>
      <c r="I40" s="197"/>
      <c r="J40" s="198"/>
    </row>
    <row r="41" spans="1:10">
      <c r="A41" s="90" t="s">
        <v>74</v>
      </c>
      <c r="B41" s="91"/>
      <c r="C41" s="91"/>
      <c r="D41" s="91"/>
      <c r="E41" s="92"/>
      <c r="F41" s="196">
        <f>F39+F40</f>
        <v>1</v>
      </c>
      <c r="G41" s="197"/>
      <c r="H41" s="197"/>
      <c r="I41" s="197"/>
      <c r="J41" s="198"/>
    </row>
    <row r="42" spans="1:10">
      <c r="A42" s="90" t="s">
        <v>75</v>
      </c>
      <c r="B42" s="91"/>
      <c r="C42" s="91"/>
      <c r="D42" s="91"/>
      <c r="E42" s="92"/>
      <c r="F42" s="196">
        <f>F38*F41</f>
        <v>14136.23</v>
      </c>
      <c r="G42" s="197"/>
      <c r="H42" s="197"/>
      <c r="I42" s="197"/>
      <c r="J42" s="198"/>
    </row>
    <row r="43" spans="1:10">
      <c r="A43" s="90" t="s">
        <v>76</v>
      </c>
      <c r="B43" s="91"/>
      <c r="C43" s="91"/>
      <c r="D43" s="91"/>
      <c r="E43" s="92"/>
      <c r="F43" s="129" t="s">
        <v>77</v>
      </c>
      <c r="G43" s="130"/>
      <c r="H43" s="130"/>
      <c r="I43" s="130"/>
      <c r="J43" s="131"/>
    </row>
    <row r="44" spans="1:10">
      <c r="A44" s="123" t="s">
        <v>78</v>
      </c>
      <c r="B44" s="124"/>
      <c r="C44" s="124"/>
      <c r="D44" s="124"/>
      <c r="E44" s="124"/>
      <c r="F44" s="124"/>
      <c r="G44" s="124"/>
      <c r="H44" s="124"/>
      <c r="I44" s="124"/>
      <c r="J44" s="125"/>
    </row>
    <row r="45" spans="1:10" ht="16.5" customHeight="1">
      <c r="A45" s="93" t="s">
        <v>79</v>
      </c>
      <c r="B45" s="95"/>
      <c r="C45" s="93" t="s">
        <v>80</v>
      </c>
      <c r="D45" s="94"/>
      <c r="E45" s="94"/>
      <c r="F45" s="95"/>
      <c r="G45" s="38" t="s">
        <v>81</v>
      </c>
      <c r="H45" s="199">
        <v>42898</v>
      </c>
      <c r="I45" s="94"/>
      <c r="J45" s="95"/>
    </row>
    <row r="46" spans="1:10">
      <c r="A46" s="93" t="s">
        <v>82</v>
      </c>
      <c r="B46" s="95"/>
      <c r="C46" s="93" t="str">
        <f>C45</f>
        <v>KDMP/NRV/BP/KV/2017-18/36</v>
      </c>
      <c r="D46" s="94"/>
      <c r="E46" s="94"/>
      <c r="F46" s="95"/>
      <c r="G46" s="38" t="s">
        <v>81</v>
      </c>
      <c r="H46" s="190">
        <f>H45</f>
        <v>42898</v>
      </c>
      <c r="I46" s="191"/>
      <c r="J46" s="192"/>
    </row>
    <row r="47" spans="1:10" ht="62.25" customHeight="1">
      <c r="A47" s="93" t="s">
        <v>83</v>
      </c>
      <c r="B47" s="95"/>
      <c r="C47" s="93" t="s">
        <v>84</v>
      </c>
      <c r="D47" s="91"/>
      <c r="E47" s="91"/>
      <c r="F47" s="92"/>
      <c r="G47" s="39" t="s">
        <v>81</v>
      </c>
      <c r="H47" s="193">
        <f>H45</f>
        <v>42898</v>
      </c>
      <c r="I47" s="194"/>
      <c r="J47" s="195"/>
    </row>
    <row r="48" spans="1:10" ht="15" customHeight="1">
      <c r="A48" s="93" t="s">
        <v>85</v>
      </c>
      <c r="B48" s="95"/>
      <c r="C48" s="93" t="s">
        <v>86</v>
      </c>
      <c r="D48" s="91"/>
      <c r="E48" s="91"/>
      <c r="F48" s="92" t="s">
        <v>87</v>
      </c>
      <c r="G48" s="38" t="s">
        <v>81</v>
      </c>
      <c r="H48" s="93" t="s">
        <v>55</v>
      </c>
      <c r="I48" s="94" t="s">
        <v>55</v>
      </c>
      <c r="J48" s="95"/>
    </row>
    <row r="49" spans="1:12" ht="32.25" customHeight="1">
      <c r="A49" s="179" t="s">
        <v>88</v>
      </c>
      <c r="B49" s="179"/>
      <c r="C49" s="179"/>
      <c r="D49" s="180">
        <f>H47</f>
        <v>42898</v>
      </c>
      <c r="E49" s="180"/>
      <c r="F49" s="93" t="s">
        <v>89</v>
      </c>
      <c r="G49" s="181"/>
      <c r="H49" s="138" t="s">
        <v>90</v>
      </c>
      <c r="I49" s="139"/>
      <c r="J49" s="140"/>
    </row>
    <row r="50" spans="1:12">
      <c r="A50" s="182" t="s">
        <v>91</v>
      </c>
      <c r="B50" s="183"/>
      <c r="C50" s="183"/>
      <c r="D50" s="183"/>
      <c r="E50" s="183"/>
      <c r="F50" s="183"/>
      <c r="G50" s="183"/>
      <c r="H50" s="183"/>
      <c r="I50" s="183"/>
      <c r="J50" s="184"/>
    </row>
    <row r="51" spans="1:12" ht="51" customHeight="1">
      <c r="A51" s="90" t="s">
        <v>92</v>
      </c>
      <c r="B51" s="91"/>
      <c r="C51" s="92"/>
      <c r="D51" s="185">
        <v>8331.7999999999993</v>
      </c>
      <c r="E51" s="186"/>
      <c r="F51" s="187" t="s">
        <v>93</v>
      </c>
      <c r="G51" s="188"/>
      <c r="H51" s="187" t="s">
        <v>94</v>
      </c>
      <c r="I51" s="189"/>
      <c r="J51" s="188"/>
    </row>
    <row r="52" spans="1:12" ht="30.75" customHeight="1">
      <c r="A52" s="129" t="s">
        <v>95</v>
      </c>
      <c r="B52" s="130"/>
      <c r="C52" s="138" t="s">
        <v>96</v>
      </c>
      <c r="D52" s="139"/>
      <c r="E52" s="139"/>
      <c r="F52" s="140"/>
      <c r="G52" s="93" t="s">
        <v>97</v>
      </c>
      <c r="H52" s="94"/>
      <c r="I52" s="94"/>
      <c r="J52" s="95"/>
    </row>
    <row r="53" spans="1:12" ht="15.75" customHeight="1">
      <c r="A53" s="90" t="s">
        <v>98</v>
      </c>
      <c r="B53" s="91"/>
      <c r="C53" s="91"/>
      <c r="D53" s="93" t="s">
        <v>99</v>
      </c>
      <c r="E53" s="94"/>
      <c r="F53" s="94"/>
      <c r="G53" s="94"/>
      <c r="H53" s="94"/>
      <c r="I53" s="94"/>
      <c r="J53" s="95"/>
    </row>
    <row r="54" spans="1:12">
      <c r="A54" s="129" t="s">
        <v>100</v>
      </c>
      <c r="B54" s="130"/>
      <c r="C54" s="130"/>
      <c r="D54" s="130"/>
      <c r="E54" s="130"/>
      <c r="F54" s="130"/>
      <c r="G54" s="130"/>
      <c r="H54" s="130"/>
      <c r="I54" s="130"/>
      <c r="J54" s="131"/>
    </row>
    <row r="55" spans="1:12" ht="15" customHeight="1">
      <c r="A55" s="171" t="s">
        <v>101</v>
      </c>
      <c r="B55" s="172"/>
      <c r="C55" s="172"/>
      <c r="D55" s="172"/>
      <c r="E55" s="172"/>
      <c r="F55" s="172"/>
      <c r="G55" s="172"/>
      <c r="H55" s="172"/>
      <c r="I55" s="172"/>
      <c r="J55" s="173"/>
    </row>
    <row r="56" spans="1:12" customFormat="1" ht="15.75" customHeight="1">
      <c r="A56" s="174" t="s">
        <v>102</v>
      </c>
      <c r="B56" s="175"/>
      <c r="C56" s="176" t="s">
        <v>96</v>
      </c>
      <c r="D56" s="177"/>
      <c r="E56" s="177"/>
      <c r="F56" s="177"/>
      <c r="G56" s="177"/>
      <c r="H56" s="177"/>
      <c r="I56" s="177"/>
      <c r="J56" s="178"/>
      <c r="K56" s="45" t="str">
        <f ca="1">(IF(F60&gt;99%,"All work completed. Please provide OC.",IF(F60&gt;89.8%,"Plinth, RCC, Brick, Plaster, Flooring, Painting work Completed. Finishing work is in process.",IF(F60&lt;94%,(IF(C60=0,"Work not yet Started.",IF(D60=25%,"Piling work in process",IF(D60=50%,"Excavation work in process",IF(D60=100%,"Excavation work Completed. ","0")))&amp;(IF(C61=0%,"",IF(C61=L62,"Footing work is process",IF(C61=L63,"Footing work Completed",IF(C61=L64,"1st Basement Completed",IF(C61=L65,"1st &amp; 2nd Basement Completed",IF(C61=L66,"1st to 3rd Basement Completed",IF(C61=L67,"1st to 4th Basement Completed",IF(C61=L68,"Plinth work is process",IF(C61=L69,"Plinth work completed","0")))))))))))&amp;(IF(C62=(D57+G57+I57),", RCC Slab",IF(C62&gt;0,", RCC upto "&amp;C62&amp;" Slab",""))&amp;(IF(C63=I57,", Brickwork",IF(C63&gt;0,", Brickwork upto "&amp;C63&amp;" Floor",""))&amp;(IF(C64=I57,", Internal Plaster",IF(C64&gt;0,", Internal Plaster upto "&amp;C64&amp;" Floor",""))&amp;(IF(C65=I57,", External Plaster",IF(C65&gt;0,", External Plaster upto "&amp;C65&amp;" Floor",""))&amp;(IF(C66=I57,", Flooring",IF(C66&gt;0,", Flooring upto "&amp;C66&amp;" Floor",""))&amp;(IF(C67=I57,", Painting",IF(C67&gt;0,", Painting upto "&amp;C67&amp;" Floor",""))&amp;(IF(C68&gt;0,", Finishing upto "&amp;C68&amp;" Floor","")&amp;(IF(C62&gt;0.5," Completed",""))))))))))))))</f>
        <v>Excavation work Completed. Plinth work completed, RCC upto 1 Slab Completed</v>
      </c>
      <c r="L56" s="46"/>
    </row>
    <row r="57" spans="1:12" customFormat="1">
      <c r="A57" s="40" t="s">
        <v>103</v>
      </c>
      <c r="B57" s="41">
        <v>0</v>
      </c>
      <c r="C57" s="41" t="s">
        <v>104</v>
      </c>
      <c r="D57" s="41">
        <v>2</v>
      </c>
      <c r="E57" s="160" t="s">
        <v>105</v>
      </c>
      <c r="F57" s="161"/>
      <c r="G57" s="41">
        <v>0</v>
      </c>
      <c r="H57" s="41" t="s">
        <v>106</v>
      </c>
      <c r="I57" s="160">
        <f ca="1">--TRIM(RIGHT(SUBSTITUTE(LEFT(C56,_xlfn.AGGREGATE(16,6,FIND({0,1,2,3,4,5,6,7,8,9},C56,ROW(INDIRECT("1:"&amp;LEN(C56)))),1))," ",REPT(" ",LEN(C56))),LEN(C56)))</f>
        <v>2</v>
      </c>
      <c r="J57" s="162"/>
      <c r="K57" s="47"/>
      <c r="L57" s="48"/>
    </row>
    <row r="58" spans="1:12" customFormat="1" ht="35.25" customHeight="1">
      <c r="A58" s="163" t="s">
        <v>107</v>
      </c>
      <c r="B58" s="164"/>
      <c r="C58" s="165" t="str">
        <f ca="1">K56</f>
        <v>Excavation work Completed. Plinth work completed, RCC upto 1 Slab Completed</v>
      </c>
      <c r="D58" s="166"/>
      <c r="E58" s="166"/>
      <c r="F58" s="166"/>
      <c r="G58" s="166"/>
      <c r="H58" s="166"/>
      <c r="I58" s="166"/>
      <c r="J58" s="167"/>
      <c r="K58" s="47" t="s">
        <v>108</v>
      </c>
      <c r="L58" s="48"/>
    </row>
    <row r="59" spans="1:12" customFormat="1" ht="15.75" customHeight="1">
      <c r="A59" s="168" t="s">
        <v>109</v>
      </c>
      <c r="B59" s="169"/>
      <c r="C59" s="42" t="s">
        <v>110</v>
      </c>
      <c r="D59" s="142" t="s">
        <v>111</v>
      </c>
      <c r="E59" s="142"/>
      <c r="F59" s="142" t="s">
        <v>112</v>
      </c>
      <c r="G59" s="142"/>
      <c r="H59" s="142" t="s">
        <v>113</v>
      </c>
      <c r="I59" s="142"/>
      <c r="J59" s="170"/>
      <c r="K59" s="49" t="s">
        <v>114</v>
      </c>
      <c r="L59" s="50">
        <f ca="1">I57*25%</f>
        <v>0.5</v>
      </c>
    </row>
    <row r="60" spans="1:12" customFormat="1" ht="15.75" customHeight="1">
      <c r="A60" s="141" t="s">
        <v>115</v>
      </c>
      <c r="B60" s="142"/>
      <c r="C60" s="43">
        <f ca="1">L61</f>
        <v>2</v>
      </c>
      <c r="D60" s="143">
        <f ca="1">((100/I57)*C60)/100</f>
        <v>1</v>
      </c>
      <c r="E60" s="144"/>
      <c r="F60" s="149">
        <f ca="1">(((C61/I57*10)+(40/(D57+G57+I57)*C62)+(7.5/(I57)*C63)+(7.5/(I57)*C64)+(10/I57*C65)+(10/I57*C66)+(5/I57*C67)+(5/I57*C68)+(5/I57*C69))/100)</f>
        <v>0.2</v>
      </c>
      <c r="G60" s="149"/>
      <c r="H60" s="151">
        <f ca="1">((((C60/I57)*20)+((C61/I57)*25)+(30/(I57+G57+D57)*C62)+(5/I57*C63)+(5/I57*C64)+(5/I57*C65)+(5/I57*C66)+(0/I57*C67)+(0/I57*C68)+(5/I57*C69))/100)</f>
        <v>0.52500000000000002</v>
      </c>
      <c r="I60" s="152"/>
      <c r="J60" s="153"/>
      <c r="K60" s="49" t="s">
        <v>116</v>
      </c>
      <c r="L60" s="51">
        <f ca="1">I57*50%</f>
        <v>1</v>
      </c>
    </row>
    <row r="61" spans="1:12" customFormat="1">
      <c r="A61" s="141" t="s">
        <v>117</v>
      </c>
      <c r="B61" s="142"/>
      <c r="C61" s="44">
        <f ca="1">L69</f>
        <v>2</v>
      </c>
      <c r="D61" s="143">
        <f ca="1">((100/I57)*C61)/100</f>
        <v>1</v>
      </c>
      <c r="E61" s="144"/>
      <c r="F61" s="149"/>
      <c r="G61" s="149"/>
      <c r="H61" s="154"/>
      <c r="I61" s="155"/>
      <c r="J61" s="156"/>
      <c r="K61" s="49" t="s">
        <v>118</v>
      </c>
      <c r="L61" s="51">
        <f ca="1">I57</f>
        <v>2</v>
      </c>
    </row>
    <row r="62" spans="1:12" customFormat="1" ht="15.75" customHeight="1">
      <c r="A62" s="141" t="s">
        <v>119</v>
      </c>
      <c r="B62" s="142"/>
      <c r="C62" s="44">
        <v>1</v>
      </c>
      <c r="D62" s="143">
        <f ca="1">((100/(D57+G57+I57))*C62)/100</f>
        <v>0.25</v>
      </c>
      <c r="E62" s="144"/>
      <c r="F62" s="149"/>
      <c r="G62" s="149"/>
      <c r="H62" s="154"/>
      <c r="I62" s="155"/>
      <c r="J62" s="156"/>
      <c r="K62" s="49" t="s">
        <v>120</v>
      </c>
      <c r="L62" s="52">
        <f ca="1">(IF(B57&gt;1,(I57/(B57+2)),I57/4))</f>
        <v>0.5</v>
      </c>
    </row>
    <row r="63" spans="1:12" customFormat="1" ht="15.75" customHeight="1">
      <c r="A63" s="141" t="s">
        <v>121</v>
      </c>
      <c r="B63" s="142" t="s">
        <v>122</v>
      </c>
      <c r="C63" s="43">
        <v>0</v>
      </c>
      <c r="D63" s="143">
        <f ca="1">((100/I57)*C63)/100</f>
        <v>0</v>
      </c>
      <c r="E63" s="144"/>
      <c r="F63" s="149"/>
      <c r="G63" s="149"/>
      <c r="H63" s="154"/>
      <c r="I63" s="155"/>
      <c r="J63" s="156"/>
      <c r="K63" s="49" t="s">
        <v>123</v>
      </c>
      <c r="L63" s="52">
        <f ca="1">(IF(B57&gt;1,(I57/(B57+2)+L62),I57/4+L62))</f>
        <v>1</v>
      </c>
    </row>
    <row r="64" spans="1:12" customFormat="1" ht="15.75" customHeight="1">
      <c r="A64" s="141" t="s">
        <v>124</v>
      </c>
      <c r="B64" s="142" t="s">
        <v>122</v>
      </c>
      <c r="C64" s="43">
        <v>0</v>
      </c>
      <c r="D64" s="143">
        <f ca="1">((100/I57)*C64)/100</f>
        <v>0</v>
      </c>
      <c r="E64" s="144"/>
      <c r="F64" s="149"/>
      <c r="G64" s="149"/>
      <c r="H64" s="154"/>
      <c r="I64" s="155"/>
      <c r="J64" s="156"/>
      <c r="K64" s="49" t="s">
        <v>125</v>
      </c>
      <c r="L64" s="52">
        <f>(IF(B57&gt;1,(I57/(B57+2)+L63),0))</f>
        <v>0</v>
      </c>
    </row>
    <row r="65" spans="1:12" customFormat="1" ht="15.75" customHeight="1">
      <c r="A65" s="141" t="s">
        <v>126</v>
      </c>
      <c r="B65" s="142" t="s">
        <v>127</v>
      </c>
      <c r="C65" s="43">
        <v>0</v>
      </c>
      <c r="D65" s="143">
        <f ca="1">((100/(I57))*C65)/100</f>
        <v>0</v>
      </c>
      <c r="E65" s="144"/>
      <c r="F65" s="149"/>
      <c r="G65" s="149"/>
      <c r="H65" s="154"/>
      <c r="I65" s="155"/>
      <c r="J65" s="156"/>
      <c r="K65" s="49" t="s">
        <v>128</v>
      </c>
      <c r="L65" s="52">
        <f>(IF(B57&gt;2,(I57/(B57+2)+L64),0))</f>
        <v>0</v>
      </c>
    </row>
    <row r="66" spans="1:12" customFormat="1" ht="15.75" customHeight="1">
      <c r="A66" s="141" t="s">
        <v>129</v>
      </c>
      <c r="B66" s="142" t="s">
        <v>129</v>
      </c>
      <c r="C66" s="43">
        <v>0</v>
      </c>
      <c r="D66" s="143">
        <f ca="1">((100/I57)*C66)/100</f>
        <v>0</v>
      </c>
      <c r="E66" s="144"/>
      <c r="F66" s="149"/>
      <c r="G66" s="149"/>
      <c r="H66" s="154"/>
      <c r="I66" s="155"/>
      <c r="J66" s="156"/>
      <c r="K66" s="49" t="s">
        <v>130</v>
      </c>
      <c r="L66" s="59">
        <f>(IF(B57&gt;3,(I57/(B57+2)+L65),0))</f>
        <v>0</v>
      </c>
    </row>
    <row r="67" spans="1:12" customFormat="1" ht="15.75" customHeight="1">
      <c r="A67" s="141" t="s">
        <v>131</v>
      </c>
      <c r="B67" s="142"/>
      <c r="C67" s="43">
        <v>0</v>
      </c>
      <c r="D67" s="143">
        <f ca="1">((100/I57)*C67)/100</f>
        <v>0</v>
      </c>
      <c r="E67" s="144"/>
      <c r="F67" s="149"/>
      <c r="G67" s="149"/>
      <c r="H67" s="154"/>
      <c r="I67" s="155"/>
      <c r="J67" s="156"/>
      <c r="K67" s="49" t="s">
        <v>132</v>
      </c>
      <c r="L67" s="52">
        <f>(IF(B57&gt;4,(I57/(B57+2)+L66),0))</f>
        <v>0</v>
      </c>
    </row>
    <row r="68" spans="1:12" customFormat="1" ht="15.75" customHeight="1">
      <c r="A68" s="141" t="s">
        <v>133</v>
      </c>
      <c r="B68" s="142" t="s">
        <v>133</v>
      </c>
      <c r="C68" s="43">
        <v>0</v>
      </c>
      <c r="D68" s="143">
        <f ca="1">((100/(I57))*C68)/100</f>
        <v>0</v>
      </c>
      <c r="E68" s="144"/>
      <c r="F68" s="149"/>
      <c r="G68" s="149"/>
      <c r="H68" s="154"/>
      <c r="I68" s="155"/>
      <c r="J68" s="156"/>
      <c r="K68" s="49" t="s">
        <v>134</v>
      </c>
      <c r="L68" s="52">
        <f ca="1">(IF(B57=1,(I57/(B57+3)+L63),IF(B57=0,(I57/4+L63),IF(B57&gt;1,0))))</f>
        <v>1.5</v>
      </c>
    </row>
    <row r="69" spans="1:12" customFormat="1" ht="16.5" customHeight="1">
      <c r="A69" s="145" t="s">
        <v>135</v>
      </c>
      <c r="B69" s="146"/>
      <c r="C69" s="53">
        <v>0</v>
      </c>
      <c r="D69" s="147">
        <f ca="1">((100/(I57))*C69)/100</f>
        <v>0</v>
      </c>
      <c r="E69" s="148"/>
      <c r="F69" s="150"/>
      <c r="G69" s="150"/>
      <c r="H69" s="157"/>
      <c r="I69" s="158"/>
      <c r="J69" s="159"/>
      <c r="K69" s="60" t="s">
        <v>136</v>
      </c>
      <c r="L69" s="61">
        <f ca="1">(IF(B57&gt;1.5,(I57/(B57+2)+L63+MAX(0,L64-L63)+MAX(0,L65-L64)+MAX(0,L66-L65)+MAX(0,L67-L66)+MAX(0,L68-L67)),IF(B57=1,(I57/(B57+3)+L68),IF(B57=0,I57/4+L68))))</f>
        <v>2</v>
      </c>
    </row>
    <row r="70" spans="1:12">
      <c r="A70" s="129" t="s">
        <v>137</v>
      </c>
      <c r="B70" s="130"/>
      <c r="C70" s="130"/>
      <c r="D70" s="130"/>
      <c r="E70" s="130"/>
      <c r="F70" s="130"/>
      <c r="G70" s="130"/>
      <c r="H70" s="130"/>
      <c r="I70" s="130"/>
      <c r="J70" s="131"/>
    </row>
    <row r="71" spans="1:12">
      <c r="A71" s="90" t="s">
        <v>138</v>
      </c>
      <c r="B71" s="91"/>
      <c r="C71" s="91"/>
      <c r="D71" s="91"/>
      <c r="E71" s="91"/>
      <c r="F71" s="91"/>
      <c r="G71" s="91"/>
      <c r="H71" s="91"/>
      <c r="I71" s="91"/>
      <c r="J71" s="92"/>
    </row>
    <row r="72" spans="1:12" ht="15" customHeight="1">
      <c r="A72" s="132" t="s">
        <v>139</v>
      </c>
      <c r="B72" s="133"/>
      <c r="C72" s="134" t="s">
        <v>140</v>
      </c>
      <c r="D72" s="135"/>
      <c r="E72" s="135"/>
      <c r="F72" s="135"/>
      <c r="G72" s="135"/>
      <c r="H72" s="135"/>
      <c r="I72" s="135"/>
      <c r="J72" s="136"/>
    </row>
    <row r="73" spans="1:12">
      <c r="A73" s="123" t="s">
        <v>141</v>
      </c>
      <c r="B73" s="124"/>
      <c r="C73" s="124"/>
      <c r="D73" s="124"/>
      <c r="E73" s="124"/>
      <c r="F73" s="124"/>
      <c r="G73" s="124"/>
      <c r="H73" s="124"/>
      <c r="I73" s="124"/>
      <c r="J73" s="125"/>
    </row>
    <row r="74" spans="1:12">
      <c r="A74" s="129" t="s">
        <v>142</v>
      </c>
      <c r="B74" s="130"/>
      <c r="C74" s="130"/>
      <c r="D74" s="130"/>
      <c r="E74" s="130"/>
      <c r="F74" s="131"/>
      <c r="G74" s="132">
        <v>12000</v>
      </c>
      <c r="H74" s="137"/>
      <c r="I74" s="137"/>
      <c r="J74" s="133"/>
    </row>
    <row r="75" spans="1:12">
      <c r="A75" s="129" t="s">
        <v>143</v>
      </c>
      <c r="B75" s="130"/>
      <c r="C75" s="130"/>
      <c r="D75" s="130"/>
      <c r="E75" s="130"/>
      <c r="F75" s="131"/>
      <c r="G75" s="138">
        <v>10000</v>
      </c>
      <c r="H75" s="139"/>
      <c r="I75" s="139"/>
      <c r="J75" s="140"/>
    </row>
    <row r="76" spans="1:12">
      <c r="A76" s="129" t="s">
        <v>144</v>
      </c>
      <c r="B76" s="130"/>
      <c r="C76" s="130"/>
      <c r="D76" s="130"/>
      <c r="E76" s="130"/>
      <c r="F76" s="131"/>
      <c r="G76" s="138">
        <v>8000</v>
      </c>
      <c r="H76" s="139"/>
      <c r="I76" s="139"/>
      <c r="J76" s="140"/>
    </row>
    <row r="77" spans="1:12">
      <c r="A77" s="129" t="s">
        <v>145</v>
      </c>
      <c r="B77" s="130"/>
      <c r="C77" s="130"/>
      <c r="D77" s="130"/>
      <c r="E77" s="130"/>
      <c r="F77" s="131"/>
      <c r="G77" s="138">
        <v>7000</v>
      </c>
      <c r="H77" s="139"/>
      <c r="I77" s="139"/>
      <c r="J77" s="140"/>
    </row>
    <row r="78" spans="1:12" ht="15.75" hidden="1" customHeight="1">
      <c r="A78" s="93" t="s">
        <v>146</v>
      </c>
      <c r="B78" s="94"/>
      <c r="C78" s="94"/>
      <c r="D78" s="94"/>
      <c r="E78" s="94"/>
      <c r="F78" s="95"/>
      <c r="G78" s="93" t="s">
        <v>55</v>
      </c>
      <c r="H78" s="94"/>
      <c r="I78" s="94"/>
      <c r="J78" s="95"/>
    </row>
    <row r="79" spans="1:12" hidden="1">
      <c r="A79" s="90" t="s">
        <v>147</v>
      </c>
      <c r="B79" s="91"/>
      <c r="C79" s="91"/>
      <c r="D79" s="91"/>
      <c r="E79" s="91"/>
      <c r="F79" s="92"/>
      <c r="G79" s="93" t="s">
        <v>55</v>
      </c>
      <c r="H79" s="94"/>
      <c r="I79" s="94"/>
      <c r="J79" s="95"/>
    </row>
    <row r="80" spans="1:12">
      <c r="A80" s="90" t="s">
        <v>148</v>
      </c>
      <c r="B80" s="91"/>
      <c r="C80" s="91"/>
      <c r="D80" s="91"/>
      <c r="E80" s="91"/>
      <c r="F80" s="92"/>
      <c r="G80" s="93" t="s">
        <v>149</v>
      </c>
      <c r="H80" s="94"/>
      <c r="I80" s="94"/>
      <c r="J80" s="95"/>
    </row>
    <row r="81" spans="1:12" hidden="1">
      <c r="A81" s="90" t="s">
        <v>150</v>
      </c>
      <c r="B81" s="91"/>
      <c r="C81" s="91"/>
      <c r="D81" s="91"/>
      <c r="E81" s="91"/>
      <c r="F81" s="92"/>
      <c r="G81" s="93" t="s">
        <v>55</v>
      </c>
      <c r="H81" s="94"/>
      <c r="I81" s="94"/>
      <c r="J81" s="95"/>
    </row>
    <row r="82" spans="1:12" s="33" customFormat="1" ht="14.65" customHeight="1">
      <c r="A82" s="123" t="s">
        <v>151</v>
      </c>
      <c r="B82" s="124"/>
      <c r="C82" s="124"/>
      <c r="D82" s="124"/>
      <c r="E82" s="124"/>
      <c r="F82" s="125"/>
      <c r="G82" s="90">
        <f>G74*0.8</f>
        <v>9600</v>
      </c>
      <c r="H82" s="91"/>
      <c r="I82" s="91"/>
      <c r="J82" s="92"/>
    </row>
    <row r="83" spans="1:12" s="34" customFormat="1" ht="15.75" customHeight="1">
      <c r="A83" s="126" t="s">
        <v>152</v>
      </c>
      <c r="B83" s="127"/>
      <c r="C83" s="127"/>
      <c r="D83" s="127"/>
      <c r="E83" s="127"/>
      <c r="F83" s="127"/>
      <c r="G83" s="127"/>
      <c r="H83" s="127"/>
      <c r="I83" s="127"/>
      <c r="J83" s="128"/>
    </row>
    <row r="84" spans="1:12" s="34" customFormat="1" ht="15.75" customHeight="1">
      <c r="A84" s="117" t="s">
        <v>153</v>
      </c>
      <c r="B84" s="118"/>
      <c r="C84" s="54" t="s">
        <v>154</v>
      </c>
      <c r="D84" s="119" t="s">
        <v>155</v>
      </c>
      <c r="E84" s="120"/>
      <c r="F84" s="121"/>
      <c r="G84" s="117" t="s">
        <v>156</v>
      </c>
      <c r="H84" s="122"/>
      <c r="I84" s="122"/>
      <c r="J84" s="118"/>
    </row>
    <row r="85" spans="1:12" s="34" customFormat="1">
      <c r="A85" s="109" t="s">
        <v>13</v>
      </c>
      <c r="B85" s="110"/>
      <c r="C85" s="55">
        <f>COUNT(D124:E134)</f>
        <v>11</v>
      </c>
      <c r="D85" s="111">
        <f>SUM(D124:E134)</f>
        <v>20069.693279999996</v>
      </c>
      <c r="E85" s="112"/>
      <c r="F85" s="113"/>
      <c r="G85" s="114">
        <f>SUM(G124:G134)</f>
        <v>30104.539919999999</v>
      </c>
      <c r="H85" s="115"/>
      <c r="I85" s="115"/>
      <c r="J85" s="116"/>
    </row>
    <row r="86" spans="1:12" s="34" customFormat="1" ht="15.75" customHeight="1">
      <c r="A86" s="117" t="s">
        <v>153</v>
      </c>
      <c r="B86" s="118"/>
      <c r="C86" s="54" t="s">
        <v>157</v>
      </c>
      <c r="D86" s="119" t="s">
        <v>155</v>
      </c>
      <c r="E86" s="120"/>
      <c r="F86" s="121"/>
      <c r="G86" s="117" t="s">
        <v>156</v>
      </c>
      <c r="H86" s="122"/>
      <c r="I86" s="122"/>
      <c r="J86" s="118"/>
      <c r="L86" s="62">
        <f>G85+G87+G89+G91</f>
        <v>130265.3088</v>
      </c>
    </row>
    <row r="87" spans="1:12" s="34" customFormat="1">
      <c r="A87" s="109" t="s">
        <v>13</v>
      </c>
      <c r="B87" s="110"/>
      <c r="C87" s="55">
        <f>COUNT(D97:E122)</f>
        <v>26</v>
      </c>
      <c r="D87" s="111">
        <f>SUM(D97:E122)</f>
        <v>10166.81328</v>
      </c>
      <c r="E87" s="112"/>
      <c r="F87" s="113"/>
      <c r="G87" s="114">
        <f>SUM(G97:G122)</f>
        <v>15250.219920000001</v>
      </c>
      <c r="H87" s="115"/>
      <c r="I87" s="115"/>
      <c r="J87" s="116"/>
      <c r="L87" s="62">
        <f>D85+D87+D89+D91</f>
        <v>86843.539199999999</v>
      </c>
    </row>
    <row r="88" spans="1:12" s="34" customFormat="1" ht="15.75" customHeight="1">
      <c r="A88" s="117" t="s">
        <v>153</v>
      </c>
      <c r="B88" s="118"/>
      <c r="C88" s="54" t="s">
        <v>158</v>
      </c>
      <c r="D88" s="119" t="s">
        <v>155</v>
      </c>
      <c r="E88" s="120"/>
      <c r="F88" s="121"/>
      <c r="G88" s="117" t="s">
        <v>156</v>
      </c>
      <c r="H88" s="122"/>
      <c r="I88" s="122"/>
      <c r="J88" s="118"/>
    </row>
    <row r="89" spans="1:12" s="34" customFormat="1" ht="15.75" customHeight="1">
      <c r="A89" s="109" t="s">
        <v>13</v>
      </c>
      <c r="B89" s="110"/>
      <c r="C89" s="55">
        <f>COUNT(D138:E140)+COUNT(D144:E146)</f>
        <v>6</v>
      </c>
      <c r="D89" s="111">
        <f>SUM(D138:E140)+SUM(D144:E146)</f>
        <v>6875.1820799999987</v>
      </c>
      <c r="E89" s="112"/>
      <c r="F89" s="113"/>
      <c r="G89" s="114">
        <f>SUM(G138:G140)+SUM(G144:G146)</f>
        <v>10312.77312</v>
      </c>
      <c r="H89" s="115"/>
      <c r="I89" s="115"/>
      <c r="J89" s="116"/>
    </row>
    <row r="90" spans="1:12" s="34" customFormat="1" ht="15.75" customHeight="1">
      <c r="A90" s="117" t="s">
        <v>153</v>
      </c>
      <c r="B90" s="118"/>
      <c r="C90" s="54" t="s">
        <v>159</v>
      </c>
      <c r="D90" s="119" t="s">
        <v>155</v>
      </c>
      <c r="E90" s="120"/>
      <c r="F90" s="121"/>
      <c r="G90" s="117" t="s">
        <v>156</v>
      </c>
      <c r="H90" s="122"/>
      <c r="I90" s="122"/>
      <c r="J90" s="118"/>
    </row>
    <row r="91" spans="1:12" s="34" customFormat="1" ht="15.75" customHeight="1">
      <c r="A91" s="109" t="s">
        <v>13</v>
      </c>
      <c r="B91" s="110"/>
      <c r="C91" s="55">
        <f>COUNT(D136:E137)+COUNT(D142:E143)</f>
        <v>4</v>
      </c>
      <c r="D91" s="111">
        <f>SUM(D136:E137)+SUM(D142:E143)</f>
        <v>49731.850559999999</v>
      </c>
      <c r="E91" s="112"/>
      <c r="F91" s="113"/>
      <c r="G91" s="114">
        <f>SUM(G136:G137)+SUM(G142:G143)</f>
        <v>74597.775840000002</v>
      </c>
      <c r="H91" s="115"/>
      <c r="I91" s="115"/>
      <c r="J91" s="116"/>
    </row>
    <row r="92" spans="1:12" s="33" customFormat="1">
      <c r="A92" s="104" t="s">
        <v>160</v>
      </c>
      <c r="B92" s="105"/>
      <c r="C92" s="105"/>
      <c r="D92" s="105"/>
      <c r="E92" s="105"/>
      <c r="F92" s="105"/>
      <c r="G92" s="105"/>
      <c r="H92" s="105"/>
      <c r="I92" s="105"/>
      <c r="J92" s="106"/>
    </row>
    <row r="93" spans="1:12">
      <c r="A93" s="104" t="s">
        <v>161</v>
      </c>
      <c r="B93" s="105"/>
      <c r="C93" s="105"/>
      <c r="D93" s="105"/>
      <c r="E93" s="105"/>
      <c r="F93" s="105"/>
      <c r="G93" s="105"/>
      <c r="H93" s="105"/>
      <c r="I93" s="105"/>
      <c r="J93" s="106"/>
    </row>
    <row r="94" spans="1:12" ht="42.75">
      <c r="A94" s="107" t="s">
        <v>162</v>
      </c>
      <c r="B94" s="108"/>
      <c r="C94" s="56" t="s">
        <v>163</v>
      </c>
      <c r="D94" s="107" t="s">
        <v>164</v>
      </c>
      <c r="E94" s="108"/>
      <c r="F94" s="57" t="s">
        <v>165</v>
      </c>
      <c r="G94" s="56" t="s">
        <v>166</v>
      </c>
      <c r="H94" s="56" t="s">
        <v>167</v>
      </c>
      <c r="I94" s="107" t="s">
        <v>168</v>
      </c>
      <c r="J94" s="108"/>
    </row>
    <row r="95" spans="1:12" s="35" customFormat="1">
      <c r="A95" s="101" t="s">
        <v>13</v>
      </c>
      <c r="B95" s="102"/>
      <c r="C95" s="102"/>
      <c r="D95" s="102"/>
      <c r="E95" s="102"/>
      <c r="F95" s="102"/>
      <c r="G95" s="102"/>
      <c r="H95" s="102"/>
      <c r="I95" s="102"/>
      <c r="J95" s="103"/>
    </row>
    <row r="96" spans="1:12" s="35" customFormat="1">
      <c r="A96" s="101" t="s">
        <v>169</v>
      </c>
      <c r="B96" s="102"/>
      <c r="C96" s="102"/>
      <c r="D96" s="102"/>
      <c r="E96" s="102"/>
      <c r="F96" s="102"/>
      <c r="G96" s="102"/>
      <c r="H96" s="102"/>
      <c r="I96" s="102"/>
      <c r="J96" s="103"/>
    </row>
    <row r="97" spans="1:12" s="35" customFormat="1">
      <c r="A97" s="98">
        <v>1</v>
      </c>
      <c r="B97" s="99"/>
      <c r="C97" s="58" t="s">
        <v>170</v>
      </c>
      <c r="D97" s="98">
        <f>'Flat detail'!I6*10.764</f>
        <v>404.72640000000001</v>
      </c>
      <c r="E97" s="99"/>
      <c r="F97" s="58">
        <v>0</v>
      </c>
      <c r="G97" s="58">
        <f>D97*1.5+F97</f>
        <v>607.08960000000002</v>
      </c>
      <c r="H97" s="58" t="s">
        <v>171</v>
      </c>
      <c r="I97" s="80" t="s">
        <v>172</v>
      </c>
      <c r="J97" s="81"/>
      <c r="L97" s="63"/>
    </row>
    <row r="98" spans="1:12" s="35" customFormat="1">
      <c r="A98" s="98">
        <v>2</v>
      </c>
      <c r="B98" s="99"/>
      <c r="C98" s="58" t="s">
        <v>170</v>
      </c>
      <c r="D98" s="98">
        <f>'Flat detail'!I7*10.764</f>
        <v>425.39327999999995</v>
      </c>
      <c r="E98" s="99"/>
      <c r="F98" s="58">
        <v>0</v>
      </c>
      <c r="G98" s="58">
        <f t="shared" ref="G98:G122" si="0">D98*1.5+F98</f>
        <v>638.08991999999989</v>
      </c>
      <c r="H98" s="58" t="s">
        <v>171</v>
      </c>
      <c r="I98" s="82"/>
      <c r="J98" s="83"/>
    </row>
    <row r="99" spans="1:12" s="35" customFormat="1">
      <c r="A99" s="98">
        <v>3</v>
      </c>
      <c r="B99" s="99"/>
      <c r="C99" s="58" t="s">
        <v>170</v>
      </c>
      <c r="D99" s="98">
        <f>'Flat detail'!I8*10.764</f>
        <v>318.61439999999999</v>
      </c>
      <c r="E99" s="99"/>
      <c r="F99" s="58">
        <v>0</v>
      </c>
      <c r="G99" s="58">
        <f t="shared" si="0"/>
        <v>477.92160000000001</v>
      </c>
      <c r="H99" s="58" t="s">
        <v>171</v>
      </c>
      <c r="I99" s="82"/>
      <c r="J99" s="83"/>
    </row>
    <row r="100" spans="1:12" s="35" customFormat="1">
      <c r="A100" s="98">
        <v>4</v>
      </c>
      <c r="B100" s="99"/>
      <c r="C100" s="58" t="s">
        <v>170</v>
      </c>
      <c r="D100" s="98">
        <f>'Flat detail'!I9*10.764</f>
        <v>344.44799999999998</v>
      </c>
      <c r="E100" s="99"/>
      <c r="F100" s="58">
        <v>0</v>
      </c>
      <c r="G100" s="58">
        <f t="shared" si="0"/>
        <v>516.67200000000003</v>
      </c>
      <c r="H100" s="58" t="s">
        <v>171</v>
      </c>
      <c r="I100" s="82"/>
      <c r="J100" s="83"/>
    </row>
    <row r="101" spans="1:12" s="35" customFormat="1">
      <c r="A101" s="98">
        <v>5</v>
      </c>
      <c r="B101" s="99"/>
      <c r="C101" s="58" t="s">
        <v>170</v>
      </c>
      <c r="D101" s="98">
        <f>'Flat detail'!I10*10.764</f>
        <v>378.89280000000002</v>
      </c>
      <c r="E101" s="99"/>
      <c r="F101" s="58">
        <v>0</v>
      </c>
      <c r="G101" s="58">
        <f t="shared" si="0"/>
        <v>568.33920000000001</v>
      </c>
      <c r="H101" s="58" t="s">
        <v>171</v>
      </c>
      <c r="I101" s="82"/>
      <c r="J101" s="83"/>
    </row>
    <row r="102" spans="1:12" s="35" customFormat="1">
      <c r="A102" s="98">
        <v>6</v>
      </c>
      <c r="B102" s="99"/>
      <c r="C102" s="58" t="s">
        <v>170</v>
      </c>
      <c r="D102" s="98">
        <f>'Flat detail'!I11*10.764</f>
        <v>376.30943999999994</v>
      </c>
      <c r="E102" s="99"/>
      <c r="F102" s="58">
        <v>0</v>
      </c>
      <c r="G102" s="58">
        <f t="shared" si="0"/>
        <v>564.46415999999988</v>
      </c>
      <c r="H102" s="58" t="s">
        <v>171</v>
      </c>
      <c r="I102" s="82"/>
      <c r="J102" s="83"/>
    </row>
    <row r="103" spans="1:12" s="35" customFormat="1">
      <c r="A103" s="98">
        <v>7</v>
      </c>
      <c r="B103" s="99"/>
      <c r="C103" s="58" t="s">
        <v>170</v>
      </c>
      <c r="D103" s="98">
        <f>'Flat detail'!I12*10.764</f>
        <v>400.85136</v>
      </c>
      <c r="E103" s="99"/>
      <c r="F103" s="58">
        <v>0</v>
      </c>
      <c r="G103" s="58">
        <f t="shared" si="0"/>
        <v>601.27703999999994</v>
      </c>
      <c r="H103" s="58" t="s">
        <v>171</v>
      </c>
      <c r="I103" s="82"/>
      <c r="J103" s="83"/>
    </row>
    <row r="104" spans="1:12" s="35" customFormat="1">
      <c r="A104" s="98">
        <v>8</v>
      </c>
      <c r="B104" s="99"/>
      <c r="C104" s="58" t="s">
        <v>170</v>
      </c>
      <c r="D104" s="98">
        <f>'Flat detail'!I13*10.764</f>
        <v>409.03199999999998</v>
      </c>
      <c r="E104" s="99"/>
      <c r="F104" s="58">
        <v>0</v>
      </c>
      <c r="G104" s="58">
        <f t="shared" si="0"/>
        <v>613.548</v>
      </c>
      <c r="H104" s="58" t="s">
        <v>171</v>
      </c>
      <c r="I104" s="82"/>
      <c r="J104" s="83"/>
    </row>
    <row r="105" spans="1:12" s="35" customFormat="1">
      <c r="A105" s="98">
        <v>9</v>
      </c>
      <c r="B105" s="99"/>
      <c r="C105" s="58" t="s">
        <v>170</v>
      </c>
      <c r="D105" s="98">
        <f>'Flat detail'!I14*10.764</f>
        <v>417.21263999999996</v>
      </c>
      <c r="E105" s="99"/>
      <c r="F105" s="58">
        <v>0</v>
      </c>
      <c r="G105" s="58">
        <f t="shared" si="0"/>
        <v>625.81895999999995</v>
      </c>
      <c r="H105" s="58" t="s">
        <v>171</v>
      </c>
      <c r="I105" s="82"/>
      <c r="J105" s="83"/>
    </row>
    <row r="106" spans="1:12" s="35" customFormat="1">
      <c r="A106" s="98">
        <v>10</v>
      </c>
      <c r="B106" s="99"/>
      <c r="C106" s="58" t="s">
        <v>170</v>
      </c>
      <c r="D106" s="98">
        <f>'Flat detail'!I15*10.764</f>
        <v>433.57391999999993</v>
      </c>
      <c r="E106" s="99"/>
      <c r="F106" s="58">
        <v>0</v>
      </c>
      <c r="G106" s="58">
        <f t="shared" si="0"/>
        <v>650.36087999999995</v>
      </c>
      <c r="H106" s="58" t="s">
        <v>171</v>
      </c>
      <c r="I106" s="82"/>
      <c r="J106" s="83"/>
    </row>
    <row r="107" spans="1:12" s="35" customFormat="1">
      <c r="A107" s="98">
        <v>11</v>
      </c>
      <c r="B107" s="99"/>
      <c r="C107" s="58" t="s">
        <v>170</v>
      </c>
      <c r="D107" s="98">
        <f>'Flat detail'!I16*10.764</f>
        <v>441.75455999999997</v>
      </c>
      <c r="E107" s="99"/>
      <c r="F107" s="58">
        <v>0</v>
      </c>
      <c r="G107" s="58">
        <f t="shared" si="0"/>
        <v>662.63184000000001</v>
      </c>
      <c r="H107" s="58" t="s">
        <v>171</v>
      </c>
      <c r="I107" s="82"/>
      <c r="J107" s="83"/>
    </row>
    <row r="108" spans="1:12" s="35" customFormat="1">
      <c r="A108" s="98">
        <v>12</v>
      </c>
      <c r="B108" s="99"/>
      <c r="C108" s="58" t="s">
        <v>170</v>
      </c>
      <c r="D108" s="98">
        <f>'Flat detail'!I17*10.764</f>
        <v>449.93519999999995</v>
      </c>
      <c r="E108" s="99"/>
      <c r="F108" s="58">
        <v>0</v>
      </c>
      <c r="G108" s="58">
        <f t="shared" si="0"/>
        <v>674.90279999999996</v>
      </c>
      <c r="H108" s="58" t="s">
        <v>171</v>
      </c>
      <c r="I108" s="82"/>
      <c r="J108" s="83"/>
    </row>
    <row r="109" spans="1:12" s="35" customFormat="1">
      <c r="A109" s="98">
        <v>13</v>
      </c>
      <c r="B109" s="99"/>
      <c r="C109" s="58" t="s">
        <v>170</v>
      </c>
      <c r="D109" s="98">
        <f>'Flat detail'!I18*10.764</f>
        <v>449.93519999999995</v>
      </c>
      <c r="E109" s="99"/>
      <c r="F109" s="58">
        <v>0</v>
      </c>
      <c r="G109" s="58">
        <f t="shared" si="0"/>
        <v>674.90279999999996</v>
      </c>
      <c r="H109" s="58" t="s">
        <v>171</v>
      </c>
      <c r="I109" s="82"/>
      <c r="J109" s="83"/>
    </row>
    <row r="110" spans="1:12" s="35" customFormat="1">
      <c r="A110" s="98">
        <v>14</v>
      </c>
      <c r="B110" s="99"/>
      <c r="C110" s="58" t="s">
        <v>170</v>
      </c>
      <c r="D110" s="98">
        <f>'Flat detail'!I19*10.764</f>
        <v>449.93519999999995</v>
      </c>
      <c r="E110" s="99"/>
      <c r="F110" s="58">
        <v>0</v>
      </c>
      <c r="G110" s="58">
        <f t="shared" si="0"/>
        <v>674.90279999999996</v>
      </c>
      <c r="H110" s="58" t="s">
        <v>171</v>
      </c>
      <c r="I110" s="82"/>
      <c r="J110" s="83"/>
    </row>
    <row r="111" spans="1:12" s="35" customFormat="1">
      <c r="A111" s="98">
        <v>15</v>
      </c>
      <c r="B111" s="99"/>
      <c r="C111" s="58" t="s">
        <v>170</v>
      </c>
      <c r="D111" s="98">
        <f>'Flat detail'!I20*10.764</f>
        <v>449.93519999999995</v>
      </c>
      <c r="E111" s="99"/>
      <c r="F111" s="58">
        <v>0</v>
      </c>
      <c r="G111" s="58">
        <f t="shared" si="0"/>
        <v>674.90279999999996</v>
      </c>
      <c r="H111" s="58" t="s">
        <v>171</v>
      </c>
      <c r="I111" s="82"/>
      <c r="J111" s="83"/>
    </row>
    <row r="112" spans="1:12" s="35" customFormat="1">
      <c r="A112" s="98">
        <v>16</v>
      </c>
      <c r="B112" s="99"/>
      <c r="C112" s="58" t="s">
        <v>170</v>
      </c>
      <c r="D112" s="98">
        <f>'Flat detail'!I21*10.764</f>
        <v>449.93519999999995</v>
      </c>
      <c r="E112" s="99"/>
      <c r="F112" s="58">
        <v>0</v>
      </c>
      <c r="G112" s="58">
        <f t="shared" si="0"/>
        <v>674.90279999999996</v>
      </c>
      <c r="H112" s="58" t="s">
        <v>171</v>
      </c>
      <c r="I112" s="82"/>
      <c r="J112" s="83"/>
    </row>
    <row r="113" spans="1:11" s="35" customFormat="1">
      <c r="A113" s="98">
        <v>17</v>
      </c>
      <c r="B113" s="99"/>
      <c r="C113" s="58" t="s">
        <v>170</v>
      </c>
      <c r="D113" s="98">
        <f>'Flat detail'!I22*10.764</f>
        <v>441.75455999999997</v>
      </c>
      <c r="E113" s="99"/>
      <c r="F113" s="58">
        <v>0</v>
      </c>
      <c r="G113" s="58">
        <f t="shared" si="0"/>
        <v>662.63184000000001</v>
      </c>
      <c r="H113" s="58" t="s">
        <v>171</v>
      </c>
      <c r="I113" s="82"/>
      <c r="J113" s="83"/>
    </row>
    <row r="114" spans="1:11" s="35" customFormat="1">
      <c r="A114" s="98">
        <v>18</v>
      </c>
      <c r="B114" s="99"/>
      <c r="C114" s="58" t="s">
        <v>170</v>
      </c>
      <c r="D114" s="98">
        <f>'Flat detail'!I23*10.764</f>
        <v>425.39327999999995</v>
      </c>
      <c r="E114" s="99"/>
      <c r="F114" s="58">
        <v>0</v>
      </c>
      <c r="G114" s="58">
        <f t="shared" si="0"/>
        <v>638.08991999999989</v>
      </c>
      <c r="H114" s="58" t="s">
        <v>171</v>
      </c>
      <c r="I114" s="82"/>
      <c r="J114" s="83"/>
    </row>
    <row r="115" spans="1:11" s="35" customFormat="1">
      <c r="A115" s="98">
        <v>19</v>
      </c>
      <c r="B115" s="99"/>
      <c r="C115" s="58" t="s">
        <v>170</v>
      </c>
      <c r="D115" s="98">
        <f>'Flat detail'!I24*10.764</f>
        <v>409.03199999999998</v>
      </c>
      <c r="E115" s="99"/>
      <c r="F115" s="58">
        <v>0</v>
      </c>
      <c r="G115" s="58">
        <f t="shared" si="0"/>
        <v>613.548</v>
      </c>
      <c r="H115" s="58" t="s">
        <v>171</v>
      </c>
      <c r="I115" s="82"/>
      <c r="J115" s="83"/>
    </row>
    <row r="116" spans="1:11" s="35" customFormat="1">
      <c r="A116" s="98">
        <v>20</v>
      </c>
      <c r="B116" s="99"/>
      <c r="C116" s="58" t="s">
        <v>170</v>
      </c>
      <c r="D116" s="98">
        <f>'Flat detail'!I25*10.764</f>
        <v>413.33759999999995</v>
      </c>
      <c r="E116" s="99"/>
      <c r="F116" s="58">
        <v>0</v>
      </c>
      <c r="G116" s="58">
        <f t="shared" si="0"/>
        <v>620.00639999999999</v>
      </c>
      <c r="H116" s="58" t="s">
        <v>171</v>
      </c>
      <c r="I116" s="82"/>
      <c r="J116" s="83"/>
    </row>
    <row r="117" spans="1:11" s="35" customFormat="1">
      <c r="A117" s="98">
        <v>21</v>
      </c>
      <c r="B117" s="99"/>
      <c r="C117" s="58" t="s">
        <v>170</v>
      </c>
      <c r="D117" s="98">
        <f>'Flat detail'!I26*10.764</f>
        <v>396.11519999999996</v>
      </c>
      <c r="E117" s="99"/>
      <c r="F117" s="58">
        <v>0</v>
      </c>
      <c r="G117" s="58">
        <f t="shared" si="0"/>
        <v>594.17279999999994</v>
      </c>
      <c r="H117" s="58" t="s">
        <v>171</v>
      </c>
      <c r="I117" s="82"/>
      <c r="J117" s="83"/>
    </row>
    <row r="118" spans="1:11" s="35" customFormat="1">
      <c r="A118" s="98">
        <v>22</v>
      </c>
      <c r="B118" s="99"/>
      <c r="C118" s="58" t="s">
        <v>170</v>
      </c>
      <c r="D118" s="98">
        <f>'Flat detail'!I27*10.764</f>
        <v>359.94815999999997</v>
      </c>
      <c r="E118" s="99"/>
      <c r="F118" s="58">
        <v>0</v>
      </c>
      <c r="G118" s="58">
        <f t="shared" si="0"/>
        <v>539.92223999999999</v>
      </c>
      <c r="H118" s="58" t="s">
        <v>171</v>
      </c>
      <c r="I118" s="82"/>
      <c r="J118" s="83"/>
    </row>
    <row r="119" spans="1:11" s="35" customFormat="1">
      <c r="A119" s="98">
        <v>23</v>
      </c>
      <c r="B119" s="99"/>
      <c r="C119" s="58" t="s">
        <v>170</v>
      </c>
      <c r="D119" s="98">
        <f>'Flat detail'!I28*10.764</f>
        <v>327.22559999999999</v>
      </c>
      <c r="E119" s="99"/>
      <c r="F119" s="58">
        <v>0</v>
      </c>
      <c r="G119" s="58">
        <f t="shared" si="0"/>
        <v>490.83839999999998</v>
      </c>
      <c r="H119" s="58" t="s">
        <v>171</v>
      </c>
      <c r="I119" s="82"/>
      <c r="J119" s="83"/>
    </row>
    <row r="120" spans="1:11" s="35" customFormat="1">
      <c r="A120" s="98">
        <v>24</v>
      </c>
      <c r="B120" s="99"/>
      <c r="C120" s="58" t="s">
        <v>170</v>
      </c>
      <c r="D120" s="98">
        <f>'Flat detail'!I29*10.764</f>
        <v>302.68367999999998</v>
      </c>
      <c r="E120" s="99"/>
      <c r="F120" s="58">
        <v>0</v>
      </c>
      <c r="G120" s="58">
        <f t="shared" si="0"/>
        <v>454.02551999999997</v>
      </c>
      <c r="H120" s="58" t="s">
        <v>171</v>
      </c>
      <c r="I120" s="82"/>
      <c r="J120" s="83"/>
    </row>
    <row r="121" spans="1:11" s="35" customFormat="1">
      <c r="A121" s="98">
        <v>25</v>
      </c>
      <c r="B121" s="99"/>
      <c r="C121" s="58" t="s">
        <v>170</v>
      </c>
      <c r="D121" s="98">
        <f>'Flat detail'!I30*10.764</f>
        <v>261.78048000000001</v>
      </c>
      <c r="E121" s="99"/>
      <c r="F121" s="58">
        <v>0</v>
      </c>
      <c r="G121" s="58">
        <f t="shared" si="0"/>
        <v>392.67072000000002</v>
      </c>
      <c r="H121" s="58" t="s">
        <v>171</v>
      </c>
      <c r="I121" s="82"/>
      <c r="J121" s="83"/>
    </row>
    <row r="122" spans="1:11" s="35" customFormat="1">
      <c r="A122" s="98">
        <v>26</v>
      </c>
      <c r="B122" s="99"/>
      <c r="C122" s="58" t="s">
        <v>170</v>
      </c>
      <c r="D122" s="98">
        <f>'Flat detail'!I31*10.764</f>
        <v>229.05791999999997</v>
      </c>
      <c r="E122" s="99"/>
      <c r="F122" s="58">
        <v>0</v>
      </c>
      <c r="G122" s="58">
        <f t="shared" si="0"/>
        <v>343.58687999999995</v>
      </c>
      <c r="H122" s="58" t="s">
        <v>171</v>
      </c>
      <c r="I122" s="84"/>
      <c r="J122" s="85"/>
    </row>
    <row r="123" spans="1:11" s="35" customFormat="1">
      <c r="A123" s="101" t="s">
        <v>173</v>
      </c>
      <c r="B123" s="102"/>
      <c r="C123" s="102"/>
      <c r="D123" s="102"/>
      <c r="E123" s="102"/>
      <c r="F123" s="102"/>
      <c r="G123" s="102"/>
      <c r="H123" s="102"/>
      <c r="I123" s="102"/>
      <c r="J123" s="103"/>
    </row>
    <row r="124" spans="1:11" s="35" customFormat="1">
      <c r="A124" s="98">
        <v>1</v>
      </c>
      <c r="B124" s="99"/>
      <c r="C124" s="58" t="s">
        <v>174</v>
      </c>
      <c r="D124" s="98">
        <f>'Flat detail'!E6*10.764</f>
        <v>1712.7676799999997</v>
      </c>
      <c r="E124" s="99"/>
      <c r="F124" s="58">
        <v>0</v>
      </c>
      <c r="G124" s="58">
        <f>D124*1.5+F124</f>
        <v>2569.1515199999994</v>
      </c>
      <c r="H124" s="58" t="s">
        <v>171</v>
      </c>
      <c r="I124" s="80" t="s">
        <v>175</v>
      </c>
      <c r="J124" s="81"/>
    </row>
    <row r="125" spans="1:11" s="35" customFormat="1">
      <c r="A125" s="98">
        <v>2</v>
      </c>
      <c r="B125" s="99"/>
      <c r="C125" s="58" t="s">
        <v>174</v>
      </c>
      <c r="D125" s="98">
        <f>'Flat detail'!E7*10.764</f>
        <v>1750.6569599999998</v>
      </c>
      <c r="E125" s="99"/>
      <c r="F125" s="58">
        <v>0</v>
      </c>
      <c r="G125" s="58">
        <f t="shared" ref="G125:G134" si="1">D125*1.5+F125</f>
        <v>2625.9854399999995</v>
      </c>
      <c r="H125" s="58" t="s">
        <v>171</v>
      </c>
      <c r="I125" s="82"/>
      <c r="J125" s="83"/>
      <c r="K125" s="63"/>
    </row>
    <row r="126" spans="1:11" s="35" customFormat="1">
      <c r="A126" s="98">
        <v>3</v>
      </c>
      <c r="B126" s="99"/>
      <c r="C126" s="58" t="s">
        <v>174</v>
      </c>
      <c r="D126" s="98">
        <f>'Flat detail'!E8*10.764</f>
        <v>1750.6569599999998</v>
      </c>
      <c r="E126" s="99"/>
      <c r="F126" s="58">
        <v>0</v>
      </c>
      <c r="G126" s="58">
        <f t="shared" si="1"/>
        <v>2625.9854399999995</v>
      </c>
      <c r="H126" s="58" t="s">
        <v>171</v>
      </c>
      <c r="I126" s="82"/>
      <c r="J126" s="83"/>
    </row>
    <row r="127" spans="1:11" s="35" customFormat="1">
      <c r="A127" s="98">
        <v>4</v>
      </c>
      <c r="B127" s="99"/>
      <c r="C127" s="58" t="s">
        <v>174</v>
      </c>
      <c r="D127" s="98">
        <f>'Flat detail'!E9*10.764</f>
        <v>1880.6860799999999</v>
      </c>
      <c r="E127" s="99"/>
      <c r="F127" s="58">
        <v>0</v>
      </c>
      <c r="G127" s="58">
        <f t="shared" si="1"/>
        <v>2821.0291200000001</v>
      </c>
      <c r="H127" s="58" t="s">
        <v>171</v>
      </c>
      <c r="I127" s="82"/>
      <c r="J127" s="83"/>
    </row>
    <row r="128" spans="1:11" s="35" customFormat="1">
      <c r="A128" s="98">
        <v>5</v>
      </c>
      <c r="B128" s="99"/>
      <c r="C128" s="58" t="s">
        <v>174</v>
      </c>
      <c r="D128" s="98">
        <f>'Flat detail'!E10*10.764</f>
        <v>1931.0616</v>
      </c>
      <c r="E128" s="99"/>
      <c r="F128" s="58">
        <v>0</v>
      </c>
      <c r="G128" s="58">
        <f t="shared" si="1"/>
        <v>2896.5924</v>
      </c>
      <c r="H128" s="58" t="s">
        <v>171</v>
      </c>
      <c r="I128" s="82"/>
      <c r="J128" s="83"/>
    </row>
    <row r="129" spans="1:10" s="35" customFormat="1">
      <c r="A129" s="98">
        <v>6</v>
      </c>
      <c r="B129" s="99"/>
      <c r="C129" s="58" t="s">
        <v>174</v>
      </c>
      <c r="D129" s="98">
        <f>'Flat detail'!E11*10.764</f>
        <v>1947.8534399999996</v>
      </c>
      <c r="E129" s="99"/>
      <c r="F129" s="58">
        <v>0</v>
      </c>
      <c r="G129" s="58">
        <f t="shared" si="1"/>
        <v>2921.7801599999993</v>
      </c>
      <c r="H129" s="58" t="s">
        <v>171</v>
      </c>
      <c r="I129" s="82"/>
      <c r="J129" s="83"/>
    </row>
    <row r="130" spans="1:10" s="35" customFormat="1">
      <c r="A130" s="98">
        <v>7</v>
      </c>
      <c r="B130" s="99"/>
      <c r="C130" s="58" t="s">
        <v>174</v>
      </c>
      <c r="D130" s="98">
        <f>'Flat detail'!E12*10.764</f>
        <v>1897.9084799999998</v>
      </c>
      <c r="E130" s="99"/>
      <c r="F130" s="58">
        <v>0</v>
      </c>
      <c r="G130" s="58">
        <f t="shared" si="1"/>
        <v>2846.8627199999996</v>
      </c>
      <c r="H130" s="58" t="s">
        <v>171</v>
      </c>
      <c r="I130" s="82"/>
      <c r="J130" s="83"/>
    </row>
    <row r="131" spans="1:10" s="35" customFormat="1">
      <c r="A131" s="98">
        <v>8</v>
      </c>
      <c r="B131" s="99"/>
      <c r="C131" s="58" t="s">
        <v>174</v>
      </c>
      <c r="D131" s="98">
        <f>'Flat detail'!E13*10.764</f>
        <v>1881.5471999999997</v>
      </c>
      <c r="E131" s="99"/>
      <c r="F131" s="58">
        <v>0</v>
      </c>
      <c r="G131" s="58">
        <f t="shared" si="1"/>
        <v>2822.3207999999995</v>
      </c>
      <c r="H131" s="58" t="s">
        <v>171</v>
      </c>
      <c r="I131" s="82"/>
      <c r="J131" s="83"/>
    </row>
    <row r="132" spans="1:10" s="35" customFormat="1">
      <c r="A132" s="98">
        <v>9</v>
      </c>
      <c r="B132" s="99"/>
      <c r="C132" s="58" t="s">
        <v>174</v>
      </c>
      <c r="D132" s="98">
        <f>'Flat detail'!E14*10.764</f>
        <v>1880.6860799999999</v>
      </c>
      <c r="E132" s="99"/>
      <c r="F132" s="58">
        <v>0</v>
      </c>
      <c r="G132" s="58">
        <f t="shared" si="1"/>
        <v>2821.0291200000001</v>
      </c>
      <c r="H132" s="58" t="s">
        <v>171</v>
      </c>
      <c r="I132" s="82"/>
      <c r="J132" s="83"/>
    </row>
    <row r="133" spans="1:10" s="35" customFormat="1">
      <c r="A133" s="98">
        <v>10</v>
      </c>
      <c r="B133" s="99"/>
      <c r="C133" s="58" t="s">
        <v>174</v>
      </c>
      <c r="D133" s="98">
        <f>'Flat detail'!E15*10.764</f>
        <v>1767.0182399999999</v>
      </c>
      <c r="E133" s="99"/>
      <c r="F133" s="58">
        <v>0</v>
      </c>
      <c r="G133" s="58">
        <f t="shared" si="1"/>
        <v>2650.52736</v>
      </c>
      <c r="H133" s="58" t="s">
        <v>171</v>
      </c>
      <c r="I133" s="82"/>
      <c r="J133" s="83"/>
    </row>
    <row r="134" spans="1:10" s="35" customFormat="1">
      <c r="A134" s="98">
        <v>11</v>
      </c>
      <c r="B134" s="99"/>
      <c r="C134" s="58" t="s">
        <v>174</v>
      </c>
      <c r="D134" s="98">
        <f>'Flat detail'!E16*10.764</f>
        <v>1668.8505599999999</v>
      </c>
      <c r="E134" s="99"/>
      <c r="F134" s="58">
        <v>0</v>
      </c>
      <c r="G134" s="58">
        <f t="shared" si="1"/>
        <v>2503.2758399999998</v>
      </c>
      <c r="H134" s="58" t="s">
        <v>171</v>
      </c>
      <c r="I134" s="84"/>
      <c r="J134" s="85"/>
    </row>
    <row r="135" spans="1:10" s="35" customFormat="1">
      <c r="A135" s="101" t="s">
        <v>176</v>
      </c>
      <c r="B135" s="102"/>
      <c r="C135" s="102"/>
      <c r="D135" s="102"/>
      <c r="E135" s="102"/>
      <c r="F135" s="102"/>
      <c r="G135" s="102"/>
      <c r="H135" s="102"/>
      <c r="I135" s="102"/>
      <c r="J135" s="103"/>
    </row>
    <row r="136" spans="1:10" s="35" customFormat="1" ht="31.5">
      <c r="A136" s="98">
        <v>1</v>
      </c>
      <c r="B136" s="99"/>
      <c r="C136" s="58" t="s">
        <v>177</v>
      </c>
      <c r="D136" s="98">
        <f>'Flat detail'!P7*10.764</f>
        <v>12432.850559999999</v>
      </c>
      <c r="E136" s="99"/>
      <c r="F136" s="58">
        <v>0</v>
      </c>
      <c r="G136" s="58">
        <f>D136*1.5+F136</f>
        <v>18649.275839999998</v>
      </c>
      <c r="H136" s="58" t="s">
        <v>171</v>
      </c>
      <c r="I136" s="80" t="s">
        <v>178</v>
      </c>
      <c r="J136" s="81"/>
    </row>
    <row r="137" spans="1:10" s="35" customFormat="1" ht="31.5">
      <c r="A137" s="98">
        <v>2</v>
      </c>
      <c r="B137" s="99"/>
      <c r="C137" s="58" t="s">
        <v>177</v>
      </c>
      <c r="D137" s="98">
        <v>12433</v>
      </c>
      <c r="E137" s="99"/>
      <c r="F137" s="58">
        <v>0</v>
      </c>
      <c r="G137" s="58">
        <f t="shared" ref="G137:G140" si="2">D137*1.5+F137</f>
        <v>18649.5</v>
      </c>
      <c r="H137" s="58" t="s">
        <v>171</v>
      </c>
      <c r="I137" s="82"/>
      <c r="J137" s="83"/>
    </row>
    <row r="138" spans="1:10" s="35" customFormat="1">
      <c r="A138" s="98">
        <v>1</v>
      </c>
      <c r="B138" s="99"/>
      <c r="C138" s="58" t="s">
        <v>179</v>
      </c>
      <c r="D138" s="98">
        <f>(8*15.2+0.5*15.2*3.8)*10.764</f>
        <v>1619.7667199999999</v>
      </c>
      <c r="E138" s="99"/>
      <c r="F138" s="58">
        <v>0</v>
      </c>
      <c r="G138" s="58">
        <f t="shared" si="2"/>
        <v>2429.6500799999999</v>
      </c>
      <c r="H138" s="58" t="s">
        <v>171</v>
      </c>
      <c r="I138" s="82"/>
      <c r="J138" s="83"/>
    </row>
    <row r="139" spans="1:10" s="35" customFormat="1">
      <c r="A139" s="98">
        <v>2</v>
      </c>
      <c r="B139" s="99"/>
      <c r="C139" s="58" t="s">
        <v>179</v>
      </c>
      <c r="D139" s="98">
        <f>(4*4.6*10.764)</f>
        <v>198.05759999999998</v>
      </c>
      <c r="E139" s="99"/>
      <c r="F139" s="58">
        <v>0</v>
      </c>
      <c r="G139" s="58">
        <f t="shared" si="2"/>
        <v>297.08639999999997</v>
      </c>
      <c r="H139" s="58" t="s">
        <v>171</v>
      </c>
      <c r="I139" s="82"/>
      <c r="J139" s="83"/>
    </row>
    <row r="140" spans="1:10" s="35" customFormat="1">
      <c r="A140" s="98">
        <v>3</v>
      </c>
      <c r="B140" s="99"/>
      <c r="C140" s="58" t="s">
        <v>179</v>
      </c>
      <c r="D140" s="98">
        <f>(8*15.2+0.5*15.2*3.8)*10.764</f>
        <v>1619.7667199999999</v>
      </c>
      <c r="E140" s="99"/>
      <c r="F140" s="58">
        <v>0</v>
      </c>
      <c r="G140" s="58">
        <f t="shared" si="2"/>
        <v>2429.6500799999999</v>
      </c>
      <c r="H140" s="58" t="s">
        <v>171</v>
      </c>
      <c r="I140" s="84"/>
      <c r="J140" s="85"/>
    </row>
    <row r="141" spans="1:10" s="35" customFormat="1">
      <c r="A141" s="101" t="s">
        <v>180</v>
      </c>
      <c r="B141" s="102"/>
      <c r="C141" s="102"/>
      <c r="D141" s="102"/>
      <c r="E141" s="102"/>
      <c r="F141" s="102"/>
      <c r="G141" s="102"/>
      <c r="H141" s="102"/>
      <c r="I141" s="102"/>
      <c r="J141" s="103"/>
    </row>
    <row r="142" spans="1:10" s="35" customFormat="1" ht="31.5">
      <c r="A142" s="98">
        <v>1</v>
      </c>
      <c r="B142" s="99"/>
      <c r="C142" s="58" t="s">
        <v>177</v>
      </c>
      <c r="D142" s="98">
        <v>12433</v>
      </c>
      <c r="E142" s="99"/>
      <c r="F142" s="58">
        <v>0</v>
      </c>
      <c r="G142" s="58">
        <f>D142*1.5+F142</f>
        <v>18649.5</v>
      </c>
      <c r="H142" s="58" t="s">
        <v>171</v>
      </c>
      <c r="I142" s="80" t="s">
        <v>181</v>
      </c>
      <c r="J142" s="81"/>
    </row>
    <row r="143" spans="1:10" s="35" customFormat="1" ht="31.5">
      <c r="A143" s="98">
        <v>2</v>
      </c>
      <c r="B143" s="99"/>
      <c r="C143" s="58" t="s">
        <v>177</v>
      </c>
      <c r="D143" s="98">
        <v>12433</v>
      </c>
      <c r="E143" s="99"/>
      <c r="F143" s="58">
        <v>0</v>
      </c>
      <c r="G143" s="58">
        <f t="shared" ref="G143:G146" si="3">D143*1.5+F143</f>
        <v>18649.5</v>
      </c>
      <c r="H143" s="58" t="s">
        <v>171</v>
      </c>
      <c r="I143" s="82"/>
      <c r="J143" s="83"/>
    </row>
    <row r="144" spans="1:10" s="35" customFormat="1">
      <c r="A144" s="98">
        <v>1</v>
      </c>
      <c r="B144" s="99"/>
      <c r="C144" s="58" t="s">
        <v>179</v>
      </c>
      <c r="D144" s="98">
        <f>(8*15.2+0.5*15.2*3.8)*10.764</f>
        <v>1619.7667199999999</v>
      </c>
      <c r="E144" s="99"/>
      <c r="F144" s="58">
        <v>0</v>
      </c>
      <c r="G144" s="58">
        <f t="shared" si="3"/>
        <v>2429.6500799999999</v>
      </c>
      <c r="H144" s="58" t="s">
        <v>171</v>
      </c>
      <c r="I144" s="82"/>
      <c r="J144" s="83"/>
    </row>
    <row r="145" spans="1:10" s="35" customFormat="1">
      <c r="A145" s="98">
        <v>2</v>
      </c>
      <c r="B145" s="99"/>
      <c r="C145" s="58" t="s">
        <v>179</v>
      </c>
      <c r="D145" s="98">
        <f>(4*4.6*10.764)</f>
        <v>198.05759999999998</v>
      </c>
      <c r="E145" s="99"/>
      <c r="F145" s="58">
        <v>0</v>
      </c>
      <c r="G145" s="58">
        <f t="shared" si="3"/>
        <v>297.08639999999997</v>
      </c>
      <c r="H145" s="58" t="s">
        <v>171</v>
      </c>
      <c r="I145" s="82"/>
      <c r="J145" s="83"/>
    </row>
    <row r="146" spans="1:10" s="35" customFormat="1">
      <c r="A146" s="98">
        <v>3</v>
      </c>
      <c r="B146" s="99"/>
      <c r="C146" s="58" t="s">
        <v>179</v>
      </c>
      <c r="D146" s="98">
        <f>(8*15.2+0.5*15.2*3.8)*10.764</f>
        <v>1619.7667199999999</v>
      </c>
      <c r="E146" s="99"/>
      <c r="F146" s="58">
        <v>0</v>
      </c>
      <c r="G146" s="58">
        <f t="shared" si="3"/>
        <v>2429.6500799999999</v>
      </c>
      <c r="H146" s="58" t="s">
        <v>171</v>
      </c>
      <c r="I146" s="84"/>
      <c r="J146" s="85"/>
    </row>
    <row r="147" spans="1:10" s="34" customFormat="1">
      <c r="A147" s="100" t="s">
        <v>182</v>
      </c>
      <c r="B147" s="100"/>
      <c r="C147" s="100"/>
      <c r="D147" s="100"/>
      <c r="E147" s="100"/>
      <c r="F147" s="100"/>
      <c r="G147" s="100"/>
      <c r="H147" s="100"/>
      <c r="I147" s="100"/>
      <c r="J147" s="100"/>
    </row>
    <row r="148" spans="1:10" s="36" customFormat="1" ht="177" customHeight="1">
      <c r="A148" s="86" t="s">
        <v>183</v>
      </c>
      <c r="B148" s="86"/>
      <c r="C148" s="86"/>
      <c r="D148" s="86"/>
      <c r="E148" s="86"/>
      <c r="F148" s="86"/>
      <c r="G148" s="86"/>
      <c r="H148" s="86"/>
      <c r="I148" s="86"/>
      <c r="J148" s="86"/>
    </row>
    <row r="149" spans="1:10">
      <c r="A149" s="87" t="s">
        <v>184</v>
      </c>
      <c r="B149" s="88"/>
      <c r="C149" s="88"/>
      <c r="D149" s="88"/>
      <c r="E149" s="88"/>
      <c r="F149" s="88"/>
      <c r="G149" s="88"/>
      <c r="H149" s="88"/>
      <c r="I149" s="88"/>
      <c r="J149" s="89"/>
    </row>
    <row r="150" spans="1:10">
      <c r="A150" s="90" t="s">
        <v>185</v>
      </c>
      <c r="B150" s="91"/>
      <c r="C150" s="91"/>
      <c r="D150" s="91"/>
      <c r="E150" s="91"/>
      <c r="F150" s="91"/>
      <c r="G150" s="91"/>
      <c r="H150" s="91"/>
      <c r="I150" s="91"/>
      <c r="J150" s="92"/>
    </row>
    <row r="151" spans="1:10" ht="15.75" customHeight="1">
      <c r="A151" s="87" t="s">
        <v>186</v>
      </c>
      <c r="B151" s="88"/>
      <c r="C151" s="88"/>
      <c r="D151" s="88"/>
      <c r="E151" s="88"/>
      <c r="F151" s="88"/>
      <c r="G151" s="88"/>
      <c r="H151" s="88"/>
      <c r="I151" s="88"/>
      <c r="J151" s="89"/>
    </row>
    <row r="152" spans="1:10">
      <c r="A152" s="90" t="s">
        <v>187</v>
      </c>
      <c r="B152" s="91"/>
      <c r="C152" s="91"/>
      <c r="D152" s="91"/>
      <c r="E152" s="91"/>
      <c r="F152" s="91"/>
      <c r="G152" s="91"/>
      <c r="H152" s="91"/>
      <c r="I152" s="91"/>
      <c r="J152" s="92"/>
    </row>
    <row r="153" spans="1:10">
      <c r="A153" s="90" t="s">
        <v>188</v>
      </c>
      <c r="B153" s="91"/>
      <c r="C153" s="91"/>
      <c r="D153" s="91"/>
      <c r="E153" s="91"/>
      <c r="F153" s="91"/>
      <c r="G153" s="91"/>
      <c r="H153" s="91"/>
      <c r="I153" s="91"/>
      <c r="J153" s="92"/>
    </row>
    <row r="154" spans="1:10">
      <c r="A154" s="90" t="s">
        <v>189</v>
      </c>
      <c r="B154" s="91"/>
      <c r="C154" s="91"/>
      <c r="D154" s="91"/>
      <c r="E154" s="91"/>
      <c r="F154" s="91"/>
      <c r="G154" s="91"/>
      <c r="H154" s="91"/>
      <c r="I154" s="91"/>
      <c r="J154" s="92"/>
    </row>
    <row r="155" spans="1:10" ht="35.25" hidden="1" customHeight="1">
      <c r="A155" s="93" t="s">
        <v>190</v>
      </c>
      <c r="B155" s="94"/>
      <c r="C155" s="94"/>
      <c r="D155" s="94"/>
      <c r="E155" s="94"/>
      <c r="F155" s="94"/>
      <c r="G155" s="94"/>
      <c r="H155" s="94"/>
      <c r="I155" s="94"/>
      <c r="J155" s="95"/>
    </row>
    <row r="156" spans="1:10">
      <c r="A156" s="96" t="s">
        <v>191</v>
      </c>
      <c r="B156" s="96"/>
      <c r="C156" s="97" t="s">
        <v>272</v>
      </c>
      <c r="D156" s="97"/>
      <c r="E156" s="96" t="s">
        <v>192</v>
      </c>
      <c r="F156" s="96"/>
      <c r="G156" s="96"/>
      <c r="H156" s="97" t="s">
        <v>271</v>
      </c>
      <c r="I156" s="97"/>
      <c r="J156" s="97"/>
    </row>
    <row r="157" spans="1:10">
      <c r="A157" s="67" t="s">
        <v>193</v>
      </c>
      <c r="B157" s="67"/>
      <c r="C157" s="67"/>
      <c r="D157" s="67"/>
      <c r="E157" s="67"/>
      <c r="F157" s="67"/>
      <c r="G157" s="67"/>
      <c r="H157" s="67"/>
      <c r="I157" s="67"/>
      <c r="J157" s="67"/>
    </row>
    <row r="158" spans="1:10">
      <c r="A158" s="67"/>
      <c r="B158" s="67"/>
      <c r="C158" s="67"/>
      <c r="D158" s="67"/>
      <c r="E158" s="67"/>
      <c r="F158" s="67"/>
      <c r="G158" s="67"/>
      <c r="H158" s="67"/>
      <c r="I158" s="67"/>
      <c r="J158" s="67"/>
    </row>
    <row r="159" spans="1:10">
      <c r="A159" s="67"/>
      <c r="B159" s="67"/>
      <c r="C159" s="67"/>
      <c r="D159" s="67"/>
      <c r="E159" s="67"/>
      <c r="F159" s="67"/>
      <c r="G159" s="67"/>
      <c r="H159" s="67"/>
      <c r="I159" s="67"/>
      <c r="J159" s="67"/>
    </row>
    <row r="160" spans="1:10" ht="15" customHeight="1">
      <c r="A160" s="64"/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1:10">
      <c r="A161" s="64" t="s">
        <v>194</v>
      </c>
      <c r="B161" s="65"/>
      <c r="C161" s="65"/>
      <c r="D161" s="64" t="str">
        <f>F8</f>
        <v>Wadhwa Regalia Phase I</v>
      </c>
      <c r="G161" s="65"/>
      <c r="H161" s="65"/>
      <c r="I161" s="65"/>
      <c r="J161" s="65"/>
    </row>
    <row r="162" spans="1:10">
      <c r="A162" s="65"/>
      <c r="B162" s="65"/>
      <c r="C162" s="65"/>
      <c r="D162" s="65"/>
      <c r="E162" s="65"/>
      <c r="F162" s="65"/>
      <c r="G162" s="65"/>
      <c r="H162" s="65"/>
      <c r="I162" s="65"/>
      <c r="J162" s="65"/>
    </row>
    <row r="163" spans="1:10">
      <c r="A163" s="65"/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ht="15" customHeight="1"/>
    <row r="202" spans="1:1">
      <c r="A202" s="66" t="s">
        <v>195</v>
      </c>
    </row>
  </sheetData>
  <mergeCells count="326">
    <mergeCell ref="A1:J1"/>
    <mergeCell ref="A2:J2"/>
    <mergeCell ref="A3:E3"/>
    <mergeCell ref="F3:J3"/>
    <mergeCell ref="A4:E4"/>
    <mergeCell ref="F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0:E10"/>
    <mergeCell ref="F10:J10"/>
    <mergeCell ref="A11:E11"/>
    <mergeCell ref="F11:J11"/>
    <mergeCell ref="A12:E12"/>
    <mergeCell ref="F12:J12"/>
    <mergeCell ref="A13:B13"/>
    <mergeCell ref="C13:J13"/>
    <mergeCell ref="A14:B14"/>
    <mergeCell ref="C14:E14"/>
    <mergeCell ref="F14:G14"/>
    <mergeCell ref="H14:J14"/>
    <mergeCell ref="A15:B15"/>
    <mergeCell ref="C15:E15"/>
    <mergeCell ref="F15:G15"/>
    <mergeCell ref="H15:J15"/>
    <mergeCell ref="A16:B16"/>
    <mergeCell ref="C16:E16"/>
    <mergeCell ref="F16:G16"/>
    <mergeCell ref="H16:J16"/>
    <mergeCell ref="A17:B17"/>
    <mergeCell ref="C17:E17"/>
    <mergeCell ref="F17:G17"/>
    <mergeCell ref="H17:J17"/>
    <mergeCell ref="A18:B18"/>
    <mergeCell ref="C18:E18"/>
    <mergeCell ref="F18:G18"/>
    <mergeCell ref="H18:J18"/>
    <mergeCell ref="A23:E23"/>
    <mergeCell ref="F23:J23"/>
    <mergeCell ref="A24:E24"/>
    <mergeCell ref="F24:J24"/>
    <mergeCell ref="A25:E25"/>
    <mergeCell ref="F25:J25"/>
    <mergeCell ref="A26:E26"/>
    <mergeCell ref="F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J30"/>
    <mergeCell ref="A31:J31"/>
    <mergeCell ref="A32:B32"/>
    <mergeCell ref="C32:J32"/>
    <mergeCell ref="A33:B33"/>
    <mergeCell ref="C33:J33"/>
    <mergeCell ref="A34:J34"/>
    <mergeCell ref="A35:E35"/>
    <mergeCell ref="F35:J35"/>
    <mergeCell ref="A36:E36"/>
    <mergeCell ref="F36:J36"/>
    <mergeCell ref="A37:J37"/>
    <mergeCell ref="A38:E38"/>
    <mergeCell ref="F38:J38"/>
    <mergeCell ref="A39:E39"/>
    <mergeCell ref="F39:J39"/>
    <mergeCell ref="A40:E40"/>
    <mergeCell ref="F40:J40"/>
    <mergeCell ref="A41:E41"/>
    <mergeCell ref="F41:J41"/>
    <mergeCell ref="A42:E42"/>
    <mergeCell ref="F42:J42"/>
    <mergeCell ref="A43:E43"/>
    <mergeCell ref="F43:J43"/>
    <mergeCell ref="A44:J44"/>
    <mergeCell ref="A45:B45"/>
    <mergeCell ref="C45:F45"/>
    <mergeCell ref="H45:J45"/>
    <mergeCell ref="A46:B46"/>
    <mergeCell ref="C46:F46"/>
    <mergeCell ref="H46:J46"/>
    <mergeCell ref="A47:B47"/>
    <mergeCell ref="C47:F47"/>
    <mergeCell ref="H47:J47"/>
    <mergeCell ref="A48:B48"/>
    <mergeCell ref="C48:F48"/>
    <mergeCell ref="H48:J48"/>
    <mergeCell ref="A49:C49"/>
    <mergeCell ref="D49:E49"/>
    <mergeCell ref="F49:G49"/>
    <mergeCell ref="H49:J49"/>
    <mergeCell ref="A50:J50"/>
    <mergeCell ref="A51:C51"/>
    <mergeCell ref="D51:E51"/>
    <mergeCell ref="F51:G51"/>
    <mergeCell ref="H51:J51"/>
    <mergeCell ref="A52:B52"/>
    <mergeCell ref="C52:F52"/>
    <mergeCell ref="G52:J52"/>
    <mergeCell ref="A53:C53"/>
    <mergeCell ref="D53:J53"/>
    <mergeCell ref="A54:J54"/>
    <mergeCell ref="A55:J55"/>
    <mergeCell ref="A56:B56"/>
    <mergeCell ref="C56:J56"/>
    <mergeCell ref="E57:F57"/>
    <mergeCell ref="I57:J57"/>
    <mergeCell ref="A58:B58"/>
    <mergeCell ref="C58:J58"/>
    <mergeCell ref="A59:B59"/>
    <mergeCell ref="D59:E59"/>
    <mergeCell ref="F59:G59"/>
    <mergeCell ref="H59:J59"/>
    <mergeCell ref="A60:B60"/>
    <mergeCell ref="D60:E60"/>
    <mergeCell ref="A66:B66"/>
    <mergeCell ref="D66:E66"/>
    <mergeCell ref="A67:B67"/>
    <mergeCell ref="D67:E67"/>
    <mergeCell ref="A68:B68"/>
    <mergeCell ref="D68:E68"/>
    <mergeCell ref="A69:B69"/>
    <mergeCell ref="D69:E69"/>
    <mergeCell ref="A70:J70"/>
    <mergeCell ref="F60:G69"/>
    <mergeCell ref="H60:J69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71:J71"/>
    <mergeCell ref="A72:B72"/>
    <mergeCell ref="C72:J72"/>
    <mergeCell ref="A73:J73"/>
    <mergeCell ref="A74:F74"/>
    <mergeCell ref="G74:J74"/>
    <mergeCell ref="A75:F75"/>
    <mergeCell ref="G75:J75"/>
    <mergeCell ref="A76:F76"/>
    <mergeCell ref="G76:J76"/>
    <mergeCell ref="A77:F77"/>
    <mergeCell ref="A78:F78"/>
    <mergeCell ref="G78:J78"/>
    <mergeCell ref="A79:F79"/>
    <mergeCell ref="G79:J79"/>
    <mergeCell ref="A80:F80"/>
    <mergeCell ref="G80:J80"/>
    <mergeCell ref="A81:F81"/>
    <mergeCell ref="G81:J81"/>
    <mergeCell ref="G77:J77"/>
    <mergeCell ref="A82:F82"/>
    <mergeCell ref="G82:J82"/>
    <mergeCell ref="A83:J83"/>
    <mergeCell ref="A84:B84"/>
    <mergeCell ref="D84:F84"/>
    <mergeCell ref="G84:J84"/>
    <mergeCell ref="A85:B85"/>
    <mergeCell ref="D85:F85"/>
    <mergeCell ref="G85:J85"/>
    <mergeCell ref="A86:B86"/>
    <mergeCell ref="D86:F86"/>
    <mergeCell ref="G86:J86"/>
    <mergeCell ref="A87:B87"/>
    <mergeCell ref="D87:F87"/>
    <mergeCell ref="G87:J87"/>
    <mergeCell ref="A88:B88"/>
    <mergeCell ref="D88:F88"/>
    <mergeCell ref="G88:J88"/>
    <mergeCell ref="A89:B89"/>
    <mergeCell ref="D89:F89"/>
    <mergeCell ref="G89:J89"/>
    <mergeCell ref="A90:B90"/>
    <mergeCell ref="D90:F90"/>
    <mergeCell ref="G90:J90"/>
    <mergeCell ref="A91:B91"/>
    <mergeCell ref="D91:F91"/>
    <mergeCell ref="G91:J91"/>
    <mergeCell ref="A92:J92"/>
    <mergeCell ref="A93:J93"/>
    <mergeCell ref="A94:B94"/>
    <mergeCell ref="D94:E94"/>
    <mergeCell ref="I94:J94"/>
    <mergeCell ref="A95:J95"/>
    <mergeCell ref="A96:J96"/>
    <mergeCell ref="A97:B97"/>
    <mergeCell ref="D97:E97"/>
    <mergeCell ref="A98:B98"/>
    <mergeCell ref="D98:E98"/>
    <mergeCell ref="A99:B99"/>
    <mergeCell ref="D99:E99"/>
    <mergeCell ref="A100:B100"/>
    <mergeCell ref="D100:E100"/>
    <mergeCell ref="A101:B101"/>
    <mergeCell ref="D101:E101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D112:E112"/>
    <mergeCell ref="A113:B113"/>
    <mergeCell ref="D113:E113"/>
    <mergeCell ref="A114:B114"/>
    <mergeCell ref="D114:E114"/>
    <mergeCell ref="A115:B115"/>
    <mergeCell ref="D115:E115"/>
    <mergeCell ref="A116:B116"/>
    <mergeCell ref="D116:E116"/>
    <mergeCell ref="A117:B117"/>
    <mergeCell ref="D117:E11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J123"/>
    <mergeCell ref="A124:B124"/>
    <mergeCell ref="D124:E124"/>
    <mergeCell ref="A125:B125"/>
    <mergeCell ref="D125:E125"/>
    <mergeCell ref="A126:B126"/>
    <mergeCell ref="D126:E126"/>
    <mergeCell ref="A127:B127"/>
    <mergeCell ref="D127:E127"/>
    <mergeCell ref="A128:B128"/>
    <mergeCell ref="D128:E128"/>
    <mergeCell ref="A129:B129"/>
    <mergeCell ref="D129:E129"/>
    <mergeCell ref="A130:B130"/>
    <mergeCell ref="D130:E130"/>
    <mergeCell ref="A131:B131"/>
    <mergeCell ref="D131:E131"/>
    <mergeCell ref="A132:B132"/>
    <mergeCell ref="D132:E132"/>
    <mergeCell ref="A133:B133"/>
    <mergeCell ref="D133:E133"/>
    <mergeCell ref="A134:B134"/>
    <mergeCell ref="D134:E134"/>
    <mergeCell ref="A135:J135"/>
    <mergeCell ref="A136:B136"/>
    <mergeCell ref="D136:E136"/>
    <mergeCell ref="A137:B137"/>
    <mergeCell ref="D137:E137"/>
    <mergeCell ref="D144:E144"/>
    <mergeCell ref="A145:B145"/>
    <mergeCell ref="D145:E145"/>
    <mergeCell ref="A146:B146"/>
    <mergeCell ref="D146:E146"/>
    <mergeCell ref="A147:J147"/>
    <mergeCell ref="A138:B138"/>
    <mergeCell ref="D138:E138"/>
    <mergeCell ref="A139:B139"/>
    <mergeCell ref="D139:E139"/>
    <mergeCell ref="A140:B140"/>
    <mergeCell ref="D140:E140"/>
    <mergeCell ref="A141:J141"/>
    <mergeCell ref="A142:B142"/>
    <mergeCell ref="D142:E142"/>
    <mergeCell ref="A157:J159"/>
    <mergeCell ref="A19:E20"/>
    <mergeCell ref="F19:J20"/>
    <mergeCell ref="A21:E22"/>
    <mergeCell ref="F21:J22"/>
    <mergeCell ref="I136:J140"/>
    <mergeCell ref="I97:J122"/>
    <mergeCell ref="I124:J134"/>
    <mergeCell ref="I142:J146"/>
    <mergeCell ref="A148:J148"/>
    <mergeCell ref="A149:J149"/>
    <mergeCell ref="A150:J150"/>
    <mergeCell ref="A151:J151"/>
    <mergeCell ref="A152:J152"/>
    <mergeCell ref="A153:J153"/>
    <mergeCell ref="A154:J154"/>
    <mergeCell ref="A155:J155"/>
    <mergeCell ref="A156:B156"/>
    <mergeCell ref="C156:D156"/>
    <mergeCell ref="E156:G156"/>
    <mergeCell ref="H156:J156"/>
    <mergeCell ref="A143:B143"/>
    <mergeCell ref="D143:E143"/>
    <mergeCell ref="A144:B144"/>
  </mergeCells>
  <hyperlinks>
    <hyperlink ref="C33" r:id="rId1" xr:uid="{00000000-0004-0000-0000-000000000000}"/>
  </hyperlinks>
  <printOptions horizontalCentered="1"/>
  <pageMargins left="0.43307086614173201" right="0.43307086614173201" top="0.78740157480314998" bottom="1.1811023622047201" header="0.196850393700787" footer="0.196850393700787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59" max="16383" man="1"/>
    <brk id="2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"/>
  <sheetViews>
    <sheetView workbookViewId="0">
      <selection activeCell="C3" sqref="C3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103</v>
      </c>
      <c r="B2" s="7" t="s">
        <v>105</v>
      </c>
      <c r="C2" s="7" t="s">
        <v>104</v>
      </c>
      <c r="D2" s="221" t="s">
        <v>196</v>
      </c>
      <c r="E2" s="221"/>
    </row>
    <row r="3" spans="1:13">
      <c r="A3" s="9">
        <v>0</v>
      </c>
      <c r="B3" s="9">
        <v>0</v>
      </c>
      <c r="C3" s="9">
        <v>2</v>
      </c>
      <c r="D3" s="223">
        <v>2</v>
      </c>
      <c r="E3" s="223"/>
    </row>
    <row r="5" spans="1:13" hidden="1">
      <c r="A5" s="6" t="s">
        <v>197</v>
      </c>
      <c r="B5" s="11" t="s">
        <v>198</v>
      </c>
      <c r="C5" s="11">
        <f>D3</f>
        <v>2</v>
      </c>
      <c r="D5" s="12"/>
    </row>
    <row r="6" spans="1:13">
      <c r="A6" s="6" t="s">
        <v>199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200</v>
      </c>
      <c r="B7" s="8">
        <f>A3+B3+C3+D3</f>
        <v>4</v>
      </c>
      <c r="C7" s="10">
        <v>2</v>
      </c>
      <c r="D7" s="13">
        <f t="shared" ref="D7:D12" si="0">((100/B7)*C7)/100</f>
        <v>0.5</v>
      </c>
      <c r="F7" s="224" t="s">
        <v>201</v>
      </c>
      <c r="G7" s="224"/>
      <c r="H7" s="14" t="s">
        <v>202</v>
      </c>
      <c r="J7" s="20"/>
    </row>
    <row r="8" spans="1:13">
      <c r="A8" s="6" t="s">
        <v>203</v>
      </c>
      <c r="B8" s="8">
        <f>C5</f>
        <v>2</v>
      </c>
      <c r="C8" s="10">
        <v>0</v>
      </c>
      <c r="D8" s="13">
        <f t="shared" si="0"/>
        <v>0</v>
      </c>
      <c r="F8" s="222" t="s">
        <v>204</v>
      </c>
      <c r="G8" s="222"/>
      <c r="H8" s="8" t="s">
        <v>205</v>
      </c>
    </row>
    <row r="9" spans="1:13">
      <c r="A9" s="6" t="s">
        <v>206</v>
      </c>
      <c r="B9" s="8">
        <f>C5</f>
        <v>2</v>
      </c>
      <c r="C9" s="10">
        <v>0</v>
      </c>
      <c r="D9" s="13">
        <f t="shared" si="0"/>
        <v>0</v>
      </c>
      <c r="F9" s="222" t="s">
        <v>207</v>
      </c>
      <c r="G9" s="222"/>
      <c r="H9" s="8" t="s">
        <v>149</v>
      </c>
    </row>
    <row r="10" spans="1:13">
      <c r="A10" s="6" t="s">
        <v>208</v>
      </c>
      <c r="B10" s="8">
        <f>C5</f>
        <v>2</v>
      </c>
      <c r="C10" s="10">
        <v>0</v>
      </c>
      <c r="D10" s="13">
        <f t="shared" si="0"/>
        <v>0</v>
      </c>
      <c r="F10" s="222" t="s">
        <v>209</v>
      </c>
      <c r="G10" s="222"/>
      <c r="H10" s="8" t="s">
        <v>210</v>
      </c>
    </row>
    <row r="11" spans="1:13">
      <c r="A11" s="15" t="s">
        <v>211</v>
      </c>
      <c r="B11" s="8">
        <f>C5</f>
        <v>2</v>
      </c>
      <c r="C11" s="10">
        <v>0</v>
      </c>
      <c r="D11" s="13">
        <f t="shared" si="0"/>
        <v>0</v>
      </c>
      <c r="F11" s="222" t="s">
        <v>212</v>
      </c>
      <c r="G11" s="222"/>
      <c r="H11" s="8" t="s">
        <v>213</v>
      </c>
    </row>
    <row r="12" spans="1:13">
      <c r="A12" s="6" t="s">
        <v>214</v>
      </c>
      <c r="B12" s="8">
        <f>C5</f>
        <v>2</v>
      </c>
      <c r="C12" s="10">
        <v>0</v>
      </c>
      <c r="D12" s="13">
        <f t="shared" si="0"/>
        <v>0</v>
      </c>
      <c r="F12" s="222" t="s">
        <v>215</v>
      </c>
      <c r="G12" s="222"/>
      <c r="H12" s="8" t="s">
        <v>216</v>
      </c>
    </row>
    <row r="13" spans="1:13">
      <c r="F13" s="222" t="s">
        <v>217</v>
      </c>
      <c r="G13" s="222"/>
      <c r="H13" s="8" t="s">
        <v>218</v>
      </c>
    </row>
    <row r="14" spans="1:13" hidden="1">
      <c r="A14" s="7"/>
      <c r="B14" s="7" t="s">
        <v>219</v>
      </c>
      <c r="C14" s="7" t="s">
        <v>220</v>
      </c>
      <c r="G14" s="7" t="s">
        <v>199</v>
      </c>
      <c r="H14" s="7" t="s">
        <v>221</v>
      </c>
      <c r="I14" s="7" t="s">
        <v>222</v>
      </c>
      <c r="J14" s="7" t="s">
        <v>223</v>
      </c>
      <c r="K14" s="7" t="s">
        <v>208</v>
      </c>
      <c r="L14" s="7" t="s">
        <v>211</v>
      </c>
      <c r="M14" s="7" t="s">
        <v>214</v>
      </c>
    </row>
    <row r="15" spans="1:13" hidden="1">
      <c r="A15" s="7" t="s">
        <v>117</v>
      </c>
      <c r="B15" s="7">
        <f>G15</f>
        <v>10</v>
      </c>
      <c r="C15" s="7">
        <f>G16</f>
        <v>30</v>
      </c>
      <c r="E15" s="221" t="s">
        <v>219</v>
      </c>
      <c r="F15" s="221"/>
      <c r="G15" s="16">
        <f>C6</f>
        <v>10</v>
      </c>
      <c r="H15" s="16">
        <f>40/B7*C7</f>
        <v>20</v>
      </c>
      <c r="I15" s="16">
        <f>15/B8*C8</f>
        <v>0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224</v>
      </c>
      <c r="B16" s="7">
        <f>H15</f>
        <v>20</v>
      </c>
      <c r="C16" s="7">
        <f>H16</f>
        <v>15</v>
      </c>
      <c r="E16" s="221" t="s">
        <v>225</v>
      </c>
      <c r="F16" s="221"/>
      <c r="G16" s="7">
        <f>G15+20</f>
        <v>30</v>
      </c>
      <c r="H16" s="7">
        <f>30/B7*C7</f>
        <v>15</v>
      </c>
      <c r="I16" s="7">
        <f>15/B8*C8</f>
        <v>0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222</v>
      </c>
      <c r="B17" s="7">
        <f>I15</f>
        <v>0</v>
      </c>
      <c r="C17" s="7">
        <f>I16</f>
        <v>0</v>
      </c>
    </row>
    <row r="18" spans="1:8" hidden="1">
      <c r="A18" s="7" t="s">
        <v>223</v>
      </c>
      <c r="B18" s="7">
        <f>J15</f>
        <v>0</v>
      </c>
      <c r="C18" s="7">
        <f>J16</f>
        <v>0</v>
      </c>
    </row>
    <row r="19" spans="1:8" hidden="1">
      <c r="A19" s="7" t="s">
        <v>208</v>
      </c>
      <c r="B19" s="7">
        <f>K15</f>
        <v>0</v>
      </c>
      <c r="C19" s="7">
        <f>K16</f>
        <v>0</v>
      </c>
    </row>
    <row r="20" spans="1:8" hidden="1">
      <c r="A20" s="17" t="s">
        <v>211</v>
      </c>
      <c r="B20" s="7">
        <f>L15</f>
        <v>0</v>
      </c>
      <c r="C20" s="7">
        <f>L16</f>
        <v>0</v>
      </c>
    </row>
    <row r="21" spans="1:8" hidden="1">
      <c r="A21" s="7" t="s">
        <v>214</v>
      </c>
      <c r="B21" s="7">
        <f>M15</f>
        <v>0</v>
      </c>
      <c r="C21" s="7">
        <f>M16</f>
        <v>0</v>
      </c>
    </row>
    <row r="22" spans="1:8">
      <c r="A22" s="7" t="s">
        <v>226</v>
      </c>
      <c r="B22" s="18">
        <f>(B15+B16+B17+B18+B19+B20+B21)/100</f>
        <v>0.3</v>
      </c>
      <c r="C22" s="18">
        <f>(C15+C16+C17+C18+C19+C20+C21)/100</f>
        <v>0.45</v>
      </c>
      <c r="F22" s="222" t="s">
        <v>227</v>
      </c>
      <c r="G22" s="222"/>
      <c r="H22" s="8" t="s">
        <v>149</v>
      </c>
    </row>
    <row r="23" spans="1:8">
      <c r="F23" s="222" t="s">
        <v>228</v>
      </c>
      <c r="G23" s="222"/>
      <c r="H23" s="8" t="s">
        <v>229</v>
      </c>
    </row>
    <row r="24" spans="1:8">
      <c r="A24" s="6" t="s">
        <v>116</v>
      </c>
      <c r="B24" s="19">
        <v>0.01</v>
      </c>
      <c r="C24" s="19">
        <v>0.02</v>
      </c>
      <c r="F24" s="222" t="s">
        <v>230</v>
      </c>
      <c r="G24" s="222"/>
      <c r="H24" s="8" t="s">
        <v>231</v>
      </c>
    </row>
    <row r="25" spans="1:8">
      <c r="A25" s="6" t="s">
        <v>118</v>
      </c>
      <c r="B25" s="19">
        <v>0.01</v>
      </c>
      <c r="C25" s="19">
        <v>0.03</v>
      </c>
    </row>
    <row r="26" spans="1:8">
      <c r="A26" s="6" t="s">
        <v>120</v>
      </c>
      <c r="B26" s="19">
        <v>0.03</v>
      </c>
      <c r="C26" s="19">
        <v>0.08</v>
      </c>
    </row>
    <row r="27" spans="1:8">
      <c r="A27" s="6" t="s">
        <v>123</v>
      </c>
      <c r="B27" s="19">
        <v>0.05</v>
      </c>
      <c r="C27" s="19">
        <v>0.15</v>
      </c>
    </row>
    <row r="28" spans="1:8">
      <c r="A28" s="6" t="s">
        <v>134</v>
      </c>
      <c r="B28" s="19">
        <v>7.0000000000000007E-2</v>
      </c>
      <c r="C28" s="19">
        <v>0.2</v>
      </c>
    </row>
    <row r="29" spans="1:8">
      <c r="A29" s="6" t="s">
        <v>136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"/>
  <sheetViews>
    <sheetView workbookViewId="0">
      <selection activeCell="C2" sqref="C2"/>
    </sheetView>
  </sheetViews>
  <sheetFormatPr defaultColWidth="9" defaultRowHeight="15"/>
  <cols>
    <col min="1" max="1" width="10.28515625" customWidth="1"/>
  </cols>
  <sheetData>
    <row r="2" spans="1:3">
      <c r="A2" s="22">
        <v>44214</v>
      </c>
      <c r="B2" s="21" t="s">
        <v>232</v>
      </c>
      <c r="C2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G9" sqref="G9"/>
    </sheetView>
  </sheetViews>
  <sheetFormatPr defaultColWidth="8.7109375" defaultRowHeight="15"/>
  <cols>
    <col min="1" max="1" width="10.5703125" style="21" customWidth="1"/>
    <col min="2" max="2" width="22.28515625" style="21" customWidth="1"/>
    <col min="3" max="3" width="37" style="21" customWidth="1"/>
    <col min="4" max="5" width="11.42578125" style="21" customWidth="1"/>
    <col min="6" max="6" width="14" style="21" customWidth="1"/>
    <col min="7" max="7" width="20" style="21" customWidth="1"/>
    <col min="8" max="8" width="16.42578125" style="21" customWidth="1"/>
    <col min="9" max="16384" width="8.7109375" style="21"/>
  </cols>
  <sheetData>
    <row r="1" spans="1:9" ht="15" customHeight="1">
      <c r="A1" s="22"/>
    </row>
    <row r="2" spans="1:9" ht="15" customHeight="1">
      <c r="A2" s="23"/>
      <c r="B2" s="23"/>
      <c r="C2" s="23"/>
      <c r="D2" s="23"/>
      <c r="E2" s="23"/>
      <c r="F2" s="23"/>
      <c r="G2" s="23"/>
      <c r="H2" s="23"/>
    </row>
    <row r="3" spans="1:9" ht="15.75" customHeight="1">
      <c r="A3" s="23"/>
      <c r="B3" s="225" t="s">
        <v>234</v>
      </c>
      <c r="C3" s="225"/>
      <c r="D3" s="225"/>
      <c r="E3" s="225"/>
      <c r="F3" s="225"/>
      <c r="G3" s="225"/>
      <c r="H3" s="225"/>
    </row>
    <row r="4" spans="1:9">
      <c r="A4" s="23"/>
      <c r="B4" s="24" t="s">
        <v>235</v>
      </c>
      <c r="C4" s="24" t="s">
        <v>236</v>
      </c>
      <c r="D4" s="24" t="s">
        <v>237</v>
      </c>
      <c r="E4" s="24" t="s">
        <v>238</v>
      </c>
      <c r="F4" s="24" t="s">
        <v>239</v>
      </c>
      <c r="G4" s="24" t="s">
        <v>240</v>
      </c>
      <c r="H4" s="24" t="s">
        <v>241</v>
      </c>
    </row>
    <row r="5" spans="1:9" ht="15" customHeight="1">
      <c r="A5" s="23"/>
      <c r="B5" s="25" t="s">
        <v>242</v>
      </c>
      <c r="C5" s="26" t="s">
        <v>243</v>
      </c>
      <c r="D5" s="25" t="s">
        <v>244</v>
      </c>
      <c r="E5" s="25">
        <v>602</v>
      </c>
      <c r="F5" s="27">
        <f>E5*1.5</f>
        <v>903</v>
      </c>
      <c r="G5" s="27">
        <f>H5/F5</f>
        <v>5850.4983388704322</v>
      </c>
      <c r="H5" s="28">
        <v>5283000</v>
      </c>
    </row>
    <row r="6" spans="1:9">
      <c r="A6" s="23"/>
      <c r="B6" s="25" t="s">
        <v>242</v>
      </c>
      <c r="C6" s="26" t="s">
        <v>243</v>
      </c>
      <c r="D6" s="25" t="s">
        <v>245</v>
      </c>
      <c r="E6" s="25">
        <v>885</v>
      </c>
      <c r="F6" s="27">
        <f>E6*1.5</f>
        <v>1327.5</v>
      </c>
      <c r="G6" s="27">
        <f t="shared" ref="G6" si="0">H6/F6</f>
        <v>5850.0941619585683</v>
      </c>
      <c r="H6" s="28">
        <v>7766000</v>
      </c>
    </row>
    <row r="7" spans="1:9" ht="15" customHeight="1">
      <c r="A7" s="23"/>
      <c r="B7" s="29" t="s">
        <v>246</v>
      </c>
      <c r="C7" s="25"/>
      <c r="D7" s="25"/>
      <c r="E7" s="25"/>
      <c r="F7" s="25"/>
      <c r="G7" s="30">
        <f>AVERAGE(G5:G6)</f>
        <v>5850.2962504144998</v>
      </c>
      <c r="H7" s="25"/>
    </row>
    <row r="8" spans="1:9" ht="15" customHeight="1">
      <c r="B8" s="29" t="s">
        <v>247</v>
      </c>
      <c r="C8" s="25"/>
      <c r="D8" s="25"/>
      <c r="E8" s="25"/>
      <c r="F8" s="31"/>
      <c r="G8" s="29">
        <v>5850</v>
      </c>
      <c r="H8" s="29"/>
      <c r="I8" s="32"/>
    </row>
    <row r="9" spans="1:9" ht="15" customHeight="1"/>
    <row r="10" spans="1:9" ht="15" customHeight="1"/>
    <row r="11" spans="1:9" ht="15" customHeight="1"/>
  </sheetData>
  <mergeCells count="1">
    <mergeCell ref="B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9"/>
  <sheetViews>
    <sheetView workbookViewId="0">
      <selection activeCell="C9" sqref="C9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103</v>
      </c>
      <c r="B2" s="7" t="s">
        <v>105</v>
      </c>
      <c r="C2" s="7" t="s">
        <v>104</v>
      </c>
      <c r="D2" s="221" t="s">
        <v>196</v>
      </c>
      <c r="E2" s="221"/>
    </row>
    <row r="3" spans="1:13">
      <c r="A3" s="9">
        <v>0</v>
      </c>
      <c r="B3" s="9">
        <v>0</v>
      </c>
      <c r="C3" s="9">
        <v>1</v>
      </c>
      <c r="D3" s="223">
        <v>7</v>
      </c>
      <c r="E3" s="223"/>
    </row>
    <row r="5" spans="1:13" hidden="1">
      <c r="A5" s="6" t="s">
        <v>197</v>
      </c>
      <c r="B5" s="11" t="s">
        <v>198</v>
      </c>
      <c r="C5" s="11">
        <f>D3</f>
        <v>7</v>
      </c>
      <c r="D5" s="12"/>
    </row>
    <row r="6" spans="1:13">
      <c r="A6" s="6" t="s">
        <v>199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200</v>
      </c>
      <c r="B7" s="8">
        <f>A3+B3+C3+D3</f>
        <v>8</v>
      </c>
      <c r="C7" s="10">
        <v>7</v>
      </c>
      <c r="D7" s="13">
        <f t="shared" ref="D7:D12" si="0">((100/B7)*C7)/100</f>
        <v>0.875</v>
      </c>
      <c r="F7" s="224" t="s">
        <v>201</v>
      </c>
      <c r="G7" s="224"/>
      <c r="H7" s="14" t="s">
        <v>202</v>
      </c>
      <c r="J7" s="20"/>
    </row>
    <row r="8" spans="1:13">
      <c r="A8" s="6" t="s">
        <v>203</v>
      </c>
      <c r="B8" s="8">
        <f>C5</f>
        <v>7</v>
      </c>
      <c r="C8" s="10">
        <v>3</v>
      </c>
      <c r="D8" s="13">
        <f t="shared" si="0"/>
        <v>0.4285714285714286</v>
      </c>
      <c r="F8" s="222" t="s">
        <v>204</v>
      </c>
      <c r="G8" s="222"/>
      <c r="H8" s="8" t="s">
        <v>205</v>
      </c>
    </row>
    <row r="9" spans="1:13">
      <c r="A9" s="6" t="s">
        <v>206</v>
      </c>
      <c r="B9" s="8">
        <f>C5</f>
        <v>7</v>
      </c>
      <c r="C9" s="10">
        <v>0</v>
      </c>
      <c r="D9" s="13">
        <f t="shared" si="0"/>
        <v>0</v>
      </c>
      <c r="F9" s="222" t="s">
        <v>207</v>
      </c>
      <c r="G9" s="222"/>
      <c r="H9" s="8" t="s">
        <v>149</v>
      </c>
    </row>
    <row r="10" spans="1:13">
      <c r="A10" s="6" t="s">
        <v>208</v>
      </c>
      <c r="B10" s="8">
        <f>C5</f>
        <v>7</v>
      </c>
      <c r="C10" s="10">
        <v>0</v>
      </c>
      <c r="D10" s="13">
        <f t="shared" si="0"/>
        <v>0</v>
      </c>
      <c r="F10" s="222" t="s">
        <v>209</v>
      </c>
      <c r="G10" s="222"/>
      <c r="H10" s="8" t="s">
        <v>210</v>
      </c>
    </row>
    <row r="11" spans="1:13">
      <c r="A11" s="15" t="s">
        <v>211</v>
      </c>
      <c r="B11" s="8">
        <f>C5</f>
        <v>7</v>
      </c>
      <c r="C11" s="10">
        <v>0</v>
      </c>
      <c r="D11" s="13">
        <f t="shared" si="0"/>
        <v>0</v>
      </c>
      <c r="F11" s="222" t="s">
        <v>212</v>
      </c>
      <c r="G11" s="222"/>
      <c r="H11" s="8" t="s">
        <v>213</v>
      </c>
    </row>
    <row r="12" spans="1:13">
      <c r="A12" s="6" t="s">
        <v>214</v>
      </c>
      <c r="B12" s="8">
        <f>C5</f>
        <v>7</v>
      </c>
      <c r="C12" s="10">
        <v>0</v>
      </c>
      <c r="D12" s="13">
        <f t="shared" si="0"/>
        <v>0</v>
      </c>
      <c r="F12" s="222" t="s">
        <v>215</v>
      </c>
      <c r="G12" s="222"/>
      <c r="H12" s="8" t="s">
        <v>216</v>
      </c>
    </row>
    <row r="13" spans="1:13">
      <c r="F13" s="222" t="s">
        <v>217</v>
      </c>
      <c r="G13" s="222"/>
      <c r="H13" s="8" t="s">
        <v>218</v>
      </c>
    </row>
    <row r="14" spans="1:13" hidden="1">
      <c r="A14" s="7"/>
      <c r="B14" s="7" t="s">
        <v>219</v>
      </c>
      <c r="C14" s="7" t="s">
        <v>220</v>
      </c>
      <c r="G14" s="7" t="s">
        <v>199</v>
      </c>
      <c r="H14" s="7" t="s">
        <v>221</v>
      </c>
      <c r="I14" s="7" t="s">
        <v>222</v>
      </c>
      <c r="J14" s="7" t="s">
        <v>223</v>
      </c>
      <c r="K14" s="7" t="s">
        <v>208</v>
      </c>
      <c r="L14" s="7" t="s">
        <v>211</v>
      </c>
      <c r="M14" s="7" t="s">
        <v>214</v>
      </c>
    </row>
    <row r="15" spans="1:13" hidden="1">
      <c r="A15" s="7" t="s">
        <v>117</v>
      </c>
      <c r="B15" s="7">
        <f>G15</f>
        <v>10</v>
      </c>
      <c r="C15" s="7">
        <f>G16</f>
        <v>30</v>
      </c>
      <c r="E15" s="221" t="s">
        <v>219</v>
      </c>
      <c r="F15" s="221"/>
      <c r="G15" s="16">
        <f>C6</f>
        <v>10</v>
      </c>
      <c r="H15" s="16">
        <f>40/B7*C7</f>
        <v>35</v>
      </c>
      <c r="I15" s="16">
        <f>15/B8*C8</f>
        <v>6.4285714285714288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224</v>
      </c>
      <c r="B16" s="7">
        <f>H15</f>
        <v>35</v>
      </c>
      <c r="C16" s="7">
        <f>H16</f>
        <v>26.25</v>
      </c>
      <c r="E16" s="221" t="s">
        <v>225</v>
      </c>
      <c r="F16" s="221"/>
      <c r="G16" s="7">
        <f>G15+20</f>
        <v>30</v>
      </c>
      <c r="H16" s="7">
        <f>30/B7*C7</f>
        <v>26.25</v>
      </c>
      <c r="I16" s="7">
        <f>15/B8*C8</f>
        <v>6.4285714285714288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222</v>
      </c>
      <c r="B17" s="7">
        <f>I15</f>
        <v>6.4285714285714288</v>
      </c>
      <c r="C17" s="7">
        <f>I16</f>
        <v>6.4285714285714288</v>
      </c>
    </row>
    <row r="18" spans="1:8" hidden="1">
      <c r="A18" s="7" t="s">
        <v>223</v>
      </c>
      <c r="B18" s="7">
        <f>J15</f>
        <v>0</v>
      </c>
      <c r="C18" s="7">
        <f>J16</f>
        <v>0</v>
      </c>
    </row>
    <row r="19" spans="1:8" hidden="1">
      <c r="A19" s="7" t="s">
        <v>208</v>
      </c>
      <c r="B19" s="7">
        <f>K15</f>
        <v>0</v>
      </c>
      <c r="C19" s="7">
        <f>K16</f>
        <v>0</v>
      </c>
    </row>
    <row r="20" spans="1:8" hidden="1">
      <c r="A20" s="17" t="s">
        <v>211</v>
      </c>
      <c r="B20" s="7">
        <f>L15</f>
        <v>0</v>
      </c>
      <c r="C20" s="7">
        <f>L16</f>
        <v>0</v>
      </c>
    </row>
    <row r="21" spans="1:8" hidden="1">
      <c r="A21" s="7" t="s">
        <v>214</v>
      </c>
      <c r="B21" s="7">
        <f>M15</f>
        <v>0</v>
      </c>
      <c r="C21" s="7">
        <f>M16</f>
        <v>0</v>
      </c>
    </row>
    <row r="22" spans="1:8">
      <c r="A22" s="7" t="s">
        <v>226</v>
      </c>
      <c r="B22" s="18">
        <f>(B15+B16+B17+B18+B19+B20+B21)/100</f>
        <v>0.51428571428571435</v>
      </c>
      <c r="C22" s="18">
        <f>(C15+C16+C17+C18+C19+C20+C21)/100</f>
        <v>0.62678571428571428</v>
      </c>
      <c r="F22" s="222" t="s">
        <v>227</v>
      </c>
      <c r="G22" s="222"/>
      <c r="H22" s="8" t="s">
        <v>149</v>
      </c>
    </row>
    <row r="23" spans="1:8">
      <c r="F23" s="222" t="s">
        <v>228</v>
      </c>
      <c r="G23" s="222"/>
      <c r="H23" s="8" t="s">
        <v>229</v>
      </c>
    </row>
    <row r="24" spans="1:8">
      <c r="A24" s="6" t="s">
        <v>116</v>
      </c>
      <c r="B24" s="19">
        <v>0.01</v>
      </c>
      <c r="C24" s="19">
        <v>0.02</v>
      </c>
      <c r="F24" s="222" t="s">
        <v>230</v>
      </c>
      <c r="G24" s="222"/>
      <c r="H24" s="8" t="s">
        <v>231</v>
      </c>
    </row>
    <row r="25" spans="1:8">
      <c r="A25" s="6" t="s">
        <v>118</v>
      </c>
      <c r="B25" s="19">
        <v>0.01</v>
      </c>
      <c r="C25" s="19">
        <v>0.03</v>
      </c>
    </row>
    <row r="26" spans="1:8">
      <c r="A26" s="6" t="s">
        <v>120</v>
      </c>
      <c r="B26" s="19">
        <v>0.03</v>
      </c>
      <c r="C26" s="19">
        <v>0.08</v>
      </c>
    </row>
    <row r="27" spans="1:8">
      <c r="A27" s="6" t="s">
        <v>123</v>
      </c>
      <c r="B27" s="19">
        <v>0.05</v>
      </c>
      <c r="C27" s="19">
        <v>0.15</v>
      </c>
    </row>
    <row r="28" spans="1:8">
      <c r="A28" s="6" t="s">
        <v>134</v>
      </c>
      <c r="B28" s="19">
        <v>7.0000000000000007E-2</v>
      </c>
      <c r="C28" s="19">
        <v>0.2</v>
      </c>
    </row>
    <row r="29" spans="1:8">
      <c r="A29" s="6" t="s">
        <v>136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36"/>
  <sheetViews>
    <sheetView workbookViewId="0">
      <selection activeCell="I6" sqref="I6"/>
    </sheetView>
  </sheetViews>
  <sheetFormatPr defaultColWidth="9" defaultRowHeight="15"/>
  <cols>
    <col min="2" max="2" width="12.28515625" customWidth="1"/>
  </cols>
  <sheetData>
    <row r="2" spans="1:16">
      <c r="B2" s="1" t="s">
        <v>248</v>
      </c>
      <c r="C2" s="226"/>
      <c r="D2" s="226"/>
    </row>
    <row r="3" spans="1:16">
      <c r="D3" s="2"/>
      <c r="E3" s="2"/>
      <c r="F3" s="2"/>
      <c r="G3" s="2"/>
      <c r="H3" s="2"/>
      <c r="I3" s="2"/>
    </row>
    <row r="4" spans="1:16">
      <c r="A4" s="1" t="s">
        <v>237</v>
      </c>
      <c r="B4" s="3" t="s">
        <v>249</v>
      </c>
      <c r="C4" s="227" t="s">
        <v>250</v>
      </c>
      <c r="D4" s="227"/>
      <c r="E4" s="227"/>
      <c r="F4" s="4"/>
      <c r="G4" s="227" t="s">
        <v>251</v>
      </c>
      <c r="H4" s="227"/>
      <c r="I4" s="227"/>
      <c r="J4" s="227" t="s">
        <v>252</v>
      </c>
      <c r="K4" s="227"/>
      <c r="L4" s="227"/>
    </row>
    <row r="5" spans="1:16">
      <c r="A5" s="1">
        <v>1</v>
      </c>
      <c r="B5" s="3"/>
      <c r="C5" s="3" t="s">
        <v>253</v>
      </c>
      <c r="D5" s="3" t="s">
        <v>254</v>
      </c>
      <c r="E5" s="3" t="s">
        <v>255</v>
      </c>
      <c r="F5" s="3"/>
      <c r="G5" s="3" t="s">
        <v>253</v>
      </c>
      <c r="H5" s="3" t="s">
        <v>254</v>
      </c>
      <c r="I5" s="3" t="s">
        <v>255</v>
      </c>
      <c r="J5" s="3" t="s">
        <v>253</v>
      </c>
      <c r="K5" s="3" t="s">
        <v>254</v>
      </c>
      <c r="L5" s="3" t="s">
        <v>255</v>
      </c>
    </row>
    <row r="6" spans="1:16">
      <c r="B6" s="5" t="s">
        <v>256</v>
      </c>
      <c r="C6" s="5">
        <f>10.2*2</f>
        <v>20.399999999999999</v>
      </c>
      <c r="D6" s="5">
        <f>3.9*2</f>
        <v>7.8</v>
      </c>
      <c r="E6" s="5">
        <f>C6*D6</f>
        <v>159.11999999999998</v>
      </c>
      <c r="F6" s="5" t="s">
        <v>257</v>
      </c>
      <c r="G6" s="5">
        <f>4.7*2</f>
        <v>9.4</v>
      </c>
      <c r="H6" s="5">
        <v>4</v>
      </c>
      <c r="I6" s="5">
        <f>G6*H6</f>
        <v>37.6</v>
      </c>
      <c r="J6" s="5">
        <f>17.3*2</f>
        <v>34.6</v>
      </c>
      <c r="K6" s="5">
        <v>30</v>
      </c>
      <c r="L6" s="5">
        <f>J6*K6</f>
        <v>1038</v>
      </c>
    </row>
    <row r="7" spans="1:16">
      <c r="B7" s="5"/>
      <c r="C7" s="5">
        <f>10.7*2</f>
        <v>21.4</v>
      </c>
      <c r="D7" s="5">
        <f>3.8*2</f>
        <v>7.6</v>
      </c>
      <c r="E7" s="5">
        <f t="shared" ref="E7:E33" si="0">C7*D7</f>
        <v>162.63999999999999</v>
      </c>
      <c r="F7" s="5" t="s">
        <v>258</v>
      </c>
      <c r="G7" s="5">
        <f>5.2*2</f>
        <v>10.4</v>
      </c>
      <c r="H7" s="5">
        <f>1.9*2</f>
        <v>3.8</v>
      </c>
      <c r="I7" s="5">
        <f t="shared" ref="I7:I33" si="1">G7*H7</f>
        <v>39.519999999999996</v>
      </c>
      <c r="J7" s="5">
        <f>7.7*2</f>
        <v>15.4</v>
      </c>
      <c r="K7" s="5">
        <f>3.8*2</f>
        <v>7.6</v>
      </c>
      <c r="L7" s="5">
        <f t="shared" ref="L7:L33" si="2">J7*K7</f>
        <v>117.03999999999999</v>
      </c>
      <c r="P7">
        <f>L6+L7</f>
        <v>1155.04</v>
      </c>
    </row>
    <row r="8" spans="1:16">
      <c r="B8" s="5"/>
      <c r="C8" s="5">
        <f>10.7*2</f>
        <v>21.4</v>
      </c>
      <c r="D8" s="5">
        <f>3.8*2</f>
        <v>7.6</v>
      </c>
      <c r="E8" s="5">
        <f t="shared" si="0"/>
        <v>162.63999999999999</v>
      </c>
      <c r="F8" s="5"/>
      <c r="G8" s="5">
        <f>3.7*2</f>
        <v>7.4</v>
      </c>
      <c r="H8" s="5">
        <f>4</f>
        <v>4</v>
      </c>
      <c r="I8" s="5">
        <f t="shared" si="1"/>
        <v>29.6</v>
      </c>
      <c r="J8" s="5"/>
      <c r="K8" s="5"/>
      <c r="L8" s="5">
        <f t="shared" si="2"/>
        <v>0</v>
      </c>
    </row>
    <row r="9" spans="1:16">
      <c r="B9" s="5" t="s">
        <v>259</v>
      </c>
      <c r="C9" s="5">
        <f>11.2*2</f>
        <v>22.4</v>
      </c>
      <c r="D9" s="5">
        <f>3.9*2</f>
        <v>7.8</v>
      </c>
      <c r="E9" s="5">
        <f t="shared" si="0"/>
        <v>174.72</v>
      </c>
      <c r="F9" s="5" t="s">
        <v>257</v>
      </c>
      <c r="G9" s="5">
        <v>8</v>
      </c>
      <c r="H9" s="5">
        <v>4</v>
      </c>
      <c r="I9" s="5">
        <f t="shared" si="1"/>
        <v>32</v>
      </c>
      <c r="J9" s="5"/>
      <c r="K9" s="5"/>
      <c r="L9" s="5">
        <f t="shared" si="2"/>
        <v>0</v>
      </c>
    </row>
    <row r="10" spans="1:16">
      <c r="B10" s="5"/>
      <c r="C10" s="5">
        <f>11.5*2</f>
        <v>23</v>
      </c>
      <c r="D10" s="5">
        <f>3.9*2</f>
        <v>7.8</v>
      </c>
      <c r="E10" s="5">
        <f t="shared" si="0"/>
        <v>179.4</v>
      </c>
      <c r="F10" s="5" t="s">
        <v>258</v>
      </c>
      <c r="G10" s="5">
        <f>4.4*2</f>
        <v>8.8000000000000007</v>
      </c>
      <c r="H10" s="5">
        <v>4</v>
      </c>
      <c r="I10" s="5">
        <f t="shared" si="1"/>
        <v>35.200000000000003</v>
      </c>
      <c r="J10" s="5"/>
      <c r="K10" s="5"/>
      <c r="L10" s="5">
        <f t="shared" si="2"/>
        <v>0</v>
      </c>
    </row>
    <row r="11" spans="1:16">
      <c r="B11" s="5"/>
      <c r="C11" s="5">
        <f>11.6*2</f>
        <v>23.2</v>
      </c>
      <c r="D11" s="5">
        <f>3.9*2</f>
        <v>7.8</v>
      </c>
      <c r="E11" s="5">
        <f t="shared" si="0"/>
        <v>180.95999999999998</v>
      </c>
      <c r="F11" s="5"/>
      <c r="G11" s="5">
        <f>4.6*2</f>
        <v>9.1999999999999993</v>
      </c>
      <c r="H11" s="5">
        <f>1.9*2</f>
        <v>3.8</v>
      </c>
      <c r="I11" s="5">
        <f t="shared" si="1"/>
        <v>34.959999999999994</v>
      </c>
      <c r="J11" s="5"/>
      <c r="K11" s="5"/>
      <c r="L11" s="5">
        <f t="shared" si="2"/>
        <v>0</v>
      </c>
    </row>
    <row r="12" spans="1:16">
      <c r="B12" s="5"/>
      <c r="C12" s="5">
        <f>11.6*2</f>
        <v>23.2</v>
      </c>
      <c r="D12" s="5">
        <f>3.8*2</f>
        <v>7.6</v>
      </c>
      <c r="E12" s="5">
        <f t="shared" si="0"/>
        <v>176.32</v>
      </c>
      <c r="F12" s="5"/>
      <c r="G12" s="5">
        <f>4.9*2</f>
        <v>9.8000000000000007</v>
      </c>
      <c r="H12" s="5">
        <f>1.9*2</f>
        <v>3.8</v>
      </c>
      <c r="I12" s="5">
        <f t="shared" si="1"/>
        <v>37.24</v>
      </c>
      <c r="J12" s="5"/>
      <c r="K12" s="5"/>
      <c r="L12" s="5">
        <f t="shared" si="2"/>
        <v>0</v>
      </c>
    </row>
    <row r="13" spans="1:16">
      <c r="B13" s="5" t="s">
        <v>260</v>
      </c>
      <c r="C13" s="5">
        <f>11.5*2</f>
        <v>23</v>
      </c>
      <c r="D13" s="5">
        <f>3.8*2</f>
        <v>7.6</v>
      </c>
      <c r="E13" s="5">
        <f t="shared" si="0"/>
        <v>174.79999999999998</v>
      </c>
      <c r="F13" s="5" t="s">
        <v>257</v>
      </c>
      <c r="G13" s="5">
        <f>5*2</f>
        <v>10</v>
      </c>
      <c r="H13" s="5">
        <f>1.9*2</f>
        <v>3.8</v>
      </c>
      <c r="I13" s="5">
        <f t="shared" si="1"/>
        <v>38</v>
      </c>
      <c r="J13" s="5"/>
      <c r="K13" s="5"/>
      <c r="L13" s="5">
        <f t="shared" si="2"/>
        <v>0</v>
      </c>
    </row>
    <row r="14" spans="1:16">
      <c r="B14" s="5"/>
      <c r="C14" s="5">
        <f>11.2*2</f>
        <v>22.4</v>
      </c>
      <c r="D14" s="5">
        <f>3.9*2</f>
        <v>7.8</v>
      </c>
      <c r="E14" s="5">
        <f t="shared" si="0"/>
        <v>174.72</v>
      </c>
      <c r="F14" s="5" t="s">
        <v>258</v>
      </c>
      <c r="G14" s="5">
        <f>5.1*2</f>
        <v>10.199999999999999</v>
      </c>
      <c r="H14" s="5">
        <f>1.9*2</f>
        <v>3.8</v>
      </c>
      <c r="I14" s="5">
        <f t="shared" si="1"/>
        <v>38.76</v>
      </c>
      <c r="J14" s="5"/>
      <c r="K14" s="5"/>
      <c r="L14" s="5">
        <f t="shared" si="2"/>
        <v>0</v>
      </c>
    </row>
    <row r="15" spans="1:16">
      <c r="B15" s="5"/>
      <c r="C15" s="5">
        <f>10.8*2</f>
        <v>21.6</v>
      </c>
      <c r="D15" s="5">
        <f>3.8*2</f>
        <v>7.6</v>
      </c>
      <c r="E15" s="5">
        <f t="shared" si="0"/>
        <v>164.16</v>
      </c>
      <c r="F15" s="5"/>
      <c r="G15" s="5">
        <f>5.3*2</f>
        <v>10.6</v>
      </c>
      <c r="H15" s="5">
        <f>1.9*2</f>
        <v>3.8</v>
      </c>
      <c r="I15" s="5">
        <f t="shared" si="1"/>
        <v>40.279999999999994</v>
      </c>
      <c r="J15" s="5"/>
      <c r="K15" s="5"/>
      <c r="L15" s="5">
        <f t="shared" si="2"/>
        <v>0</v>
      </c>
    </row>
    <row r="16" spans="1:16">
      <c r="B16" s="5"/>
      <c r="C16" s="5">
        <f>10.2*2</f>
        <v>20.399999999999999</v>
      </c>
      <c r="D16" s="5">
        <f>3.8*2</f>
        <v>7.6</v>
      </c>
      <c r="E16" s="5">
        <f t="shared" si="0"/>
        <v>155.04</v>
      </c>
      <c r="F16" s="5"/>
      <c r="G16" s="5">
        <f>5.4*2</f>
        <v>10.8</v>
      </c>
      <c r="H16" s="5">
        <v>3.8</v>
      </c>
      <c r="I16" s="5">
        <f t="shared" si="1"/>
        <v>41.04</v>
      </c>
      <c r="J16" s="5"/>
      <c r="K16" s="5"/>
      <c r="L16" s="5">
        <f t="shared" si="2"/>
        <v>0</v>
      </c>
    </row>
    <row r="17" spans="2:12">
      <c r="B17" s="5" t="s">
        <v>261</v>
      </c>
      <c r="C17" s="5"/>
      <c r="D17" s="5"/>
      <c r="E17" s="5">
        <f t="shared" si="0"/>
        <v>0</v>
      </c>
      <c r="F17" s="5" t="s">
        <v>257</v>
      </c>
      <c r="G17" s="5">
        <f>5.5*2</f>
        <v>11</v>
      </c>
      <c r="H17" s="5">
        <v>3.8</v>
      </c>
      <c r="I17" s="5">
        <f t="shared" si="1"/>
        <v>41.8</v>
      </c>
      <c r="J17" s="5"/>
      <c r="K17" s="5"/>
      <c r="L17" s="5">
        <f t="shared" si="2"/>
        <v>0</v>
      </c>
    </row>
    <row r="18" spans="2:12">
      <c r="B18" s="5"/>
      <c r="C18" s="5"/>
      <c r="D18" s="5"/>
      <c r="E18" s="5">
        <f t="shared" si="0"/>
        <v>0</v>
      </c>
      <c r="F18" s="5" t="s">
        <v>258</v>
      </c>
      <c r="G18" s="5">
        <f>5.5*2</f>
        <v>11</v>
      </c>
      <c r="H18" s="5">
        <v>3.8</v>
      </c>
      <c r="I18" s="5">
        <f t="shared" si="1"/>
        <v>41.8</v>
      </c>
      <c r="J18" s="5"/>
      <c r="K18" s="5"/>
      <c r="L18" s="5">
        <f t="shared" si="2"/>
        <v>0</v>
      </c>
    </row>
    <row r="19" spans="2:12">
      <c r="B19" s="5"/>
      <c r="C19" s="5"/>
      <c r="D19" s="5"/>
      <c r="E19" s="5">
        <f t="shared" si="0"/>
        <v>0</v>
      </c>
      <c r="F19" s="5"/>
      <c r="G19" s="5">
        <v>11</v>
      </c>
      <c r="H19" s="5">
        <v>3.8</v>
      </c>
      <c r="I19" s="5">
        <f t="shared" si="1"/>
        <v>41.8</v>
      </c>
      <c r="J19" s="5"/>
      <c r="K19" s="5"/>
      <c r="L19" s="5">
        <f t="shared" si="2"/>
        <v>0</v>
      </c>
    </row>
    <row r="20" spans="2:12">
      <c r="B20" s="5" t="s">
        <v>261</v>
      </c>
      <c r="C20" s="5"/>
      <c r="D20" s="5"/>
      <c r="E20" s="5">
        <f t="shared" si="0"/>
        <v>0</v>
      </c>
      <c r="F20" s="5" t="s">
        <v>257</v>
      </c>
      <c r="G20" s="5">
        <v>11</v>
      </c>
      <c r="H20" s="5">
        <v>3.8</v>
      </c>
      <c r="I20" s="5">
        <f t="shared" si="1"/>
        <v>41.8</v>
      </c>
      <c r="J20" s="5"/>
      <c r="K20" s="5"/>
      <c r="L20" s="5">
        <f t="shared" si="2"/>
        <v>0</v>
      </c>
    </row>
    <row r="21" spans="2:12">
      <c r="B21" s="5"/>
      <c r="C21" s="5"/>
      <c r="D21" s="5"/>
      <c r="E21" s="5">
        <f t="shared" si="0"/>
        <v>0</v>
      </c>
      <c r="F21" s="5" t="s">
        <v>258</v>
      </c>
      <c r="G21" s="5">
        <v>11</v>
      </c>
      <c r="H21" s="5">
        <v>3.8</v>
      </c>
      <c r="I21" s="5">
        <f t="shared" si="1"/>
        <v>41.8</v>
      </c>
      <c r="J21" s="5"/>
      <c r="K21" s="5"/>
      <c r="L21" s="5">
        <f t="shared" si="2"/>
        <v>0</v>
      </c>
    </row>
    <row r="22" spans="2:12">
      <c r="B22" s="5"/>
      <c r="C22" s="5"/>
      <c r="D22" s="5"/>
      <c r="E22" s="5">
        <f t="shared" si="0"/>
        <v>0</v>
      </c>
      <c r="F22" s="5"/>
      <c r="G22" s="5">
        <f>5.4*2</f>
        <v>10.8</v>
      </c>
      <c r="H22" s="5">
        <v>3.8</v>
      </c>
      <c r="I22" s="5">
        <f t="shared" si="1"/>
        <v>41.04</v>
      </c>
      <c r="J22" s="5"/>
      <c r="K22" s="5"/>
      <c r="L22" s="5">
        <f t="shared" si="2"/>
        <v>0</v>
      </c>
    </row>
    <row r="23" spans="2:12">
      <c r="B23" s="5" t="s">
        <v>262</v>
      </c>
      <c r="C23" s="5"/>
      <c r="D23" s="5"/>
      <c r="E23" s="5">
        <f t="shared" si="0"/>
        <v>0</v>
      </c>
      <c r="F23" s="5" t="s">
        <v>263</v>
      </c>
      <c r="G23" s="5">
        <f>5.2*2</f>
        <v>10.4</v>
      </c>
      <c r="H23" s="5">
        <v>3.8</v>
      </c>
      <c r="I23" s="5">
        <f t="shared" si="1"/>
        <v>39.519999999999996</v>
      </c>
      <c r="J23" s="5"/>
      <c r="K23" s="5"/>
      <c r="L23" s="5">
        <f t="shared" si="2"/>
        <v>0</v>
      </c>
    </row>
    <row r="24" spans="2:12">
      <c r="B24" s="5" t="s">
        <v>264</v>
      </c>
      <c r="C24" s="5"/>
      <c r="D24" s="5"/>
      <c r="E24" s="5">
        <f t="shared" si="0"/>
        <v>0</v>
      </c>
      <c r="F24" s="5" t="s">
        <v>263</v>
      </c>
      <c r="G24" s="5">
        <v>10</v>
      </c>
      <c r="H24" s="5">
        <v>3.8</v>
      </c>
      <c r="I24" s="5">
        <f t="shared" si="1"/>
        <v>38</v>
      </c>
      <c r="J24" s="5"/>
      <c r="K24" s="5"/>
      <c r="L24" s="5">
        <f t="shared" si="2"/>
        <v>0</v>
      </c>
    </row>
    <row r="25" spans="2:12">
      <c r="B25" s="5" t="s">
        <v>265</v>
      </c>
      <c r="C25" s="5"/>
      <c r="D25" s="5"/>
      <c r="E25" s="5">
        <f t="shared" si="0"/>
        <v>0</v>
      </c>
      <c r="F25" s="5" t="s">
        <v>263</v>
      </c>
      <c r="G25" s="5">
        <f>4.8*2</f>
        <v>9.6</v>
      </c>
      <c r="H25" s="5">
        <v>4</v>
      </c>
      <c r="I25" s="5">
        <f t="shared" si="1"/>
        <v>38.4</v>
      </c>
      <c r="J25" s="5"/>
      <c r="K25" s="5"/>
      <c r="L25" s="5">
        <f t="shared" si="2"/>
        <v>0</v>
      </c>
    </row>
    <row r="26" spans="2:12">
      <c r="B26" s="5"/>
      <c r="C26" s="5"/>
      <c r="D26" s="5"/>
      <c r="E26" s="5">
        <f t="shared" si="0"/>
        <v>0</v>
      </c>
      <c r="F26" s="5"/>
      <c r="G26" s="5">
        <f>4.6*2</f>
        <v>9.1999999999999993</v>
      </c>
      <c r="H26" s="5">
        <v>4</v>
      </c>
      <c r="I26" s="5">
        <f t="shared" si="1"/>
        <v>36.799999999999997</v>
      </c>
      <c r="J26" s="5"/>
      <c r="K26" s="5"/>
      <c r="L26" s="5">
        <f t="shared" si="2"/>
        <v>0</v>
      </c>
    </row>
    <row r="27" spans="2:12">
      <c r="B27" s="5" t="s">
        <v>266</v>
      </c>
      <c r="C27" s="5"/>
      <c r="D27" s="5"/>
      <c r="E27" s="5">
        <f t="shared" si="0"/>
        <v>0</v>
      </c>
      <c r="F27" s="5"/>
      <c r="G27" s="5">
        <f>4.4*2</f>
        <v>8.8000000000000007</v>
      </c>
      <c r="H27" s="5">
        <v>3.8</v>
      </c>
      <c r="I27" s="5">
        <f t="shared" si="1"/>
        <v>33.44</v>
      </c>
      <c r="J27" s="5"/>
      <c r="K27" s="5"/>
      <c r="L27" s="5">
        <f t="shared" si="2"/>
        <v>0</v>
      </c>
    </row>
    <row r="28" spans="2:12">
      <c r="B28" s="5" t="s">
        <v>267</v>
      </c>
      <c r="C28" s="5"/>
      <c r="D28" s="5"/>
      <c r="E28" s="5">
        <f t="shared" si="0"/>
        <v>0</v>
      </c>
      <c r="F28" s="5"/>
      <c r="G28" s="5">
        <v>8</v>
      </c>
      <c r="H28" s="5">
        <v>3.8</v>
      </c>
      <c r="I28" s="5">
        <f t="shared" si="1"/>
        <v>30.4</v>
      </c>
      <c r="J28" s="5"/>
      <c r="K28" s="5"/>
      <c r="L28" s="5">
        <f t="shared" si="2"/>
        <v>0</v>
      </c>
    </row>
    <row r="29" spans="2:12">
      <c r="B29" s="5" t="s">
        <v>268</v>
      </c>
      <c r="C29" s="5"/>
      <c r="D29" s="5"/>
      <c r="E29" s="5">
        <f t="shared" si="0"/>
        <v>0</v>
      </c>
      <c r="F29" s="5"/>
      <c r="G29" s="5">
        <f>3.7*2</f>
        <v>7.4</v>
      </c>
      <c r="H29" s="5">
        <v>3.8</v>
      </c>
      <c r="I29" s="5">
        <f t="shared" si="1"/>
        <v>28.12</v>
      </c>
      <c r="J29" s="5"/>
      <c r="K29" s="5"/>
      <c r="L29" s="5">
        <f t="shared" si="2"/>
        <v>0</v>
      </c>
    </row>
    <row r="30" spans="2:12">
      <c r="B30" s="5" t="s">
        <v>269</v>
      </c>
      <c r="C30" s="5"/>
      <c r="D30" s="5"/>
      <c r="E30" s="5">
        <f t="shared" si="0"/>
        <v>0</v>
      </c>
      <c r="F30" s="5"/>
      <c r="G30" s="5">
        <f>3.2*2</f>
        <v>6.4</v>
      </c>
      <c r="H30" s="5">
        <v>3.8</v>
      </c>
      <c r="I30" s="5">
        <f t="shared" si="1"/>
        <v>24.32</v>
      </c>
      <c r="J30" s="5"/>
      <c r="K30" s="5"/>
      <c r="L30" s="5">
        <f t="shared" si="2"/>
        <v>0</v>
      </c>
    </row>
    <row r="31" spans="2:12">
      <c r="B31" s="5"/>
      <c r="C31" s="5"/>
      <c r="D31" s="5"/>
      <c r="E31" s="5">
        <f t="shared" si="0"/>
        <v>0</v>
      </c>
      <c r="F31" s="5"/>
      <c r="G31" s="5">
        <f>2.8*2</f>
        <v>5.6</v>
      </c>
      <c r="H31" s="5">
        <v>3.8</v>
      </c>
      <c r="I31" s="5">
        <f t="shared" si="1"/>
        <v>21.279999999999998</v>
      </c>
      <c r="J31" s="5"/>
      <c r="K31" s="5"/>
      <c r="L31" s="5">
        <f t="shared" si="2"/>
        <v>0</v>
      </c>
    </row>
    <row r="32" spans="2:12">
      <c r="B32" s="5"/>
      <c r="C32" s="5"/>
      <c r="D32" s="5"/>
      <c r="E32" s="5">
        <f t="shared" si="0"/>
        <v>0</v>
      </c>
      <c r="F32" s="5"/>
      <c r="G32" s="5"/>
      <c r="H32" s="5"/>
      <c r="I32" s="5">
        <f t="shared" si="1"/>
        <v>0</v>
      </c>
      <c r="J32" s="5"/>
      <c r="K32" s="5"/>
      <c r="L32" s="5">
        <f t="shared" si="2"/>
        <v>0</v>
      </c>
    </row>
    <row r="33" spans="2:12">
      <c r="B33" s="5"/>
      <c r="C33" s="5"/>
      <c r="D33" s="5"/>
      <c r="E33" s="5">
        <f t="shared" si="0"/>
        <v>0</v>
      </c>
      <c r="F33" s="5"/>
      <c r="G33" s="5"/>
      <c r="H33" s="5"/>
      <c r="I33" s="5">
        <f t="shared" si="1"/>
        <v>0</v>
      </c>
      <c r="J33" s="5"/>
      <c r="K33" s="5"/>
      <c r="L33" s="5">
        <f t="shared" si="2"/>
        <v>0</v>
      </c>
    </row>
    <row r="34" spans="2:12">
      <c r="B34" s="5" t="s">
        <v>270</v>
      </c>
      <c r="C34" s="5"/>
      <c r="D34" s="5">
        <f>E34*10.764</f>
        <v>20069.69328</v>
      </c>
      <c r="E34" s="5">
        <f>SUM(E6:E33)</f>
        <v>1864.52</v>
      </c>
      <c r="F34" s="5"/>
      <c r="G34" s="5"/>
      <c r="H34" s="5">
        <f>I34*10.764</f>
        <v>10166.813279999998</v>
      </c>
      <c r="I34" s="5">
        <f>SUM(I6:I33)</f>
        <v>944.51999999999987</v>
      </c>
      <c r="J34" s="5"/>
      <c r="K34" s="5">
        <f>L34*10.764</f>
        <v>12432.850559999999</v>
      </c>
      <c r="L34" s="5">
        <f>SUM(L6:L33)</f>
        <v>1155.04</v>
      </c>
    </row>
    <row r="36" spans="2:12">
      <c r="D36">
        <f>D34+H34</f>
        <v>30236.506559999998</v>
      </c>
      <c r="E36">
        <f>E34+I34</f>
        <v>2809.04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Report (2)</vt:lpstr>
      <vt:lpstr>Sheet1</vt:lpstr>
      <vt:lpstr>A%</vt:lpstr>
      <vt:lpstr>Note</vt:lpstr>
      <vt:lpstr>Valuation</vt:lpstr>
      <vt:lpstr>C%</vt:lpstr>
      <vt:lpstr>Flat detail</vt:lpstr>
      <vt:lpstr>'Report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2025-09-13T08:10:45Z</cp:lastPrinted>
  <dcterms:created xsi:type="dcterms:W3CDTF">2019-07-16T09:29:00Z</dcterms:created>
  <dcterms:modified xsi:type="dcterms:W3CDTF">2025-09-13T08:12:40Z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0225A5501EA34A9CA26850E922302218_12</vt:lpwstr>
  </property>
  <property fmtid="{D5CDD505-2E9C-101B-9397-08002B2CF9AE}" pid="3" name="KSOProductBuildVer">
    <vt:lpwstr>1033-12.2.0.20326</vt:lpwstr>
  </property>
</Properties>
</file>