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D2B9BFBE-25C8-4A25-93F2-29455711CC11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8" i="1" l="1"/>
  <c r="C82" i="1"/>
  <c r="C110" i="1" l="1"/>
  <c r="C96" i="1" l="1"/>
  <c r="J107" i="1"/>
  <c r="J106" i="1"/>
  <c r="J105" i="1"/>
  <c r="J104" i="1"/>
  <c r="H97" i="1"/>
  <c r="D109" i="1" l="1"/>
  <c r="D107" i="1"/>
  <c r="D105" i="1"/>
  <c r="D103" i="1"/>
  <c r="J102" i="1"/>
  <c r="J103" i="1" s="1"/>
  <c r="J108" i="1" s="1"/>
  <c r="J100" i="1"/>
  <c r="J99" i="1"/>
  <c r="D108" i="1"/>
  <c r="D106" i="1"/>
  <c r="D104" i="1"/>
  <c r="D102" i="1"/>
  <c r="J101" i="1"/>
  <c r="C100" i="1" s="1"/>
  <c r="J96" i="1"/>
  <c r="J98" i="1" s="1"/>
  <c r="J109" i="1" l="1"/>
  <c r="D100" i="1"/>
  <c r="K187" i="1"/>
  <c r="K188" i="1"/>
  <c r="K189" i="1"/>
  <c r="K190" i="1"/>
  <c r="K191" i="1"/>
  <c r="K192" i="1"/>
  <c r="K193" i="1"/>
  <c r="J187" i="1"/>
  <c r="B242" i="1"/>
  <c r="D185" i="1"/>
  <c r="D184" i="1"/>
  <c r="D183" i="1"/>
  <c r="D182" i="1"/>
  <c r="D181" i="1"/>
  <c r="D180" i="1"/>
  <c r="D179" i="1"/>
  <c r="A179" i="1"/>
  <c r="A180" i="1" s="1"/>
  <c r="A181" i="1" s="1"/>
  <c r="A182" i="1" s="1"/>
  <c r="A183" i="1" s="1"/>
  <c r="A184" i="1" s="1"/>
  <c r="A185" i="1" s="1"/>
  <c r="I178" i="1"/>
  <c r="G178" i="1"/>
  <c r="G179" i="1" s="1"/>
  <c r="G180" i="1" s="1"/>
  <c r="G181" i="1" s="1"/>
  <c r="G182" i="1" s="1"/>
  <c r="G183" i="1" s="1"/>
  <c r="G184" i="1" s="1"/>
  <c r="G185" i="1" s="1"/>
  <c r="D178" i="1"/>
  <c r="C101" i="1" l="1"/>
  <c r="G100" i="1" s="1"/>
  <c r="D66" i="1" s="1"/>
  <c r="D235" i="1"/>
  <c r="E170" i="1"/>
  <c r="E169" i="1"/>
  <c r="D238" i="1"/>
  <c r="F238" i="1" s="1"/>
  <c r="K238" i="1" s="1"/>
  <c r="D236" i="1"/>
  <c r="F236" i="1" s="1"/>
  <c r="K236" i="1" s="1"/>
  <c r="D234" i="1"/>
  <c r="F234" i="1" s="1"/>
  <c r="D233" i="1"/>
  <c r="F233" i="1" s="1"/>
  <c r="K233" i="1" s="1"/>
  <c r="D232" i="1"/>
  <c r="F232" i="1" s="1"/>
  <c r="D228" i="1"/>
  <c r="F228" i="1" s="1"/>
  <c r="D237" i="1"/>
  <c r="F237" i="1" s="1"/>
  <c r="K237" i="1" s="1"/>
  <c r="A233" i="1"/>
  <c r="A234" i="1" s="1"/>
  <c r="A235" i="1" s="1"/>
  <c r="A236" i="1" s="1"/>
  <c r="A237" i="1" s="1"/>
  <c r="A238" i="1" s="1"/>
  <c r="G232" i="1"/>
  <c r="J97" i="1" l="1"/>
  <c r="E100" i="1"/>
  <c r="D101" i="1"/>
  <c r="I97" i="1" s="1"/>
  <c r="I98" i="1" s="1"/>
  <c r="J232" i="1"/>
  <c r="K232" i="1"/>
  <c r="J234" i="1"/>
  <c r="K234" i="1"/>
  <c r="F235" i="1"/>
  <c r="G149" i="1" s="1"/>
  <c r="E149" i="1"/>
  <c r="C149" i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0" i="1"/>
  <c r="F220" i="1" s="1"/>
  <c r="D221" i="1"/>
  <c r="F221" i="1" s="1"/>
  <c r="A221" i="1"/>
  <c r="A222" i="1" s="1"/>
  <c r="A223" i="1" s="1"/>
  <c r="A224" i="1" s="1"/>
  <c r="A225" i="1" s="1"/>
  <c r="A226" i="1" s="1"/>
  <c r="A227" i="1" s="1"/>
  <c r="A228" i="1" s="1"/>
  <c r="G220" i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A210" i="1"/>
  <c r="A211" i="1" s="1"/>
  <c r="A212" i="1" s="1"/>
  <c r="A213" i="1" s="1"/>
  <c r="A214" i="1" s="1"/>
  <c r="A215" i="1" s="1"/>
  <c r="A216" i="1" s="1"/>
  <c r="G209" i="1"/>
  <c r="D209" i="1"/>
  <c r="F209" i="1" s="1"/>
  <c r="D205" i="1"/>
  <c r="D204" i="1"/>
  <c r="D203" i="1"/>
  <c r="D200" i="1"/>
  <c r="D199" i="1"/>
  <c r="D198" i="1"/>
  <c r="D202" i="1"/>
  <c r="D201" i="1"/>
  <c r="A199" i="1"/>
  <c r="A200" i="1" s="1"/>
  <c r="A201" i="1" s="1"/>
  <c r="A202" i="1" s="1"/>
  <c r="A203" i="1" s="1"/>
  <c r="A204" i="1" s="1"/>
  <c r="A205" i="1" s="1"/>
  <c r="G198" i="1"/>
  <c r="D194" i="1"/>
  <c r="D193" i="1"/>
  <c r="D192" i="1"/>
  <c r="D191" i="1"/>
  <c r="D190" i="1"/>
  <c r="D189" i="1"/>
  <c r="D188" i="1"/>
  <c r="A188" i="1"/>
  <c r="A189" i="1" s="1"/>
  <c r="A190" i="1" s="1"/>
  <c r="A191" i="1" s="1"/>
  <c r="A192" i="1" s="1"/>
  <c r="A193" i="1" s="1"/>
  <c r="A194" i="1" s="1"/>
  <c r="I187" i="1"/>
  <c r="G187" i="1"/>
  <c r="D187" i="1"/>
  <c r="D176" i="1"/>
  <c r="D175" i="1"/>
  <c r="D172" i="1"/>
  <c r="D171" i="1"/>
  <c r="I171" i="1" s="1"/>
  <c r="D170" i="1"/>
  <c r="D169" i="1"/>
  <c r="D174" i="1"/>
  <c r="D173" i="1"/>
  <c r="I169" i="1"/>
  <c r="D163" i="1"/>
  <c r="D162" i="1"/>
  <c r="D161" i="1"/>
  <c r="D160" i="1"/>
  <c r="D159" i="1"/>
  <c r="D158" i="1"/>
  <c r="I158" i="1"/>
  <c r="I96" i="1" l="1"/>
  <c r="C98" i="1" s="1"/>
  <c r="I235" i="1"/>
  <c r="K235" i="1"/>
  <c r="E140" i="1"/>
  <c r="C140" i="1"/>
  <c r="E146" i="1"/>
  <c r="E145" i="1"/>
  <c r="G145" i="1"/>
  <c r="C145" i="1"/>
  <c r="C146" i="1"/>
  <c r="G146" i="1"/>
  <c r="C147" i="1"/>
  <c r="E147" i="1"/>
  <c r="C148" i="1"/>
  <c r="E148" i="1"/>
  <c r="G148" i="1"/>
  <c r="G147" i="1"/>
  <c r="F158" i="1"/>
  <c r="C150" i="1" l="1"/>
  <c r="E150" i="1"/>
  <c r="K145" i="1" s="1"/>
  <c r="G150" i="1"/>
  <c r="F163" i="1"/>
  <c r="F162" i="1"/>
  <c r="C13" i="1" l="1"/>
  <c r="E28" i="1" l="1"/>
  <c r="A170" i="1" l="1"/>
  <c r="A171" i="1" s="1"/>
  <c r="A172" i="1" s="1"/>
  <c r="A173" i="1" s="1"/>
  <c r="A174" i="1" s="1"/>
  <c r="A175" i="1" s="1"/>
  <c r="A176" i="1" s="1"/>
  <c r="G169" i="1"/>
  <c r="F137" i="1" l="1"/>
  <c r="F159" i="1" l="1"/>
  <c r="F160" i="1"/>
  <c r="F161" i="1"/>
  <c r="G140" i="1" l="1"/>
  <c r="J145" i="1" s="1"/>
  <c r="B24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2" i="1"/>
  <c r="A159" i="1"/>
  <c r="A160" i="1" s="1"/>
  <c r="A161" i="1" s="1"/>
  <c r="A162" i="1" s="1"/>
  <c r="A163" i="1" s="1"/>
  <c r="G158" i="1"/>
  <c r="J121" i="1"/>
  <c r="J120" i="1"/>
  <c r="J119" i="1"/>
  <c r="J118" i="1"/>
  <c r="J93" i="1"/>
  <c r="J92" i="1"/>
  <c r="J91" i="1"/>
  <c r="J90" i="1"/>
  <c r="J79" i="1"/>
  <c r="J78" i="1"/>
  <c r="J77" i="1"/>
  <c r="J76" i="1"/>
  <c r="D54" i="1"/>
  <c r="C48" i="1"/>
  <c r="E41" i="1"/>
  <c r="E42" i="1" s="1"/>
  <c r="E25" i="1"/>
  <c r="E23" i="1"/>
  <c r="E7" i="1"/>
  <c r="E3" i="1"/>
  <c r="H69" i="1"/>
  <c r="H83" i="1"/>
  <c r="H111" i="1"/>
  <c r="D62" i="1" l="1"/>
  <c r="D93" i="1"/>
  <c r="D94" i="1"/>
  <c r="D95" i="1"/>
  <c r="D89" i="1"/>
  <c r="D90" i="1"/>
  <c r="D91" i="1"/>
  <c r="D92" i="1"/>
  <c r="J82" i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81" i="1" s="1"/>
  <c r="C73" i="1" s="1"/>
  <c r="J110" i="1"/>
  <c r="J114" i="1"/>
  <c r="D123" i="1"/>
  <c r="D121" i="1"/>
  <c r="D119" i="1"/>
  <c r="D117" i="1"/>
  <c r="J115" i="1"/>
  <c r="J113" i="1"/>
  <c r="J116" i="1"/>
  <c r="D122" i="1"/>
  <c r="D120" i="1"/>
  <c r="D118" i="1"/>
  <c r="J88" i="1"/>
  <c r="J89" i="1" s="1"/>
  <c r="J86" i="1"/>
  <c r="J87" i="1"/>
  <c r="C86" i="1" s="1"/>
  <c r="J85" i="1"/>
  <c r="J117" i="1" l="1"/>
  <c r="J94" i="1"/>
  <c r="D116" i="1"/>
  <c r="J112" i="1"/>
  <c r="D114" i="1"/>
  <c r="D88" i="1"/>
  <c r="J84" i="1"/>
  <c r="D74" i="1"/>
  <c r="J70" i="1"/>
  <c r="E72" i="1"/>
  <c r="D73" i="1"/>
  <c r="G72" i="1"/>
  <c r="D72" i="1"/>
  <c r="J69" i="1" s="1"/>
  <c r="D86" i="1"/>
  <c r="J122" i="1" l="1"/>
  <c r="J123" i="1" s="1"/>
  <c r="C115" i="1" s="1"/>
  <c r="E114" i="1" s="1"/>
  <c r="J95" i="1"/>
  <c r="C87" i="1" s="1"/>
  <c r="E86" i="1" s="1"/>
  <c r="I69" i="1"/>
  <c r="F67" i="1"/>
  <c r="D67" i="1"/>
  <c r="G114" i="1" l="1"/>
  <c r="D115" i="1"/>
  <c r="I111" i="1" s="1"/>
  <c r="I112" i="1" s="1"/>
  <c r="J111" i="1"/>
  <c r="J83" i="1"/>
  <c r="D87" i="1"/>
  <c r="I83" i="1" s="1"/>
  <c r="I84" i="1" s="1"/>
  <c r="G86" i="1"/>
  <c r="I70" i="1"/>
  <c r="I68" i="1" s="1"/>
  <c r="C70" i="1" s="1"/>
  <c r="I110" i="1" l="1"/>
  <c r="C112" i="1" s="1"/>
  <c r="I82" i="1"/>
  <c r="C84" i="1" s="1"/>
</calcChain>
</file>

<file path=xl/sharedStrings.xml><?xml version="1.0" encoding="utf-8"?>
<sst xmlns="http://schemas.openxmlformats.org/spreadsheetml/2006/main" count="455" uniqueCount="234">
  <si>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</si>
  <si>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</si>
  <si>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</si>
  <si>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</si>
  <si>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</si>
  <si>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</si>
  <si>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</si>
  <si>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</si>
  <si>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</si>
  <si>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</si>
  <si>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</si>
  <si>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</si>
  <si>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</si>
  <si>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</si>
  <si>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</si>
  <si>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</si>
  <si>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</si>
  <si>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</si>
  <si>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</si>
  <si>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</si>
  <si>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</si>
  <si>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</si>
  <si>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</si>
  <si>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</si>
  <si>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</si>
  <si>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</si>
  <si>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</si>
  <si>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</si>
  <si>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</si>
  <si>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</si>
  <si>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</si>
  <si>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</si>
  <si>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</si>
  <si>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</si>
  <si>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</si>
  <si>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</si>
  <si>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</si>
  <si>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</si>
  <si>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</si>
  <si>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</si>
  <si>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</si>
  <si>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</si>
  <si>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</si>
  <si>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</si>
  <si>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</si>
  <si>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</si>
  <si>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</si>
  <si>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</si>
  <si>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</si>
  <si>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</si>
  <si>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</si>
  <si>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</si>
  <si>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</si>
  <si>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</si>
  <si>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</si>
  <si>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</si>
  <si>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</si>
  <si>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</si>
  <si>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</si>
  <si>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</si>
  <si>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</si>
  <si>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</si>
  <si>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</si>
  <si>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</si>
  <si>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</si>
  <si>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</si>
  <si>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</si>
  <si>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</si>
  <si>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</si>
  <si>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</si>
  <si>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</si>
  <si>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</si>
  <si>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</si>
  <si>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</si>
  <si>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</si>
  <si>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</si>
  <si>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</si>
  <si>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</si>
  <si>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</si>
  <si>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</si>
  <si>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</si>
  <si>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</si>
  <si>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</si>
  <si>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</si>
  <si>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</si>
  <si>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</si>
  <si>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</si>
  <si>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</si>
  <si>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</si>
  <si>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</si>
  <si>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</si>
  <si>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</si>
  <si>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</si>
  <si>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</si>
  <si>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</si>
  <si>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</si>
  <si>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</si>
  <si>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</si>
  <si>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</si>
  <si>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</si>
  <si>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</si>
  <si>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</si>
  <si>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</si>
  <si>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</si>
  <si>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</si>
  <si>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</si>
  <si>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</si>
  <si>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</si>
  <si>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</si>
  <si>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</si>
  <si>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</si>
  <si>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</si>
  <si>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</si>
  <si>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</si>
  <si>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</si>
  <si>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</si>
  <si>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</si>
  <si>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</si>
  <si>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</si>
  <si>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</si>
  <si>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</si>
  <si>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</si>
  <si>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</si>
  <si>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</si>
  <si>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</si>
  <si>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</si>
  <si>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</si>
  <si>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</si>
  <si>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</si>
  <si>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</si>
  <si>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</si>
  <si>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</si>
  <si>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</si>
  <si>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</si>
  <si>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</si>
  <si>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</si>
  <si>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</si>
  <si>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</si>
  <si>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</si>
  <si>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</si>
  <si>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</si>
  <si>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</si>
  <si>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</si>
  <si>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</si>
  <si>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</si>
  <si>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</si>
  <si>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</si>
  <si>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</si>
  <si>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</si>
  <si>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</si>
  <si>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</si>
  <si>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</si>
  <si>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</si>
  <si>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</si>
  <si>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</si>
  <si>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</si>
  <si>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</si>
  <si>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</si>
  <si>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</si>
  <si>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</si>
  <si>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</si>
  <si>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</si>
  <si>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</si>
  <si>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</si>
  <si>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</si>
  <si>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</si>
  <si>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</si>
  <si>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</si>
  <si>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</si>
  <si>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</si>
  <si>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</si>
  <si>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</si>
  <si>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M/s. Divine Group</t>
  </si>
  <si>
    <t>Vista Harmony</t>
  </si>
  <si>
    <t>P52000046208</t>
  </si>
  <si>
    <t>Gut No</t>
  </si>
  <si>
    <t>32/3, 33, 35/3, 35/4, 35/5, 35/6/A &amp; 35/6/B</t>
  </si>
  <si>
    <t>Karade Khurd</t>
  </si>
  <si>
    <t>Panvel</t>
  </si>
  <si>
    <t>Raigad</t>
  </si>
  <si>
    <t>Rasayani</t>
  </si>
  <si>
    <t>Internal Rd</t>
  </si>
  <si>
    <t>Open Plot</t>
  </si>
  <si>
    <t>Road/Open Plot</t>
  </si>
  <si>
    <t>https://goo.gl/maps/qK3X64yrztsirSGR7</t>
  </si>
  <si>
    <t>05 Buildings</t>
  </si>
  <si>
    <t xml:space="preserve">Alibag Municipal Council
</t>
  </si>
  <si>
    <t>SSNR/BP/M.Karade Khurd/T.Panvel/S.N 32/3 &amp; Others 460</t>
  </si>
  <si>
    <t>MS/L.N.A.1(B)/T.No.15200/S.R.1/2021</t>
  </si>
  <si>
    <t>Wing A, B, C, D &amp; E = Gr + 1st to 7th Floor</t>
  </si>
  <si>
    <t>As per RERA - 31/12/2026</t>
  </si>
  <si>
    <t>Commanders Heera Siddhi Homes</t>
  </si>
  <si>
    <t>Shop</t>
  </si>
  <si>
    <t>1st to 7th Floor for Residentail</t>
  </si>
  <si>
    <t>Ground Floor For Parking</t>
  </si>
  <si>
    <t>1BHK</t>
  </si>
  <si>
    <t>2BHK</t>
  </si>
  <si>
    <t>1st Floor for Residentail</t>
  </si>
  <si>
    <t>A Wing</t>
  </si>
  <si>
    <t>B Wing</t>
  </si>
  <si>
    <t>Ground Floor For Parking &amp; Amenities</t>
  </si>
  <si>
    <t>C Wing</t>
  </si>
  <si>
    <t>We considered Gross carpet area = Net carpet + Balcony + C.B Area + Chajja Area.</t>
  </si>
  <si>
    <t>D wing</t>
  </si>
  <si>
    <t>5KM from Rasayani Railway Station</t>
  </si>
  <si>
    <t>Approved Plans, CC, Cost Sheet</t>
  </si>
  <si>
    <t>Axis Sanpada</t>
  </si>
  <si>
    <t>Building No.1 (Wing A) = G + 1st to 7th Floor</t>
  </si>
  <si>
    <t>Building No.2 (Wing B) = G + 1st to 7th Floor</t>
  </si>
  <si>
    <t>Plot No. 1
Building No.1 (Wing A) = G + 1st to 7th Floor
Building No.2 (Wing B) = G + 1st to 7th Floor
Building No.3 (Wing C) = G + 1st to 7th Floor
Building No.4 (Wing D &amp; E) = G + 1st to 7th Floor</t>
  </si>
  <si>
    <t>Building No.1 (Wing A)</t>
  </si>
  <si>
    <t>Building No.2 (Wing B)</t>
  </si>
  <si>
    <t>Building No.3 (Wing C)</t>
  </si>
  <si>
    <t>Plot No. 1
Building No.1 (Wing A)
Building No.2 (Wing B)
Building No.3 (Wing C)
Building No.4 (Wing D &amp; E)</t>
  </si>
  <si>
    <t>Plot No.1</t>
  </si>
  <si>
    <t>Building No.4 (Wing D)</t>
  </si>
  <si>
    <t>Building No.4 (Wing E)</t>
  </si>
  <si>
    <t>Flats -280, Shops -6.</t>
  </si>
  <si>
    <t>E wing</t>
  </si>
  <si>
    <t>Ground Floor For Commercial &amp; Parking</t>
  </si>
  <si>
    <t>2nd to 7th Floor for Residentail</t>
  </si>
  <si>
    <t xml:space="preserve">2nd to 7th Floor </t>
  </si>
  <si>
    <t xml:space="preserve">Builder Saleable area 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</si>
  <si>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</si>
  <si>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Building No.3 (Wing C) = G + 1st to 7th Floor</t>
  </si>
  <si>
    <t>Building No.4 (Wing D &amp; E) = G + 1st to 7th Floor</t>
  </si>
  <si>
    <t>On Site, we meet Mr. Sanket Omle - 8669226557.</t>
  </si>
  <si>
    <t>Nitesh Patil</t>
  </si>
  <si>
    <t>sale area changed to 683</t>
  </si>
  <si>
    <t>by smith sir</t>
  </si>
  <si>
    <t>Latitude,Longitude</t>
  </si>
  <si>
    <t>18.8790435,73.1599324</t>
  </si>
  <si>
    <t xml:space="preserve">Wing A &amp; B = All work Completed, Please provide OC.
Wing C, D &amp; E  = Construction work is in process at the time of Visit.
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</si>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</sst>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24" fillId="2" borderId="16" xfId="0" applyFont="1" applyFill="1" applyBorder="1"/>
    <xf numFmtId="0" fontId="25" fillId="0" borderId="34" xfId="0" applyFont="1" applyBorder="1"/>
    <xf numFmtId="0" fontId="7" fillId="0" borderId="2" xfId="1" applyFont="1" applyBorder="1"/>
    <xf numFmtId="1" fontId="7" fillId="0" borderId="0" xfId="0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4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422564</xdr:colOff>
      <xdr:row>304</xdr:row>
      <xdr:rowOff>8660</xdr:rowOff>
    </xdr:from>
    <xdr:to>
      <xdr:col>6</xdr:col>
      <xdr:colOff>517805</xdr:colOff>
      <xdr:row>322</xdr:row>
      <xdr:rowOff>9076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4564" y="62250205"/>
          <a:ext cx="4242946" cy="35852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431223</xdr:colOff>
      <xdr:row>322</xdr:row>
      <xdr:rowOff>151877</xdr:rowOff>
    </xdr:from>
    <xdr:to>
      <xdr:col>6</xdr:col>
      <xdr:colOff>526465</xdr:colOff>
      <xdr:row>340</xdr:row>
      <xdr:rowOff>151426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3223" y="65978286"/>
          <a:ext cx="4242947" cy="35844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584957</xdr:colOff>
      <xdr:row>303</xdr:row>
      <xdr:rowOff>0</xdr:rowOff>
    </xdr:from>
    <xdr:to>
      <xdr:col>12</xdr:col>
      <xdr:colOff>745382</xdr:colOff>
      <xdr:row>312</xdr:row>
      <xdr:rowOff>77713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3632" y="67457712"/>
          <a:ext cx="1570125" cy="18779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481964</xdr:colOff>
      <xdr:row>255</xdr:row>
      <xdr:rowOff>339089</xdr:rowOff>
    </xdr:from>
    <xdr:to>
      <xdr:col>18</xdr:col>
      <xdr:colOff>382110</xdr:colOff>
      <xdr:row>303</xdr:row>
      <xdr:rowOff>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168639" y="52183664"/>
          <a:ext cx="6358096" cy="9500236"/>
          <a:chOff x="85724" y="54016274"/>
          <a:chExt cx="6388576" cy="1555215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85724" y="54025799"/>
            <a:ext cx="6388576" cy="15542626"/>
            <a:chOff x="85724" y="54025799"/>
            <a:chExt cx="6388576" cy="15542626"/>
          </a:xfrm>
        </xdr:grpSpPr>
        <xdr:pic>
          <xdr:nvPicPr>
            <xdr:cNvPr id="32" name="Picture 31" descr="https://vsjcllp.vsjadon.com/upload/insp-220689-843.jpg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5724" y="54025799"/>
              <a:ext cx="2066926" cy="275973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20689-844.jpg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8374" y="54025799"/>
              <a:ext cx="2066926" cy="275973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37" descr="https://vsjcllp.vsjadon.com/upload/insp-220689-862.jpg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00549" y="54025799"/>
              <a:ext cx="2066926" cy="275973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 descr="https://vsjcllp.vsjadon.com/upload/insp-220689-880.jpg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48451" y="56864250"/>
              <a:ext cx="2073199" cy="276811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Picture 39" descr="https://vsjcllp.vsjadon.com/upload/insp-220689-931.jpg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76724" y="59712224"/>
              <a:ext cx="1762055" cy="23526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https://vsjcllp.vsjadon.com/upload/insp-220689-925.jpg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2449" y="59712224"/>
              <a:ext cx="1762055" cy="23526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55" descr="https://vsjcllp.vsjadon.com/upload/insp-220689-928.jpg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19349" y="59712224"/>
              <a:ext cx="1762055" cy="23526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7" name="Picture 56" descr="https://vsjcllp.vsjadon.com/upload/insp-220689-1512.jpg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01101" y="56864250"/>
              <a:ext cx="2073199" cy="276811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" name="Picture 57" descr="https://vsjcllp.vsjadon.com/upload/insp-220689-871.jpg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5725" y="56864250"/>
              <a:ext cx="2073199" cy="276811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885825" y="62388749"/>
              <a:ext cx="4762499" cy="7179676"/>
              <a:chOff x="885825" y="62388749"/>
              <a:chExt cx="4762499" cy="7179676"/>
            </a:xfrm>
          </xdr:grpSpPr>
          <xdr:pic>
            <xdr:nvPicPr>
              <xdr:cNvPr id="31" name="Picture 30" descr="https://vsjcllp.vsjadon.com/upload/insp-220689-1525.jpg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552700" y="67408425"/>
                <a:ext cx="161775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3" name="Picture 32" descr="https://vsjcllp.vsjadon.com/upload/insp-220689-845.jpg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4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85825" y="65071625"/>
                <a:ext cx="2997199" cy="225102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5" name="Picture 34" descr="https://vsjcllp.vsjadon.com/upload/insp-220689-847.jpg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5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962399" y="65074800"/>
                <a:ext cx="1685925" cy="225102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9" name="Picture 58" descr="https://vsjcllp.vsjadon.com/upload/insp-220689-940.jpg">
                <a:extLst>
                  <a:ext uri="{FF2B5EF4-FFF2-40B4-BE49-F238E27FC236}">
                    <a16:creationId xmlns:a16="http://schemas.microsoft.com/office/drawing/2014/main" id="{00000000-0008-0000-0000-00003B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6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29199" y="62388749"/>
                <a:ext cx="1952089" cy="260640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0" name="Picture 59" descr="https://vsjcllp.vsjadon.com/upload/insp-220689-877.jpg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7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286124" y="62392194"/>
                <a:ext cx="1952089" cy="260640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</xdr:grp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85724" y="54025799"/>
            <a:ext cx="64549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A Wing</a:t>
            </a: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2219324" y="54016274"/>
            <a:ext cx="6385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B Wing</a:t>
            </a: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4486274" y="54044849"/>
            <a:ext cx="63370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C Wing</a:t>
            </a:r>
          </a:p>
        </xdr:txBody>
      </xdr: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1343024" y="56902349"/>
            <a:ext cx="64549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D Wing</a:t>
            </a:r>
          </a:p>
        </xdr:txBody>
      </xdr:sp>
      <xdr:sp macro="" textlink="">
        <xdr:nvSpPr>
          <xdr:cNvPr id="65" name="TextBox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/>
        </xdr:nvSpPr>
        <xdr:spPr>
          <a:xfrm>
            <a:off x="2838449" y="56949974"/>
            <a:ext cx="62735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E Wing</a:t>
            </a:r>
          </a:p>
        </xdr:txBody>
      </xdr:sp>
    </xdr:grpSp>
    <xdr:clientData/>
  </xdr:twoCellAnchor>
  <xdr:twoCellAnchor>
    <xdr:from>
      <xdr:col>8</xdr:col>
      <xdr:colOff>659130</xdr:colOff>
      <xdr:row>260</xdr:row>
      <xdr:rowOff>127635</xdr:rowOff>
    </xdr:from>
    <xdr:to>
      <xdr:col>16</xdr:col>
      <xdr:colOff>210494</xdr:colOff>
      <xdr:row>297</xdr:row>
      <xdr:rowOff>44887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0906614-0499-7B5A-48C7-60CF51E95080}"/>
            </a:ext>
          </a:extLst>
        </xdr:cNvPr>
        <xdr:cNvGrpSpPr/>
      </xdr:nvGrpSpPr>
      <xdr:grpSpPr>
        <a:xfrm>
          <a:off x="7183755" y="53219985"/>
          <a:ext cx="5952164" cy="7308652"/>
          <a:chOff x="378622" y="271974"/>
          <a:chExt cx="6100754" cy="7241977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BAB917AF-1DCC-5DDB-499F-FCDE7CA4A524}"/>
              </a:ext>
            </a:extLst>
          </xdr:cNvPr>
          <xdr:cNvGrpSpPr/>
        </xdr:nvGrpSpPr>
        <xdr:grpSpPr>
          <a:xfrm>
            <a:off x="663226" y="5713951"/>
            <a:ext cx="5531547" cy="1800000"/>
            <a:chOff x="-130670" y="5713951"/>
            <a:chExt cx="5531547" cy="180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FAD0A55F-8E04-31C7-DA75-E41DB4B823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52752" y="571395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1768C257-F2A1-24E8-0032-65980DFE5F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5312" y="571395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C6AEEDC6-0851-D03B-E952-383870F726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30670" y="5713951"/>
              <a:ext cx="2396667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9B5E26F0-4FA2-320E-00B5-36C5C0C5ADFA}"/>
              </a:ext>
            </a:extLst>
          </xdr:cNvPr>
          <xdr:cNvGrpSpPr/>
        </xdr:nvGrpSpPr>
        <xdr:grpSpPr>
          <a:xfrm>
            <a:off x="378622" y="271974"/>
            <a:ext cx="6100754" cy="5240989"/>
            <a:chOff x="378622" y="271974"/>
            <a:chExt cx="6100754" cy="5240989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FD413E5-4633-0274-D8D9-68BDCFFE65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4592000" y="299296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C7F82F7F-1675-86DF-1CFF-341B467B42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5312" y="271975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A99A589C-0B20-EBB4-D7AE-8657B4D237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8623" y="271975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F24C8F34-5E2F-B3EF-7934-9FF1EAF796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92001" y="271975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A886BACA-68D7-9550-BCC8-BA0806405D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5312" y="299296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85093667-96A2-F8A5-2481-6EFC6AF394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8622" y="299296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6" name="TextBox 21">
              <a:extLst>
                <a:ext uri="{FF2B5EF4-FFF2-40B4-BE49-F238E27FC236}">
                  <a16:creationId xmlns:a16="http://schemas.microsoft.com/office/drawing/2014/main" id="{0C0E5E7F-4234-D516-41CD-DEC616C1FC8B}"/>
                </a:ext>
              </a:extLst>
            </xdr:cNvPr>
            <xdr:cNvSpPr txBox="1"/>
          </xdr:nvSpPr>
          <xdr:spPr>
            <a:xfrm>
              <a:off x="807167" y="3008203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E</a:t>
              </a:r>
              <a:endParaRPr lang="en-IN" sz="1400" b="1"/>
            </a:p>
          </xdr:txBody>
        </xdr:sp>
        <xdr:sp macro="" textlink="">
          <xdr:nvSpPr>
            <xdr:cNvPr id="17" name="TextBox 22">
              <a:extLst>
                <a:ext uri="{FF2B5EF4-FFF2-40B4-BE49-F238E27FC236}">
                  <a16:creationId xmlns:a16="http://schemas.microsoft.com/office/drawing/2014/main" id="{BC297DEA-0E9E-3EEA-7768-A836C1D4E954}"/>
                </a:ext>
              </a:extLst>
            </xdr:cNvPr>
            <xdr:cNvSpPr txBox="1"/>
          </xdr:nvSpPr>
          <xdr:spPr>
            <a:xfrm>
              <a:off x="3324152" y="3023443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D</a:t>
              </a:r>
              <a:endParaRPr lang="en-IN" sz="1400" b="1"/>
            </a:p>
          </xdr:txBody>
        </xdr:sp>
        <xdr:sp macro="" textlink="">
          <xdr:nvSpPr>
            <xdr:cNvPr id="18" name="TextBox 23">
              <a:extLst>
                <a:ext uri="{FF2B5EF4-FFF2-40B4-BE49-F238E27FC236}">
                  <a16:creationId xmlns:a16="http://schemas.microsoft.com/office/drawing/2014/main" id="{3C6B7B7B-2211-8EE3-CC97-C1CBBCE25461}"/>
                </a:ext>
              </a:extLst>
            </xdr:cNvPr>
            <xdr:cNvSpPr txBox="1"/>
          </xdr:nvSpPr>
          <xdr:spPr>
            <a:xfrm>
              <a:off x="5059657" y="271974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C</a:t>
              </a:r>
              <a:endParaRPr lang="en-IN" sz="1400" b="1"/>
            </a:p>
          </xdr:txBody>
        </xdr:sp>
        <xdr:sp macro="" textlink="">
          <xdr:nvSpPr>
            <xdr:cNvPr id="19" name="TextBox 24">
              <a:extLst>
                <a:ext uri="{FF2B5EF4-FFF2-40B4-BE49-F238E27FC236}">
                  <a16:creationId xmlns:a16="http://schemas.microsoft.com/office/drawing/2014/main" id="{B4ECAE02-3CE6-2C81-679D-421CC1F01C24}"/>
                </a:ext>
              </a:extLst>
            </xdr:cNvPr>
            <xdr:cNvSpPr txBox="1"/>
          </xdr:nvSpPr>
          <xdr:spPr>
            <a:xfrm>
              <a:off x="2598840" y="425863"/>
              <a:ext cx="715260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B</a:t>
              </a:r>
              <a:endParaRPr lang="en-IN" sz="1400" b="1"/>
            </a:p>
          </xdr:txBody>
        </xdr:sp>
        <xdr:sp macro="" textlink="">
          <xdr:nvSpPr>
            <xdr:cNvPr id="20" name="TextBox 25">
              <a:extLst>
                <a:ext uri="{FF2B5EF4-FFF2-40B4-BE49-F238E27FC236}">
                  <a16:creationId xmlns:a16="http://schemas.microsoft.com/office/drawing/2014/main" id="{4F93D934-20D8-5903-BE9E-79E0DD6C9FD4}"/>
                </a:ext>
              </a:extLst>
            </xdr:cNvPr>
            <xdr:cNvSpPr txBox="1"/>
          </xdr:nvSpPr>
          <xdr:spPr>
            <a:xfrm>
              <a:off x="599034" y="271975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A</a:t>
              </a:r>
              <a:endParaRPr lang="en-IN" sz="1400" b="1"/>
            </a:p>
          </xdr:txBody>
        </xdr:sp>
      </xdr:grpSp>
    </xdr:grpSp>
    <xdr:clientData/>
  </xdr:twoCellAnchor>
  <xdr:twoCellAnchor>
    <xdr:from>
      <xdr:col>1</xdr:col>
      <xdr:colOff>281940</xdr:colOff>
      <xdr:row>283</xdr:row>
      <xdr:rowOff>15240</xdr:rowOff>
    </xdr:from>
    <xdr:to>
      <xdr:col>1</xdr:col>
      <xdr:colOff>632460</xdr:colOff>
      <xdr:row>283</xdr:row>
      <xdr:rowOff>114300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85605B45-E377-EC99-2A48-773B7829A58D}"/>
            </a:ext>
          </a:extLst>
        </xdr:cNvPr>
        <xdr:cNvSpPr/>
      </xdr:nvSpPr>
      <xdr:spPr>
        <a:xfrm>
          <a:off x="1066800" y="56982360"/>
          <a:ext cx="350520" cy="9906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701040</xdr:colOff>
      <xdr:row>283</xdr:row>
      <xdr:rowOff>15240</xdr:rowOff>
    </xdr:from>
    <xdr:to>
      <xdr:col>4</xdr:col>
      <xdr:colOff>83820</xdr:colOff>
      <xdr:row>283</xdr:row>
      <xdr:rowOff>114300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D83AA565-3D3C-484A-BC30-E97C0FDD093A}"/>
            </a:ext>
          </a:extLst>
        </xdr:cNvPr>
        <xdr:cNvSpPr/>
      </xdr:nvSpPr>
      <xdr:spPr>
        <a:xfrm>
          <a:off x="3177540" y="56982360"/>
          <a:ext cx="350520" cy="9906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47625</xdr:colOff>
      <xdr:row>262</xdr:row>
      <xdr:rowOff>142875</xdr:rowOff>
    </xdr:from>
    <xdr:to>
      <xdr:col>7</xdr:col>
      <xdr:colOff>791612</xdr:colOff>
      <xdr:row>298</xdr:row>
      <xdr:rowOff>164772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D4D9356C-845E-4055-B6F2-2C9426D5481C}"/>
            </a:ext>
          </a:extLst>
        </xdr:cNvPr>
        <xdr:cNvGrpSpPr/>
      </xdr:nvGrpSpPr>
      <xdr:grpSpPr>
        <a:xfrm>
          <a:off x="47625" y="53635275"/>
          <a:ext cx="6439937" cy="7213272"/>
          <a:chOff x="268548" y="179294"/>
          <a:chExt cx="6439937" cy="7213272"/>
        </a:xfrm>
      </xdr:grpSpPr>
      <xdr:grpSp>
        <xdr:nvGrpSpPr>
          <xdr:cNvPr id="47" name="Group 46">
            <a:extLst>
              <a:ext uri="{FF2B5EF4-FFF2-40B4-BE49-F238E27FC236}">
                <a16:creationId xmlns:a16="http://schemas.microsoft.com/office/drawing/2014/main" id="{2DA1AC99-6619-4956-8C29-ACB4B18736D9}"/>
              </a:ext>
            </a:extLst>
          </xdr:cNvPr>
          <xdr:cNvGrpSpPr/>
        </xdr:nvGrpSpPr>
        <xdr:grpSpPr>
          <a:xfrm>
            <a:off x="268548" y="179294"/>
            <a:ext cx="6439937" cy="7213272"/>
            <a:chOff x="268548" y="179294"/>
            <a:chExt cx="6439937" cy="7213272"/>
          </a:xfrm>
        </xdr:grpSpPr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3B8B547F-FEA6-4F37-BB1B-D7D4B3F6B5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0718" y="3065930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75D7B541-150A-403B-8E6B-F9E34B60D4F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56601" y="3065930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4384D96D-D85D-4ABC-9148-73A7EF3C67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8548" y="179294"/>
              <a:ext cx="2022187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BADE85B1-AB86-47BA-BE9B-4BEB479BEB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53520" y="179294"/>
              <a:ext cx="2022188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26DAB4A4-1E16-40CF-AE1B-E69E50427D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37400" y="179294"/>
              <a:ext cx="2022188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C15BD32E-0E8A-4930-BE10-A48BA25219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32485" y="3065930"/>
              <a:ext cx="2876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8" name="Picture 67">
              <a:extLst>
                <a:ext uri="{FF2B5EF4-FFF2-40B4-BE49-F238E27FC236}">
                  <a16:creationId xmlns:a16="http://schemas.microsoft.com/office/drawing/2014/main" id="{3C972AB4-B8CE-4D1F-A16D-5B2CF07C0F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5720" y="5412566"/>
              <a:ext cx="263633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9" name="Picture 68">
              <a:extLst>
                <a:ext uri="{FF2B5EF4-FFF2-40B4-BE49-F238E27FC236}">
                  <a16:creationId xmlns:a16="http://schemas.microsoft.com/office/drawing/2014/main" id="{7725AABB-BD4B-4954-9645-303DB05B2F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78503" y="5412566"/>
              <a:ext cx="1482938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id="{A53B6CA0-5437-4A81-A640-18E38141075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27891" y="5412566"/>
              <a:ext cx="1482938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71" name="TextBox 91">
              <a:extLst>
                <a:ext uri="{FF2B5EF4-FFF2-40B4-BE49-F238E27FC236}">
                  <a16:creationId xmlns:a16="http://schemas.microsoft.com/office/drawing/2014/main" id="{47B14B72-FB37-44C2-A967-EB3DCD2DFBDC}"/>
                </a:ext>
              </a:extLst>
            </xdr:cNvPr>
            <xdr:cNvSpPr txBox="1"/>
          </xdr:nvSpPr>
          <xdr:spPr>
            <a:xfrm>
              <a:off x="2663577" y="179294"/>
              <a:ext cx="88197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D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72" name="TextBox 92">
              <a:extLst>
                <a:ext uri="{FF2B5EF4-FFF2-40B4-BE49-F238E27FC236}">
                  <a16:creationId xmlns:a16="http://schemas.microsoft.com/office/drawing/2014/main" id="{A60B521A-6A3A-4801-9D5B-96ADA60EFE82}"/>
                </a:ext>
              </a:extLst>
            </xdr:cNvPr>
            <xdr:cNvSpPr txBox="1"/>
          </xdr:nvSpPr>
          <xdr:spPr>
            <a:xfrm>
              <a:off x="5648494" y="202596"/>
              <a:ext cx="848309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E</a:t>
              </a:r>
              <a:endParaRPr lang="en-IN" b="1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48" name="TextBox 94">
            <a:extLst>
              <a:ext uri="{FF2B5EF4-FFF2-40B4-BE49-F238E27FC236}">
                <a16:creationId xmlns:a16="http://schemas.microsoft.com/office/drawing/2014/main" id="{4F91C84F-7806-48F0-ABA6-2D8DBF23DB34}"/>
              </a:ext>
            </a:extLst>
          </xdr:cNvPr>
          <xdr:cNvSpPr txBox="1"/>
        </xdr:nvSpPr>
        <xdr:spPr>
          <a:xfrm>
            <a:off x="361197" y="179294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9" name="TextBox 95">
            <a:extLst>
              <a:ext uri="{FF2B5EF4-FFF2-40B4-BE49-F238E27FC236}">
                <a16:creationId xmlns:a16="http://schemas.microsoft.com/office/drawing/2014/main" id="{B975C1ED-62A2-42F3-9E39-8F803CB166E7}"/>
              </a:ext>
            </a:extLst>
          </xdr:cNvPr>
          <xdr:cNvSpPr txBox="1"/>
        </xdr:nvSpPr>
        <xdr:spPr>
          <a:xfrm>
            <a:off x="1049633" y="2992241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0" name="TextBox 96">
            <a:extLst>
              <a:ext uri="{FF2B5EF4-FFF2-40B4-BE49-F238E27FC236}">
                <a16:creationId xmlns:a16="http://schemas.microsoft.com/office/drawing/2014/main" id="{1729A269-3712-42AE-862C-D031C4EE8750}"/>
              </a:ext>
            </a:extLst>
          </xdr:cNvPr>
          <xdr:cNvSpPr txBox="1"/>
        </xdr:nvSpPr>
        <xdr:spPr>
          <a:xfrm>
            <a:off x="2003278" y="3031501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K3X64yrztsirSGR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4"/>
  <sheetViews>
    <sheetView tabSelected="1" view="pageBreakPreview" zoomScaleNormal="100" zoomScaleSheetLayoutView="100" workbookViewId="0">
      <selection activeCell="J10" sqref="J10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32" t="s">
        <v>223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</row>
    <row r="3" spans="1:8" x14ac:dyDescent="0.25">
      <c r="A3" s="115" t="s">
        <v>1</v>
      </c>
      <c r="B3" s="115"/>
      <c r="C3" s="115"/>
      <c r="D3" s="115"/>
      <c r="E3" s="115" t="str">
        <f ca="1">TEXT(TODAY(),"DD/MM/YYYY")</f>
        <v>13/09/2025</v>
      </c>
      <c r="F3" s="115"/>
      <c r="G3" s="115"/>
      <c r="H3" s="115"/>
    </row>
    <row r="4" spans="1:8" ht="15" customHeight="1" x14ac:dyDescent="0.25">
      <c r="A4" s="115" t="s">
        <v>2</v>
      </c>
      <c r="B4" s="115"/>
      <c r="C4" s="115"/>
      <c r="D4" s="115"/>
      <c r="E4" s="115" t="s">
        <v>206</v>
      </c>
      <c r="F4" s="115"/>
      <c r="G4" s="115"/>
      <c r="H4" s="115"/>
    </row>
    <row r="5" spans="1:8" x14ac:dyDescent="0.25">
      <c r="A5" s="115" t="s">
        <v>3</v>
      </c>
      <c r="B5" s="115"/>
      <c r="C5" s="115"/>
      <c r="D5" s="115"/>
      <c r="E5" s="135">
        <v>45907</v>
      </c>
      <c r="F5" s="115"/>
      <c r="G5" s="115"/>
      <c r="H5" s="115"/>
    </row>
    <row r="6" spans="1:8" ht="16.5" customHeight="1" x14ac:dyDescent="0.25">
      <c r="A6" s="115" t="s">
        <v>4</v>
      </c>
      <c r="B6" s="115"/>
      <c r="C6" s="115"/>
      <c r="D6" s="115"/>
      <c r="E6" s="115" t="s">
        <v>172</v>
      </c>
      <c r="F6" s="115"/>
      <c r="G6" s="115"/>
      <c r="H6" s="115"/>
    </row>
    <row r="7" spans="1:8" ht="15" customHeight="1" x14ac:dyDescent="0.25">
      <c r="A7" s="115" t="s">
        <v>5</v>
      </c>
      <c r="B7" s="115"/>
      <c r="C7" s="115"/>
      <c r="D7" s="115"/>
      <c r="E7" s="115" t="str">
        <f>E6</f>
        <v>M/s. Divine Group</v>
      </c>
      <c r="F7" s="115"/>
      <c r="G7" s="115"/>
      <c r="H7" s="115"/>
    </row>
    <row r="8" spans="1:8" x14ac:dyDescent="0.25">
      <c r="A8" s="115" t="s">
        <v>6</v>
      </c>
      <c r="B8" s="115"/>
      <c r="C8" s="115"/>
      <c r="D8" s="115"/>
      <c r="E8" s="133" t="s">
        <v>173</v>
      </c>
      <c r="F8" s="133"/>
      <c r="G8" s="133"/>
      <c r="H8" s="133"/>
    </row>
    <row r="9" spans="1:8" x14ac:dyDescent="0.25">
      <c r="A9" s="115" t="s">
        <v>124</v>
      </c>
      <c r="B9" s="115"/>
      <c r="C9" s="115"/>
      <c r="D9" s="115"/>
      <c r="E9" s="115">
        <v>8888622474</v>
      </c>
      <c r="F9" s="115"/>
      <c r="G9" s="115"/>
      <c r="H9" s="115"/>
    </row>
    <row r="10" spans="1:8" ht="83.25" customHeight="1" x14ac:dyDescent="0.25">
      <c r="A10" s="115" t="s">
        <v>7</v>
      </c>
      <c r="B10" s="115"/>
      <c r="C10" s="115"/>
      <c r="D10" s="115"/>
      <c r="E10" s="134" t="s">
        <v>213</v>
      </c>
      <c r="F10" s="115"/>
      <c r="G10" s="115"/>
      <c r="H10" s="115"/>
    </row>
    <row r="11" spans="1:8" x14ac:dyDescent="0.25">
      <c r="A11" s="83" t="s">
        <v>8</v>
      </c>
      <c r="B11" s="83"/>
      <c r="C11" s="83"/>
      <c r="D11" s="83"/>
      <c r="E11" s="134" t="s">
        <v>205</v>
      </c>
      <c r="F11" s="134"/>
      <c r="G11" s="134"/>
      <c r="H11" s="134"/>
    </row>
    <row r="12" spans="1:8" x14ac:dyDescent="0.25">
      <c r="A12" s="83" t="s">
        <v>9</v>
      </c>
      <c r="B12" s="83"/>
      <c r="C12" s="83"/>
      <c r="D12" s="83"/>
      <c r="E12" s="134" t="s">
        <v>174</v>
      </c>
      <c r="F12" s="115"/>
      <c r="G12" s="115"/>
      <c r="H12" s="115"/>
    </row>
    <row r="13" spans="1:8" ht="48.75" customHeight="1" x14ac:dyDescent="0.25">
      <c r="A13" s="134" t="s">
        <v>10</v>
      </c>
      <c r="B13" s="134"/>
      <c r="C13" s="134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Vista Harmony, Gut No.32/3, 33, 35/3, 35/4, 35/5, 35/6/A &amp; 35/6/B, near Commanders Heera Siddhi Homes, Internal Rd, Karade Khurd, Karade Khurd, Rasayani, Panvel, Raigad - 410207.</v>
      </c>
      <c r="D13" s="134"/>
      <c r="E13" s="134"/>
      <c r="F13" s="134"/>
      <c r="G13" s="134"/>
      <c r="H13" s="134"/>
    </row>
    <row r="14" spans="1:8" x14ac:dyDescent="0.25">
      <c r="A14" s="134" t="s">
        <v>175</v>
      </c>
      <c r="B14" s="134"/>
      <c r="C14" s="134" t="s">
        <v>176</v>
      </c>
      <c r="D14" s="134"/>
      <c r="E14" s="134"/>
      <c r="F14" s="134"/>
      <c r="G14" s="134"/>
      <c r="H14" s="134"/>
    </row>
    <row r="15" spans="1:8" ht="15.75" customHeight="1" x14ac:dyDescent="0.25">
      <c r="A15" s="136" t="s">
        <v>169</v>
      </c>
      <c r="B15" s="137"/>
      <c r="C15" s="136" t="s">
        <v>177</v>
      </c>
      <c r="D15" s="138"/>
      <c r="E15" s="138"/>
      <c r="F15" s="138"/>
      <c r="G15" s="138"/>
      <c r="H15" s="137"/>
    </row>
    <row r="16" spans="1:8" ht="15.75" customHeight="1" x14ac:dyDescent="0.25">
      <c r="A16" s="134" t="s">
        <v>11</v>
      </c>
      <c r="B16" s="134"/>
      <c r="C16" s="115" t="s">
        <v>181</v>
      </c>
      <c r="D16" s="115"/>
      <c r="E16" s="134" t="s">
        <v>170</v>
      </c>
      <c r="F16" s="134"/>
      <c r="G16" s="134" t="s">
        <v>177</v>
      </c>
      <c r="H16" s="134"/>
    </row>
    <row r="17" spans="1:8" x14ac:dyDescent="0.25">
      <c r="A17" s="115" t="s">
        <v>13</v>
      </c>
      <c r="B17" s="115"/>
      <c r="C17" s="134" t="s">
        <v>180</v>
      </c>
      <c r="D17" s="134"/>
      <c r="E17" s="134" t="s">
        <v>12</v>
      </c>
      <c r="F17" s="134"/>
      <c r="G17" s="139" t="s">
        <v>179</v>
      </c>
      <c r="H17" s="139"/>
    </row>
    <row r="18" spans="1:8" x14ac:dyDescent="0.25">
      <c r="A18" s="115" t="s">
        <v>74</v>
      </c>
      <c r="B18" s="115"/>
      <c r="C18" s="134" t="s">
        <v>178</v>
      </c>
      <c r="D18" s="134"/>
      <c r="E18" s="134" t="s">
        <v>14</v>
      </c>
      <c r="F18" s="134"/>
      <c r="G18" s="134">
        <v>410207</v>
      </c>
      <c r="H18" s="134"/>
    </row>
    <row r="19" spans="1:8" ht="32.25" customHeight="1" x14ac:dyDescent="0.25">
      <c r="A19" s="115" t="s">
        <v>125</v>
      </c>
      <c r="B19" s="115"/>
      <c r="C19" s="134" t="s">
        <v>191</v>
      </c>
      <c r="D19" s="134"/>
      <c r="E19" s="134" t="s">
        <v>15</v>
      </c>
      <c r="F19" s="134"/>
      <c r="G19" s="134" t="s">
        <v>204</v>
      </c>
      <c r="H19" s="134"/>
    </row>
    <row r="20" spans="1:8" ht="15" customHeight="1" x14ac:dyDescent="0.25">
      <c r="A20" s="128" t="s">
        <v>77</v>
      </c>
      <c r="B20" s="128"/>
      <c r="C20" s="128"/>
      <c r="D20" s="128"/>
      <c r="E20" s="115" t="s">
        <v>16</v>
      </c>
      <c r="F20" s="115"/>
      <c r="G20" s="115"/>
      <c r="H20" s="115"/>
    </row>
    <row r="21" spans="1:8" ht="18.75" customHeight="1" x14ac:dyDescent="0.25">
      <c r="A21" s="128"/>
      <c r="B21" s="128"/>
      <c r="C21" s="128"/>
      <c r="D21" s="128"/>
      <c r="E21" s="115"/>
      <c r="F21" s="115"/>
      <c r="G21" s="115"/>
      <c r="H21" s="115"/>
    </row>
    <row r="22" spans="1:8" ht="15" customHeight="1" x14ac:dyDescent="0.25">
      <c r="A22" s="128" t="s">
        <v>17</v>
      </c>
      <c r="B22" s="128"/>
      <c r="C22" s="128"/>
      <c r="D22" s="128"/>
      <c r="E22" s="134" t="s">
        <v>18</v>
      </c>
      <c r="F22" s="134"/>
      <c r="G22" s="134"/>
      <c r="H22" s="134"/>
    </row>
    <row r="23" spans="1:8" ht="15" customHeight="1" x14ac:dyDescent="0.25">
      <c r="A23" s="83" t="s">
        <v>19</v>
      </c>
      <c r="B23" s="83"/>
      <c r="C23" s="83"/>
      <c r="D23" s="83"/>
      <c r="E23" s="134" t="str">
        <f>IF(AND(G17="Mumbai"),"Upper Class","Middle Class")</f>
        <v>Middle Class</v>
      </c>
      <c r="F23" s="134"/>
      <c r="G23" s="134"/>
      <c r="H23" s="134"/>
    </row>
    <row r="24" spans="1:8" x14ac:dyDescent="0.25">
      <c r="A24" s="83" t="s">
        <v>20</v>
      </c>
      <c r="B24" s="83"/>
      <c r="C24" s="83"/>
      <c r="D24" s="83"/>
      <c r="E24" s="134" t="s">
        <v>21</v>
      </c>
      <c r="F24" s="134"/>
      <c r="G24" s="134"/>
      <c r="H24" s="134"/>
    </row>
    <row r="25" spans="1:8" ht="15.75" customHeight="1" x14ac:dyDescent="0.25">
      <c r="A25" s="83" t="s">
        <v>22</v>
      </c>
      <c r="B25" s="83"/>
      <c r="C25" s="83"/>
      <c r="D25" s="83"/>
      <c r="E25" s="134" t="str">
        <f>IF(AND(G17="Mumbai"),"Developed","Developing")</f>
        <v>Developing</v>
      </c>
      <c r="F25" s="134"/>
      <c r="G25" s="134"/>
      <c r="H25" s="134"/>
    </row>
    <row r="26" spans="1:8" x14ac:dyDescent="0.25">
      <c r="A26" s="83" t="s">
        <v>23</v>
      </c>
      <c r="B26" s="83"/>
      <c r="C26" s="83"/>
      <c r="D26" s="83"/>
      <c r="E26" s="134" t="s">
        <v>24</v>
      </c>
      <c r="F26" s="134"/>
      <c r="G26" s="134"/>
      <c r="H26" s="134"/>
    </row>
    <row r="27" spans="1:8" ht="15.75" customHeight="1" x14ac:dyDescent="0.25">
      <c r="A27" s="83" t="s">
        <v>82</v>
      </c>
      <c r="B27" s="83"/>
      <c r="C27" s="83"/>
      <c r="D27" s="83"/>
      <c r="E27" s="134" t="s">
        <v>83</v>
      </c>
      <c r="F27" s="134"/>
      <c r="G27" s="134"/>
      <c r="H27" s="134"/>
    </row>
    <row r="28" spans="1:8" ht="15" customHeight="1" x14ac:dyDescent="0.25">
      <c r="A28" s="83" t="s">
        <v>33</v>
      </c>
      <c r="B28" s="83"/>
      <c r="C28" s="83"/>
      <c r="D28" s="83"/>
      <c r="E28" s="134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134"/>
      <c r="G28" s="134"/>
      <c r="H28" s="134"/>
    </row>
    <row r="29" spans="1:8" ht="15.75" customHeight="1" x14ac:dyDescent="0.25">
      <c r="A29" s="83" t="s">
        <v>94</v>
      </c>
      <c r="B29" s="83"/>
      <c r="C29" s="83"/>
      <c r="D29" s="83"/>
      <c r="E29" s="134" t="s">
        <v>34</v>
      </c>
      <c r="F29" s="134"/>
      <c r="G29" s="134"/>
      <c r="H29" s="134"/>
    </row>
    <row r="30" spans="1:8" s="20" customFormat="1" x14ac:dyDescent="0.25">
      <c r="A30" s="143" t="s">
        <v>95</v>
      </c>
      <c r="B30" s="143"/>
      <c r="C30" s="140" t="s">
        <v>29</v>
      </c>
      <c r="D30" s="140"/>
      <c r="E30" s="140"/>
      <c r="F30" s="140" t="s">
        <v>31</v>
      </c>
      <c r="G30" s="140"/>
      <c r="H30" s="140"/>
    </row>
    <row r="31" spans="1:8" s="20" customFormat="1" x14ac:dyDescent="0.25">
      <c r="A31" s="142" t="s">
        <v>25</v>
      </c>
      <c r="B31" s="142" t="s">
        <v>30</v>
      </c>
      <c r="C31" s="141" t="s">
        <v>30</v>
      </c>
      <c r="D31" s="141"/>
      <c r="E31" s="141"/>
      <c r="F31" s="141" t="s">
        <v>182</v>
      </c>
      <c r="G31" s="141"/>
      <c r="H31" s="141"/>
    </row>
    <row r="32" spans="1:8" x14ac:dyDescent="0.25">
      <c r="A32" s="142" t="s">
        <v>26</v>
      </c>
      <c r="B32" s="142" t="s">
        <v>30</v>
      </c>
      <c r="C32" s="141" t="s">
        <v>30</v>
      </c>
      <c r="D32" s="141"/>
      <c r="E32" s="141"/>
      <c r="F32" s="141" t="s">
        <v>183</v>
      </c>
      <c r="G32" s="141"/>
      <c r="H32" s="141"/>
    </row>
    <row r="33" spans="1:8" s="20" customFormat="1" x14ac:dyDescent="0.25">
      <c r="A33" s="142" t="s">
        <v>28</v>
      </c>
      <c r="B33" s="142" t="s">
        <v>30</v>
      </c>
      <c r="C33" s="141" t="s">
        <v>30</v>
      </c>
      <c r="D33" s="141"/>
      <c r="E33" s="141"/>
      <c r="F33" s="141" t="s">
        <v>182</v>
      </c>
      <c r="G33" s="141"/>
      <c r="H33" s="141"/>
    </row>
    <row r="34" spans="1:8" x14ac:dyDescent="0.25">
      <c r="A34" s="142" t="s">
        <v>27</v>
      </c>
      <c r="B34" s="142" t="s">
        <v>30</v>
      </c>
      <c r="C34" s="141" t="s">
        <v>30</v>
      </c>
      <c r="D34" s="141"/>
      <c r="E34" s="141"/>
      <c r="F34" s="141" t="s">
        <v>182</v>
      </c>
      <c r="G34" s="141"/>
      <c r="H34" s="141"/>
    </row>
    <row r="35" spans="1:8" x14ac:dyDescent="0.25">
      <c r="A35" s="83" t="s">
        <v>32</v>
      </c>
      <c r="B35" s="83"/>
      <c r="C35" s="83"/>
      <c r="D35" s="83"/>
      <c r="E35" s="83"/>
      <c r="F35" s="83"/>
      <c r="G35" s="83"/>
      <c r="H35" s="83"/>
    </row>
    <row r="36" spans="1:8" ht="15.75" customHeight="1" x14ac:dyDescent="0.25">
      <c r="A36" s="83" t="s">
        <v>230</v>
      </c>
      <c r="B36" s="83"/>
      <c r="C36" s="147" t="s">
        <v>231</v>
      </c>
      <c r="D36" s="148"/>
      <c r="E36" s="148"/>
      <c r="F36" s="148"/>
      <c r="G36" s="148"/>
      <c r="H36" s="149"/>
    </row>
    <row r="37" spans="1:8" x14ac:dyDescent="0.25">
      <c r="A37" s="83" t="s">
        <v>168</v>
      </c>
      <c r="B37" s="83"/>
      <c r="C37" s="179" t="s">
        <v>184</v>
      </c>
      <c r="D37" s="134"/>
      <c r="E37" s="134"/>
      <c r="F37" s="134"/>
      <c r="G37" s="134"/>
      <c r="H37" s="134"/>
    </row>
    <row r="38" spans="1:8" x14ac:dyDescent="0.25">
      <c r="A38" s="92" t="s">
        <v>35</v>
      </c>
      <c r="B38" s="92"/>
      <c r="C38" s="92"/>
      <c r="D38" s="92"/>
      <c r="E38" s="92"/>
      <c r="F38" s="92"/>
      <c r="G38" s="92"/>
      <c r="H38" s="92"/>
    </row>
    <row r="39" spans="1:8" x14ac:dyDescent="0.25">
      <c r="A39" s="83" t="s">
        <v>36</v>
      </c>
      <c r="B39" s="83"/>
      <c r="C39" s="83"/>
      <c r="D39" s="83"/>
      <c r="E39" s="158">
        <v>6775</v>
      </c>
      <c r="F39" s="158"/>
      <c r="G39" s="158"/>
      <c r="H39" s="158"/>
    </row>
    <row r="40" spans="1:8" x14ac:dyDescent="0.25">
      <c r="A40" s="83" t="s">
        <v>37</v>
      </c>
      <c r="B40" s="83"/>
      <c r="C40" s="83"/>
      <c r="D40" s="83"/>
      <c r="E40" s="146">
        <v>1.1000000000000001</v>
      </c>
      <c r="F40" s="146"/>
      <c r="G40" s="146"/>
      <c r="H40" s="146"/>
    </row>
    <row r="41" spans="1:8" x14ac:dyDescent="0.25">
      <c r="A41" s="83" t="s">
        <v>38</v>
      </c>
      <c r="B41" s="83"/>
      <c r="C41" s="83"/>
      <c r="D41" s="83"/>
      <c r="E41" s="146">
        <f>E43/E39-E40</f>
        <v>0.99432619926199228</v>
      </c>
      <c r="F41" s="146"/>
      <c r="G41" s="146"/>
      <c r="H41" s="146"/>
    </row>
    <row r="42" spans="1:8" x14ac:dyDescent="0.25">
      <c r="A42" s="115" t="s">
        <v>39</v>
      </c>
      <c r="B42" s="115"/>
      <c r="C42" s="115"/>
      <c r="D42" s="115"/>
      <c r="E42" s="173">
        <f>E40+E41</f>
        <v>2.0943261992619924</v>
      </c>
      <c r="F42" s="173"/>
      <c r="G42" s="173"/>
      <c r="H42" s="173"/>
    </row>
    <row r="43" spans="1:8" x14ac:dyDescent="0.25">
      <c r="A43" s="115" t="s">
        <v>93</v>
      </c>
      <c r="B43" s="115"/>
      <c r="C43" s="115"/>
      <c r="D43" s="115"/>
      <c r="E43" s="174">
        <v>14189.06</v>
      </c>
      <c r="F43" s="174"/>
      <c r="G43" s="174"/>
      <c r="H43" s="174"/>
    </row>
    <row r="44" spans="1:8" x14ac:dyDescent="0.25">
      <c r="A44" s="115" t="s">
        <v>40</v>
      </c>
      <c r="B44" s="115"/>
      <c r="C44" s="115"/>
      <c r="D44" s="115"/>
      <c r="E44" s="115" t="s">
        <v>185</v>
      </c>
      <c r="F44" s="115"/>
      <c r="G44" s="115"/>
      <c r="H44" s="115"/>
    </row>
    <row r="45" spans="1:8" x14ac:dyDescent="0.25">
      <c r="A45" s="133" t="s">
        <v>41</v>
      </c>
      <c r="B45" s="133"/>
      <c r="C45" s="133"/>
      <c r="D45" s="133"/>
      <c r="E45" s="133"/>
      <c r="F45" s="133"/>
      <c r="G45" s="133"/>
      <c r="H45" s="133"/>
    </row>
    <row r="46" spans="1:8" ht="33.75" customHeight="1" x14ac:dyDescent="0.25">
      <c r="A46" s="136" t="s">
        <v>155</v>
      </c>
      <c r="B46" s="137"/>
      <c r="C46" s="161" t="s">
        <v>186</v>
      </c>
      <c r="D46" s="162"/>
      <c r="E46" s="162"/>
      <c r="F46" s="162"/>
      <c r="G46" s="162"/>
      <c r="H46" s="163"/>
    </row>
    <row r="47" spans="1:8" ht="32.25" customHeight="1" x14ac:dyDescent="0.25">
      <c r="A47" s="136" t="s">
        <v>42</v>
      </c>
      <c r="B47" s="137"/>
      <c r="C47" s="136" t="s">
        <v>187</v>
      </c>
      <c r="D47" s="138"/>
      <c r="E47" s="137"/>
      <c r="F47" s="58" t="s">
        <v>43</v>
      </c>
      <c r="G47" s="150">
        <v>44280</v>
      </c>
      <c r="H47" s="137"/>
    </row>
    <row r="48" spans="1:8" ht="32.25" customHeight="1" x14ac:dyDescent="0.25">
      <c r="A48" s="153" t="s">
        <v>44</v>
      </c>
      <c r="B48" s="152"/>
      <c r="C48" s="153" t="str">
        <f>C47</f>
        <v>SSNR/BP/M.Karade Khurd/T.Panvel/S.N 32/3 &amp; Others 460</v>
      </c>
      <c r="D48" s="154"/>
      <c r="E48" s="152"/>
      <c r="F48" s="18" t="s">
        <v>43</v>
      </c>
      <c r="G48" s="151">
        <v>44280</v>
      </c>
      <c r="H48" s="152"/>
    </row>
    <row r="49" spans="1:14" s="21" customFormat="1" ht="15.75" customHeight="1" x14ac:dyDescent="0.25">
      <c r="A49" s="183" t="s">
        <v>159</v>
      </c>
      <c r="B49" s="184"/>
      <c r="C49" s="153" t="s">
        <v>188</v>
      </c>
      <c r="D49" s="154"/>
      <c r="E49" s="152"/>
      <c r="F49" s="18" t="s">
        <v>43</v>
      </c>
      <c r="G49" s="151">
        <v>44482</v>
      </c>
      <c r="H49" s="152"/>
    </row>
    <row r="50" spans="1:14" s="21" customFormat="1" ht="15.75" customHeight="1" x14ac:dyDescent="0.25">
      <c r="A50" s="185"/>
      <c r="B50" s="186"/>
      <c r="C50" s="153" t="s">
        <v>189</v>
      </c>
      <c r="D50" s="154"/>
      <c r="E50" s="154"/>
      <c r="F50" s="154"/>
      <c r="G50" s="154"/>
      <c r="H50" s="152"/>
    </row>
    <row r="51" spans="1:14" x14ac:dyDescent="0.25">
      <c r="A51" s="175" t="s">
        <v>171</v>
      </c>
      <c r="B51" s="176"/>
      <c r="C51" s="155" t="s">
        <v>30</v>
      </c>
      <c r="D51" s="156"/>
      <c r="E51" s="157"/>
      <c r="F51" s="46" t="s">
        <v>43</v>
      </c>
      <c r="G51" s="144" t="s">
        <v>30</v>
      </c>
      <c r="H51" s="145"/>
    </row>
    <row r="52" spans="1:14" x14ac:dyDescent="0.25">
      <c r="A52" s="177"/>
      <c r="B52" s="178"/>
      <c r="C52" s="155" t="s">
        <v>30</v>
      </c>
      <c r="D52" s="156"/>
      <c r="E52" s="156"/>
      <c r="F52" s="156"/>
      <c r="G52" s="156"/>
      <c r="H52" s="157"/>
    </row>
    <row r="53" spans="1:14" x14ac:dyDescent="0.25">
      <c r="A53" s="167" t="s">
        <v>46</v>
      </c>
      <c r="B53" s="167"/>
      <c r="C53" s="167"/>
      <c r="D53" s="167"/>
      <c r="E53" s="167"/>
      <c r="F53" s="167"/>
      <c r="G53" s="167"/>
      <c r="H53" s="167"/>
    </row>
    <row r="54" spans="1:14" x14ac:dyDescent="0.25">
      <c r="A54" s="128" t="s">
        <v>92</v>
      </c>
      <c r="B54" s="128"/>
      <c r="C54" s="128"/>
      <c r="D54" s="83">
        <f>E43</f>
        <v>14189.06</v>
      </c>
      <c r="E54" s="83"/>
      <c r="F54" s="83"/>
      <c r="G54" s="83"/>
      <c r="H54" s="83"/>
    </row>
    <row r="55" spans="1:14" x14ac:dyDescent="0.25">
      <c r="A55" s="134" t="s">
        <v>47</v>
      </c>
      <c r="B55" s="115"/>
      <c r="C55" s="115"/>
      <c r="D55" s="115" t="s">
        <v>217</v>
      </c>
      <c r="E55" s="115"/>
      <c r="F55" s="115"/>
      <c r="G55" s="115"/>
      <c r="H55" s="115"/>
      <c r="I55" s="22"/>
    </row>
    <row r="56" spans="1:14" ht="83.25" customHeight="1" x14ac:dyDescent="0.25">
      <c r="A56" s="95" t="s">
        <v>48</v>
      </c>
      <c r="B56" s="96"/>
      <c r="C56" s="97"/>
      <c r="D56" s="93" t="s">
        <v>209</v>
      </c>
      <c r="E56" s="94"/>
      <c r="F56" s="94"/>
      <c r="G56" s="94"/>
      <c r="H56" s="94"/>
    </row>
    <row r="57" spans="1:14" ht="15.75" customHeight="1" x14ac:dyDescent="0.25">
      <c r="A57" s="95" t="s">
        <v>90</v>
      </c>
      <c r="B57" s="96"/>
      <c r="C57" s="97"/>
      <c r="D57" s="115" t="s">
        <v>207</v>
      </c>
      <c r="E57" s="115"/>
      <c r="F57" s="115"/>
      <c r="G57" s="115"/>
      <c r="H57" s="115"/>
    </row>
    <row r="58" spans="1:14" ht="15.75" customHeight="1" x14ac:dyDescent="0.25">
      <c r="A58" s="187"/>
      <c r="B58" s="188"/>
      <c r="C58" s="189"/>
      <c r="D58" s="115" t="s">
        <v>208</v>
      </c>
      <c r="E58" s="115"/>
      <c r="F58" s="115"/>
      <c r="G58" s="115"/>
      <c r="H58" s="115"/>
    </row>
    <row r="59" spans="1:14" x14ac:dyDescent="0.25">
      <c r="A59" s="187"/>
      <c r="B59" s="188"/>
      <c r="C59" s="189"/>
      <c r="D59" s="134" t="s">
        <v>224</v>
      </c>
      <c r="E59" s="115"/>
      <c r="F59" s="115"/>
      <c r="G59" s="115"/>
      <c r="H59" s="115"/>
    </row>
    <row r="60" spans="1:14" x14ac:dyDescent="0.25">
      <c r="A60" s="190"/>
      <c r="B60" s="191"/>
      <c r="C60" s="192"/>
      <c r="D60" s="134" t="s">
        <v>225</v>
      </c>
      <c r="E60" s="115"/>
      <c r="F60" s="115"/>
      <c r="G60" s="115"/>
      <c r="H60" s="115"/>
    </row>
    <row r="61" spans="1:14" ht="15.75" customHeight="1" x14ac:dyDescent="0.25">
      <c r="A61" s="83" t="s">
        <v>45</v>
      </c>
      <c r="B61" s="83"/>
      <c r="C61" s="83"/>
      <c r="D61" s="168" t="s">
        <v>190</v>
      </c>
      <c r="E61" s="168"/>
      <c r="F61" s="168"/>
      <c r="G61" s="168"/>
      <c r="H61" s="168"/>
      <c r="J61" s="23"/>
      <c r="K61" s="22"/>
      <c r="N61" s="22"/>
    </row>
    <row r="62" spans="1:14" ht="15.75" customHeight="1" x14ac:dyDescent="0.25">
      <c r="A62" s="83" t="s">
        <v>88</v>
      </c>
      <c r="B62" s="83"/>
      <c r="C62" s="83"/>
      <c r="D62" s="172" t="str">
        <f>(IF(G51="NA","60 Years After Completion",IF(G51&lt;&gt;"NA",""&amp;60-ROUNDDOWN((E3-G51)/360,0)&amp;" Years"," ")))</f>
        <v>60 Years After Completion</v>
      </c>
      <c r="E62" s="172"/>
      <c r="F62" s="172"/>
      <c r="G62" s="172"/>
      <c r="H62" s="172"/>
      <c r="N62" s="22"/>
    </row>
    <row r="63" spans="1:14" ht="15.75" customHeight="1" x14ac:dyDescent="0.25">
      <c r="A63" s="83" t="s">
        <v>89</v>
      </c>
      <c r="B63" s="83"/>
      <c r="C63" s="83"/>
      <c r="D63" s="128" t="s">
        <v>24</v>
      </c>
      <c r="E63" s="128"/>
      <c r="F63" s="128"/>
      <c r="G63" s="128"/>
      <c r="H63" s="128"/>
      <c r="J63" s="24"/>
      <c r="K63" s="24"/>
    </row>
    <row r="64" spans="1:14" ht="15" hidden="1" customHeight="1" x14ac:dyDescent="0.25">
      <c r="A64" s="83" t="s">
        <v>75</v>
      </c>
      <c r="B64" s="83"/>
      <c r="C64" s="83"/>
      <c r="D64" s="134" t="s">
        <v>151</v>
      </c>
      <c r="E64" s="128"/>
      <c r="F64" s="128"/>
      <c r="G64" s="128"/>
      <c r="H64" s="128"/>
    </row>
    <row r="65" spans="1:14" x14ac:dyDescent="0.25">
      <c r="A65" s="128" t="s">
        <v>152</v>
      </c>
      <c r="B65" s="128"/>
      <c r="C65" s="128"/>
      <c r="D65" s="128" t="s">
        <v>30</v>
      </c>
      <c r="E65" s="128"/>
      <c r="F65" s="128"/>
      <c r="G65" s="128"/>
      <c r="H65" s="128"/>
      <c r="I65" s="25"/>
      <c r="J65" s="25"/>
      <c r="K65" s="25"/>
      <c r="L65" s="25"/>
      <c r="M65" s="25"/>
      <c r="N65" s="25"/>
    </row>
    <row r="66" spans="1:14" ht="15.75" customHeight="1" x14ac:dyDescent="0.25">
      <c r="A66" s="159" t="s">
        <v>87</v>
      </c>
      <c r="B66" s="159"/>
      <c r="C66" s="159"/>
      <c r="D66" s="93" t="str">
        <f ca="1">(IF(G100&gt;95%,"Nothing",IF(G100&gt;0%,"Cement, Aggregate, Steel, etc",IF(G100=0%,"Work not yet Started"))))</f>
        <v>Cement, Aggregate, Steel, etc</v>
      </c>
      <c r="E66" s="93"/>
      <c r="F66" s="93"/>
      <c r="G66" s="93"/>
      <c r="H66" s="93"/>
      <c r="J66" s="24"/>
    </row>
    <row r="67" spans="1:14" s="61" customFormat="1" ht="33.75" customHeight="1" x14ac:dyDescent="0.25">
      <c r="A67" s="128" t="s">
        <v>119</v>
      </c>
      <c r="B67" s="128"/>
      <c r="C67" s="128"/>
      <c r="D67" s="134" t="str">
        <f ca="1">(IF(D66="Nothing","Yes",IF(D66="Cement, Aggregate, Steel, etc","Under Construction",IF(D66="Work not yet Started","Work not yet Started"))))</f>
        <v>Under Construction</v>
      </c>
      <c r="E67" s="134"/>
      <c r="F67" s="134" t="str">
        <f ca="1">(IF(D66="Nothing","Yes",IF(D66="Cement, Aggregate, Steel, etc","Under Construction",IF(D66="Work not yet Started","Work not yet Started"))))</f>
        <v>Under Construction</v>
      </c>
      <c r="G67" s="134"/>
      <c r="H67" s="134"/>
    </row>
    <row r="68" spans="1:14" ht="15.75" customHeight="1" x14ac:dyDescent="0.25">
      <c r="A68" s="181" t="s">
        <v>143</v>
      </c>
      <c r="B68" s="182"/>
      <c r="C68" s="164" t="str">
        <f>D57</f>
        <v>Building No.1 (Wing A) = G + 1st to 7th Floor</v>
      </c>
      <c r="D68" s="165"/>
      <c r="E68" s="165"/>
      <c r="F68" s="165"/>
      <c r="G68" s="165"/>
      <c r="H68" s="166"/>
      <c r="I68" s="59" t="str">
        <f ca="1">IF(D81=100%,"All work Completed. Possession granted to the Building.",IF(D80=100%,"All work Completed, Waiting for OC",I69&amp;""&amp;I70&amp;""&amp;J69&amp;""&amp;J68&amp;" "&amp;J70))</f>
        <v>All work Completed. Possession granted to the Building.</v>
      </c>
      <c r="J68" s="60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x14ac:dyDescent="0.25">
      <c r="A69" s="16" t="s">
        <v>145</v>
      </c>
      <c r="B69" s="49">
        <v>0</v>
      </c>
      <c r="C69" s="49" t="s">
        <v>73</v>
      </c>
      <c r="D69" s="49">
        <v>1</v>
      </c>
      <c r="E69" s="49" t="s">
        <v>72</v>
      </c>
      <c r="F69" s="49">
        <v>0</v>
      </c>
      <c r="G69" s="49" t="s">
        <v>81</v>
      </c>
      <c r="H69" s="17">
        <f ca="1">--TRIM(RIGHT(SUBSTITUTE(LEFT(C68,_xlfn.AGGREGATE(16,6,FIND({0,1,2,3,4,5,6,7,8,9},C68,ROW(INDIRECT("1:"&amp;LEN(C68)))),1))," ",REPT(" ",LEN(C68))),LEN(C68)))</f>
        <v>7</v>
      </c>
      <c r="I69" s="44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Painting, Building common Amenities</v>
      </c>
      <c r="J69" s="45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25">
      <c r="A70" s="180" t="s">
        <v>91</v>
      </c>
      <c r="B70" s="133"/>
      <c r="C70" s="80" t="str">
        <f ca="1">(IF($C$52=C68,"All work Completed. OC Received.",I68))</f>
        <v>All work Completed. Possession granted to the Building.</v>
      </c>
      <c r="D70" s="80"/>
      <c r="E70" s="80"/>
      <c r="F70" s="80"/>
      <c r="G70" s="80"/>
      <c r="H70" s="81"/>
      <c r="I70" s="44" t="str">
        <f ca="1">IF(I69&lt;&gt;""," Completed","")</f>
        <v xml:space="preserve"> Completed</v>
      </c>
      <c r="J70" s="45" t="str">
        <f ca="1">IF(J68&lt;&gt;"","Completed","")</f>
        <v/>
      </c>
    </row>
    <row r="71" spans="1:14" ht="15.75" customHeight="1" x14ac:dyDescent="0.25">
      <c r="A71" s="78" t="s">
        <v>49</v>
      </c>
      <c r="B71" s="79"/>
      <c r="C71" s="53" t="s">
        <v>142</v>
      </c>
      <c r="D71" s="53" t="s">
        <v>84</v>
      </c>
      <c r="E71" s="79" t="s">
        <v>86</v>
      </c>
      <c r="F71" s="79"/>
      <c r="G71" s="79" t="s">
        <v>85</v>
      </c>
      <c r="H71" s="160"/>
      <c r="I71" s="14" t="s">
        <v>144</v>
      </c>
      <c r="J71" s="26">
        <f ca="1">H69*25%</f>
        <v>1.75</v>
      </c>
    </row>
    <row r="72" spans="1:14" x14ac:dyDescent="0.25">
      <c r="A72" s="78" t="s">
        <v>131</v>
      </c>
      <c r="B72" s="79"/>
      <c r="C72" s="53">
        <f ca="1">J73</f>
        <v>7</v>
      </c>
      <c r="D72" s="54">
        <f ca="1">((100/H69)*C72)/100</f>
        <v>1</v>
      </c>
      <c r="E72" s="84">
        <f ca="1">(((C73/H69*10)+(40/(D69+F69+H69)*C74)+(7.5/(H69)*C75)+(7.5/(H69)*C76)+(10/H69*C77)+(10/H69*C78)+(5/H69*C79)+(5/H69*C80)+(5/H69*C81))/100)</f>
        <v>1</v>
      </c>
      <c r="F72" s="85"/>
      <c r="G72" s="84">
        <f ca="1">((((C72/H69)*20)+((C73/H69)*25)+(30/(H69+F69+D69)*C74)+(5/H69*C75)+(5/H69*C76)+(5/H69*C77)+(5/H69*C78)+(0/H69*C79)+(0/H69*C80)+(5/H69*C81))/100)</f>
        <v>1</v>
      </c>
      <c r="H72" s="169"/>
      <c r="I72" s="14" t="s">
        <v>102</v>
      </c>
      <c r="J72" s="27">
        <f ca="1">H69*50%</f>
        <v>3.5</v>
      </c>
    </row>
    <row r="73" spans="1:14" x14ac:dyDescent="0.25">
      <c r="A73" s="78" t="s">
        <v>50</v>
      </c>
      <c r="B73" s="79"/>
      <c r="C73" s="53">
        <f ca="1">J81</f>
        <v>7</v>
      </c>
      <c r="D73" s="54">
        <f ca="1">((100/H69)*C73)/100</f>
        <v>1</v>
      </c>
      <c r="E73" s="86"/>
      <c r="F73" s="87"/>
      <c r="G73" s="86"/>
      <c r="H73" s="170"/>
      <c r="I73" s="14" t="s">
        <v>103</v>
      </c>
      <c r="J73" s="27">
        <f ca="1">H69</f>
        <v>7</v>
      </c>
    </row>
    <row r="74" spans="1:14" ht="15.75" customHeight="1" x14ac:dyDescent="0.25">
      <c r="A74" s="78" t="s">
        <v>132</v>
      </c>
      <c r="B74" s="79"/>
      <c r="C74" s="53">
        <v>8</v>
      </c>
      <c r="D74" s="54">
        <f ca="1">((100/(D69+F69+H69))*C74)/100</f>
        <v>1</v>
      </c>
      <c r="E74" s="86"/>
      <c r="F74" s="87"/>
      <c r="G74" s="86"/>
      <c r="H74" s="170"/>
      <c r="I74" s="14" t="s">
        <v>104</v>
      </c>
      <c r="J74" s="28">
        <f ca="1">(IF(B69&gt;1,(H69/(B69+2)),H69/4))</f>
        <v>1.75</v>
      </c>
    </row>
    <row r="75" spans="1:14" ht="15.75" customHeight="1" x14ac:dyDescent="0.25">
      <c r="A75" s="78" t="s">
        <v>139</v>
      </c>
      <c r="B75" s="79" t="s">
        <v>133</v>
      </c>
      <c r="C75" s="53">
        <v>7</v>
      </c>
      <c r="D75" s="54">
        <f ca="1">((100/H69)*C75)/100</f>
        <v>1</v>
      </c>
      <c r="E75" s="86"/>
      <c r="F75" s="87"/>
      <c r="G75" s="86"/>
      <c r="H75" s="170"/>
      <c r="I75" s="14" t="s">
        <v>105</v>
      </c>
      <c r="J75" s="28">
        <f ca="1">(IF(B69&gt;1,(H69/(B69+2)+J74),H69/4+J74))</f>
        <v>3.5</v>
      </c>
    </row>
    <row r="76" spans="1:14" ht="15.75" customHeight="1" x14ac:dyDescent="0.25">
      <c r="A76" s="78" t="s">
        <v>140</v>
      </c>
      <c r="B76" s="79" t="s">
        <v>133</v>
      </c>
      <c r="C76" s="53">
        <v>7</v>
      </c>
      <c r="D76" s="54">
        <f ca="1">((100/H69)*C76)/100</f>
        <v>1</v>
      </c>
      <c r="E76" s="86"/>
      <c r="F76" s="87"/>
      <c r="G76" s="86"/>
      <c r="H76" s="170"/>
      <c r="I76" s="14" t="s">
        <v>149</v>
      </c>
      <c r="J76" s="28">
        <f>(IF(B69&gt;1,(H69/(B69+2)+J75),0))</f>
        <v>0</v>
      </c>
    </row>
    <row r="77" spans="1:14" ht="15" customHeight="1" x14ac:dyDescent="0.25">
      <c r="A77" s="78" t="s">
        <v>138</v>
      </c>
      <c r="B77" s="79" t="s">
        <v>135</v>
      </c>
      <c r="C77" s="53">
        <v>7</v>
      </c>
      <c r="D77" s="54">
        <f ca="1">((100/(H69))*C77)/100</f>
        <v>1</v>
      </c>
      <c r="E77" s="86"/>
      <c r="F77" s="87"/>
      <c r="G77" s="86"/>
      <c r="H77" s="170"/>
      <c r="I77" s="14" t="s">
        <v>146</v>
      </c>
      <c r="J77" s="28">
        <f>(IF(B69&gt;2,(H69/(B69+2)+J76),0))</f>
        <v>0</v>
      </c>
    </row>
    <row r="78" spans="1:14" ht="15.75" customHeight="1" x14ac:dyDescent="0.25">
      <c r="A78" s="78" t="s">
        <v>134</v>
      </c>
      <c r="B78" s="79" t="s">
        <v>134</v>
      </c>
      <c r="C78" s="53">
        <v>7</v>
      </c>
      <c r="D78" s="54">
        <f ca="1">((100/H69)*C78)/100</f>
        <v>1</v>
      </c>
      <c r="E78" s="86"/>
      <c r="F78" s="87"/>
      <c r="G78" s="86"/>
      <c r="H78" s="170"/>
      <c r="I78" s="14" t="s">
        <v>147</v>
      </c>
      <c r="J78" s="29">
        <f>(IF(B69&gt;3,(H69/(B69+2)+J77),0))</f>
        <v>0</v>
      </c>
    </row>
    <row r="79" spans="1:14" ht="15.75" customHeight="1" x14ac:dyDescent="0.25">
      <c r="A79" s="78" t="s">
        <v>141</v>
      </c>
      <c r="B79" s="79"/>
      <c r="C79" s="53">
        <v>7</v>
      </c>
      <c r="D79" s="54">
        <f ca="1">((100/H69)*C79)/100</f>
        <v>1</v>
      </c>
      <c r="E79" s="86"/>
      <c r="F79" s="87"/>
      <c r="G79" s="86"/>
      <c r="H79" s="170"/>
      <c r="I79" s="14" t="s">
        <v>148</v>
      </c>
      <c r="J79" s="28">
        <f>(IF(B69&gt;4,(H69/(B69+2)+J78),0))</f>
        <v>0</v>
      </c>
    </row>
    <row r="80" spans="1:14" ht="15.75" customHeight="1" x14ac:dyDescent="0.25">
      <c r="A80" s="78" t="s">
        <v>136</v>
      </c>
      <c r="B80" s="79" t="s">
        <v>136</v>
      </c>
      <c r="C80" s="53">
        <v>7</v>
      </c>
      <c r="D80" s="54">
        <f ca="1">((100/(H69))*C80)/100</f>
        <v>1</v>
      </c>
      <c r="E80" s="86"/>
      <c r="F80" s="87"/>
      <c r="G80" s="86"/>
      <c r="H80" s="170"/>
      <c r="I80" s="14" t="s">
        <v>150</v>
      </c>
      <c r="J80" s="28">
        <f ca="1">(IF(B69=1,(H69/(B69+3)+J75),IF(B69=0,(H69/4+J75),IF(B69&gt;1,0))))</f>
        <v>5.25</v>
      </c>
    </row>
    <row r="81" spans="1:10" ht="16.5" thickBot="1" x14ac:dyDescent="0.3">
      <c r="A81" s="90" t="s">
        <v>137</v>
      </c>
      <c r="B81" s="91"/>
      <c r="C81" s="56">
        <v>7</v>
      </c>
      <c r="D81" s="57">
        <f ca="1">((100/(H69))*C81)/100</f>
        <v>1</v>
      </c>
      <c r="E81" s="88"/>
      <c r="F81" s="89"/>
      <c r="G81" s="88"/>
      <c r="H81" s="171"/>
      <c r="I81" s="15" t="s">
        <v>106</v>
      </c>
      <c r="J81" s="30">
        <f ca="1">(IF(B69&gt;1.5,(H69/(B69+2)+J75+MAX(0,J76-J75)+MAX(0,J77-J76)+MAX(0,J78-J77)+MAX(0,J79-J78)+MAX(0,J80-J79)),IF(B69=1,(H69/(B69+3)+J80),IF(B69=0,H69/4+J80))))</f>
        <v>7</v>
      </c>
    </row>
    <row r="82" spans="1:10" ht="15.75" customHeight="1" x14ac:dyDescent="0.25">
      <c r="A82" s="104" t="s">
        <v>143</v>
      </c>
      <c r="B82" s="105"/>
      <c r="C82" s="106" t="str">
        <f>D58</f>
        <v>Building No.2 (Wing B) = G + 1st to 7th Floor</v>
      </c>
      <c r="D82" s="107"/>
      <c r="E82" s="107"/>
      <c r="F82" s="107"/>
      <c r="G82" s="107"/>
      <c r="H82" s="108"/>
      <c r="I82" s="42" t="str">
        <f ca="1">IF(D95=100%,"All work Completed. Possession granted to the Building.",IF(D94=100%,"All work Completed, Waiting for OC",I83&amp;""&amp;I84&amp;""&amp;J83&amp;""&amp;J82&amp;" "&amp;J84))</f>
        <v>All work Completed. Possession granted to the Building.</v>
      </c>
      <c r="J82" s="43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x14ac:dyDescent="0.25">
      <c r="A83" s="16" t="s">
        <v>145</v>
      </c>
      <c r="B83" s="49">
        <v>0</v>
      </c>
      <c r="C83" s="49" t="s">
        <v>73</v>
      </c>
      <c r="D83" s="49">
        <v>1</v>
      </c>
      <c r="E83" s="49" t="s">
        <v>72</v>
      </c>
      <c r="F83" s="49">
        <v>0</v>
      </c>
      <c r="G83" s="49" t="s">
        <v>81</v>
      </c>
      <c r="H83" s="17">
        <f ca="1">--TRIM(RIGHT(SUBSTITUTE(LEFT(C82,_xlfn.AGGREGATE(16,6,FIND({0,1,2,3,4,5,6,7,8,9},C82,ROW(INDIRECT("1:"&amp;LEN(C82)))),1))," ",REPT(" ",LEN(C82))),LEN(C82)))</f>
        <v>7</v>
      </c>
      <c r="I83" s="44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Plaster, Flooring, Painting, Building common Amenities</v>
      </c>
      <c r="J83" s="45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x14ac:dyDescent="0.25">
      <c r="A84" s="180" t="s">
        <v>91</v>
      </c>
      <c r="B84" s="133"/>
      <c r="C84" s="80" t="str">
        <f ca="1">(IF($C$52=C82,"All work Completed. OC Received.",I82))</f>
        <v>All work Completed. Possession granted to the Building.</v>
      </c>
      <c r="D84" s="80"/>
      <c r="E84" s="80"/>
      <c r="F84" s="80"/>
      <c r="G84" s="80"/>
      <c r="H84" s="81"/>
      <c r="I84" s="44" t="str">
        <f ca="1">IF(I83&lt;&gt;""," Completed","")</f>
        <v xml:space="preserve"> Completed</v>
      </c>
      <c r="J84" s="45" t="str">
        <f ca="1">IF(J82&lt;&gt;"","Completed","")</f>
        <v/>
      </c>
    </row>
    <row r="85" spans="1:10" ht="15.75" customHeight="1" x14ac:dyDescent="0.25">
      <c r="A85" s="78" t="s">
        <v>49</v>
      </c>
      <c r="B85" s="79"/>
      <c r="C85" s="53" t="s">
        <v>142</v>
      </c>
      <c r="D85" s="53" t="s">
        <v>84</v>
      </c>
      <c r="E85" s="79" t="s">
        <v>86</v>
      </c>
      <c r="F85" s="79"/>
      <c r="G85" s="79" t="s">
        <v>85</v>
      </c>
      <c r="H85" s="160"/>
      <c r="I85" s="14" t="s">
        <v>144</v>
      </c>
      <c r="J85" s="26">
        <f ca="1">H83*25%</f>
        <v>1.75</v>
      </c>
    </row>
    <row r="86" spans="1:10" x14ac:dyDescent="0.25">
      <c r="A86" s="78" t="s">
        <v>131</v>
      </c>
      <c r="B86" s="79"/>
      <c r="C86" s="53">
        <f ca="1">J87</f>
        <v>7</v>
      </c>
      <c r="D86" s="54">
        <f ca="1">((100/H83)*C86)/100</f>
        <v>1</v>
      </c>
      <c r="E86" s="84">
        <f ca="1">(((C87/H83*10)+(40/(D83+F83+H83)*C88)+(7.5/(H83)*C89)+(7.5/(H83)*C90)+(10/H83*C91)+(10/H83*C92)+(5/H83*C93)+(5/H83*C94)+(5/H83*C95))/100)</f>
        <v>1</v>
      </c>
      <c r="F86" s="85"/>
      <c r="G86" s="84">
        <f ca="1">((((C86/H83)*20)+((C87/H83)*25)+(30/(H83+F83+D83)*C88)+(5/H83*C89)+(5/H83*C90)+(5/H83*C91)+(5/H83*C92)+(0/H83*C93)+(0/H83*C94)+(5/H83*C95))/100)</f>
        <v>1</v>
      </c>
      <c r="H86" s="169"/>
      <c r="I86" s="14" t="s">
        <v>102</v>
      </c>
      <c r="J86" s="27">
        <f ca="1">H83*50%</f>
        <v>3.5</v>
      </c>
    </row>
    <row r="87" spans="1:10" x14ac:dyDescent="0.25">
      <c r="A87" s="78" t="s">
        <v>50</v>
      </c>
      <c r="B87" s="79"/>
      <c r="C87" s="55">
        <f ca="1">J95</f>
        <v>7</v>
      </c>
      <c r="D87" s="54">
        <f ca="1">((100/H83)*C87)/100</f>
        <v>1</v>
      </c>
      <c r="E87" s="86"/>
      <c r="F87" s="87"/>
      <c r="G87" s="86"/>
      <c r="H87" s="170"/>
      <c r="I87" s="14" t="s">
        <v>103</v>
      </c>
      <c r="J87" s="27">
        <f ca="1">H83</f>
        <v>7</v>
      </c>
    </row>
    <row r="88" spans="1:10" ht="15.75" customHeight="1" x14ac:dyDescent="0.25">
      <c r="A88" s="78" t="s">
        <v>132</v>
      </c>
      <c r="B88" s="79"/>
      <c r="C88" s="53">
        <v>8</v>
      </c>
      <c r="D88" s="54">
        <f ca="1">((100/(D83+F83+H83))*C88)/100</f>
        <v>1</v>
      </c>
      <c r="E88" s="86"/>
      <c r="F88" s="87"/>
      <c r="G88" s="86"/>
      <c r="H88" s="170"/>
      <c r="I88" s="14" t="s">
        <v>104</v>
      </c>
      <c r="J88" s="28">
        <f ca="1">(IF(B83&gt;1,(H83/(B83+2)),H83/4))</f>
        <v>1.75</v>
      </c>
    </row>
    <row r="89" spans="1:10" ht="15.75" customHeight="1" x14ac:dyDescent="0.25">
      <c r="A89" s="78" t="s">
        <v>139</v>
      </c>
      <c r="B89" s="79" t="s">
        <v>133</v>
      </c>
      <c r="C89" s="53">
        <v>7</v>
      </c>
      <c r="D89" s="54">
        <f ca="1">((100/H83)*C89)/100</f>
        <v>1</v>
      </c>
      <c r="E89" s="86"/>
      <c r="F89" s="87"/>
      <c r="G89" s="86"/>
      <c r="H89" s="170"/>
      <c r="I89" s="14" t="s">
        <v>105</v>
      </c>
      <c r="J89" s="28">
        <f ca="1">(IF(B83&gt;1,(H83/(B83+2)+J88),H83/4+J88))</f>
        <v>3.5</v>
      </c>
    </row>
    <row r="90" spans="1:10" ht="15.75" customHeight="1" x14ac:dyDescent="0.25">
      <c r="A90" s="78" t="s">
        <v>140</v>
      </c>
      <c r="B90" s="79" t="s">
        <v>133</v>
      </c>
      <c r="C90" s="53">
        <v>7</v>
      </c>
      <c r="D90" s="54">
        <f ca="1">((100/H83)*C90)/100</f>
        <v>1</v>
      </c>
      <c r="E90" s="86"/>
      <c r="F90" s="87"/>
      <c r="G90" s="86"/>
      <c r="H90" s="170"/>
      <c r="I90" s="14" t="s">
        <v>149</v>
      </c>
      <c r="J90" s="28">
        <f>(IF(B83&gt;1,(H83/(B83+2)+J89),0))</f>
        <v>0</v>
      </c>
    </row>
    <row r="91" spans="1:10" ht="15" customHeight="1" x14ac:dyDescent="0.25">
      <c r="A91" s="78" t="s">
        <v>138</v>
      </c>
      <c r="B91" s="79" t="s">
        <v>135</v>
      </c>
      <c r="C91" s="53">
        <v>7</v>
      </c>
      <c r="D91" s="54">
        <f ca="1">((100/(H83))*C91)/100</f>
        <v>1</v>
      </c>
      <c r="E91" s="86"/>
      <c r="F91" s="87"/>
      <c r="G91" s="86"/>
      <c r="H91" s="170"/>
      <c r="I91" s="14" t="s">
        <v>146</v>
      </c>
      <c r="J91" s="28">
        <f>(IF(B83&gt;2,(H83/(B83+2)+J90),0))</f>
        <v>0</v>
      </c>
    </row>
    <row r="92" spans="1:10" ht="15.75" customHeight="1" x14ac:dyDescent="0.25">
      <c r="A92" s="78" t="s">
        <v>134</v>
      </c>
      <c r="B92" s="79" t="s">
        <v>134</v>
      </c>
      <c r="C92" s="53">
        <v>7</v>
      </c>
      <c r="D92" s="54">
        <f ca="1">((100/H83)*C92)/100</f>
        <v>1</v>
      </c>
      <c r="E92" s="86"/>
      <c r="F92" s="87"/>
      <c r="G92" s="86"/>
      <c r="H92" s="170"/>
      <c r="I92" s="14" t="s">
        <v>147</v>
      </c>
      <c r="J92" s="29">
        <f>(IF(B83&gt;3,(H83/(B83+2)+J91),0))</f>
        <v>0</v>
      </c>
    </row>
    <row r="93" spans="1:10" ht="15.75" customHeight="1" x14ac:dyDescent="0.25">
      <c r="A93" s="78" t="s">
        <v>141</v>
      </c>
      <c r="B93" s="79"/>
      <c r="C93" s="53">
        <v>7</v>
      </c>
      <c r="D93" s="54">
        <f ca="1">((100/H83)*C93)/100</f>
        <v>1</v>
      </c>
      <c r="E93" s="86"/>
      <c r="F93" s="87"/>
      <c r="G93" s="86"/>
      <c r="H93" s="170"/>
      <c r="I93" s="14" t="s">
        <v>148</v>
      </c>
      <c r="J93" s="28">
        <f>(IF(B83&gt;4,(H83/(B83+2)+J92),0))</f>
        <v>0</v>
      </c>
    </row>
    <row r="94" spans="1:10" ht="15.75" customHeight="1" x14ac:dyDescent="0.25">
      <c r="A94" s="78" t="s">
        <v>136</v>
      </c>
      <c r="B94" s="79" t="s">
        <v>136</v>
      </c>
      <c r="C94" s="53">
        <v>7</v>
      </c>
      <c r="D94" s="54">
        <f ca="1">((100/(H83))*C94)/100</f>
        <v>1</v>
      </c>
      <c r="E94" s="86"/>
      <c r="F94" s="87"/>
      <c r="G94" s="86"/>
      <c r="H94" s="170"/>
      <c r="I94" s="14" t="s">
        <v>150</v>
      </c>
      <c r="J94" s="28">
        <f ca="1">(IF(B83=1,(H83/(B83+3)+J89),IF(B83=0,(H83/4+J89),IF(B83&gt;1,0))))</f>
        <v>5.25</v>
      </c>
    </row>
    <row r="95" spans="1:10" ht="16.5" thickBot="1" x14ac:dyDescent="0.3">
      <c r="A95" s="90" t="s">
        <v>137</v>
      </c>
      <c r="B95" s="91"/>
      <c r="C95" s="56">
        <v>7</v>
      </c>
      <c r="D95" s="57">
        <f ca="1">((100/(H83))*C95)/100</f>
        <v>1</v>
      </c>
      <c r="E95" s="88"/>
      <c r="F95" s="89"/>
      <c r="G95" s="88"/>
      <c r="H95" s="171"/>
      <c r="I95" s="15" t="s">
        <v>106</v>
      </c>
      <c r="J95" s="30">
        <f ca="1">(IF(B83&gt;1.5,(H83/(B83+2)+J89+MAX(0,J90-J89)+MAX(0,J91-J90)+MAX(0,J92-J91)+MAX(0,J93-J92)+MAX(0,J94-J93)),IF(B83=1,(H83/(B83+3)+J94),IF(B83=0,H83/4+J94))))</f>
        <v>7</v>
      </c>
    </row>
    <row r="96" spans="1:10" x14ac:dyDescent="0.25">
      <c r="A96" s="104" t="s">
        <v>143</v>
      </c>
      <c r="B96" s="105"/>
      <c r="C96" s="106" t="str">
        <f>D59</f>
        <v>Building No.3 (Wing C) = G + 1st to 7th Floor</v>
      </c>
      <c r="D96" s="107"/>
      <c r="E96" s="107"/>
      <c r="F96" s="107"/>
      <c r="G96" s="107"/>
      <c r="H96" s="108"/>
      <c r="I96" s="42" t="str">
        <f ca="1">IF(D109=100%,"All work Completed. Possession granted to the Building.",IF(D108=100%,"All work Completed, Waiting for OC",I97&amp;""&amp;I98&amp;""&amp;J97&amp;""&amp;J96&amp;" "&amp;J98))</f>
        <v>Excavation, Plinth, Brickwork Completed, RCC upto 7 Slab, Internal Plaster upto 6 Floor, External Plaster upto 4 Floor Completed</v>
      </c>
      <c r="J96" s="43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7 Slab, Internal Plaster upto 6 Floor, External Plaster upto 4 Floor</v>
      </c>
    </row>
    <row r="97" spans="1:10" x14ac:dyDescent="0.25">
      <c r="A97" s="16" t="s">
        <v>145</v>
      </c>
      <c r="B97" s="49">
        <v>0</v>
      </c>
      <c r="C97" s="49" t="s">
        <v>73</v>
      </c>
      <c r="D97" s="49">
        <v>1</v>
      </c>
      <c r="E97" s="49" t="s">
        <v>72</v>
      </c>
      <c r="F97" s="49">
        <v>0</v>
      </c>
      <c r="G97" s="49" t="s">
        <v>81</v>
      </c>
      <c r="H97" s="17">
        <f ca="1">--TRIM(RIGHT(SUBSTITUTE(LEFT(C96,_xlfn.AGGREGATE(16,6,FIND({0,1,2,3,4,5,6,7,8,9},C96,ROW(INDIRECT("1:"&amp;LEN(C96)))),1))," ",REPT(" ",LEN(C96))),LEN(C96)))</f>
        <v>7</v>
      </c>
      <c r="I97" s="44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Brickwork</v>
      </c>
      <c r="J97" s="45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0.75" customHeight="1" x14ac:dyDescent="0.25">
      <c r="A98" s="180" t="s">
        <v>91</v>
      </c>
      <c r="B98" s="133"/>
      <c r="C98" s="80" t="str">
        <f ca="1">(IF($C$52=C96,"All work Completed. OC Received.",I96))</f>
        <v>Excavation, Plinth, Brickwork Completed, RCC upto 7 Slab, Internal Plaster upto 6 Floor, External Plaster upto 4 Floor Completed</v>
      </c>
      <c r="D98" s="80"/>
      <c r="E98" s="80"/>
      <c r="F98" s="80"/>
      <c r="G98" s="80"/>
      <c r="H98" s="81"/>
      <c r="I98" s="44" t="str">
        <f ca="1">IF(I97&lt;&gt;""," Completed","")</f>
        <v xml:space="preserve"> Completed</v>
      </c>
      <c r="J98" s="45" t="str">
        <f ca="1">IF(J96&lt;&gt;"","Completed","")</f>
        <v>Completed</v>
      </c>
    </row>
    <row r="99" spans="1:10" ht="15.75" customHeight="1" x14ac:dyDescent="0.25">
      <c r="A99" s="78" t="s">
        <v>49</v>
      </c>
      <c r="B99" s="79"/>
      <c r="C99" s="53" t="s">
        <v>142</v>
      </c>
      <c r="D99" s="53" t="s">
        <v>84</v>
      </c>
      <c r="E99" s="79" t="s">
        <v>86</v>
      </c>
      <c r="F99" s="79"/>
      <c r="G99" s="79" t="s">
        <v>85</v>
      </c>
      <c r="H99" s="160"/>
      <c r="I99" s="14" t="s">
        <v>144</v>
      </c>
      <c r="J99" s="26">
        <f ca="1">H97*25%</f>
        <v>1.75</v>
      </c>
    </row>
    <row r="100" spans="1:10" x14ac:dyDescent="0.25">
      <c r="A100" s="78" t="s">
        <v>131</v>
      </c>
      <c r="B100" s="79"/>
      <c r="C100" s="53">
        <f ca="1">J101</f>
        <v>7</v>
      </c>
      <c r="D100" s="54">
        <f ca="1">((100/H97)*C100)/100</f>
        <v>1</v>
      </c>
      <c r="E100" s="84">
        <f ca="1">(((C101/H97*10)+(40/(D97+F97+H97)*C102)+(7.5/(H97)*C103)+(7.5/(H97)*C104)+(10/H97*C105)+(10/H97*C106)+(5/H97*C107)+(5/H97*C108)+(5/H97*C109))/100)</f>
        <v>0.64642857142857135</v>
      </c>
      <c r="F100" s="85"/>
      <c r="G100" s="84">
        <f ca="1">((((C100/H97)*20)+((C101/H97)*25)+(30/(H97+F97+D97)*C102)+(5/H97*C103)+(5/H97*C104)+(5/H97*C105)+(5/H97*C106)+(0/H97*C107)+(0/H97*C108)+(5/H97*C109))/100)</f>
        <v>0.83392857142857157</v>
      </c>
      <c r="H100" s="169"/>
      <c r="I100" s="14" t="s">
        <v>102</v>
      </c>
      <c r="J100" s="27">
        <f ca="1">H97*50%</f>
        <v>3.5</v>
      </c>
    </row>
    <row r="101" spans="1:10" x14ac:dyDescent="0.25">
      <c r="A101" s="78" t="s">
        <v>50</v>
      </c>
      <c r="B101" s="79"/>
      <c r="C101" s="55">
        <f ca="1">J109</f>
        <v>7</v>
      </c>
      <c r="D101" s="54">
        <f ca="1">((100/H97)*C101)/100</f>
        <v>1</v>
      </c>
      <c r="E101" s="86"/>
      <c r="F101" s="87"/>
      <c r="G101" s="86"/>
      <c r="H101" s="170"/>
      <c r="I101" s="14" t="s">
        <v>103</v>
      </c>
      <c r="J101" s="27">
        <f ca="1">H97</f>
        <v>7</v>
      </c>
    </row>
    <row r="102" spans="1:10" ht="15.75" customHeight="1" x14ac:dyDescent="0.25">
      <c r="A102" s="78" t="s">
        <v>132</v>
      </c>
      <c r="B102" s="79"/>
      <c r="C102" s="53">
        <v>7</v>
      </c>
      <c r="D102" s="54">
        <f ca="1">((100/(D97+F97+H97))*C102)/100</f>
        <v>0.875</v>
      </c>
      <c r="E102" s="86"/>
      <c r="F102" s="87"/>
      <c r="G102" s="86"/>
      <c r="H102" s="170"/>
      <c r="I102" s="14" t="s">
        <v>104</v>
      </c>
      <c r="J102" s="28">
        <f ca="1">(IF(B97&gt;1,(H97/(B97+2)),H97/4))</f>
        <v>1.75</v>
      </c>
    </row>
    <row r="103" spans="1:10" ht="15.75" customHeight="1" x14ac:dyDescent="0.25">
      <c r="A103" s="78" t="s">
        <v>139</v>
      </c>
      <c r="B103" s="79" t="s">
        <v>133</v>
      </c>
      <c r="C103" s="53">
        <v>7</v>
      </c>
      <c r="D103" s="54">
        <f ca="1">((100/H97)*C103)/100</f>
        <v>1</v>
      </c>
      <c r="E103" s="86"/>
      <c r="F103" s="87"/>
      <c r="G103" s="86"/>
      <c r="H103" s="170"/>
      <c r="I103" s="14" t="s">
        <v>105</v>
      </c>
      <c r="J103" s="28">
        <f ca="1">(IF(B97&gt;1,(H97/(B97+2)+J102),H97/4+J102))</f>
        <v>3.5</v>
      </c>
    </row>
    <row r="104" spans="1:10" ht="15.75" customHeight="1" x14ac:dyDescent="0.25">
      <c r="A104" s="78" t="s">
        <v>140</v>
      </c>
      <c r="B104" s="79" t="s">
        <v>133</v>
      </c>
      <c r="C104" s="53">
        <v>6</v>
      </c>
      <c r="D104" s="54">
        <f ca="1">((100/H97)*C104)/100</f>
        <v>0.85714285714285721</v>
      </c>
      <c r="E104" s="86"/>
      <c r="F104" s="87"/>
      <c r="G104" s="86"/>
      <c r="H104" s="170"/>
      <c r="I104" s="14" t="s">
        <v>149</v>
      </c>
      <c r="J104" s="28">
        <f>(IF(B97&gt;1,(H97/(B97+2)+J103),0))</f>
        <v>0</v>
      </c>
    </row>
    <row r="105" spans="1:10" ht="15" customHeight="1" x14ac:dyDescent="0.25">
      <c r="A105" s="78" t="s">
        <v>138</v>
      </c>
      <c r="B105" s="79" t="s">
        <v>135</v>
      </c>
      <c r="C105" s="53">
        <v>4</v>
      </c>
      <c r="D105" s="54">
        <f ca="1">((100/(H97))*C105)/100</f>
        <v>0.57142857142857151</v>
      </c>
      <c r="E105" s="86"/>
      <c r="F105" s="87"/>
      <c r="G105" s="86"/>
      <c r="H105" s="170"/>
      <c r="I105" s="14" t="s">
        <v>146</v>
      </c>
      <c r="J105" s="28">
        <f>(IF(B97&gt;2,(H97/(B97+2)+J104),0))</f>
        <v>0</v>
      </c>
    </row>
    <row r="106" spans="1:10" ht="15.75" customHeight="1" x14ac:dyDescent="0.25">
      <c r="A106" s="78" t="s">
        <v>134</v>
      </c>
      <c r="B106" s="79" t="s">
        <v>134</v>
      </c>
      <c r="C106" s="53">
        <v>0</v>
      </c>
      <c r="D106" s="54">
        <f ca="1">((100/H97)*C106)/100</f>
        <v>0</v>
      </c>
      <c r="E106" s="86"/>
      <c r="F106" s="87"/>
      <c r="G106" s="86"/>
      <c r="H106" s="170"/>
      <c r="I106" s="14" t="s">
        <v>147</v>
      </c>
      <c r="J106" s="29">
        <f>(IF(B97&gt;3,(H97/(B97+2)+J105),0))</f>
        <v>0</v>
      </c>
    </row>
    <row r="107" spans="1:10" ht="15.75" customHeight="1" x14ac:dyDescent="0.25">
      <c r="A107" s="78" t="s">
        <v>141</v>
      </c>
      <c r="B107" s="79"/>
      <c r="C107" s="53">
        <v>0</v>
      </c>
      <c r="D107" s="54">
        <f ca="1">((100/H97)*C107)/100</f>
        <v>0</v>
      </c>
      <c r="E107" s="86"/>
      <c r="F107" s="87"/>
      <c r="G107" s="86"/>
      <c r="H107" s="170"/>
      <c r="I107" s="14" t="s">
        <v>148</v>
      </c>
      <c r="J107" s="28">
        <f>(IF(B97&gt;4,(H97/(B97+2)+J106),0))</f>
        <v>0</v>
      </c>
    </row>
    <row r="108" spans="1:10" ht="15.75" customHeight="1" x14ac:dyDescent="0.25">
      <c r="A108" s="78" t="s">
        <v>136</v>
      </c>
      <c r="B108" s="79" t="s">
        <v>136</v>
      </c>
      <c r="C108" s="53">
        <v>0</v>
      </c>
      <c r="D108" s="54">
        <f ca="1">((100/(H97))*C108)/100</f>
        <v>0</v>
      </c>
      <c r="E108" s="86"/>
      <c r="F108" s="87"/>
      <c r="G108" s="86"/>
      <c r="H108" s="170"/>
      <c r="I108" s="14" t="s">
        <v>150</v>
      </c>
      <c r="J108" s="28">
        <f ca="1">(IF(B97=1,(H97/(B97+3)+J103),IF(B97=0,(H97/4+J103),IF(B97&gt;1,0))))</f>
        <v>5.25</v>
      </c>
    </row>
    <row r="109" spans="1:10" ht="16.5" thickBot="1" x14ac:dyDescent="0.3">
      <c r="A109" s="90" t="s">
        <v>137</v>
      </c>
      <c r="B109" s="91"/>
      <c r="C109" s="56">
        <v>0</v>
      </c>
      <c r="D109" s="57">
        <f ca="1">((100/(H97))*C109)/100</f>
        <v>0</v>
      </c>
      <c r="E109" s="88"/>
      <c r="F109" s="89"/>
      <c r="G109" s="88"/>
      <c r="H109" s="171"/>
      <c r="I109" s="15" t="s">
        <v>106</v>
      </c>
      <c r="J109" s="30">
        <f ca="1">(IF(B97&gt;1.5,(H97/(B97+2)+J103+MAX(0,J104-J103)+MAX(0,J105-J104)+MAX(0,J106-J105)+MAX(0,J107-J106)+MAX(0,J108-J107)),IF(B97=1,(H97/(B97+3)+J108),IF(B97=0,H97/4+J108))))</f>
        <v>7</v>
      </c>
    </row>
    <row r="110" spans="1:10" x14ac:dyDescent="0.25">
      <c r="A110" s="104" t="s">
        <v>143</v>
      </c>
      <c r="B110" s="105"/>
      <c r="C110" s="106" t="str">
        <f>D60</f>
        <v>Building No.4 (Wing D &amp; E) = G + 1st to 7th Floor</v>
      </c>
      <c r="D110" s="107"/>
      <c r="E110" s="107"/>
      <c r="F110" s="107"/>
      <c r="G110" s="107"/>
      <c r="H110" s="108"/>
      <c r="I110" s="42" t="str">
        <f ca="1">IF(D123=100%,"All work Completed. Possession granted to the Building.",IF(D122=100%,"All work Completed, Waiting for OC",I111&amp;""&amp;I112&amp;""&amp;J111&amp;""&amp;J110&amp;" "&amp;J112))</f>
        <v xml:space="preserve">Excavation, Plinth, RCC Slab, Brickwork, Internal Plaster, External Plaster Completed </v>
      </c>
      <c r="J110" s="43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/>
      </c>
    </row>
    <row r="111" spans="1:10" x14ac:dyDescent="0.25">
      <c r="A111" s="16" t="s">
        <v>145</v>
      </c>
      <c r="B111" s="49">
        <v>0</v>
      </c>
      <c r="C111" s="49" t="s">
        <v>73</v>
      </c>
      <c r="D111" s="49">
        <v>1</v>
      </c>
      <c r="E111" s="49" t="s">
        <v>72</v>
      </c>
      <c r="F111" s="49">
        <v>0</v>
      </c>
      <c r="G111" s="49" t="s">
        <v>81</v>
      </c>
      <c r="H111" s="17">
        <f ca="1">--TRIM(RIGHT(SUBSTITUTE(LEFT(C110,_xlfn.AGGREGATE(16,6,FIND({0,1,2,3,4,5,6,7,8,9},C110,ROW(INDIRECT("1:"&amp;LEN(C110)))),1))," ",REPT(" ",LEN(C110))),LEN(C110)))</f>
        <v>7</v>
      </c>
      <c r="I111" s="44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Plinth, RCC Slab, Brickwork, Internal Plaster, External Plaster</v>
      </c>
      <c r="J111" s="45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 ht="31.5" customHeight="1" x14ac:dyDescent="0.25">
      <c r="A112" s="180" t="s">
        <v>91</v>
      </c>
      <c r="B112" s="133"/>
      <c r="C112" s="80" t="str">
        <f ca="1">(IF($C$52=C110,"All work Completed. OC Received.",I110))</f>
        <v xml:space="preserve">Excavation, Plinth, RCC Slab, Brickwork, Internal Plaster, External Plaster Completed </v>
      </c>
      <c r="D112" s="80"/>
      <c r="E112" s="80"/>
      <c r="F112" s="80"/>
      <c r="G112" s="80"/>
      <c r="H112" s="81"/>
      <c r="I112" s="44" t="str">
        <f ca="1">IF(I111&lt;&gt;""," Completed","")</f>
        <v xml:space="preserve"> Completed</v>
      </c>
      <c r="J112" s="45" t="str">
        <f ca="1">IF(J110&lt;&gt;"","Completed","")</f>
        <v/>
      </c>
    </row>
    <row r="113" spans="1:10" ht="15.75" customHeight="1" x14ac:dyDescent="0.25">
      <c r="A113" s="78" t="s">
        <v>49</v>
      </c>
      <c r="B113" s="79"/>
      <c r="C113" s="53" t="s">
        <v>142</v>
      </c>
      <c r="D113" s="53" t="s">
        <v>84</v>
      </c>
      <c r="E113" s="79" t="s">
        <v>86</v>
      </c>
      <c r="F113" s="79"/>
      <c r="G113" s="79" t="s">
        <v>85</v>
      </c>
      <c r="H113" s="160"/>
      <c r="I113" s="14" t="s">
        <v>144</v>
      </c>
      <c r="J113" s="26">
        <f ca="1">H111*25%</f>
        <v>1.75</v>
      </c>
    </row>
    <row r="114" spans="1:10" x14ac:dyDescent="0.25">
      <c r="A114" s="78" t="s">
        <v>131</v>
      </c>
      <c r="B114" s="79"/>
      <c r="C114" s="53">
        <v>7</v>
      </c>
      <c r="D114" s="54">
        <f ca="1">((100/H111)*C114)/100</f>
        <v>1</v>
      </c>
      <c r="E114" s="84">
        <f ca="1">(((C115/H111*10)+(40/(D111+F111+H111)*C116)+(7.5/(H111)*C117)+(7.5/(H111)*C118)+(10/H111*C119)+(10/H111*C120)+(5/H111*C121)+(5/H111*C122)+(5/H111*C123))/100)</f>
        <v>0.75</v>
      </c>
      <c r="F114" s="85"/>
      <c r="G114" s="84">
        <f ca="1">((((C114/H111)*20)+((C115/H111)*25)+(30/(H111+F111+D111)*C116)+(5/H111*C117)+(5/H111*C118)+(5/H111*C119)+(5/H111*C120)+(0/H111*C121)+(0/H111*C122)+(5/H111*C123))/100)</f>
        <v>0.9</v>
      </c>
      <c r="H114" s="169"/>
      <c r="I114" s="14" t="s">
        <v>102</v>
      </c>
      <c r="J114" s="27">
        <f ca="1">H111*50%</f>
        <v>3.5</v>
      </c>
    </row>
    <row r="115" spans="1:10" x14ac:dyDescent="0.25">
      <c r="A115" s="78" t="s">
        <v>50</v>
      </c>
      <c r="B115" s="79"/>
      <c r="C115" s="55">
        <f ca="1">J123</f>
        <v>7</v>
      </c>
      <c r="D115" s="54">
        <f ca="1">((100/H111)*C115)/100</f>
        <v>1</v>
      </c>
      <c r="E115" s="86"/>
      <c r="F115" s="87"/>
      <c r="G115" s="86"/>
      <c r="H115" s="170"/>
      <c r="I115" s="14" t="s">
        <v>103</v>
      </c>
      <c r="J115" s="27">
        <f ca="1">H111</f>
        <v>7</v>
      </c>
    </row>
    <row r="116" spans="1:10" ht="15.75" customHeight="1" x14ac:dyDescent="0.25">
      <c r="A116" s="78" t="s">
        <v>132</v>
      </c>
      <c r="B116" s="79"/>
      <c r="C116" s="53">
        <v>8</v>
      </c>
      <c r="D116" s="54">
        <f ca="1">((100/(D111+F111+H111))*C116)/100</f>
        <v>1</v>
      </c>
      <c r="E116" s="86"/>
      <c r="F116" s="87"/>
      <c r="G116" s="86"/>
      <c r="H116" s="170"/>
      <c r="I116" s="14" t="s">
        <v>104</v>
      </c>
      <c r="J116" s="28">
        <f ca="1">(IF(B111&gt;1,(H111/(B111+2)),H111/4))</f>
        <v>1.75</v>
      </c>
    </row>
    <row r="117" spans="1:10" ht="15.75" customHeight="1" x14ac:dyDescent="0.25">
      <c r="A117" s="78" t="s">
        <v>139</v>
      </c>
      <c r="B117" s="79" t="s">
        <v>133</v>
      </c>
      <c r="C117" s="53">
        <v>7</v>
      </c>
      <c r="D117" s="54">
        <f ca="1">((100/H111)*C117)/100</f>
        <v>1</v>
      </c>
      <c r="E117" s="86"/>
      <c r="F117" s="87"/>
      <c r="G117" s="86"/>
      <c r="H117" s="170"/>
      <c r="I117" s="14" t="s">
        <v>105</v>
      </c>
      <c r="J117" s="28">
        <f ca="1">(IF(B111&gt;1,(H111/(B111+2)+J116),H111/4+J116))</f>
        <v>3.5</v>
      </c>
    </row>
    <row r="118" spans="1:10" ht="15.75" customHeight="1" x14ac:dyDescent="0.25">
      <c r="A118" s="78" t="s">
        <v>140</v>
      </c>
      <c r="B118" s="79" t="s">
        <v>133</v>
      </c>
      <c r="C118" s="53">
        <v>7</v>
      </c>
      <c r="D118" s="54">
        <f ca="1">((100/H111)*C118)/100</f>
        <v>1</v>
      </c>
      <c r="E118" s="86"/>
      <c r="F118" s="87"/>
      <c r="G118" s="86"/>
      <c r="H118" s="170"/>
      <c r="I118" s="14" t="s">
        <v>149</v>
      </c>
      <c r="J118" s="28">
        <f>(IF(B111&gt;1,(H111/(B111+2)+J117),0))</f>
        <v>0</v>
      </c>
    </row>
    <row r="119" spans="1:10" ht="15" customHeight="1" x14ac:dyDescent="0.25">
      <c r="A119" s="78" t="s">
        <v>138</v>
      </c>
      <c r="B119" s="79" t="s">
        <v>135</v>
      </c>
      <c r="C119" s="53">
        <v>7</v>
      </c>
      <c r="D119" s="54">
        <f ca="1">((100/(H111))*C119)/100</f>
        <v>1</v>
      </c>
      <c r="E119" s="86"/>
      <c r="F119" s="87"/>
      <c r="G119" s="86"/>
      <c r="H119" s="170"/>
      <c r="I119" s="14" t="s">
        <v>146</v>
      </c>
      <c r="J119" s="28">
        <f>(IF(B111&gt;2,(H111/(B111+2)+J118),0))</f>
        <v>0</v>
      </c>
    </row>
    <row r="120" spans="1:10" ht="15.75" customHeight="1" x14ac:dyDescent="0.25">
      <c r="A120" s="78" t="s">
        <v>134</v>
      </c>
      <c r="B120" s="79" t="s">
        <v>134</v>
      </c>
      <c r="C120" s="53">
        <v>0</v>
      </c>
      <c r="D120" s="54">
        <f ca="1">((100/H111)*C120)/100</f>
        <v>0</v>
      </c>
      <c r="E120" s="86"/>
      <c r="F120" s="87"/>
      <c r="G120" s="86"/>
      <c r="H120" s="170"/>
      <c r="I120" s="14" t="s">
        <v>147</v>
      </c>
      <c r="J120" s="29">
        <f>(IF(B111&gt;3,(H111/(B111+2)+J119),0))</f>
        <v>0</v>
      </c>
    </row>
    <row r="121" spans="1:10" ht="15.75" customHeight="1" x14ac:dyDescent="0.25">
      <c r="A121" s="78" t="s">
        <v>141</v>
      </c>
      <c r="B121" s="79"/>
      <c r="C121" s="53">
        <v>0</v>
      </c>
      <c r="D121" s="54">
        <f ca="1">((100/H111)*C121)/100</f>
        <v>0</v>
      </c>
      <c r="E121" s="86"/>
      <c r="F121" s="87"/>
      <c r="G121" s="86"/>
      <c r="H121" s="170"/>
      <c r="I121" s="14" t="s">
        <v>148</v>
      </c>
      <c r="J121" s="28">
        <f>(IF(B111&gt;4,(H111/(B111+2)+J120),0))</f>
        <v>0</v>
      </c>
    </row>
    <row r="122" spans="1:10" ht="15.75" customHeight="1" x14ac:dyDescent="0.25">
      <c r="A122" s="78" t="s">
        <v>136</v>
      </c>
      <c r="B122" s="79" t="s">
        <v>136</v>
      </c>
      <c r="C122" s="53">
        <v>0</v>
      </c>
      <c r="D122" s="54">
        <f ca="1">((100/(H111))*C122)/100</f>
        <v>0</v>
      </c>
      <c r="E122" s="86"/>
      <c r="F122" s="87"/>
      <c r="G122" s="86"/>
      <c r="H122" s="170"/>
      <c r="I122" s="14" t="s">
        <v>150</v>
      </c>
      <c r="J122" s="28">
        <f ca="1">(IF(B111=1,(H111/(B111+3)+J117),IF(B111=0,(H111/4+J117),IF(B111&gt;1,0))))</f>
        <v>5.25</v>
      </c>
    </row>
    <row r="123" spans="1:10" ht="16.5" thickBot="1" x14ac:dyDescent="0.3">
      <c r="A123" s="90" t="s">
        <v>137</v>
      </c>
      <c r="B123" s="91"/>
      <c r="C123" s="56">
        <v>0</v>
      </c>
      <c r="D123" s="57">
        <f ca="1">((100/(H111))*C123)/100</f>
        <v>0</v>
      </c>
      <c r="E123" s="88"/>
      <c r="F123" s="89"/>
      <c r="G123" s="88"/>
      <c r="H123" s="171"/>
      <c r="I123" s="15" t="s">
        <v>106</v>
      </c>
      <c r="J123" s="30">
        <f ca="1">(IF(B111&gt;1.5,(H111/(B111+2)+J117+MAX(0,J118-J117)+MAX(0,J119-J118)+MAX(0,J120-J119)+MAX(0,J121-J120)+MAX(0,J122-J121)),IF(B111=1,(H111/(B111+3)+J122),IF(B111=0,H111/4+J122))))</f>
        <v>7</v>
      </c>
    </row>
    <row r="124" spans="1:10" x14ac:dyDescent="0.25">
      <c r="A124" s="195" t="s">
        <v>161</v>
      </c>
      <c r="B124" s="195"/>
      <c r="C124" s="195"/>
      <c r="D124" s="195"/>
      <c r="E124" s="195"/>
      <c r="F124" s="196" t="s">
        <v>166</v>
      </c>
      <c r="G124" s="196"/>
      <c r="H124" s="196"/>
    </row>
    <row r="125" spans="1:10" x14ac:dyDescent="0.25">
      <c r="A125" s="83" t="s">
        <v>164</v>
      </c>
      <c r="B125" s="83"/>
      <c r="C125" s="83"/>
      <c r="D125" s="83"/>
      <c r="E125" s="83"/>
      <c r="F125" s="82">
        <v>4300</v>
      </c>
      <c r="G125" s="82"/>
      <c r="H125" s="82"/>
    </row>
    <row r="126" spans="1:10" x14ac:dyDescent="0.25">
      <c r="A126" s="83" t="s">
        <v>163</v>
      </c>
      <c r="B126" s="83"/>
      <c r="C126" s="83"/>
      <c r="D126" s="83"/>
      <c r="E126" s="83"/>
      <c r="F126" s="82">
        <v>7000</v>
      </c>
      <c r="G126" s="82"/>
      <c r="H126" s="82"/>
    </row>
    <row r="127" spans="1:10" hidden="1" x14ac:dyDescent="0.25">
      <c r="A127" s="83" t="s">
        <v>165</v>
      </c>
      <c r="B127" s="83"/>
      <c r="C127" s="83"/>
      <c r="D127" s="83"/>
      <c r="E127" s="83"/>
      <c r="F127" s="82"/>
      <c r="G127" s="82"/>
      <c r="H127" s="82"/>
    </row>
    <row r="128" spans="1:10" s="31" customFormat="1" hidden="1" x14ac:dyDescent="0.25">
      <c r="A128" s="83" t="s">
        <v>162</v>
      </c>
      <c r="B128" s="83"/>
      <c r="C128" s="83"/>
      <c r="D128" s="83"/>
      <c r="E128" s="83"/>
      <c r="F128" s="82"/>
      <c r="G128" s="82"/>
      <c r="H128" s="82"/>
    </row>
    <row r="129" spans="1:8" s="31" customFormat="1" hidden="1" x14ac:dyDescent="0.25">
      <c r="A129" s="83" t="s">
        <v>96</v>
      </c>
      <c r="B129" s="83"/>
      <c r="C129" s="83"/>
      <c r="D129" s="83"/>
      <c r="E129" s="83"/>
      <c r="F129" s="82"/>
      <c r="G129" s="82"/>
      <c r="H129" s="82"/>
    </row>
    <row r="130" spans="1:8" s="31" customFormat="1" hidden="1" x14ac:dyDescent="0.25">
      <c r="A130" s="83" t="s">
        <v>97</v>
      </c>
      <c r="B130" s="83"/>
      <c r="C130" s="83"/>
      <c r="D130" s="83"/>
      <c r="E130" s="83"/>
      <c r="F130" s="82"/>
      <c r="G130" s="82"/>
      <c r="H130" s="82"/>
    </row>
    <row r="131" spans="1:8" s="31" customFormat="1" hidden="1" x14ac:dyDescent="0.25">
      <c r="A131" s="83" t="s">
        <v>167</v>
      </c>
      <c r="B131" s="83"/>
      <c r="C131" s="83"/>
      <c r="D131" s="83"/>
      <c r="E131" s="83"/>
      <c r="F131" s="82"/>
      <c r="G131" s="82"/>
      <c r="H131" s="82"/>
    </row>
    <row r="132" spans="1:8" s="31" customFormat="1" hidden="1" x14ac:dyDescent="0.25">
      <c r="A132" s="83" t="s">
        <v>98</v>
      </c>
      <c r="B132" s="83"/>
      <c r="C132" s="83"/>
      <c r="D132" s="83"/>
      <c r="E132" s="83"/>
      <c r="F132" s="82"/>
      <c r="G132" s="82"/>
      <c r="H132" s="82"/>
    </row>
    <row r="133" spans="1:8" s="31" customFormat="1" hidden="1" x14ac:dyDescent="0.25">
      <c r="A133" s="83" t="s">
        <v>99</v>
      </c>
      <c r="B133" s="83"/>
      <c r="C133" s="83"/>
      <c r="D133" s="83"/>
      <c r="E133" s="83"/>
      <c r="F133" s="82"/>
      <c r="G133" s="82"/>
      <c r="H133" s="82"/>
    </row>
    <row r="134" spans="1:8" s="31" customFormat="1" hidden="1" x14ac:dyDescent="0.25">
      <c r="A134" s="83" t="s">
        <v>100</v>
      </c>
      <c r="B134" s="83"/>
      <c r="C134" s="83"/>
      <c r="D134" s="83"/>
      <c r="E134" s="83"/>
      <c r="F134" s="82"/>
      <c r="G134" s="82"/>
      <c r="H134" s="82"/>
    </row>
    <row r="135" spans="1:8" s="31" customFormat="1" hidden="1" x14ac:dyDescent="0.25">
      <c r="A135" s="83" t="s">
        <v>101</v>
      </c>
      <c r="B135" s="83"/>
      <c r="C135" s="83"/>
      <c r="D135" s="83"/>
      <c r="E135" s="83"/>
      <c r="F135" s="82"/>
      <c r="G135" s="82"/>
      <c r="H135" s="82"/>
    </row>
    <row r="136" spans="1:8" x14ac:dyDescent="0.25">
      <c r="A136" s="83" t="s">
        <v>51</v>
      </c>
      <c r="B136" s="83"/>
      <c r="C136" s="83"/>
      <c r="D136" s="83"/>
      <c r="E136" s="83"/>
      <c r="F136" s="82">
        <v>100000</v>
      </c>
      <c r="G136" s="82"/>
      <c r="H136" s="82"/>
    </row>
    <row r="137" spans="1:8" s="32" customFormat="1" x14ac:dyDescent="0.25">
      <c r="A137" s="92" t="s">
        <v>52</v>
      </c>
      <c r="B137" s="92"/>
      <c r="C137" s="92"/>
      <c r="D137" s="92"/>
      <c r="E137" s="92"/>
      <c r="F137" s="82">
        <f>F125*0.8</f>
        <v>3440</v>
      </c>
      <c r="G137" s="82"/>
      <c r="H137" s="82"/>
    </row>
    <row r="138" spans="1:8" s="33" customFormat="1" ht="15.75" customHeight="1" x14ac:dyDescent="0.25">
      <c r="A138" s="121" t="s">
        <v>76</v>
      </c>
      <c r="B138" s="121"/>
      <c r="C138" s="121"/>
      <c r="D138" s="121"/>
      <c r="E138" s="121"/>
      <c r="F138" s="121"/>
      <c r="G138" s="121"/>
      <c r="H138" s="121"/>
    </row>
    <row r="139" spans="1:8" s="33" customFormat="1" ht="15.75" customHeight="1" x14ac:dyDescent="0.25">
      <c r="A139" s="103" t="s">
        <v>53</v>
      </c>
      <c r="B139" s="103"/>
      <c r="C139" s="126" t="s">
        <v>79</v>
      </c>
      <c r="D139" s="126"/>
      <c r="E139" s="127" t="s">
        <v>54</v>
      </c>
      <c r="F139" s="127"/>
      <c r="G139" s="103" t="s">
        <v>55</v>
      </c>
      <c r="H139" s="103"/>
    </row>
    <row r="140" spans="1:8" s="33" customFormat="1" x14ac:dyDescent="0.25">
      <c r="A140" s="122" t="s">
        <v>198</v>
      </c>
      <c r="B140" s="122"/>
      <c r="C140" s="123">
        <f>COUNT(D158:D163)</f>
        <v>6</v>
      </c>
      <c r="D140" s="124"/>
      <c r="E140" s="109">
        <f>SUM(D158:D163)</f>
        <v>920.96783999999991</v>
      </c>
      <c r="F140" s="110"/>
      <c r="G140" s="109">
        <f>SUM(F158:F163)</f>
        <v>1473.548544</v>
      </c>
      <c r="H140" s="110"/>
    </row>
    <row r="141" spans="1:8" s="33" customFormat="1" hidden="1" x14ac:dyDescent="0.25">
      <c r="A141" s="122"/>
      <c r="B141" s="122"/>
      <c r="C141" s="124"/>
      <c r="D141" s="124"/>
      <c r="E141" s="110"/>
      <c r="F141" s="110"/>
      <c r="G141" s="125"/>
      <c r="H141" s="125"/>
    </row>
    <row r="142" spans="1:8" s="33" customFormat="1" hidden="1" x14ac:dyDescent="0.25">
      <c r="A142" s="121" t="s">
        <v>154</v>
      </c>
      <c r="B142" s="121"/>
      <c r="C142" s="126"/>
      <c r="D142" s="126"/>
      <c r="E142" s="127"/>
      <c r="F142" s="127"/>
      <c r="G142" s="103"/>
      <c r="H142" s="103"/>
    </row>
    <row r="143" spans="1:8" s="33" customFormat="1" x14ac:dyDescent="0.25">
      <c r="A143" s="121" t="s">
        <v>71</v>
      </c>
      <c r="B143" s="121"/>
      <c r="C143" s="121"/>
      <c r="D143" s="121"/>
      <c r="E143" s="121"/>
      <c r="F143" s="121"/>
      <c r="G143" s="121"/>
      <c r="H143" s="121"/>
    </row>
    <row r="144" spans="1:8" s="33" customFormat="1" ht="15.75" customHeight="1" x14ac:dyDescent="0.25">
      <c r="A144" s="103" t="s">
        <v>53</v>
      </c>
      <c r="B144" s="103"/>
      <c r="C144" s="126" t="s">
        <v>79</v>
      </c>
      <c r="D144" s="126"/>
      <c r="E144" s="127" t="s">
        <v>54</v>
      </c>
      <c r="F144" s="127"/>
      <c r="G144" s="103" t="s">
        <v>55</v>
      </c>
      <c r="H144" s="103"/>
    </row>
    <row r="145" spans="1:14" s="33" customFormat="1" x14ac:dyDescent="0.25">
      <c r="A145" s="122" t="s">
        <v>198</v>
      </c>
      <c r="B145" s="122"/>
      <c r="C145" s="123">
        <f>COUNT(D169:D176)+COUNT(D187:D194)*6</f>
        <v>56</v>
      </c>
      <c r="D145" s="123"/>
      <c r="E145" s="109">
        <f>SUM(D169:D176)+SUM(D187:D194)*6</f>
        <v>23622.351480000001</v>
      </c>
      <c r="F145" s="109"/>
      <c r="G145" s="109">
        <f>SUM(F169:F176)+SUM(F187:F194)*6</f>
        <v>34713</v>
      </c>
      <c r="H145" s="109"/>
      <c r="J145" s="62">
        <f>SUM(G140,G150)</f>
        <v>180931.85420671999</v>
      </c>
      <c r="K145" s="62">
        <f>SUM(E140,E150)</f>
        <v>124634.999736</v>
      </c>
    </row>
    <row r="146" spans="1:14" s="33" customFormat="1" x14ac:dyDescent="0.25">
      <c r="A146" s="122" t="s">
        <v>199</v>
      </c>
      <c r="B146" s="122"/>
      <c r="C146" s="123">
        <f>COUNT(D198:D205)*7</f>
        <v>56</v>
      </c>
      <c r="D146" s="123"/>
      <c r="E146" s="109">
        <f>SUM(D198:D205)*7</f>
        <v>25775.495927999997</v>
      </c>
      <c r="F146" s="109"/>
      <c r="G146" s="109">
        <f>SUM(F198:F205)*7</f>
        <v>37730</v>
      </c>
      <c r="H146" s="109"/>
    </row>
    <row r="147" spans="1:14" s="33" customFormat="1" x14ac:dyDescent="0.25">
      <c r="A147" s="122" t="s">
        <v>201</v>
      </c>
      <c r="B147" s="122"/>
      <c r="C147" s="123">
        <f>COUNT(D209:D216)*7</f>
        <v>56</v>
      </c>
      <c r="D147" s="123"/>
      <c r="E147" s="109">
        <f>SUM(D209:D216)*7</f>
        <v>25775.495927999997</v>
      </c>
      <c r="F147" s="109"/>
      <c r="G147" s="109">
        <f>SUM(F209:F216)*7</f>
        <v>37116.714136319992</v>
      </c>
      <c r="H147" s="109"/>
    </row>
    <row r="148" spans="1:14" s="33" customFormat="1" x14ac:dyDescent="0.25">
      <c r="A148" s="122" t="s">
        <v>203</v>
      </c>
      <c r="B148" s="122"/>
      <c r="C148" s="123">
        <f>COUNT(D220:D228)*7</f>
        <v>63</v>
      </c>
      <c r="D148" s="123"/>
      <c r="E148" s="109">
        <f>SUM(D220:D228)*7</f>
        <v>27039.006539999998</v>
      </c>
      <c r="F148" s="109"/>
      <c r="G148" s="109">
        <f>SUM(F220:F228)*7</f>
        <v>38936.169417599995</v>
      </c>
      <c r="H148" s="109"/>
    </row>
    <row r="149" spans="1:14" s="33" customFormat="1" x14ac:dyDescent="0.25">
      <c r="A149" s="122" t="s">
        <v>218</v>
      </c>
      <c r="B149" s="122"/>
      <c r="C149" s="123">
        <f>COUNT(D232:D238)*7</f>
        <v>49</v>
      </c>
      <c r="D149" s="123"/>
      <c r="E149" s="109">
        <f>SUM(D232:D238)*7</f>
        <v>21501.68202</v>
      </c>
      <c r="F149" s="109"/>
      <c r="G149" s="109">
        <f>SUM(F232:F238)*7</f>
        <v>30962.422108799998</v>
      </c>
      <c r="H149" s="109"/>
    </row>
    <row r="150" spans="1:14" s="33" customFormat="1" x14ac:dyDescent="0.25">
      <c r="A150" s="121" t="s">
        <v>154</v>
      </c>
      <c r="B150" s="121"/>
      <c r="C150" s="193">
        <f>SUM(C145:C149)</f>
        <v>280</v>
      </c>
      <c r="D150" s="126"/>
      <c r="E150" s="194">
        <f>SUM(E145:E149)</f>
        <v>123714.031896</v>
      </c>
      <c r="F150" s="127"/>
      <c r="G150" s="103">
        <f>SUM(G145:G149)</f>
        <v>179458.30566272</v>
      </c>
      <c r="H150" s="103"/>
    </row>
    <row r="151" spans="1:14" s="32" customFormat="1" x14ac:dyDescent="0.25">
      <c r="A151" s="118" t="s">
        <v>56</v>
      </c>
      <c r="B151" s="118"/>
      <c r="C151" s="118"/>
      <c r="D151" s="118"/>
      <c r="E151" s="118"/>
      <c r="F151" s="118"/>
      <c r="G151" s="118"/>
      <c r="H151" s="118"/>
    </row>
    <row r="152" spans="1:14" x14ac:dyDescent="0.25">
      <c r="A152" s="118" t="s">
        <v>57</v>
      </c>
      <c r="B152" s="118"/>
      <c r="C152" s="118"/>
      <c r="D152" s="118"/>
      <c r="E152" s="118"/>
      <c r="F152" s="118"/>
      <c r="G152" s="118"/>
      <c r="H152" s="118"/>
    </row>
    <row r="153" spans="1:14" ht="47.25" customHeight="1" x14ac:dyDescent="0.25">
      <c r="A153" s="116" t="s">
        <v>121</v>
      </c>
      <c r="B153" s="116" t="s">
        <v>120</v>
      </c>
      <c r="C153" s="116" t="s">
        <v>58</v>
      </c>
      <c r="D153" s="116" t="s">
        <v>59</v>
      </c>
      <c r="E153" s="130" t="s">
        <v>160</v>
      </c>
      <c r="F153" s="40" t="s">
        <v>153</v>
      </c>
      <c r="G153" s="98" t="s">
        <v>61</v>
      </c>
      <c r="H153" s="99"/>
    </row>
    <row r="154" spans="1:14" s="41" customFormat="1" x14ac:dyDescent="0.25">
      <c r="A154" s="117"/>
      <c r="B154" s="117"/>
      <c r="C154" s="117"/>
      <c r="D154" s="117"/>
      <c r="E154" s="131"/>
      <c r="F154" s="13">
        <v>0.6</v>
      </c>
      <c r="G154" s="100"/>
      <c r="H154" s="101"/>
    </row>
    <row r="155" spans="1:14" s="41" customFormat="1" x14ac:dyDescent="0.25">
      <c r="A155" s="75" t="s">
        <v>214</v>
      </c>
      <c r="B155" s="76"/>
      <c r="C155" s="76"/>
      <c r="D155" s="76"/>
      <c r="E155" s="76"/>
      <c r="F155" s="76"/>
      <c r="G155" s="76"/>
      <c r="H155" s="77"/>
      <c r="J155" s="48">
        <v>10.763999999999999</v>
      </c>
    </row>
    <row r="156" spans="1:14" s="41" customFormat="1" x14ac:dyDescent="0.25">
      <c r="A156" s="75" t="s">
        <v>210</v>
      </c>
      <c r="B156" s="76"/>
      <c r="C156" s="76"/>
      <c r="D156" s="76"/>
      <c r="E156" s="76"/>
      <c r="F156" s="76"/>
      <c r="G156" s="76"/>
      <c r="H156" s="77"/>
      <c r="J156" s="48">
        <v>10.763999999999999</v>
      </c>
    </row>
    <row r="157" spans="1:14" s="41" customFormat="1" x14ac:dyDescent="0.25">
      <c r="A157" s="75" t="s">
        <v>219</v>
      </c>
      <c r="B157" s="76"/>
      <c r="C157" s="76"/>
      <c r="D157" s="76"/>
      <c r="E157" s="76"/>
      <c r="F157" s="76"/>
      <c r="G157" s="76"/>
      <c r="H157" s="77"/>
      <c r="J157" s="48">
        <v>10.763999999999999</v>
      </c>
    </row>
    <row r="158" spans="1:14" s="41" customFormat="1" ht="15.75" customHeight="1" x14ac:dyDescent="0.25">
      <c r="A158" s="73">
        <v>1</v>
      </c>
      <c r="B158" s="74"/>
      <c r="C158" s="39" t="s">
        <v>192</v>
      </c>
      <c r="D158" s="48">
        <f>(14.3)*10.764</f>
        <v>153.92519999999999</v>
      </c>
      <c r="E158" s="39">
        <v>0</v>
      </c>
      <c r="F158" s="39">
        <f t="shared" ref="F158:F163" si="0">(D158+E158)*(($F$154)+1)</f>
        <v>246.28031999999999</v>
      </c>
      <c r="G158" s="67" t="str">
        <f>A157</f>
        <v>Ground Floor For Commercial &amp; Parking</v>
      </c>
      <c r="H158" s="68"/>
      <c r="I158" s="34">
        <f>5.2*2.75</f>
        <v>14.3</v>
      </c>
      <c r="L158" s="66"/>
      <c r="M158" s="66"/>
      <c r="N158" s="34"/>
    </row>
    <row r="159" spans="1:14" s="41" customFormat="1" ht="15.75" customHeight="1" x14ac:dyDescent="0.25">
      <c r="A159" s="73">
        <f t="shared" ref="A159:A163" si="1">A158+1</f>
        <v>2</v>
      </c>
      <c r="B159" s="74"/>
      <c r="C159" s="39" t="s">
        <v>192</v>
      </c>
      <c r="D159" s="48">
        <f>(14.44)*10.764</f>
        <v>155.43215999999998</v>
      </c>
      <c r="E159" s="39">
        <v>0</v>
      </c>
      <c r="F159" s="39">
        <f t="shared" si="0"/>
        <v>248.69145599999999</v>
      </c>
      <c r="G159" s="69"/>
      <c r="H159" s="70"/>
      <c r="I159" s="34"/>
      <c r="L159" s="66"/>
      <c r="M159" s="66"/>
      <c r="N159" s="34"/>
    </row>
    <row r="160" spans="1:14" s="41" customFormat="1" ht="15.75" customHeight="1" x14ac:dyDescent="0.25">
      <c r="A160" s="73">
        <f t="shared" si="1"/>
        <v>3</v>
      </c>
      <c r="B160" s="74"/>
      <c r="C160" s="39" t="s">
        <v>192</v>
      </c>
      <c r="D160" s="48">
        <f>(14.04)*10.764</f>
        <v>151.12655999999998</v>
      </c>
      <c r="E160" s="39">
        <v>0</v>
      </c>
      <c r="F160" s="39">
        <f t="shared" si="0"/>
        <v>241.80249599999999</v>
      </c>
      <c r="G160" s="69"/>
      <c r="H160" s="70"/>
      <c r="I160" s="34"/>
      <c r="L160" s="66"/>
      <c r="M160" s="66"/>
      <c r="N160" s="34"/>
    </row>
    <row r="161" spans="1:14" s="41" customFormat="1" ht="15.75" customHeight="1" x14ac:dyDescent="0.25">
      <c r="A161" s="73">
        <f t="shared" si="1"/>
        <v>4</v>
      </c>
      <c r="B161" s="74"/>
      <c r="C161" s="39" t="s">
        <v>192</v>
      </c>
      <c r="D161" s="48">
        <f>(14.04)*10.764</f>
        <v>151.12655999999998</v>
      </c>
      <c r="E161" s="39">
        <v>0</v>
      </c>
      <c r="F161" s="39">
        <f t="shared" si="0"/>
        <v>241.80249599999999</v>
      </c>
      <c r="G161" s="69"/>
      <c r="H161" s="70"/>
      <c r="I161" s="34"/>
      <c r="L161" s="66"/>
      <c r="M161" s="66"/>
      <c r="N161" s="34"/>
    </row>
    <row r="162" spans="1:14" s="41" customFormat="1" ht="15.75" customHeight="1" x14ac:dyDescent="0.25">
      <c r="A162" s="73">
        <f t="shared" si="1"/>
        <v>5</v>
      </c>
      <c r="B162" s="74"/>
      <c r="C162" s="39" t="s">
        <v>192</v>
      </c>
      <c r="D162" s="48">
        <f>(14.44)*10.764</f>
        <v>155.43215999999998</v>
      </c>
      <c r="E162" s="39">
        <v>0</v>
      </c>
      <c r="F162" s="39">
        <f t="shared" si="0"/>
        <v>248.69145599999999</v>
      </c>
      <c r="G162" s="69"/>
      <c r="H162" s="70"/>
      <c r="I162" s="34"/>
      <c r="L162" s="66"/>
      <c r="M162" s="66"/>
      <c r="N162" s="34"/>
    </row>
    <row r="163" spans="1:14" s="41" customFormat="1" ht="15.75" customHeight="1" x14ac:dyDescent="0.25">
      <c r="A163" s="73">
        <f t="shared" si="1"/>
        <v>6</v>
      </c>
      <c r="B163" s="74"/>
      <c r="C163" s="39" t="s">
        <v>192</v>
      </c>
      <c r="D163" s="48">
        <f>(14.3)*10.764</f>
        <v>153.92519999999999</v>
      </c>
      <c r="E163" s="39">
        <v>0</v>
      </c>
      <c r="F163" s="39">
        <f t="shared" si="0"/>
        <v>246.28031999999999</v>
      </c>
      <c r="G163" s="71"/>
      <c r="H163" s="72"/>
      <c r="I163" s="34"/>
      <c r="L163" s="66"/>
      <c r="M163" s="66"/>
      <c r="N163" s="34"/>
    </row>
    <row r="164" spans="1:14" s="41" customFormat="1" x14ac:dyDescent="0.25">
      <c r="A164" s="73"/>
      <c r="B164" s="197"/>
      <c r="C164" s="197"/>
      <c r="D164" s="197"/>
      <c r="E164" s="197"/>
      <c r="F164" s="197"/>
      <c r="G164" s="197"/>
      <c r="H164" s="74"/>
      <c r="I164" s="34"/>
      <c r="N164" s="34"/>
    </row>
    <row r="165" spans="1:14" ht="47.25" customHeight="1" x14ac:dyDescent="0.25">
      <c r="A165" s="51" t="s">
        <v>122</v>
      </c>
      <c r="B165" s="51" t="s">
        <v>123</v>
      </c>
      <c r="C165" s="40" t="s">
        <v>58</v>
      </c>
      <c r="D165" s="40" t="s">
        <v>59</v>
      </c>
      <c r="E165" s="50" t="s">
        <v>60</v>
      </c>
      <c r="F165" s="40" t="s">
        <v>222</v>
      </c>
      <c r="G165" s="98" t="s">
        <v>61</v>
      </c>
      <c r="H165" s="99"/>
      <c r="I165" s="34"/>
    </row>
    <row r="166" spans="1:14" s="41" customFormat="1" x14ac:dyDescent="0.25">
      <c r="A166" s="75" t="s">
        <v>214</v>
      </c>
      <c r="B166" s="76"/>
      <c r="C166" s="76"/>
      <c r="D166" s="76"/>
      <c r="E166" s="76"/>
      <c r="F166" s="76"/>
      <c r="G166" s="76"/>
      <c r="H166" s="77"/>
      <c r="J166" s="48">
        <v>10.763999999999999</v>
      </c>
    </row>
    <row r="167" spans="1:14" s="41" customFormat="1" x14ac:dyDescent="0.25">
      <c r="A167" s="75" t="s">
        <v>210</v>
      </c>
      <c r="B167" s="76"/>
      <c r="C167" s="76"/>
      <c r="D167" s="76"/>
      <c r="E167" s="76"/>
      <c r="F167" s="76"/>
      <c r="G167" s="76"/>
      <c r="H167" s="77"/>
      <c r="J167" s="34"/>
    </row>
    <row r="168" spans="1:14" s="41" customFormat="1" x14ac:dyDescent="0.25">
      <c r="A168" s="75" t="s">
        <v>197</v>
      </c>
      <c r="B168" s="76"/>
      <c r="C168" s="76"/>
      <c r="D168" s="76"/>
      <c r="E168" s="76"/>
      <c r="F168" s="76"/>
      <c r="G168" s="76"/>
      <c r="H168" s="77"/>
      <c r="J168" s="34"/>
    </row>
    <row r="169" spans="1:14" s="41" customFormat="1" ht="15.75" customHeight="1" x14ac:dyDescent="0.25">
      <c r="A169" s="73">
        <v>1</v>
      </c>
      <c r="B169" s="74"/>
      <c r="C169" s="47" t="s">
        <v>195</v>
      </c>
      <c r="D169" s="48">
        <f>(31.715+2.85+0.87+0.6*2.75)*10.764</f>
        <v>399.18293999999992</v>
      </c>
      <c r="E169" s="48">
        <f>(1.75*2.4+0.8*1.5+0.8*2.75)*10.764</f>
        <v>81.806399999999996</v>
      </c>
      <c r="F169" s="39">
        <v>683</v>
      </c>
      <c r="G169" s="67" t="str">
        <f>A168</f>
        <v>1st Floor for Residentail</v>
      </c>
      <c r="H169" s="68"/>
      <c r="I169" s="34">
        <f>4.25*2.75+2.1*2.2+3.1*2.75+0.6*1.45+0.9*1.35+1.2*1.2+0.75*2.1+0.3*1.2</f>
        <v>30.292500000000004</v>
      </c>
      <c r="J169" s="64"/>
      <c r="K169" s="64" t="s">
        <v>228</v>
      </c>
      <c r="L169" s="198">
        <v>45402</v>
      </c>
      <c r="M169" s="199"/>
      <c r="N169" s="65" t="s">
        <v>229</v>
      </c>
    </row>
    <row r="170" spans="1:14" s="41" customFormat="1" ht="15.75" customHeight="1" x14ac:dyDescent="0.25">
      <c r="A170" s="73">
        <f t="shared" ref="A170:A176" si="2">A169+1</f>
        <v>2</v>
      </c>
      <c r="B170" s="74"/>
      <c r="C170" s="47" t="s">
        <v>195</v>
      </c>
      <c r="D170" s="48">
        <f>(31.715+2.85+0.87+0.6*2.75)*10.764</f>
        <v>399.18293999999992</v>
      </c>
      <c r="E170" s="48">
        <f>(1.75*2.4+0.8*1.5+0.8*2.75)*10.764</f>
        <v>81.806399999999996</v>
      </c>
      <c r="F170" s="39">
        <v>670</v>
      </c>
      <c r="G170" s="69"/>
      <c r="H170" s="70"/>
      <c r="I170" s="34"/>
      <c r="L170" s="66"/>
      <c r="M170" s="66"/>
      <c r="N170" s="34"/>
    </row>
    <row r="171" spans="1:14" s="41" customFormat="1" ht="15.75" customHeight="1" x14ac:dyDescent="0.25">
      <c r="A171" s="73">
        <f t="shared" si="2"/>
        <v>3</v>
      </c>
      <c r="B171" s="74"/>
      <c r="C171" s="47" t="s">
        <v>195</v>
      </c>
      <c r="D171" s="48">
        <f>(31.39+2.85+0.87+0.6*2.75)*10.764</f>
        <v>395.68463999999994</v>
      </c>
      <c r="E171" s="39">
        <v>0</v>
      </c>
      <c r="F171" s="39">
        <v>570</v>
      </c>
      <c r="G171" s="69"/>
      <c r="H171" s="70"/>
      <c r="I171" s="63">
        <f>F171/D171</f>
        <v>1.4405411339697192</v>
      </c>
      <c r="L171" s="66"/>
      <c r="M171" s="66"/>
      <c r="N171" s="34"/>
    </row>
    <row r="172" spans="1:14" s="41" customFormat="1" ht="15.75" customHeight="1" x14ac:dyDescent="0.25">
      <c r="A172" s="73">
        <f t="shared" si="2"/>
        <v>4</v>
      </c>
      <c r="B172" s="74"/>
      <c r="C172" s="47" t="s">
        <v>195</v>
      </c>
      <c r="D172" s="48">
        <f>(31.39+2.85+0.87+0.6*2.75)*10.764</f>
        <v>395.68463999999994</v>
      </c>
      <c r="E172" s="39">
        <v>0</v>
      </c>
      <c r="F172" s="39">
        <v>570</v>
      </c>
      <c r="G172" s="69"/>
      <c r="H172" s="70"/>
      <c r="I172" s="34"/>
      <c r="L172" s="66"/>
      <c r="M172" s="66"/>
      <c r="N172" s="34"/>
    </row>
    <row r="173" spans="1:14" s="41" customFormat="1" ht="15.75" customHeight="1" x14ac:dyDescent="0.25">
      <c r="A173" s="73">
        <f t="shared" si="2"/>
        <v>5</v>
      </c>
      <c r="B173" s="74"/>
      <c r="C173" s="47" t="s">
        <v>196</v>
      </c>
      <c r="D173" s="48">
        <f>(43.128+7.44+0.81)*10.764</f>
        <v>553.03279199999997</v>
      </c>
      <c r="E173" s="39">
        <v>0</v>
      </c>
      <c r="F173" s="39">
        <v>830</v>
      </c>
      <c r="G173" s="69"/>
      <c r="H173" s="70"/>
      <c r="I173" s="34"/>
      <c r="L173" s="66"/>
      <c r="M173" s="66"/>
      <c r="N173" s="34"/>
    </row>
    <row r="174" spans="1:14" s="41" customFormat="1" ht="15.75" customHeight="1" x14ac:dyDescent="0.25">
      <c r="A174" s="73">
        <f t="shared" si="2"/>
        <v>6</v>
      </c>
      <c r="B174" s="74"/>
      <c r="C174" s="47" t="s">
        <v>196</v>
      </c>
      <c r="D174" s="48">
        <f>(43.128+7.44+0.81)*10.764</f>
        <v>553.03279199999997</v>
      </c>
      <c r="E174" s="39">
        <v>0</v>
      </c>
      <c r="F174" s="39">
        <v>830</v>
      </c>
      <c r="G174" s="69"/>
      <c r="H174" s="70"/>
      <c r="I174" s="34"/>
      <c r="L174" s="66"/>
      <c r="M174" s="66"/>
      <c r="N174" s="34"/>
    </row>
    <row r="175" spans="1:14" s="41" customFormat="1" x14ac:dyDescent="0.25">
      <c r="A175" s="73">
        <f t="shared" si="2"/>
        <v>7</v>
      </c>
      <c r="B175" s="74"/>
      <c r="C175" s="47" t="s">
        <v>195</v>
      </c>
      <c r="D175" s="48">
        <f>(26.992+2.65+0.69+0.6*2)*10.764</f>
        <v>339.41044799999997</v>
      </c>
      <c r="E175" s="39">
        <v>0</v>
      </c>
      <c r="F175" s="39">
        <v>490</v>
      </c>
      <c r="G175" s="69"/>
      <c r="H175" s="70"/>
      <c r="I175" s="34"/>
      <c r="L175" s="66"/>
      <c r="M175" s="66"/>
      <c r="N175" s="34"/>
    </row>
    <row r="176" spans="1:14" s="41" customFormat="1" x14ac:dyDescent="0.25">
      <c r="A176" s="73">
        <f t="shared" si="2"/>
        <v>8</v>
      </c>
      <c r="B176" s="74"/>
      <c r="C176" s="47" t="s">
        <v>195</v>
      </c>
      <c r="D176" s="48">
        <f>(26.992+2.65+0.69+0.6*2)*10.764</f>
        <v>339.41044799999997</v>
      </c>
      <c r="E176" s="39">
        <v>0</v>
      </c>
      <c r="F176" s="39">
        <v>490</v>
      </c>
      <c r="G176" s="71"/>
      <c r="H176" s="72"/>
      <c r="I176" s="34"/>
      <c r="L176" s="66"/>
      <c r="M176" s="66"/>
      <c r="N176" s="34"/>
    </row>
    <row r="177" spans="1:14" s="41" customFormat="1" hidden="1" x14ac:dyDescent="0.25">
      <c r="A177" s="75" t="s">
        <v>221</v>
      </c>
      <c r="B177" s="76"/>
      <c r="C177" s="76"/>
      <c r="D177" s="76"/>
      <c r="E177" s="76"/>
      <c r="F177" s="76"/>
      <c r="G177" s="76"/>
      <c r="H177" s="77"/>
      <c r="J177" s="34"/>
    </row>
    <row r="178" spans="1:14" s="41" customFormat="1" hidden="1" x14ac:dyDescent="0.25">
      <c r="A178" s="73">
        <v>1</v>
      </c>
      <c r="B178" s="74"/>
      <c r="C178" s="47" t="s">
        <v>195</v>
      </c>
      <c r="D178" s="48">
        <f>(31.715+2.85+0.87+0.6*2.75)*10.764</f>
        <v>399.18293999999992</v>
      </c>
      <c r="E178" s="48">
        <v>0</v>
      </c>
      <c r="F178" s="39">
        <v>575</v>
      </c>
      <c r="G178" s="73" t="str">
        <f>A177</f>
        <v xml:space="preserve">2nd to 7th Floor </v>
      </c>
      <c r="H178" s="74"/>
      <c r="I178" s="34">
        <f>4.25*2.75+2.1*2.2+3.1*2.75+0.6*1.45+0.9*1.35+1.2*1.2+0.75*2.1+0.3*1.2</f>
        <v>30.292500000000004</v>
      </c>
      <c r="L178" s="66"/>
      <c r="M178" s="66"/>
      <c r="N178" s="34"/>
    </row>
    <row r="179" spans="1:14" s="41" customFormat="1" hidden="1" x14ac:dyDescent="0.25">
      <c r="A179" s="73">
        <f t="shared" ref="A179:A185" si="3">A178+1</f>
        <v>2</v>
      </c>
      <c r="B179" s="74"/>
      <c r="C179" s="47" t="s">
        <v>195</v>
      </c>
      <c r="D179" s="48">
        <f>(31.715+2.85+0.87+0.6*2.75)*10.764</f>
        <v>399.18293999999992</v>
      </c>
      <c r="E179" s="48">
        <v>0</v>
      </c>
      <c r="F179" s="39">
        <v>575</v>
      </c>
      <c r="G179" s="73" t="str">
        <f t="shared" ref="G179:G185" si="4">G178</f>
        <v xml:space="preserve">2nd to 7th Floor </v>
      </c>
      <c r="H179" s="74"/>
      <c r="I179" s="34"/>
      <c r="L179" s="66"/>
      <c r="M179" s="66"/>
      <c r="N179" s="34"/>
    </row>
    <row r="180" spans="1:14" s="41" customFormat="1" hidden="1" x14ac:dyDescent="0.25">
      <c r="A180" s="73">
        <f t="shared" si="3"/>
        <v>3</v>
      </c>
      <c r="B180" s="74"/>
      <c r="C180" s="47" t="s">
        <v>195</v>
      </c>
      <c r="D180" s="48">
        <f>(31.39+2.85+0.87+0.6*2.75)*10.764</f>
        <v>395.68463999999994</v>
      </c>
      <c r="E180" s="48">
        <v>0</v>
      </c>
      <c r="F180" s="39">
        <v>570</v>
      </c>
      <c r="G180" s="73" t="str">
        <f t="shared" si="4"/>
        <v xml:space="preserve">2nd to 7th Floor </v>
      </c>
      <c r="H180" s="74"/>
      <c r="I180" s="34"/>
      <c r="L180" s="66"/>
      <c r="M180" s="66"/>
      <c r="N180" s="34"/>
    </row>
    <row r="181" spans="1:14" s="41" customFormat="1" hidden="1" x14ac:dyDescent="0.25">
      <c r="A181" s="73">
        <f t="shared" si="3"/>
        <v>4</v>
      </c>
      <c r="B181" s="74"/>
      <c r="C181" s="47" t="s">
        <v>195</v>
      </c>
      <c r="D181" s="48">
        <f>(31.39+2.85+0.87+0.6*2.75)*10.764</f>
        <v>395.68463999999994</v>
      </c>
      <c r="E181" s="48">
        <v>0</v>
      </c>
      <c r="F181" s="39">
        <v>570</v>
      </c>
      <c r="G181" s="73" t="str">
        <f t="shared" si="4"/>
        <v xml:space="preserve">2nd to 7th Floor </v>
      </c>
      <c r="H181" s="74"/>
      <c r="I181" s="34"/>
      <c r="L181" s="66"/>
      <c r="M181" s="66"/>
      <c r="N181" s="34"/>
    </row>
    <row r="182" spans="1:14" s="41" customFormat="1" hidden="1" x14ac:dyDescent="0.25">
      <c r="A182" s="73">
        <f t="shared" si="3"/>
        <v>5</v>
      </c>
      <c r="B182" s="74"/>
      <c r="C182" s="47" t="s">
        <v>196</v>
      </c>
      <c r="D182" s="48">
        <f>(43.128+7.44+0.81)*10.764</f>
        <v>553.03279199999997</v>
      </c>
      <c r="E182" s="48">
        <v>0</v>
      </c>
      <c r="F182" s="39">
        <v>830</v>
      </c>
      <c r="G182" s="73" t="str">
        <f t="shared" si="4"/>
        <v xml:space="preserve">2nd to 7th Floor </v>
      </c>
      <c r="H182" s="74"/>
      <c r="I182" s="34"/>
      <c r="L182" s="66"/>
      <c r="M182" s="66"/>
      <c r="N182" s="34"/>
    </row>
    <row r="183" spans="1:14" s="41" customFormat="1" hidden="1" x14ac:dyDescent="0.25">
      <c r="A183" s="73">
        <f t="shared" si="3"/>
        <v>6</v>
      </c>
      <c r="B183" s="74"/>
      <c r="C183" s="47" t="s">
        <v>196</v>
      </c>
      <c r="D183" s="48">
        <f>(43.128+7.44+0.81)*10.764</f>
        <v>553.03279199999997</v>
      </c>
      <c r="E183" s="48">
        <v>0</v>
      </c>
      <c r="F183" s="39">
        <v>830</v>
      </c>
      <c r="G183" s="73" t="str">
        <f t="shared" si="4"/>
        <v xml:space="preserve">2nd to 7th Floor </v>
      </c>
      <c r="H183" s="74"/>
      <c r="I183" s="34"/>
      <c r="L183" s="66"/>
      <c r="M183" s="66"/>
      <c r="N183" s="34"/>
    </row>
    <row r="184" spans="1:14" s="41" customFormat="1" hidden="1" x14ac:dyDescent="0.25">
      <c r="A184" s="73">
        <f t="shared" si="3"/>
        <v>7</v>
      </c>
      <c r="B184" s="74"/>
      <c r="C184" s="47" t="s">
        <v>195</v>
      </c>
      <c r="D184" s="48">
        <f>(26.992+2.65+0.69+0.6*2)*10.764</f>
        <v>339.41044799999997</v>
      </c>
      <c r="E184" s="48">
        <v>0</v>
      </c>
      <c r="F184" s="39">
        <v>490</v>
      </c>
      <c r="G184" s="73" t="str">
        <f t="shared" si="4"/>
        <v xml:space="preserve">2nd to 7th Floor </v>
      </c>
      <c r="H184" s="74"/>
      <c r="I184" s="34"/>
      <c r="L184" s="66"/>
      <c r="M184" s="66"/>
      <c r="N184" s="34"/>
    </row>
    <row r="185" spans="1:14" s="41" customFormat="1" hidden="1" x14ac:dyDescent="0.25">
      <c r="A185" s="73">
        <f t="shared" si="3"/>
        <v>8</v>
      </c>
      <c r="B185" s="74"/>
      <c r="C185" s="47" t="s">
        <v>195</v>
      </c>
      <c r="D185" s="48">
        <f>(26.992+2.65+0.69+0.6*2)*10.764</f>
        <v>339.41044799999997</v>
      </c>
      <c r="E185" s="48">
        <v>0</v>
      </c>
      <c r="F185" s="39">
        <v>490</v>
      </c>
      <c r="G185" s="73" t="str">
        <f t="shared" si="4"/>
        <v xml:space="preserve">2nd to 7th Floor </v>
      </c>
      <c r="H185" s="74"/>
      <c r="I185" s="34"/>
      <c r="L185" s="66"/>
      <c r="M185" s="66"/>
      <c r="N185" s="34"/>
    </row>
    <row r="186" spans="1:14" s="41" customFormat="1" x14ac:dyDescent="0.25">
      <c r="A186" s="75" t="s">
        <v>220</v>
      </c>
      <c r="B186" s="76"/>
      <c r="C186" s="76"/>
      <c r="D186" s="76"/>
      <c r="E186" s="76"/>
      <c r="F186" s="76"/>
      <c r="G186" s="76"/>
      <c r="H186" s="77"/>
      <c r="J186" s="34"/>
    </row>
    <row r="187" spans="1:14" s="41" customFormat="1" ht="15.75" customHeight="1" x14ac:dyDescent="0.25">
      <c r="A187" s="73">
        <v>1</v>
      </c>
      <c r="B187" s="74"/>
      <c r="C187" s="47" t="s">
        <v>195</v>
      </c>
      <c r="D187" s="48">
        <f>(31.715+2.85+0.87+0.6*2.75)*10.764</f>
        <v>399.18293999999992</v>
      </c>
      <c r="E187" s="39">
        <v>0</v>
      </c>
      <c r="F187" s="39">
        <v>575</v>
      </c>
      <c r="G187" s="67" t="str">
        <f>A186</f>
        <v>2nd to 7th Floor for Residentail</v>
      </c>
      <c r="H187" s="68"/>
      <c r="I187" s="34">
        <f>4.25*2.75+2.1*2.2+3.1*2.75+0.6*1.45+0.9*1.35+1.2*1.2+0.75*2.1+0.3*1.2</f>
        <v>30.292500000000004</v>
      </c>
      <c r="J187" s="41">
        <f>2546700/F187</f>
        <v>4429.04347826087</v>
      </c>
      <c r="K187" s="41">
        <f>4300*F187</f>
        <v>2472500</v>
      </c>
      <c r="L187" s="66"/>
      <c r="M187" s="66"/>
      <c r="N187" s="34"/>
    </row>
    <row r="188" spans="1:14" s="41" customFormat="1" ht="15.75" customHeight="1" x14ac:dyDescent="0.25">
      <c r="A188" s="73">
        <f t="shared" ref="A188:A194" si="5">A187+1</f>
        <v>2</v>
      </c>
      <c r="B188" s="74"/>
      <c r="C188" s="47" t="s">
        <v>195</v>
      </c>
      <c r="D188" s="48">
        <f>(31.715+2.85+0.87+0.6*2.75)*10.764</f>
        <v>399.18293999999992</v>
      </c>
      <c r="E188" s="39">
        <v>0</v>
      </c>
      <c r="F188" s="39">
        <v>575</v>
      </c>
      <c r="G188" s="69"/>
      <c r="H188" s="70"/>
      <c r="I188" s="34"/>
      <c r="K188" s="41">
        <f t="shared" ref="K188:K193" si="6">4300*F188</f>
        <v>2472500</v>
      </c>
      <c r="L188" s="66"/>
      <c r="M188" s="66"/>
      <c r="N188" s="34"/>
    </row>
    <row r="189" spans="1:14" s="41" customFormat="1" ht="15.75" customHeight="1" x14ac:dyDescent="0.25">
      <c r="A189" s="73">
        <f t="shared" si="5"/>
        <v>3</v>
      </c>
      <c r="B189" s="74"/>
      <c r="C189" s="47" t="s">
        <v>195</v>
      </c>
      <c r="D189" s="48">
        <f>(31.39+2.85+0.87+0.6*2.75)*10.764</f>
        <v>395.68463999999994</v>
      </c>
      <c r="E189" s="39">
        <v>0</v>
      </c>
      <c r="F189" s="39">
        <v>570</v>
      </c>
      <c r="G189" s="69"/>
      <c r="H189" s="70"/>
      <c r="I189" s="34"/>
      <c r="K189" s="41">
        <f t="shared" si="6"/>
        <v>2451000</v>
      </c>
      <c r="L189" s="66"/>
      <c r="M189" s="66"/>
      <c r="N189" s="34"/>
    </row>
    <row r="190" spans="1:14" s="41" customFormat="1" ht="15.75" customHeight="1" x14ac:dyDescent="0.25">
      <c r="A190" s="73">
        <f t="shared" si="5"/>
        <v>4</v>
      </c>
      <c r="B190" s="74"/>
      <c r="C190" s="47" t="s">
        <v>195</v>
      </c>
      <c r="D190" s="48">
        <f>(31.39+2.85+0.87+0.6*2.75)*10.764</f>
        <v>395.68463999999994</v>
      </c>
      <c r="E190" s="39">
        <v>0</v>
      </c>
      <c r="F190" s="39">
        <v>570</v>
      </c>
      <c r="G190" s="69"/>
      <c r="H190" s="70"/>
      <c r="I190" s="34"/>
      <c r="K190" s="41">
        <f t="shared" si="6"/>
        <v>2451000</v>
      </c>
      <c r="L190" s="66"/>
      <c r="M190" s="66"/>
      <c r="N190" s="34"/>
    </row>
    <row r="191" spans="1:14" s="41" customFormat="1" ht="15.75" customHeight="1" x14ac:dyDescent="0.25">
      <c r="A191" s="73">
        <f t="shared" si="5"/>
        <v>5</v>
      </c>
      <c r="B191" s="74"/>
      <c r="C191" s="47" t="s">
        <v>196</v>
      </c>
      <c r="D191" s="48">
        <f>(43.128+7.44+0.81)*10.764</f>
        <v>553.03279199999997</v>
      </c>
      <c r="E191" s="39">
        <v>0</v>
      </c>
      <c r="F191" s="39">
        <v>830</v>
      </c>
      <c r="G191" s="69"/>
      <c r="H191" s="70"/>
      <c r="I191" s="34"/>
      <c r="K191" s="41">
        <f t="shared" si="6"/>
        <v>3569000</v>
      </c>
      <c r="L191" s="66"/>
      <c r="M191" s="66"/>
      <c r="N191" s="34"/>
    </row>
    <row r="192" spans="1:14" s="41" customFormat="1" ht="15.75" customHeight="1" x14ac:dyDescent="0.25">
      <c r="A192" s="73">
        <f t="shared" si="5"/>
        <v>6</v>
      </c>
      <c r="B192" s="74"/>
      <c r="C192" s="47" t="s">
        <v>196</v>
      </c>
      <c r="D192" s="48">
        <f>(43.128+7.44+0.81)*10.764</f>
        <v>553.03279199999997</v>
      </c>
      <c r="E192" s="39">
        <v>0</v>
      </c>
      <c r="F192" s="39">
        <v>830</v>
      </c>
      <c r="G192" s="69"/>
      <c r="H192" s="70"/>
      <c r="I192" s="34"/>
      <c r="K192" s="41">
        <f t="shared" si="6"/>
        <v>3569000</v>
      </c>
      <c r="L192" s="66"/>
      <c r="M192" s="66"/>
      <c r="N192" s="34"/>
    </row>
    <row r="193" spans="1:14" s="41" customFormat="1" ht="15.75" customHeight="1" x14ac:dyDescent="0.25">
      <c r="A193" s="73">
        <f t="shared" si="5"/>
        <v>7</v>
      </c>
      <c r="B193" s="74"/>
      <c r="C193" s="47" t="s">
        <v>195</v>
      </c>
      <c r="D193" s="48">
        <f>(26.992+2.65+0.69+0.6*2)*10.764</f>
        <v>339.41044799999997</v>
      </c>
      <c r="E193" s="39">
        <v>0</v>
      </c>
      <c r="F193" s="39">
        <v>490</v>
      </c>
      <c r="G193" s="69"/>
      <c r="H193" s="70"/>
      <c r="I193" s="34"/>
      <c r="K193" s="41">
        <f t="shared" si="6"/>
        <v>2107000</v>
      </c>
      <c r="L193" s="66"/>
      <c r="M193" s="66"/>
      <c r="N193" s="34"/>
    </row>
    <row r="194" spans="1:14" s="41" customFormat="1" ht="15.75" customHeight="1" x14ac:dyDescent="0.25">
      <c r="A194" s="73">
        <f t="shared" si="5"/>
        <v>8</v>
      </c>
      <c r="B194" s="74"/>
      <c r="C194" s="47" t="s">
        <v>195</v>
      </c>
      <c r="D194" s="48">
        <f>(26.992+2.65+0.69+0.6*2)*10.764</f>
        <v>339.41044799999997</v>
      </c>
      <c r="E194" s="39">
        <v>0</v>
      </c>
      <c r="F194" s="39">
        <v>490</v>
      </c>
      <c r="G194" s="71"/>
      <c r="H194" s="72"/>
      <c r="I194" s="34"/>
      <c r="L194" s="66"/>
      <c r="M194" s="66"/>
      <c r="N194" s="34"/>
    </row>
    <row r="195" spans="1:14" s="41" customFormat="1" x14ac:dyDescent="0.25">
      <c r="A195" s="75" t="s">
        <v>211</v>
      </c>
      <c r="B195" s="76"/>
      <c r="C195" s="76"/>
      <c r="D195" s="76"/>
      <c r="E195" s="76"/>
      <c r="F195" s="76"/>
      <c r="G195" s="76"/>
      <c r="H195" s="77"/>
      <c r="J195" s="48">
        <v>10.763999999999999</v>
      </c>
    </row>
    <row r="196" spans="1:14" s="41" customFormat="1" x14ac:dyDescent="0.25">
      <c r="A196" s="75" t="s">
        <v>200</v>
      </c>
      <c r="B196" s="76"/>
      <c r="C196" s="76"/>
      <c r="D196" s="76"/>
      <c r="E196" s="76"/>
      <c r="F196" s="76"/>
      <c r="G196" s="76"/>
      <c r="H196" s="77"/>
      <c r="J196" s="34"/>
    </row>
    <row r="197" spans="1:14" s="41" customFormat="1" x14ac:dyDescent="0.25">
      <c r="A197" s="75" t="s">
        <v>193</v>
      </c>
      <c r="B197" s="76"/>
      <c r="C197" s="76"/>
      <c r="D197" s="76"/>
      <c r="E197" s="76"/>
      <c r="F197" s="76"/>
      <c r="G197" s="76"/>
      <c r="H197" s="77"/>
      <c r="J197" s="34"/>
    </row>
    <row r="198" spans="1:14" s="41" customFormat="1" ht="15.75" customHeight="1" x14ac:dyDescent="0.25">
      <c r="A198" s="73">
        <v>1</v>
      </c>
      <c r="B198" s="74"/>
      <c r="C198" s="47" t="s">
        <v>195</v>
      </c>
      <c r="D198" s="48">
        <f>(31.39+2.85+0.87+0.6*2.75)*10.764</f>
        <v>395.68463999999994</v>
      </c>
      <c r="E198" s="48">
        <v>0</v>
      </c>
      <c r="F198" s="39">
        <v>570</v>
      </c>
      <c r="G198" s="67" t="str">
        <f>A197</f>
        <v>1st to 7th Floor for Residentail</v>
      </c>
      <c r="H198" s="68"/>
      <c r="I198" s="34"/>
      <c r="L198" s="66"/>
      <c r="M198" s="66"/>
      <c r="N198" s="34"/>
    </row>
    <row r="199" spans="1:14" s="41" customFormat="1" ht="15.75" customHeight="1" x14ac:dyDescent="0.25">
      <c r="A199" s="73">
        <f t="shared" ref="A199:A205" si="7">A198+1</f>
        <v>2</v>
      </c>
      <c r="B199" s="74"/>
      <c r="C199" s="47" t="s">
        <v>195</v>
      </c>
      <c r="D199" s="48">
        <f>(31.715+2.85+0.87+0.6*2.75)*10.764</f>
        <v>399.18293999999992</v>
      </c>
      <c r="E199" s="48">
        <v>0</v>
      </c>
      <c r="F199" s="39">
        <v>575</v>
      </c>
      <c r="G199" s="69"/>
      <c r="H199" s="70"/>
      <c r="I199" s="34"/>
      <c r="L199" s="66"/>
      <c r="M199" s="66"/>
      <c r="N199" s="34"/>
    </row>
    <row r="200" spans="1:14" s="41" customFormat="1" ht="15.75" customHeight="1" x14ac:dyDescent="0.25">
      <c r="A200" s="73">
        <f t="shared" si="7"/>
        <v>3</v>
      </c>
      <c r="B200" s="74"/>
      <c r="C200" s="47" t="s">
        <v>196</v>
      </c>
      <c r="D200" s="48">
        <f>(40.29+3.4+0.69+0.6*2.75)*10.764</f>
        <v>495.4669199999999</v>
      </c>
      <c r="E200" s="48">
        <v>0</v>
      </c>
      <c r="F200" s="39">
        <v>720</v>
      </c>
      <c r="G200" s="69"/>
      <c r="H200" s="70"/>
      <c r="I200" s="34"/>
      <c r="L200" s="66"/>
      <c r="M200" s="66"/>
      <c r="N200" s="34"/>
    </row>
    <row r="201" spans="1:14" s="41" customFormat="1" ht="15.75" customHeight="1" x14ac:dyDescent="0.25">
      <c r="A201" s="73">
        <f t="shared" si="7"/>
        <v>4</v>
      </c>
      <c r="B201" s="74"/>
      <c r="C201" s="47" t="s">
        <v>196</v>
      </c>
      <c r="D201" s="48">
        <f>(43.128+7.23+0.81)*10.764</f>
        <v>550.77235200000007</v>
      </c>
      <c r="E201" s="48">
        <v>0</v>
      </c>
      <c r="F201" s="39">
        <v>830</v>
      </c>
      <c r="G201" s="69"/>
      <c r="H201" s="70"/>
      <c r="I201" s="34"/>
      <c r="L201" s="66"/>
      <c r="M201" s="66"/>
      <c r="N201" s="34"/>
    </row>
    <row r="202" spans="1:14" s="41" customFormat="1" ht="15.75" customHeight="1" x14ac:dyDescent="0.25">
      <c r="A202" s="73">
        <f t="shared" si="7"/>
        <v>5</v>
      </c>
      <c r="B202" s="74"/>
      <c r="C202" s="47" t="s">
        <v>196</v>
      </c>
      <c r="D202" s="48">
        <f>(43.128+7.23+0.81)*10.764</f>
        <v>550.77235200000007</v>
      </c>
      <c r="E202" s="48">
        <v>0</v>
      </c>
      <c r="F202" s="39">
        <v>830</v>
      </c>
      <c r="G202" s="69"/>
      <c r="H202" s="70"/>
      <c r="I202" s="34"/>
      <c r="L202" s="66"/>
      <c r="M202" s="66"/>
      <c r="N202" s="34"/>
    </row>
    <row r="203" spans="1:14" s="41" customFormat="1" ht="15.75" customHeight="1" x14ac:dyDescent="0.25">
      <c r="A203" s="73">
        <f t="shared" si="7"/>
        <v>6</v>
      </c>
      <c r="B203" s="74"/>
      <c r="C203" s="47" t="s">
        <v>196</v>
      </c>
      <c r="D203" s="48">
        <f>(40.29+3.4+0.69+0.6*2.75)*10.764</f>
        <v>495.4669199999999</v>
      </c>
      <c r="E203" s="48">
        <v>0</v>
      </c>
      <c r="F203" s="39">
        <v>720</v>
      </c>
      <c r="G203" s="69"/>
      <c r="H203" s="70"/>
      <c r="I203" s="34"/>
      <c r="L203" s="66"/>
      <c r="M203" s="66"/>
      <c r="N203" s="34"/>
    </row>
    <row r="204" spans="1:14" s="41" customFormat="1" ht="15.75" customHeight="1" x14ac:dyDescent="0.25">
      <c r="A204" s="73">
        <f t="shared" si="7"/>
        <v>7</v>
      </c>
      <c r="B204" s="74"/>
      <c r="C204" s="47" t="s">
        <v>195</v>
      </c>
      <c r="D204" s="48">
        <f>(31.715+2.85+0.87+0.6*2.75)*10.764</f>
        <v>399.18293999999992</v>
      </c>
      <c r="E204" s="48">
        <v>0</v>
      </c>
      <c r="F204" s="39">
        <v>575</v>
      </c>
      <c r="G204" s="69"/>
      <c r="H204" s="70"/>
      <c r="I204" s="34"/>
      <c r="L204" s="66"/>
      <c r="M204" s="66"/>
      <c r="N204" s="34"/>
    </row>
    <row r="205" spans="1:14" s="41" customFormat="1" ht="15.75" customHeight="1" x14ac:dyDescent="0.25">
      <c r="A205" s="73">
        <f t="shared" si="7"/>
        <v>8</v>
      </c>
      <c r="B205" s="74"/>
      <c r="C205" s="47" t="s">
        <v>195</v>
      </c>
      <c r="D205" s="48">
        <f>(31.39+2.85+0.87+0.6*2.75)*10.764</f>
        <v>395.68463999999994</v>
      </c>
      <c r="E205" s="48">
        <v>0</v>
      </c>
      <c r="F205" s="39">
        <v>570</v>
      </c>
      <c r="G205" s="71"/>
      <c r="H205" s="72"/>
      <c r="I205" s="34"/>
      <c r="L205" s="66"/>
      <c r="M205" s="66"/>
      <c r="N205" s="34"/>
    </row>
    <row r="206" spans="1:14" s="41" customFormat="1" x14ac:dyDescent="0.25">
      <c r="A206" s="75" t="s">
        <v>212</v>
      </c>
      <c r="B206" s="76"/>
      <c r="C206" s="76"/>
      <c r="D206" s="76"/>
      <c r="E206" s="76"/>
      <c r="F206" s="76"/>
      <c r="G206" s="76"/>
      <c r="H206" s="77"/>
    </row>
    <row r="207" spans="1:14" s="41" customFormat="1" x14ac:dyDescent="0.25">
      <c r="A207" s="75" t="s">
        <v>200</v>
      </c>
      <c r="B207" s="76"/>
      <c r="C207" s="76"/>
      <c r="D207" s="76"/>
      <c r="E207" s="76"/>
      <c r="F207" s="76"/>
      <c r="G207" s="76"/>
      <c r="H207" s="77"/>
      <c r="J207" s="34"/>
    </row>
    <row r="208" spans="1:14" s="41" customFormat="1" x14ac:dyDescent="0.25">
      <c r="A208" s="75" t="s">
        <v>193</v>
      </c>
      <c r="B208" s="76"/>
      <c r="C208" s="76"/>
      <c r="D208" s="76"/>
      <c r="E208" s="76"/>
      <c r="F208" s="76"/>
      <c r="G208" s="76"/>
      <c r="H208" s="77"/>
      <c r="J208" s="34"/>
    </row>
    <row r="209" spans="1:14" s="41" customFormat="1" ht="15.75" customHeight="1" x14ac:dyDescent="0.25">
      <c r="A209" s="73">
        <v>1</v>
      </c>
      <c r="B209" s="74"/>
      <c r="C209" s="47" t="s">
        <v>195</v>
      </c>
      <c r="D209" s="48">
        <f>(31.39+2.85+0.87+0.6*2.75)*10.764</f>
        <v>395.68463999999994</v>
      </c>
      <c r="E209" s="48">
        <v>0</v>
      </c>
      <c r="F209" s="39">
        <f>1.44*D209</f>
        <v>569.78588159999993</v>
      </c>
      <c r="G209" s="67" t="str">
        <f>A208</f>
        <v>1st to 7th Floor for Residentail</v>
      </c>
      <c r="H209" s="68"/>
      <c r="I209" s="34"/>
      <c r="L209" s="66"/>
      <c r="M209" s="66"/>
      <c r="N209" s="34"/>
    </row>
    <row r="210" spans="1:14" s="41" customFormat="1" ht="15.75" customHeight="1" x14ac:dyDescent="0.25">
      <c r="A210" s="73">
        <f t="shared" ref="A210:A216" si="8">A209+1</f>
        <v>2</v>
      </c>
      <c r="B210" s="74"/>
      <c r="C210" s="47" t="s">
        <v>195</v>
      </c>
      <c r="D210" s="48">
        <f>(31.715+2.85+0.87+0.6*2.75)*10.764</f>
        <v>399.18293999999992</v>
      </c>
      <c r="E210" s="48">
        <v>0</v>
      </c>
      <c r="F210" s="39">
        <f t="shared" ref="F210:F216" si="9">1.44*D210</f>
        <v>574.82343359999982</v>
      </c>
      <c r="G210" s="69"/>
      <c r="H210" s="70"/>
      <c r="I210" s="34"/>
      <c r="L210" s="66"/>
      <c r="M210" s="66"/>
      <c r="N210" s="34"/>
    </row>
    <row r="211" spans="1:14" s="41" customFormat="1" ht="15.75" customHeight="1" x14ac:dyDescent="0.25">
      <c r="A211" s="73">
        <f t="shared" si="8"/>
        <v>3</v>
      </c>
      <c r="B211" s="74"/>
      <c r="C211" s="47" t="s">
        <v>196</v>
      </c>
      <c r="D211" s="48">
        <f>(40.29+3.4+0.69+0.6*2.75)*10.764</f>
        <v>495.4669199999999</v>
      </c>
      <c r="E211" s="48">
        <v>0</v>
      </c>
      <c r="F211" s="39">
        <f t="shared" si="9"/>
        <v>713.47236479999981</v>
      </c>
      <c r="G211" s="69"/>
      <c r="H211" s="70"/>
      <c r="I211" s="34"/>
      <c r="L211" s="66"/>
      <c r="M211" s="66"/>
      <c r="N211" s="34"/>
    </row>
    <row r="212" spans="1:14" s="41" customFormat="1" ht="15.75" customHeight="1" x14ac:dyDescent="0.25">
      <c r="A212" s="73">
        <f t="shared" si="8"/>
        <v>4</v>
      </c>
      <c r="B212" s="74"/>
      <c r="C212" s="47" t="s">
        <v>196</v>
      </c>
      <c r="D212" s="48">
        <f>(43.128+7.23+0.81)*10.764</f>
        <v>550.77235200000007</v>
      </c>
      <c r="E212" s="48">
        <v>0</v>
      </c>
      <c r="F212" s="39">
        <f t="shared" si="9"/>
        <v>793.11218688000008</v>
      </c>
      <c r="G212" s="69"/>
      <c r="H212" s="70"/>
      <c r="I212" s="34"/>
      <c r="L212" s="66"/>
      <c r="M212" s="66"/>
      <c r="N212" s="34"/>
    </row>
    <row r="213" spans="1:14" s="41" customFormat="1" ht="15.75" customHeight="1" x14ac:dyDescent="0.25">
      <c r="A213" s="73">
        <f t="shared" si="8"/>
        <v>5</v>
      </c>
      <c r="B213" s="74"/>
      <c r="C213" s="47" t="s">
        <v>196</v>
      </c>
      <c r="D213" s="48">
        <f>(43.128+7.23+0.81)*10.764</f>
        <v>550.77235200000007</v>
      </c>
      <c r="E213" s="48">
        <v>0</v>
      </c>
      <c r="F213" s="39">
        <f t="shared" si="9"/>
        <v>793.11218688000008</v>
      </c>
      <c r="G213" s="69"/>
      <c r="H213" s="70"/>
      <c r="I213" s="34"/>
      <c r="L213" s="66"/>
      <c r="M213" s="66"/>
      <c r="N213" s="34"/>
    </row>
    <row r="214" spans="1:14" s="41" customFormat="1" ht="15.75" customHeight="1" x14ac:dyDescent="0.25">
      <c r="A214" s="73">
        <f t="shared" si="8"/>
        <v>6</v>
      </c>
      <c r="B214" s="74"/>
      <c r="C214" s="47" t="s">
        <v>196</v>
      </c>
      <c r="D214" s="48">
        <f>(40.29+3.4+0.69+0.6*2.75)*10.764</f>
        <v>495.4669199999999</v>
      </c>
      <c r="E214" s="48">
        <v>0</v>
      </c>
      <c r="F214" s="39">
        <f t="shared" si="9"/>
        <v>713.47236479999981</v>
      </c>
      <c r="G214" s="69"/>
      <c r="H214" s="70"/>
      <c r="I214" s="34"/>
      <c r="L214" s="66"/>
      <c r="M214" s="66"/>
      <c r="N214" s="34"/>
    </row>
    <row r="215" spans="1:14" s="41" customFormat="1" ht="15.75" customHeight="1" x14ac:dyDescent="0.25">
      <c r="A215" s="73">
        <f t="shared" si="8"/>
        <v>7</v>
      </c>
      <c r="B215" s="74"/>
      <c r="C215" s="47" t="s">
        <v>195</v>
      </c>
      <c r="D215" s="48">
        <f>(31.715+2.85+0.87+0.6*2.75)*10.764</f>
        <v>399.18293999999992</v>
      </c>
      <c r="E215" s="48">
        <v>0</v>
      </c>
      <c r="F215" s="39">
        <f t="shared" si="9"/>
        <v>574.82343359999982</v>
      </c>
      <c r="G215" s="69"/>
      <c r="H215" s="70"/>
      <c r="I215" s="34"/>
      <c r="L215" s="66"/>
      <c r="M215" s="66"/>
      <c r="N215" s="34"/>
    </row>
    <row r="216" spans="1:14" s="41" customFormat="1" ht="15.75" customHeight="1" x14ac:dyDescent="0.25">
      <c r="A216" s="73">
        <f t="shared" si="8"/>
        <v>8</v>
      </c>
      <c r="B216" s="74"/>
      <c r="C216" s="47" t="s">
        <v>195</v>
      </c>
      <c r="D216" s="48">
        <f>(31.39+2.85+0.87+0.6*2.75)*10.764</f>
        <v>395.68463999999994</v>
      </c>
      <c r="E216" s="48">
        <v>0</v>
      </c>
      <c r="F216" s="39">
        <f t="shared" si="9"/>
        <v>569.78588159999993</v>
      </c>
      <c r="G216" s="71"/>
      <c r="H216" s="72"/>
      <c r="I216" s="34"/>
      <c r="L216" s="66"/>
      <c r="M216" s="66"/>
      <c r="N216" s="34"/>
    </row>
    <row r="217" spans="1:14" s="41" customFormat="1" x14ac:dyDescent="0.25">
      <c r="A217" s="75" t="s">
        <v>215</v>
      </c>
      <c r="B217" s="76"/>
      <c r="C217" s="76"/>
      <c r="D217" s="76"/>
      <c r="E217" s="76"/>
      <c r="F217" s="76"/>
      <c r="G217" s="76"/>
      <c r="H217" s="77"/>
    </row>
    <row r="218" spans="1:14" s="41" customFormat="1" x14ac:dyDescent="0.25">
      <c r="A218" s="75" t="s">
        <v>194</v>
      </c>
      <c r="B218" s="76"/>
      <c r="C218" s="76"/>
      <c r="D218" s="76"/>
      <c r="E218" s="76"/>
      <c r="F218" s="76"/>
      <c r="G218" s="76"/>
      <c r="H218" s="77"/>
      <c r="J218" s="34"/>
    </row>
    <row r="219" spans="1:14" s="41" customFormat="1" x14ac:dyDescent="0.25">
      <c r="A219" s="75" t="s">
        <v>193</v>
      </c>
      <c r="B219" s="76"/>
      <c r="C219" s="76"/>
      <c r="D219" s="76"/>
      <c r="E219" s="76"/>
      <c r="F219" s="76"/>
      <c r="G219" s="76"/>
      <c r="H219" s="77"/>
      <c r="J219" s="34"/>
    </row>
    <row r="220" spans="1:14" s="41" customFormat="1" ht="15.75" customHeight="1" x14ac:dyDescent="0.25">
      <c r="A220" s="73">
        <v>1</v>
      </c>
      <c r="B220" s="74"/>
      <c r="C220" s="47" t="s">
        <v>195</v>
      </c>
      <c r="D220" s="48">
        <f>(31.715+2.85+0.87+0.6*2.75)*10.764</f>
        <v>399.18293999999992</v>
      </c>
      <c r="E220" s="48">
        <v>0</v>
      </c>
      <c r="F220" s="39">
        <f t="shared" ref="F220:F228" si="10">1.44*D220</f>
        <v>574.82343359999982</v>
      </c>
      <c r="G220" s="67" t="str">
        <f>A219</f>
        <v>1st to 7th Floor for Residentail</v>
      </c>
      <c r="H220" s="68"/>
      <c r="I220" s="34"/>
      <c r="L220" s="66"/>
      <c r="M220" s="66"/>
      <c r="N220" s="34"/>
    </row>
    <row r="221" spans="1:14" s="41" customFormat="1" ht="15.75" customHeight="1" x14ac:dyDescent="0.25">
      <c r="A221" s="73">
        <f t="shared" ref="A221:A228" si="11">A220+1</f>
        <v>2</v>
      </c>
      <c r="B221" s="74"/>
      <c r="C221" s="47" t="s">
        <v>196</v>
      </c>
      <c r="D221" s="48">
        <f>(43.128+7.23+0.81)*10.764</f>
        <v>550.77235200000007</v>
      </c>
      <c r="E221" s="48">
        <v>0</v>
      </c>
      <c r="F221" s="39">
        <f t="shared" si="10"/>
        <v>793.11218688000008</v>
      </c>
      <c r="G221" s="69"/>
      <c r="H221" s="70"/>
      <c r="I221" s="34"/>
      <c r="L221" s="66"/>
      <c r="M221" s="66"/>
      <c r="N221" s="34"/>
    </row>
    <row r="222" spans="1:14" s="41" customFormat="1" ht="15.75" customHeight="1" x14ac:dyDescent="0.25">
      <c r="A222" s="73">
        <f t="shared" si="11"/>
        <v>3</v>
      </c>
      <c r="B222" s="74"/>
      <c r="C222" s="47" t="s">
        <v>195</v>
      </c>
      <c r="D222" s="48">
        <f>(31.39+2.85+0.87+0.6*2.75)*10.764</f>
        <v>395.68463999999994</v>
      </c>
      <c r="E222" s="48">
        <v>0</v>
      </c>
      <c r="F222" s="39">
        <f t="shared" si="10"/>
        <v>569.78588159999993</v>
      </c>
      <c r="G222" s="69"/>
      <c r="H222" s="70"/>
      <c r="I222" s="34"/>
      <c r="L222" s="66"/>
      <c r="M222" s="66"/>
      <c r="N222" s="34"/>
    </row>
    <row r="223" spans="1:14" s="41" customFormat="1" ht="15.75" customHeight="1" x14ac:dyDescent="0.25">
      <c r="A223" s="73">
        <f t="shared" si="11"/>
        <v>4</v>
      </c>
      <c r="B223" s="74"/>
      <c r="C223" s="47" t="s">
        <v>195</v>
      </c>
      <c r="D223" s="48">
        <f>(26.992+2.65+0.69+0.6*1.95)*10.764</f>
        <v>339.08752800000002</v>
      </c>
      <c r="E223" s="48">
        <v>0</v>
      </c>
      <c r="F223" s="39">
        <f t="shared" si="10"/>
        <v>488.28604031999998</v>
      </c>
      <c r="G223" s="69"/>
      <c r="H223" s="70"/>
      <c r="I223" s="34"/>
      <c r="L223" s="66"/>
      <c r="M223" s="66"/>
      <c r="N223" s="34"/>
    </row>
    <row r="224" spans="1:14" s="41" customFormat="1" ht="15.75" customHeight="1" x14ac:dyDescent="0.25">
      <c r="A224" s="73">
        <f t="shared" si="11"/>
        <v>5</v>
      </c>
      <c r="B224" s="74"/>
      <c r="C224" s="47" t="s">
        <v>195</v>
      </c>
      <c r="D224" s="48">
        <f>(31.39+2.85+0.87+0.6*2.75)*10.764</f>
        <v>395.68463999999994</v>
      </c>
      <c r="E224" s="48">
        <v>0</v>
      </c>
      <c r="F224" s="39">
        <f t="shared" si="10"/>
        <v>569.78588159999993</v>
      </c>
      <c r="G224" s="69"/>
      <c r="H224" s="70"/>
      <c r="I224" s="34"/>
      <c r="L224" s="66"/>
      <c r="M224" s="66"/>
      <c r="N224" s="34"/>
    </row>
    <row r="225" spans="1:14" s="41" customFormat="1" ht="15.75" customHeight="1" x14ac:dyDescent="0.25">
      <c r="A225" s="73">
        <f t="shared" si="11"/>
        <v>6</v>
      </c>
      <c r="B225" s="74"/>
      <c r="C225" s="47" t="s">
        <v>195</v>
      </c>
      <c r="D225" s="48">
        <f>(31.39+2.85+0.87+0.6*2.75)*10.764</f>
        <v>395.68463999999994</v>
      </c>
      <c r="E225" s="48">
        <v>0</v>
      </c>
      <c r="F225" s="39">
        <f t="shared" si="10"/>
        <v>569.78588159999993</v>
      </c>
      <c r="G225" s="69"/>
      <c r="H225" s="70"/>
      <c r="I225" s="34"/>
      <c r="L225" s="66"/>
      <c r="M225" s="66"/>
      <c r="N225" s="34"/>
    </row>
    <row r="226" spans="1:14" s="41" customFormat="1" ht="15.75" customHeight="1" x14ac:dyDescent="0.25">
      <c r="A226" s="73">
        <f t="shared" si="11"/>
        <v>7</v>
      </c>
      <c r="B226" s="74"/>
      <c r="C226" s="47" t="s">
        <v>196</v>
      </c>
      <c r="D226" s="48">
        <f>(40.29+3.4+0.69+0.6*2.75)*10.764</f>
        <v>495.4669199999999</v>
      </c>
      <c r="E226" s="48">
        <v>0</v>
      </c>
      <c r="F226" s="39">
        <f t="shared" si="10"/>
        <v>713.47236479999981</v>
      </c>
      <c r="G226" s="69"/>
      <c r="H226" s="70"/>
      <c r="I226" s="34"/>
      <c r="L226" s="66"/>
      <c r="M226" s="66"/>
      <c r="N226" s="34"/>
    </row>
    <row r="227" spans="1:14" s="41" customFormat="1" ht="15.75" customHeight="1" x14ac:dyDescent="0.25">
      <c r="A227" s="73">
        <f t="shared" si="11"/>
        <v>8</v>
      </c>
      <c r="B227" s="74"/>
      <c r="C227" s="47" t="s">
        <v>196</v>
      </c>
      <c r="D227" s="48">
        <f>(40.29+3.4+0.69+0.6*2.75)*10.764</f>
        <v>495.4669199999999</v>
      </c>
      <c r="E227" s="48">
        <v>0</v>
      </c>
      <c r="F227" s="39">
        <f t="shared" si="10"/>
        <v>713.47236479999981</v>
      </c>
      <c r="G227" s="69"/>
      <c r="H227" s="70"/>
      <c r="I227" s="34"/>
      <c r="L227" s="66"/>
      <c r="M227" s="66"/>
      <c r="N227" s="34"/>
    </row>
    <row r="228" spans="1:14" s="41" customFormat="1" x14ac:dyDescent="0.25">
      <c r="A228" s="73">
        <f t="shared" si="11"/>
        <v>9</v>
      </c>
      <c r="B228" s="74"/>
      <c r="C228" s="47" t="s">
        <v>195</v>
      </c>
      <c r="D228" s="48">
        <f>(31.39+2.85+0.87+0.6*2.75)*10.764</f>
        <v>395.68463999999994</v>
      </c>
      <c r="E228" s="48">
        <v>0</v>
      </c>
      <c r="F228" s="39">
        <f t="shared" si="10"/>
        <v>569.78588159999993</v>
      </c>
      <c r="G228" s="71"/>
      <c r="H228" s="72"/>
      <c r="I228" s="34"/>
      <c r="L228" s="66"/>
      <c r="M228" s="66"/>
      <c r="N228" s="34"/>
    </row>
    <row r="229" spans="1:14" s="41" customFormat="1" x14ac:dyDescent="0.25">
      <c r="A229" s="75" t="s">
        <v>216</v>
      </c>
      <c r="B229" s="76"/>
      <c r="C229" s="76"/>
      <c r="D229" s="76"/>
      <c r="E229" s="76"/>
      <c r="F229" s="76"/>
      <c r="G229" s="76"/>
      <c r="H229" s="77"/>
    </row>
    <row r="230" spans="1:14" s="41" customFormat="1" x14ac:dyDescent="0.25">
      <c r="A230" s="75" t="s">
        <v>194</v>
      </c>
      <c r="B230" s="76"/>
      <c r="C230" s="76"/>
      <c r="D230" s="76"/>
      <c r="E230" s="76"/>
      <c r="F230" s="76"/>
      <c r="G230" s="76"/>
      <c r="H230" s="77"/>
      <c r="J230" s="34">
        <v>10.763999999999999</v>
      </c>
    </row>
    <row r="231" spans="1:14" s="41" customFormat="1" x14ac:dyDescent="0.25">
      <c r="A231" s="75" t="s">
        <v>193</v>
      </c>
      <c r="B231" s="76"/>
      <c r="C231" s="76"/>
      <c r="D231" s="76"/>
      <c r="E231" s="76"/>
      <c r="F231" s="76"/>
      <c r="G231" s="76"/>
      <c r="H231" s="77"/>
      <c r="J231" s="34"/>
    </row>
    <row r="232" spans="1:14" s="41" customFormat="1" ht="15.75" customHeight="1" x14ac:dyDescent="0.25">
      <c r="A232" s="73">
        <v>1</v>
      </c>
      <c r="B232" s="74"/>
      <c r="C232" s="47" t="s">
        <v>196</v>
      </c>
      <c r="D232" s="48">
        <f>(40.29+3.4+0.69+0.6*2.75)*10.764</f>
        <v>495.4669199999999</v>
      </c>
      <c r="E232" s="48">
        <v>0</v>
      </c>
      <c r="F232" s="39">
        <f t="shared" ref="F232:F238" si="12">1.44*D232</f>
        <v>713.47236479999981</v>
      </c>
      <c r="G232" s="67" t="str">
        <f>A231</f>
        <v>1st to 7th Floor for Residentail</v>
      </c>
      <c r="H232" s="68"/>
      <c r="I232" s="34"/>
      <c r="J232" s="41">
        <f>3643920/F232</f>
        <v>5107.3036318953455</v>
      </c>
      <c r="K232" s="41">
        <f>F232/D232</f>
        <v>1.44</v>
      </c>
      <c r="L232" s="66"/>
      <c r="M232" s="66"/>
      <c r="N232" s="34"/>
    </row>
    <row r="233" spans="1:14" s="41" customFormat="1" ht="15.75" customHeight="1" x14ac:dyDescent="0.25">
      <c r="A233" s="73">
        <f t="shared" ref="A233:A238" si="13">A232+1</f>
        <v>2</v>
      </c>
      <c r="B233" s="74"/>
      <c r="C233" s="47" t="s">
        <v>196</v>
      </c>
      <c r="D233" s="48">
        <f>(40.29+3.4+0.69+0.6*2.75)*10.764</f>
        <v>495.4669199999999</v>
      </c>
      <c r="E233" s="48">
        <v>0</v>
      </c>
      <c r="F233" s="39">
        <f t="shared" si="12"/>
        <v>713.47236479999981</v>
      </c>
      <c r="G233" s="69"/>
      <c r="H233" s="70"/>
      <c r="I233" s="34"/>
      <c r="K233" s="41">
        <f t="shared" ref="K233:K238" si="14">F233/D233</f>
        <v>1.44</v>
      </c>
      <c r="L233" s="66"/>
      <c r="M233" s="66"/>
      <c r="N233" s="34"/>
    </row>
    <row r="234" spans="1:14" s="41" customFormat="1" ht="15.75" customHeight="1" x14ac:dyDescent="0.25">
      <c r="A234" s="73">
        <f t="shared" si="13"/>
        <v>3</v>
      </c>
      <c r="B234" s="74"/>
      <c r="C234" s="47" t="s">
        <v>195</v>
      </c>
      <c r="D234" s="48">
        <f>(31.39+2.85+0.87+0.6*2.75)*10.764</f>
        <v>395.68463999999994</v>
      </c>
      <c r="E234" s="48">
        <v>0</v>
      </c>
      <c r="F234" s="39">
        <f t="shared" si="12"/>
        <v>569.78588159999993</v>
      </c>
      <c r="G234" s="69"/>
      <c r="H234" s="70"/>
      <c r="I234" s="34"/>
      <c r="J234" s="41">
        <f>2909500/F234</f>
        <v>5106.3041292457328</v>
      </c>
      <c r="K234" s="41">
        <f t="shared" si="14"/>
        <v>1.44</v>
      </c>
      <c r="L234" s="66"/>
      <c r="M234" s="66"/>
      <c r="N234" s="34"/>
    </row>
    <row r="235" spans="1:14" s="41" customFormat="1" ht="15.75" customHeight="1" x14ac:dyDescent="0.25">
      <c r="A235" s="73">
        <f t="shared" si="13"/>
        <v>4</v>
      </c>
      <c r="B235" s="74"/>
      <c r="C235" s="47" t="s">
        <v>195</v>
      </c>
      <c r="D235" s="48">
        <f>(26.992+2.65+0.69+0.6*2)*10.764</f>
        <v>339.41044799999997</v>
      </c>
      <c r="E235" s="48">
        <v>0</v>
      </c>
      <c r="F235" s="39">
        <f t="shared" si="12"/>
        <v>488.75104511999996</v>
      </c>
      <c r="G235" s="69"/>
      <c r="H235" s="70"/>
      <c r="I235" s="34">
        <f>1960000/F235</f>
        <v>4010.2216037589724</v>
      </c>
      <c r="K235" s="41">
        <f t="shared" si="14"/>
        <v>1.44</v>
      </c>
      <c r="L235" s="66"/>
      <c r="M235" s="66"/>
      <c r="N235" s="34"/>
    </row>
    <row r="236" spans="1:14" s="41" customFormat="1" ht="15.75" customHeight="1" x14ac:dyDescent="0.25">
      <c r="A236" s="73">
        <f t="shared" si="13"/>
        <v>5</v>
      </c>
      <c r="B236" s="74"/>
      <c r="C236" s="47" t="s">
        <v>195</v>
      </c>
      <c r="D236" s="48">
        <f>(31.39+2.85+0.87+0.6*2.75)*10.764</f>
        <v>395.68463999999994</v>
      </c>
      <c r="E236" s="48">
        <v>0</v>
      </c>
      <c r="F236" s="39">
        <f t="shared" si="12"/>
        <v>569.78588159999993</v>
      </c>
      <c r="G236" s="69"/>
      <c r="H236" s="70"/>
      <c r="I236" s="34"/>
      <c r="K236" s="41">
        <f t="shared" si="14"/>
        <v>1.44</v>
      </c>
      <c r="L236" s="66"/>
      <c r="M236" s="66"/>
      <c r="N236" s="34"/>
    </row>
    <row r="237" spans="1:14" s="41" customFormat="1" ht="15.75" customHeight="1" x14ac:dyDescent="0.25">
      <c r="A237" s="73">
        <f t="shared" si="13"/>
        <v>6</v>
      </c>
      <c r="B237" s="74"/>
      <c r="C237" s="47" t="s">
        <v>196</v>
      </c>
      <c r="D237" s="48">
        <f>(43.128+7.23+0.81)*10.764</f>
        <v>550.77235200000007</v>
      </c>
      <c r="E237" s="48">
        <v>0</v>
      </c>
      <c r="F237" s="39">
        <f t="shared" si="12"/>
        <v>793.11218688000008</v>
      </c>
      <c r="G237" s="69"/>
      <c r="H237" s="70"/>
      <c r="I237" s="34"/>
      <c r="K237" s="41">
        <f t="shared" si="14"/>
        <v>1.44</v>
      </c>
      <c r="L237" s="66"/>
      <c r="M237" s="66"/>
      <c r="N237" s="34"/>
    </row>
    <row r="238" spans="1:14" s="41" customFormat="1" ht="15.75" customHeight="1" x14ac:dyDescent="0.25">
      <c r="A238" s="73">
        <f t="shared" si="13"/>
        <v>7</v>
      </c>
      <c r="B238" s="74"/>
      <c r="C238" s="47" t="s">
        <v>195</v>
      </c>
      <c r="D238" s="48">
        <f>(31.715+2.85+0.87+0.6*2.75)*10.764</f>
        <v>399.18293999999992</v>
      </c>
      <c r="E238" s="48">
        <v>0</v>
      </c>
      <c r="F238" s="39">
        <f t="shared" si="12"/>
        <v>574.82343359999982</v>
      </c>
      <c r="G238" s="71"/>
      <c r="H238" s="72"/>
      <c r="I238" s="34"/>
      <c r="K238" s="41">
        <f t="shared" si="14"/>
        <v>1.44</v>
      </c>
      <c r="L238" s="66"/>
      <c r="M238" s="66"/>
      <c r="N238" s="34"/>
    </row>
    <row r="239" spans="1:14" s="33" customFormat="1" x14ac:dyDescent="0.25">
      <c r="A239" s="114" t="s">
        <v>69</v>
      </c>
      <c r="B239" s="114"/>
      <c r="C239" s="114"/>
      <c r="D239" s="114"/>
      <c r="E239" s="114"/>
      <c r="F239" s="114"/>
      <c r="G239" s="114"/>
      <c r="H239" s="114"/>
    </row>
    <row r="240" spans="1:14" s="33" customFormat="1" ht="31.5" customHeight="1" x14ac:dyDescent="0.25">
      <c r="A240" s="52" t="s">
        <v>157</v>
      </c>
      <c r="B240" s="111" t="s">
        <v>232</v>
      </c>
      <c r="C240" s="112"/>
      <c r="D240" s="112"/>
      <c r="E240" s="112"/>
      <c r="F240" s="112"/>
      <c r="G240" s="112"/>
      <c r="H240" s="113"/>
    </row>
    <row r="241" spans="1:8" s="33" customFormat="1" x14ac:dyDescent="0.25">
      <c r="A241" s="52" t="s">
        <v>157</v>
      </c>
      <c r="B241" s="111" t="str">
        <f>(IF(F165="Saleable area Loading :","We have considered Saleable area of Flats as per our Calculation.","We considered Saleable area of Flat as per Builder area Sheet."))</f>
        <v>We considered Saleable area of Flat as per Builder area Sheet.</v>
      </c>
      <c r="C241" s="112"/>
      <c r="D241" s="112"/>
      <c r="E241" s="112"/>
      <c r="F241" s="112"/>
      <c r="G241" s="112"/>
      <c r="H241" s="113"/>
    </row>
    <row r="242" spans="1:8" s="33" customFormat="1" x14ac:dyDescent="0.25">
      <c r="A242" s="52" t="s">
        <v>157</v>
      </c>
      <c r="B242" s="111" t="str">
        <f>(IF(F153="Saleable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2" s="112"/>
      <c r="D242" s="112"/>
      <c r="E242" s="112"/>
      <c r="F242" s="112"/>
      <c r="G242" s="112"/>
      <c r="H242" s="113"/>
    </row>
    <row r="243" spans="1:8" s="33" customFormat="1" x14ac:dyDescent="0.25">
      <c r="A243" s="52" t="s">
        <v>157</v>
      </c>
      <c r="B243" s="111" t="s">
        <v>126</v>
      </c>
      <c r="C243" s="112"/>
      <c r="D243" s="112"/>
      <c r="E243" s="112"/>
      <c r="F243" s="112"/>
      <c r="G243" s="112"/>
      <c r="H243" s="113"/>
    </row>
    <row r="244" spans="1:8" s="33" customFormat="1" x14ac:dyDescent="0.25">
      <c r="A244" s="52" t="s">
        <v>157</v>
      </c>
      <c r="B244" s="111" t="s">
        <v>202</v>
      </c>
      <c r="C244" s="112"/>
      <c r="D244" s="112"/>
      <c r="E244" s="112"/>
      <c r="F244" s="112"/>
      <c r="G244" s="112"/>
      <c r="H244" s="113"/>
    </row>
    <row r="245" spans="1:8" s="33" customFormat="1" x14ac:dyDescent="0.25">
      <c r="A245" s="52" t="s">
        <v>157</v>
      </c>
      <c r="B245" s="111" t="s">
        <v>156</v>
      </c>
      <c r="C245" s="112"/>
      <c r="D245" s="112"/>
      <c r="E245" s="112"/>
      <c r="F245" s="112"/>
      <c r="G245" s="112"/>
      <c r="H245" s="113"/>
    </row>
    <row r="246" spans="1:8" s="33" customFormat="1" x14ac:dyDescent="0.25">
      <c r="A246" s="52" t="s">
        <v>157</v>
      </c>
      <c r="B246" s="111" t="s">
        <v>127</v>
      </c>
      <c r="C246" s="112"/>
      <c r="D246" s="112"/>
      <c r="E246" s="112"/>
      <c r="F246" s="112"/>
      <c r="G246" s="112"/>
      <c r="H246" s="113"/>
    </row>
    <row r="247" spans="1:8" s="33" customFormat="1" ht="34.5" customHeight="1" x14ac:dyDescent="0.25">
      <c r="A247" s="52" t="s">
        <v>157</v>
      </c>
      <c r="B247" s="111" t="s">
        <v>158</v>
      </c>
      <c r="C247" s="112"/>
      <c r="D247" s="112"/>
      <c r="E247" s="112"/>
      <c r="F247" s="112"/>
      <c r="G247" s="112"/>
      <c r="H247" s="113"/>
    </row>
    <row r="248" spans="1:8" s="33" customFormat="1" x14ac:dyDescent="0.25">
      <c r="A248" s="52" t="s">
        <v>157</v>
      </c>
      <c r="B248" s="111" t="s">
        <v>128</v>
      </c>
      <c r="C248" s="112"/>
      <c r="D248" s="112"/>
      <c r="E248" s="112"/>
      <c r="F248" s="112"/>
      <c r="G248" s="112"/>
      <c r="H248" s="113"/>
    </row>
    <row r="249" spans="1:8" s="33" customFormat="1" hidden="1" x14ac:dyDescent="0.25">
      <c r="A249" s="52" t="s">
        <v>157</v>
      </c>
      <c r="B249" s="111" t="s">
        <v>226</v>
      </c>
      <c r="C249" s="112"/>
      <c r="D249" s="112"/>
      <c r="E249" s="112"/>
      <c r="F249" s="112"/>
      <c r="G249" s="112"/>
      <c r="H249" s="113"/>
    </row>
    <row r="250" spans="1:8" x14ac:dyDescent="0.25">
      <c r="A250" s="129" t="s">
        <v>62</v>
      </c>
      <c r="B250" s="129"/>
      <c r="C250" s="129"/>
      <c r="D250" s="129"/>
      <c r="E250" s="129"/>
      <c r="F250" s="129"/>
      <c r="G250" s="129"/>
      <c r="H250" s="129"/>
    </row>
    <row r="251" spans="1:8" x14ac:dyDescent="0.25">
      <c r="A251" s="83" t="s">
        <v>63</v>
      </c>
      <c r="B251" s="83"/>
      <c r="C251" s="83"/>
      <c r="D251" s="83"/>
      <c r="E251" s="83"/>
      <c r="F251" s="83"/>
      <c r="G251" s="83"/>
      <c r="H251" s="83"/>
    </row>
    <row r="252" spans="1:8" ht="15.75" customHeight="1" x14ac:dyDescent="0.25">
      <c r="A252" s="102" t="s">
        <v>64</v>
      </c>
      <c r="B252" s="102"/>
      <c r="C252" s="102"/>
      <c r="D252" s="102"/>
      <c r="E252" s="102"/>
      <c r="F252" s="102"/>
      <c r="G252" s="102"/>
      <c r="H252" s="102"/>
    </row>
    <row r="253" spans="1:8" x14ac:dyDescent="0.25">
      <c r="A253" s="83" t="s">
        <v>65</v>
      </c>
      <c r="B253" s="83"/>
      <c r="C253" s="83"/>
      <c r="D253" s="83"/>
      <c r="E253" s="83"/>
      <c r="F253" s="83"/>
      <c r="G253" s="83"/>
      <c r="H253" s="83"/>
    </row>
    <row r="254" spans="1:8" x14ac:dyDescent="0.25">
      <c r="A254" s="83" t="s">
        <v>66</v>
      </c>
      <c r="B254" s="83"/>
      <c r="C254" s="83"/>
      <c r="D254" s="83"/>
      <c r="E254" s="83"/>
      <c r="F254" s="83"/>
      <c r="G254" s="83"/>
      <c r="H254" s="83"/>
    </row>
    <row r="255" spans="1:8" x14ac:dyDescent="0.25">
      <c r="A255" s="83" t="s">
        <v>129</v>
      </c>
      <c r="B255" s="83"/>
      <c r="C255" s="83"/>
      <c r="D255" s="83"/>
      <c r="E255" s="83"/>
      <c r="F255" s="83"/>
      <c r="G255" s="83"/>
      <c r="H255" s="83"/>
    </row>
    <row r="256" spans="1:8" ht="35.25" customHeight="1" x14ac:dyDescent="0.25">
      <c r="A256" s="128" t="s">
        <v>130</v>
      </c>
      <c r="B256" s="128"/>
      <c r="C256" s="128"/>
      <c r="D256" s="128"/>
      <c r="E256" s="128"/>
      <c r="F256" s="128"/>
      <c r="G256" s="128"/>
      <c r="H256" s="128"/>
    </row>
    <row r="257" spans="1:8" x14ac:dyDescent="0.25">
      <c r="A257" s="120" t="s">
        <v>78</v>
      </c>
      <c r="B257" s="120"/>
      <c r="C257" s="120" t="s">
        <v>227</v>
      </c>
      <c r="D257" s="120"/>
      <c r="E257" s="120" t="s">
        <v>107</v>
      </c>
      <c r="F257" s="120"/>
      <c r="G257" s="120" t="s">
        <v>233</v>
      </c>
      <c r="H257" s="120"/>
    </row>
    <row r="258" spans="1:8" x14ac:dyDescent="0.25">
      <c r="A258" s="119" t="s">
        <v>80</v>
      </c>
      <c r="B258" s="119"/>
      <c r="C258" s="119"/>
      <c r="D258" s="119"/>
      <c r="E258" s="119"/>
      <c r="F258" s="119"/>
      <c r="G258" s="119"/>
      <c r="H258" s="119"/>
    </row>
    <row r="259" spans="1:8" x14ac:dyDescent="0.25">
      <c r="A259" s="119"/>
      <c r="B259" s="119"/>
      <c r="C259" s="119"/>
      <c r="D259" s="119"/>
      <c r="E259" s="119"/>
      <c r="F259" s="119"/>
      <c r="G259" s="119"/>
      <c r="H259" s="119"/>
    </row>
    <row r="260" spans="1:8" x14ac:dyDescent="0.25">
      <c r="A260" s="119"/>
      <c r="B260" s="119"/>
      <c r="C260" s="119"/>
      <c r="D260" s="119"/>
      <c r="E260" s="119"/>
      <c r="F260" s="119"/>
      <c r="G260" s="119"/>
      <c r="H260" s="119"/>
    </row>
    <row r="261" spans="1:8" x14ac:dyDescent="0.25">
      <c r="A261" s="119"/>
      <c r="B261" s="119"/>
      <c r="C261" s="119"/>
      <c r="D261" s="119"/>
      <c r="E261" s="119"/>
      <c r="F261" s="119"/>
      <c r="G261" s="119"/>
      <c r="H261" s="119"/>
    </row>
    <row r="262" spans="1:8" x14ac:dyDescent="0.25">
      <c r="A262" s="35" t="s">
        <v>67</v>
      </c>
      <c r="B262" s="36"/>
      <c r="C262" s="36"/>
      <c r="D262" s="35" t="str">
        <f>E8</f>
        <v>Vista Harmony</v>
      </c>
      <c r="F262" s="36"/>
      <c r="G262" s="36"/>
      <c r="H262" s="36"/>
    </row>
    <row r="263" spans="1:8" x14ac:dyDescent="0.25">
      <c r="A263" s="36"/>
      <c r="B263" s="36"/>
      <c r="C263" s="36"/>
      <c r="D263" s="36"/>
      <c r="E263" s="36"/>
      <c r="F263" s="36"/>
      <c r="G263" s="36"/>
      <c r="H263" s="36"/>
    </row>
    <row r="264" spans="1:8" x14ac:dyDescent="0.25">
      <c r="A264" s="36"/>
      <c r="B264" s="36"/>
      <c r="C264" s="36"/>
      <c r="D264" s="36"/>
      <c r="E264" s="36"/>
      <c r="F264" s="36"/>
      <c r="G264" s="36"/>
      <c r="H264" s="36"/>
    </row>
    <row r="265" spans="1:8" ht="15" customHeight="1" x14ac:dyDescent="0.25"/>
    <row r="268" spans="1:8" x14ac:dyDescent="0.25">
      <c r="B268"/>
    </row>
    <row r="302" spans="1:8" x14ac:dyDescent="0.25">
      <c r="A302" s="19"/>
      <c r="B302" s="19"/>
      <c r="C302" s="19"/>
      <c r="D302" s="19"/>
      <c r="F302" s="36"/>
      <c r="G302" s="36"/>
      <c r="H302" s="36"/>
    </row>
    <row r="303" spans="1:8" x14ac:dyDescent="0.25">
      <c r="A303" s="36"/>
      <c r="B303" s="36"/>
      <c r="C303" s="36"/>
      <c r="D303" s="36"/>
      <c r="E303" s="36"/>
      <c r="F303" s="36"/>
      <c r="G303" s="36"/>
      <c r="H303" s="36"/>
    </row>
    <row r="304" spans="1:8" x14ac:dyDescent="0.25">
      <c r="A304" s="38" t="s">
        <v>68</v>
      </c>
    </row>
  </sheetData>
  <mergeCells count="480">
    <mergeCell ref="L193:M193"/>
    <mergeCell ref="L194:M194"/>
    <mergeCell ref="L201:M201"/>
    <mergeCell ref="L202:M202"/>
    <mergeCell ref="L203:M203"/>
    <mergeCell ref="L198:M198"/>
    <mergeCell ref="L199:M199"/>
    <mergeCell ref="L200:M200"/>
    <mergeCell ref="L209:M209"/>
    <mergeCell ref="L232:M232"/>
    <mergeCell ref="A233:B233"/>
    <mergeCell ref="L233:M233"/>
    <mergeCell ref="L237:M237"/>
    <mergeCell ref="A238:B238"/>
    <mergeCell ref="L238:M238"/>
    <mergeCell ref="A234:B234"/>
    <mergeCell ref="L234:M234"/>
    <mergeCell ref="A235:B235"/>
    <mergeCell ref="L235:M235"/>
    <mergeCell ref="A236:B236"/>
    <mergeCell ref="L236:M236"/>
    <mergeCell ref="L190:M190"/>
    <mergeCell ref="A191:B191"/>
    <mergeCell ref="L191:M191"/>
    <mergeCell ref="A192:B192"/>
    <mergeCell ref="L192:M192"/>
    <mergeCell ref="L176:M176"/>
    <mergeCell ref="A186:H186"/>
    <mergeCell ref="A187:B187"/>
    <mergeCell ref="L187:M187"/>
    <mergeCell ref="A188:B188"/>
    <mergeCell ref="L188:M188"/>
    <mergeCell ref="L189:M189"/>
    <mergeCell ref="L178:M178"/>
    <mergeCell ref="L179:M179"/>
    <mergeCell ref="L180:M180"/>
    <mergeCell ref="L184:M184"/>
    <mergeCell ref="L185:M185"/>
    <mergeCell ref="A181:B181"/>
    <mergeCell ref="G181:H181"/>
    <mergeCell ref="L181:M181"/>
    <mergeCell ref="G182:H182"/>
    <mergeCell ref="L182:M182"/>
    <mergeCell ref="A183:B183"/>
    <mergeCell ref="G183:H183"/>
    <mergeCell ref="L174:M174"/>
    <mergeCell ref="A173:B173"/>
    <mergeCell ref="L173:M173"/>
    <mergeCell ref="A166:H166"/>
    <mergeCell ref="A172:B172"/>
    <mergeCell ref="A162:B162"/>
    <mergeCell ref="A169:B169"/>
    <mergeCell ref="A164:H164"/>
    <mergeCell ref="L175:M175"/>
    <mergeCell ref="L172:M172"/>
    <mergeCell ref="L169:M169"/>
    <mergeCell ref="A170:B170"/>
    <mergeCell ref="L170:M170"/>
    <mergeCell ref="A171:B171"/>
    <mergeCell ref="L171:M171"/>
    <mergeCell ref="A168:H168"/>
    <mergeCell ref="A167:H167"/>
    <mergeCell ref="G169:H176"/>
    <mergeCell ref="A176:B176"/>
    <mergeCell ref="G86:H95"/>
    <mergeCell ref="A87:B87"/>
    <mergeCell ref="A88:B88"/>
    <mergeCell ref="A89:B89"/>
    <mergeCell ref="F126:H126"/>
    <mergeCell ref="A126:E126"/>
    <mergeCell ref="D153:D154"/>
    <mergeCell ref="A128:E128"/>
    <mergeCell ref="A158:B158"/>
    <mergeCell ref="C98:H98"/>
    <mergeCell ref="F134:H134"/>
    <mergeCell ref="A127:E127"/>
    <mergeCell ref="A114:B114"/>
    <mergeCell ref="E114:F123"/>
    <mergeCell ref="A135:E135"/>
    <mergeCell ref="F124:H124"/>
    <mergeCell ref="F129:H129"/>
    <mergeCell ref="A113:B113"/>
    <mergeCell ref="E113:F113"/>
    <mergeCell ref="G114:H123"/>
    <mergeCell ref="G99:H99"/>
    <mergeCell ref="A100:B100"/>
    <mergeCell ref="E100:F109"/>
    <mergeCell ref="G100:H109"/>
    <mergeCell ref="A85:B85"/>
    <mergeCell ref="E85:F85"/>
    <mergeCell ref="A110:B110"/>
    <mergeCell ref="G85:H85"/>
    <mergeCell ref="A130:E130"/>
    <mergeCell ref="F130:H130"/>
    <mergeCell ref="A131:E131"/>
    <mergeCell ref="A133:E133"/>
    <mergeCell ref="F127:H127"/>
    <mergeCell ref="A132:E132"/>
    <mergeCell ref="A117:B117"/>
    <mergeCell ref="A118:B118"/>
    <mergeCell ref="A119:B119"/>
    <mergeCell ref="A121:B121"/>
    <mergeCell ref="A122:B122"/>
    <mergeCell ref="F132:H132"/>
    <mergeCell ref="A112:B112"/>
    <mergeCell ref="C112:H112"/>
    <mergeCell ref="A129:E129"/>
    <mergeCell ref="F128:H128"/>
    <mergeCell ref="G113:H113"/>
    <mergeCell ref="A124:E124"/>
    <mergeCell ref="C110:H110"/>
    <mergeCell ref="A96:B96"/>
    <mergeCell ref="L161:M161"/>
    <mergeCell ref="L160:M160"/>
    <mergeCell ref="L159:M159"/>
    <mergeCell ref="L162:M162"/>
    <mergeCell ref="L163:M163"/>
    <mergeCell ref="A146:B146"/>
    <mergeCell ref="C146:D146"/>
    <mergeCell ref="E146:F146"/>
    <mergeCell ref="A150:B150"/>
    <mergeCell ref="C153:C154"/>
    <mergeCell ref="C150:D150"/>
    <mergeCell ref="E150:F150"/>
    <mergeCell ref="A156:H156"/>
    <mergeCell ref="G158:H163"/>
    <mergeCell ref="L158:M158"/>
    <mergeCell ref="A149:B149"/>
    <mergeCell ref="C149:D149"/>
    <mergeCell ref="E149:F149"/>
    <mergeCell ref="G149:H149"/>
    <mergeCell ref="A155:H155"/>
    <mergeCell ref="G146:H146"/>
    <mergeCell ref="G150:H150"/>
    <mergeCell ref="A148:B148"/>
    <mergeCell ref="C148:D148"/>
    <mergeCell ref="A101:B101"/>
    <mergeCell ref="A102:B102"/>
    <mergeCell ref="A103:B103"/>
    <mergeCell ref="A104:B104"/>
    <mergeCell ref="A105:B105"/>
    <mergeCell ref="A106:B106"/>
    <mergeCell ref="A107:B107"/>
    <mergeCell ref="A115:B115"/>
    <mergeCell ref="A116:B116"/>
    <mergeCell ref="A74:B74"/>
    <mergeCell ref="A70:B70"/>
    <mergeCell ref="A68:B68"/>
    <mergeCell ref="A84:B84"/>
    <mergeCell ref="F135:H135"/>
    <mergeCell ref="F133:H133"/>
    <mergeCell ref="G139:H139"/>
    <mergeCell ref="A134:E134"/>
    <mergeCell ref="G48:H48"/>
    <mergeCell ref="A49:B50"/>
    <mergeCell ref="D60:H60"/>
    <mergeCell ref="A57:C60"/>
    <mergeCell ref="A139:B139"/>
    <mergeCell ref="C139:D139"/>
    <mergeCell ref="A63:C63"/>
    <mergeCell ref="D63:H63"/>
    <mergeCell ref="A73:B73"/>
    <mergeCell ref="A75:B75"/>
    <mergeCell ref="E71:F71"/>
    <mergeCell ref="A64:C64"/>
    <mergeCell ref="D64:H64"/>
    <mergeCell ref="A67:C67"/>
    <mergeCell ref="C96:H96"/>
    <mergeCell ref="A98:B98"/>
    <mergeCell ref="F31:H31"/>
    <mergeCell ref="F32:H32"/>
    <mergeCell ref="A38:H38"/>
    <mergeCell ref="A61:C61"/>
    <mergeCell ref="A62:C62"/>
    <mergeCell ref="D61:H61"/>
    <mergeCell ref="E72:F81"/>
    <mergeCell ref="G72:H81"/>
    <mergeCell ref="A80:B80"/>
    <mergeCell ref="A81:B81"/>
    <mergeCell ref="D62:H62"/>
    <mergeCell ref="A41:D41"/>
    <mergeCell ref="E41:H41"/>
    <mergeCell ref="E42:H42"/>
    <mergeCell ref="E43:H43"/>
    <mergeCell ref="E44:H44"/>
    <mergeCell ref="A78:B78"/>
    <mergeCell ref="A71:B71"/>
    <mergeCell ref="D59:H59"/>
    <mergeCell ref="A51:B52"/>
    <mergeCell ref="C52:H52"/>
    <mergeCell ref="C50:H50"/>
    <mergeCell ref="A37:B37"/>
    <mergeCell ref="C37:H37"/>
    <mergeCell ref="D67:H67"/>
    <mergeCell ref="A65:C65"/>
    <mergeCell ref="A39:D39"/>
    <mergeCell ref="E39:H39"/>
    <mergeCell ref="D65:H65"/>
    <mergeCell ref="A66:C66"/>
    <mergeCell ref="D66:H66"/>
    <mergeCell ref="A72:B72"/>
    <mergeCell ref="G71:H71"/>
    <mergeCell ref="A45:H45"/>
    <mergeCell ref="C70:H70"/>
    <mergeCell ref="A42:D42"/>
    <mergeCell ref="A46:B46"/>
    <mergeCell ref="C46:H46"/>
    <mergeCell ref="C68:H68"/>
    <mergeCell ref="D58:H58"/>
    <mergeCell ref="A48:B48"/>
    <mergeCell ref="A53:H53"/>
    <mergeCell ref="A54:C54"/>
    <mergeCell ref="A55:C55"/>
    <mergeCell ref="A32:B32"/>
    <mergeCell ref="C32:E32"/>
    <mergeCell ref="A35:H35"/>
    <mergeCell ref="A34:B34"/>
    <mergeCell ref="C34:E34"/>
    <mergeCell ref="A33:B33"/>
    <mergeCell ref="C33:E33"/>
    <mergeCell ref="D55:H55"/>
    <mergeCell ref="G51:H51"/>
    <mergeCell ref="F34:H34"/>
    <mergeCell ref="A36:B36"/>
    <mergeCell ref="E40:H40"/>
    <mergeCell ref="A40:D40"/>
    <mergeCell ref="A43:D43"/>
    <mergeCell ref="A44:D44"/>
    <mergeCell ref="C36:H36"/>
    <mergeCell ref="A47:B47"/>
    <mergeCell ref="C47:E47"/>
    <mergeCell ref="G47:H47"/>
    <mergeCell ref="G49:H49"/>
    <mergeCell ref="D54:H54"/>
    <mergeCell ref="C49:E49"/>
    <mergeCell ref="C48:E48"/>
    <mergeCell ref="C51:E51"/>
    <mergeCell ref="A28:D28"/>
    <mergeCell ref="E28:H28"/>
    <mergeCell ref="A29:D29"/>
    <mergeCell ref="E29:H29"/>
    <mergeCell ref="A25:D25"/>
    <mergeCell ref="E25:H25"/>
    <mergeCell ref="C30:E30"/>
    <mergeCell ref="F33:H33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20:D21"/>
    <mergeCell ref="E20:H21"/>
    <mergeCell ref="F30:H30"/>
    <mergeCell ref="A31:B31"/>
    <mergeCell ref="A30:B30"/>
    <mergeCell ref="C31:E31"/>
    <mergeCell ref="A15:B15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47:B147"/>
    <mergeCell ref="A140:B140"/>
    <mergeCell ref="A253:H253"/>
    <mergeCell ref="A143:H143"/>
    <mergeCell ref="A256:H256"/>
    <mergeCell ref="A254:H254"/>
    <mergeCell ref="A250:H250"/>
    <mergeCell ref="A251:H251"/>
    <mergeCell ref="E144:F144"/>
    <mergeCell ref="C147:D147"/>
    <mergeCell ref="E147:F147"/>
    <mergeCell ref="G147:H147"/>
    <mergeCell ref="A157:H157"/>
    <mergeCell ref="E153:E154"/>
    <mergeCell ref="A175:B175"/>
    <mergeCell ref="A161:B161"/>
    <mergeCell ref="A229:H229"/>
    <mergeCell ref="A230:H230"/>
    <mergeCell ref="A163:B163"/>
    <mergeCell ref="E148:F148"/>
    <mergeCell ref="G148:H148"/>
    <mergeCell ref="A210:B210"/>
    <mergeCell ref="A193:B193"/>
    <mergeCell ref="A202:B202"/>
    <mergeCell ref="A138:H138"/>
    <mergeCell ref="A145:B145"/>
    <mergeCell ref="C145:D145"/>
    <mergeCell ref="C140:D140"/>
    <mergeCell ref="E140:F140"/>
    <mergeCell ref="C141:D141"/>
    <mergeCell ref="E141:F141"/>
    <mergeCell ref="G141:H141"/>
    <mergeCell ref="A142:B142"/>
    <mergeCell ref="C142:D142"/>
    <mergeCell ref="E142:F142"/>
    <mergeCell ref="G142:H142"/>
    <mergeCell ref="E139:F139"/>
    <mergeCell ref="C144:D144"/>
    <mergeCell ref="G144:H144"/>
    <mergeCell ref="E145:F145"/>
    <mergeCell ref="A141:B141"/>
    <mergeCell ref="G145:H145"/>
    <mergeCell ref="B153:B154"/>
    <mergeCell ref="A153:A154"/>
    <mergeCell ref="B242:H242"/>
    <mergeCell ref="A151:H151"/>
    <mergeCell ref="A152:H152"/>
    <mergeCell ref="A226:B226"/>
    <mergeCell ref="A182:B182"/>
    <mergeCell ref="A258:H261"/>
    <mergeCell ref="A257:B257"/>
    <mergeCell ref="E257:F257"/>
    <mergeCell ref="C257:D257"/>
    <mergeCell ref="G257:H257"/>
    <mergeCell ref="B247:H247"/>
    <mergeCell ref="B245:H245"/>
    <mergeCell ref="A159:B159"/>
    <mergeCell ref="A160:B160"/>
    <mergeCell ref="A203:B203"/>
    <mergeCell ref="A204:B204"/>
    <mergeCell ref="A199:B199"/>
    <mergeCell ref="B248:H248"/>
    <mergeCell ref="B249:H249"/>
    <mergeCell ref="B246:H246"/>
    <mergeCell ref="A231:H231"/>
    <mergeCell ref="A237:B237"/>
    <mergeCell ref="B240:H240"/>
    <mergeCell ref="B241:H241"/>
    <mergeCell ref="A184:B184"/>
    <mergeCell ref="G184:H184"/>
    <mergeCell ref="A185:B185"/>
    <mergeCell ref="G185:H185"/>
    <mergeCell ref="A232:B232"/>
    <mergeCell ref="B244:H244"/>
    <mergeCell ref="A222:B222"/>
    <mergeCell ref="A194:B194"/>
    <mergeCell ref="A195:H195"/>
    <mergeCell ref="A196:H196"/>
    <mergeCell ref="A197:H197"/>
    <mergeCell ref="A198:B198"/>
    <mergeCell ref="A211:B211"/>
    <mergeCell ref="A200:B200"/>
    <mergeCell ref="A76:B76"/>
    <mergeCell ref="D56:H56"/>
    <mergeCell ref="A56:C56"/>
    <mergeCell ref="G153:H154"/>
    <mergeCell ref="A174:B174"/>
    <mergeCell ref="A255:H255"/>
    <mergeCell ref="A252:H252"/>
    <mergeCell ref="A144:B144"/>
    <mergeCell ref="G165:H165"/>
    <mergeCell ref="A90:B90"/>
    <mergeCell ref="A91:B91"/>
    <mergeCell ref="A92:B92"/>
    <mergeCell ref="A82:B82"/>
    <mergeCell ref="C82:H82"/>
    <mergeCell ref="A120:B120"/>
    <mergeCell ref="F125:H125"/>
    <mergeCell ref="G140:H140"/>
    <mergeCell ref="A123:B123"/>
    <mergeCell ref="B243:H243"/>
    <mergeCell ref="A239:H239"/>
    <mergeCell ref="A189:B189"/>
    <mergeCell ref="A190:B190"/>
    <mergeCell ref="A177:H177"/>
    <mergeCell ref="D57:H57"/>
    <mergeCell ref="A77:B77"/>
    <mergeCell ref="A179:B179"/>
    <mergeCell ref="G179:H179"/>
    <mergeCell ref="A180:B180"/>
    <mergeCell ref="G180:H180"/>
    <mergeCell ref="C84:H84"/>
    <mergeCell ref="A79:B79"/>
    <mergeCell ref="F131:H131"/>
    <mergeCell ref="A125:E125"/>
    <mergeCell ref="A86:B86"/>
    <mergeCell ref="E86:F95"/>
    <mergeCell ref="A93:B93"/>
    <mergeCell ref="A94:B94"/>
    <mergeCell ref="A95:B95"/>
    <mergeCell ref="A99:B99"/>
    <mergeCell ref="E99:F99"/>
    <mergeCell ref="A178:B178"/>
    <mergeCell ref="G178:H178"/>
    <mergeCell ref="A108:B108"/>
    <mergeCell ref="A109:B109"/>
    <mergeCell ref="A136:E136"/>
    <mergeCell ref="F136:H136"/>
    <mergeCell ref="A137:E137"/>
    <mergeCell ref="F137:H137"/>
    <mergeCell ref="L211:M211"/>
    <mergeCell ref="A212:B212"/>
    <mergeCell ref="L204:M204"/>
    <mergeCell ref="A205:B205"/>
    <mergeCell ref="L205:M205"/>
    <mergeCell ref="A206:H206"/>
    <mergeCell ref="A207:H207"/>
    <mergeCell ref="A208:H208"/>
    <mergeCell ref="L210:M210"/>
    <mergeCell ref="L215:M215"/>
    <mergeCell ref="A216:B216"/>
    <mergeCell ref="L216:M216"/>
    <mergeCell ref="A217:H217"/>
    <mergeCell ref="A218:H218"/>
    <mergeCell ref="A219:H219"/>
    <mergeCell ref="A220:B220"/>
    <mergeCell ref="L212:M212"/>
    <mergeCell ref="A213:B213"/>
    <mergeCell ref="L213:M213"/>
    <mergeCell ref="A214:B214"/>
    <mergeCell ref="L214:M214"/>
    <mergeCell ref="L183:M183"/>
    <mergeCell ref="G232:H238"/>
    <mergeCell ref="G209:H216"/>
    <mergeCell ref="G198:H205"/>
    <mergeCell ref="G187:H194"/>
    <mergeCell ref="L226:M226"/>
    <mergeCell ref="A227:B227"/>
    <mergeCell ref="L227:M227"/>
    <mergeCell ref="A228:B228"/>
    <mergeCell ref="L228:M228"/>
    <mergeCell ref="A223:B223"/>
    <mergeCell ref="L223:M223"/>
    <mergeCell ref="A224:B224"/>
    <mergeCell ref="L224:M224"/>
    <mergeCell ref="A225:B225"/>
    <mergeCell ref="L225:M225"/>
    <mergeCell ref="L220:M220"/>
    <mergeCell ref="A221:B221"/>
    <mergeCell ref="L221:M221"/>
    <mergeCell ref="L222:M222"/>
    <mergeCell ref="A215:B215"/>
    <mergeCell ref="G220:H228"/>
    <mergeCell ref="A209:B209"/>
    <mergeCell ref="A201:B201"/>
  </mergeCells>
  <hyperlinks>
    <hyperlink ref="C37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109" max="16383" man="1"/>
    <brk id="261" max="16383" man="1"/>
    <brk id="30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0" t="s">
        <v>108</v>
      </c>
      <c r="C3" s="200"/>
      <c r="D3" s="200"/>
      <c r="E3" s="200"/>
      <c r="F3" s="200"/>
      <c r="G3" s="200"/>
      <c r="H3" s="200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2025-09-13T06:05:23Z</cp:lastPrinted>
  <dcterms:created xsi:type="dcterms:W3CDTF">2019-07-16T09:29:46Z</dcterms:created>
  <dcterms:modified xsi:type="dcterms:W3CDTF">2025-09-13T06:11:31Z</dcterms:modified>
</cp:coreProperties>
</file>