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1A74BC9F-ECC5-4FF5-96C5-98AD4795A3E7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5" i="5" l="1"/>
  <c r="A130" i="1"/>
  <c r="D311" i="1"/>
  <c r="F311" i="1" s="1"/>
  <c r="D309" i="1"/>
  <c r="F309" i="1" s="1"/>
  <c r="D308" i="1"/>
  <c r="F308" i="1" s="1"/>
  <c r="D307" i="1"/>
  <c r="F307" i="1" s="1"/>
  <c r="D306" i="1"/>
  <c r="F306" i="1" s="1"/>
  <c r="D305" i="1"/>
  <c r="D304" i="1"/>
  <c r="F304" i="1" s="1"/>
  <c r="D303" i="1"/>
  <c r="F303" i="1" s="1"/>
  <c r="D302" i="1"/>
  <c r="F302" i="1" s="1"/>
  <c r="D300" i="1"/>
  <c r="F300" i="1" s="1"/>
  <c r="D299" i="1"/>
  <c r="F299" i="1" s="1"/>
  <c r="D298" i="1"/>
  <c r="F298" i="1" s="1"/>
  <c r="D297" i="1"/>
  <c r="F297" i="1" s="1"/>
  <c r="K238" i="1" s="1"/>
  <c r="D296" i="1"/>
  <c r="F296" i="1" s="1"/>
  <c r="D295" i="1"/>
  <c r="F295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6" i="1"/>
  <c r="F266" i="1" s="1"/>
  <c r="D265" i="1"/>
  <c r="D264" i="1"/>
  <c r="F264" i="1" s="1"/>
  <c r="D263" i="1"/>
  <c r="F263" i="1" s="1"/>
  <c r="D262" i="1"/>
  <c r="F262" i="1" s="1"/>
  <c r="D261" i="1"/>
  <c r="F261" i="1" s="1"/>
  <c r="D260" i="1"/>
  <c r="F260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K239" i="1" s="1"/>
  <c r="D252" i="1"/>
  <c r="F252" i="1" s="1"/>
  <c r="D250" i="1"/>
  <c r="D249" i="1"/>
  <c r="F249" i="1" s="1"/>
  <c r="D248" i="1"/>
  <c r="F248" i="1" s="1"/>
  <c r="D247" i="1"/>
  <c r="F247" i="1" s="1"/>
  <c r="J238" i="1" s="1"/>
  <c r="D246" i="1"/>
  <c r="F246" i="1" s="1"/>
  <c r="D245" i="1"/>
  <c r="F245" i="1" s="1"/>
  <c r="D244" i="1"/>
  <c r="F244" i="1" s="1"/>
  <c r="D243" i="1"/>
  <c r="F243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J239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5" i="1"/>
  <c r="F225" i="1" s="1"/>
  <c r="D224" i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6" i="1"/>
  <c r="F216" i="1" s="1"/>
  <c r="D215" i="1"/>
  <c r="F215" i="1" s="1"/>
  <c r="D214" i="1"/>
  <c r="F214" i="1" s="1"/>
  <c r="D213" i="1"/>
  <c r="F213" i="1" s="1"/>
  <c r="D212" i="1"/>
  <c r="D211" i="1"/>
  <c r="F211" i="1" s="1"/>
  <c r="D210" i="1"/>
  <c r="F210" i="1" s="1"/>
  <c r="D209" i="1"/>
  <c r="F209" i="1" s="1"/>
  <c r="F212" i="1"/>
  <c r="F224" i="1"/>
  <c r="D207" i="1"/>
  <c r="F207" i="1" s="1"/>
  <c r="D206" i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1" i="1"/>
  <c r="F181" i="1" s="1"/>
  <c r="D180" i="1"/>
  <c r="F180" i="1" s="1"/>
  <c r="D179" i="1"/>
  <c r="F179" i="1" s="1"/>
  <c r="D178" i="1"/>
  <c r="F178" i="1" s="1"/>
  <c r="D177" i="1"/>
  <c r="F177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D169" i="1"/>
  <c r="F169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4" i="1"/>
  <c r="F134" i="1" s="1"/>
  <c r="D133" i="1"/>
  <c r="F133" i="1" s="1"/>
  <c r="D132" i="1"/>
  <c r="D131" i="1"/>
  <c r="D130" i="1"/>
  <c r="D129" i="1"/>
  <c r="F206" i="1"/>
  <c r="D107" i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D109" i="1"/>
  <c r="D108" i="1"/>
  <c r="A116" i="1"/>
  <c r="A118" i="1"/>
  <c r="A120" i="1"/>
  <c r="A110" i="1"/>
  <c r="A114" i="1"/>
  <c r="G311" i="1"/>
  <c r="F305" i="1"/>
  <c r="A303" i="1"/>
  <c r="G302" i="1"/>
  <c r="A296" i="1"/>
  <c r="G295" i="1"/>
  <c r="A287" i="1"/>
  <c r="G286" i="1"/>
  <c r="A278" i="1"/>
  <c r="G277" i="1"/>
  <c r="A269" i="1"/>
  <c r="G268" i="1"/>
  <c r="F265" i="1"/>
  <c r="A261" i="1"/>
  <c r="G260" i="1"/>
  <c r="A253" i="1"/>
  <c r="G252" i="1"/>
  <c r="F250" i="1"/>
  <c r="A244" i="1"/>
  <c r="G243" i="1"/>
  <c r="A237" i="1"/>
  <c r="G236" i="1"/>
  <c r="A228" i="1"/>
  <c r="G227" i="1"/>
  <c r="A219" i="1"/>
  <c r="G218" i="1"/>
  <c r="A210" i="1"/>
  <c r="G209" i="1"/>
  <c r="A201" i="1"/>
  <c r="G200" i="1"/>
  <c r="A192" i="1"/>
  <c r="G191" i="1"/>
  <c r="A184" i="1"/>
  <c r="G183" i="1"/>
  <c r="A178" i="1"/>
  <c r="G177" i="1"/>
  <c r="F170" i="1"/>
  <c r="A170" i="1"/>
  <c r="G169" i="1"/>
  <c r="A161" i="1"/>
  <c r="G160" i="1"/>
  <c r="A152" i="1"/>
  <c r="G151" i="1"/>
  <c r="A144" i="1"/>
  <c r="G143" i="1"/>
  <c r="A137" i="1"/>
  <c r="G136" i="1"/>
  <c r="C98" i="1" l="1"/>
  <c r="K240" i="1"/>
  <c r="J240" i="1"/>
  <c r="G99" i="1"/>
  <c r="E99" i="1"/>
  <c r="G100" i="1"/>
  <c r="E98" i="1"/>
  <c r="C100" i="1"/>
  <c r="C99" i="1"/>
  <c r="E100" i="1"/>
  <c r="C95" i="1"/>
  <c r="E95" i="1"/>
  <c r="E28" i="1"/>
  <c r="C101" i="1" l="1"/>
  <c r="E101" i="1"/>
  <c r="F130" i="1"/>
  <c r="F131" i="1"/>
  <c r="F132" i="1"/>
  <c r="F129" i="1"/>
  <c r="G129" i="1"/>
  <c r="G98" i="1" l="1"/>
  <c r="G101" i="1" s="1"/>
  <c r="F92" i="1"/>
  <c r="F108" i="1" l="1"/>
  <c r="F109" i="1"/>
  <c r="F110" i="1"/>
  <c r="F107" i="1"/>
  <c r="G95" i="1" l="1"/>
  <c r="B314" i="1"/>
  <c r="B31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8" i="1"/>
  <c r="G107" i="1"/>
  <c r="J76" i="1"/>
  <c r="J75" i="1"/>
  <c r="J74" i="1"/>
  <c r="J73" i="1"/>
  <c r="C65" i="1"/>
  <c r="D54" i="1"/>
  <c r="G48" i="1"/>
  <c r="C48" i="1"/>
  <c r="E41" i="1"/>
  <c r="E42" i="1" s="1"/>
  <c r="E25" i="1"/>
  <c r="E23" i="1"/>
  <c r="E7" i="1"/>
  <c r="H66" i="1"/>
  <c r="J65" i="1" l="1"/>
  <c r="D59" i="1"/>
  <c r="D78" i="1"/>
  <c r="D76" i="1"/>
  <c r="D75" i="1"/>
  <c r="D74" i="1"/>
  <c r="D72" i="1"/>
  <c r="D77" i="1"/>
  <c r="D73" i="1"/>
  <c r="J69" i="1"/>
  <c r="J70" i="1"/>
  <c r="J68" i="1"/>
  <c r="J71" i="1"/>
  <c r="J72" i="1" s="1"/>
  <c r="J77" i="1" s="1"/>
  <c r="J78" i="1" l="1"/>
  <c r="E69" i="1"/>
  <c r="D71" i="1"/>
  <c r="J67" i="1"/>
  <c r="D69" i="1"/>
  <c r="J66" i="1" l="1"/>
  <c r="G69" i="1"/>
  <c r="D63" i="1" s="1"/>
  <c r="D64" i="1" s="1"/>
  <c r="D70" i="1"/>
  <c r="I66" i="1" s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<sst xmlns="http://schemas.openxmlformats.org/spreadsheetml/2006/main" count="495" uniqueCount="252">
  <si>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</si>
  <si>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</si>
  <si>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</si>
  <si>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</si>
  <si>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</si>
  <si>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</si>
  <si>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</si>
  <si>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</si>
  <si>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</si>
  <si>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</si>
  <si>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</si>
  <si>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</si>
  <si>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</si>
  <si>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</si>
  <si>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</si>
  <si>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</si>
  <si>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</si>
  <si>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</si>
  <si>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</si>
  <si>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</si>
  <si>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</si>
  <si>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</si>
  <si>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</si>
  <si>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</si>
  <si>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</si>
  <si>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</si>
  <si>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</si>
  <si>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</si>
  <si>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</si>
  <si>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</si>
  <si>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</si>
  <si>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</si>
  <si>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</si>
  <si>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</si>
  <si>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</si>
  <si>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</si>
  <si>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</si>
  <si>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</si>
  <si>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</si>
  <si>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</si>
  <si>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</si>
  <si>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</si>
  <si>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</si>
  <si>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</si>
  <si>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</si>
  <si>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</si>
  <si>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</si>
  <si>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</si>
  <si>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</si>
  <si>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</si>
  <si>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</si>
  <si>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</si>
  <si>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</si>
  <si>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</si>
  <si>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</si>
  <si>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</si>
  <si>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</si>
  <si>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</si>
  <si>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</si>
  <si>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</si>
  <si>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</si>
  <si>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</si>
  <si>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</si>
  <si>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</si>
  <si>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</si>
  <si>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</si>
  <si>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</si>
  <si>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</si>
  <si>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</si>
  <si>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</si>
  <si>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</si>
  <si>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</si>
  <si>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</si>
  <si>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</si>
  <si>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</si>
  <si>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</si>
  <si>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</si>
  <si>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</si>
  <si>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</si>
  <si>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</si>
  <si>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</si>
  <si>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</si>
  <si>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</si>
  <si>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</si>
  <si>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</si>
  <si>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</si>
  <si>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</si>
  <si>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</si>
  <si>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</si>
  <si>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</si>
  <si>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</si>
  <si>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</si>
  <si>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</si>
  <si>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</si>
  <si>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</si>
  <si>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</si>
  <si>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</si>
  <si>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</si>
  <si>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</si>
  <si>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</si>
  <si>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</si>
  <si>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</si>
  <si>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</si>
  <si>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</si>
  <si>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</si>
  <si>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</si>
  <si>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</si>
  <si>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</si>
  <si>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</si>
  <si>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</si>
  <si>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</si>
  <si>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</si>
  <si>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</si>
  <si>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</si>
  <si>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</si>
  <si>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</si>
  <si>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</si>
  <si>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</si>
  <si>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</si>
  <si>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</si>
  <si>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</si>
  <si>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</si>
  <si>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</si>
  <si>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</si>
  <si>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</si>
  <si>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</si>
  <si>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</si>
  <si>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</si>
  <si>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</si>
  <si>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</si>
  <si>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</si>
  <si>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</si>
  <si>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</si>
  <si>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</si>
  <si>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</si>
  <si>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</si>
  <si>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</si>
  <si>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</si>
  <si>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</si>
  <si>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</si>
  <si>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</si>
  <si>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</si>
  <si>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</si>
  <si>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</si>
  <si>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</si>
  <si>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</si>
  <si>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</si>
  <si>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</si>
  <si>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</si>
  <si>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</si>
  <si>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</si>
  <si>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</si>
  <si>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</si>
  <si>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</si>
  <si>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</si>
  <si>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</si>
  <si>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</si>
  <si>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</si>
  <si>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</si>
  <si>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</si>
  <si>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</si>
  <si>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</si>
  <si>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</si>
  <si>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</si>
  <si>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</si>
  <si>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</si>
  <si>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</si>
  <si>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</si>
  <si>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Legal Charges</t>
  </si>
  <si>
    <t>Location Link</t>
  </si>
  <si>
    <t>Locality</t>
  </si>
  <si>
    <t>Village</t>
  </si>
  <si>
    <t xml:space="preserve">O. Certificate No.: 
Approved upto : </t>
  </si>
  <si>
    <t>Ground + 1st Floor</t>
  </si>
  <si>
    <t>Axis Goregaon</t>
  </si>
  <si>
    <t>M/s. Suraj Estate Developers Pvt Ltd</t>
  </si>
  <si>
    <t>Vitalis</t>
  </si>
  <si>
    <t>Approved Plans, CC</t>
  </si>
  <si>
    <t>P51900031447</t>
  </si>
  <si>
    <t>Proposed Redevelopment Of The Plot Bearing F.P. No. 107, Of T.P.S - II Mahim Division In G/N Ward L.J. Road, Mahim, Mumbai.</t>
  </si>
  <si>
    <t>F.P. No</t>
  </si>
  <si>
    <t>107, T.P.S - II</t>
  </si>
  <si>
    <t>Mahim</t>
  </si>
  <si>
    <t>https://goo.gl/maps/AbTkqpUHPKNg5ntB7</t>
  </si>
  <si>
    <t>Pandit Gunidas Road</t>
  </si>
  <si>
    <t>Harsh Vista</t>
  </si>
  <si>
    <t>Mumbai</t>
  </si>
  <si>
    <t>Lady Jamshedji Road</t>
  </si>
  <si>
    <t>Mahim (West)</t>
  </si>
  <si>
    <t>1.9 KM from Mahim Railway Station</t>
  </si>
  <si>
    <t>Municipal Corporation of Greater Mumbai.</t>
  </si>
  <si>
    <t>P-5545/2020/G/North/FP/337/1/Amend</t>
  </si>
  <si>
    <t>B + Gr + 1st to 8th Podium + 9th to 31st Floor</t>
  </si>
  <si>
    <t>B + Gr + 1st to 8th Podium + 9th to 38th Floor</t>
  </si>
  <si>
    <t>As per RERA - 31/12/2026</t>
  </si>
  <si>
    <t>10th Floor</t>
  </si>
  <si>
    <t>Basement for Domastic &amp; Fire Water tank</t>
  </si>
  <si>
    <t>1st to 7th Podium Floor for Parking</t>
  </si>
  <si>
    <t>8th podium Floor Amenitys</t>
  </si>
  <si>
    <t>9th Floor for Residential</t>
  </si>
  <si>
    <t>11th Floor</t>
  </si>
  <si>
    <t>12th Floor</t>
  </si>
  <si>
    <t>13th Floor</t>
  </si>
  <si>
    <t>14th Floor</t>
  </si>
  <si>
    <t>16th Floor</t>
  </si>
  <si>
    <t>17th Floor</t>
  </si>
  <si>
    <t>18th Floor</t>
  </si>
  <si>
    <t>19th Floor</t>
  </si>
  <si>
    <t>20th Floor</t>
  </si>
  <si>
    <t>21th Floor</t>
  </si>
  <si>
    <t>23th Floor</t>
  </si>
  <si>
    <t>24th Floor</t>
  </si>
  <si>
    <t>25th Floor</t>
  </si>
  <si>
    <t>26th Floor</t>
  </si>
  <si>
    <t>27th Floor</t>
  </si>
  <si>
    <t>28th Floor</t>
  </si>
  <si>
    <t>30th Floor</t>
  </si>
  <si>
    <t>Ground Floor for Commercial</t>
  </si>
  <si>
    <t>Shop</t>
  </si>
  <si>
    <t>2.5BHK</t>
  </si>
  <si>
    <t>15th Floor (Part Refuge Area)</t>
  </si>
  <si>
    <t>22th Floor (Part Refuge Area)</t>
  </si>
  <si>
    <t>29th Floor (Part Refuge Area)</t>
  </si>
  <si>
    <t>31th Floor (Part Terrace Area)</t>
  </si>
  <si>
    <t>Rehab</t>
  </si>
  <si>
    <t>MHADA</t>
  </si>
  <si>
    <t>Sale</t>
  </si>
  <si>
    <t xml:space="preserve"> Rehab Flats</t>
  </si>
  <si>
    <t>Mhada Flats</t>
  </si>
  <si>
    <t>Sale Flats</t>
  </si>
  <si>
    <t>Rehab Shops</t>
  </si>
  <si>
    <t>Rehab Flats -62, Mhada Flats - 17, Sale Flats - 82, Rehab Shops - 15</t>
  </si>
  <si>
    <t>On Site, we meet Mr.Patil.(8657968712).</t>
  </si>
  <si>
    <t xml:space="preserve">We considered Gross carpet area = Net carpet </t>
  </si>
  <si>
    <t>Housing</t>
  </si>
  <si>
    <t>1BHK</t>
  </si>
  <si>
    <t>On Carpet Area</t>
  </si>
  <si>
    <t>Mr. Patil.(8657968712), Rupin (9821807086)</t>
  </si>
  <si>
    <t>Proposed Redevelopment Of The Plot Bearing F.P. No. 107, Of T.P.S - II Mahim Division In G/N Ward L.J. Road, Mahim, Mumbai - 400016</t>
  </si>
  <si>
    <t>Latitude,Longitude</t>
  </si>
  <si>
    <t>19.0338011,72.8410221</t>
  </si>
  <si>
    <t xml:space="preserve">Validity of CC is expired on 12/10/2023. Please provide revised CC.
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</si>
  <si>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Email : vsjcapf@gmail.com. Web site : www.vsjadon.com
</t>
  </si>
  <si>
    <t>This C.C. is endorsed and further extended up to top of 32nd floor as per amended approved plans dated 13.11.2024.</t>
  </si>
  <si>
    <t>P-5545/2020)/G/North/FP/FCC/1/Amend</t>
  </si>
  <si>
    <t>Karan Misal</t>
  </si>
  <si>
    <t>Construction work is same as last visit dtd. 15/03/2024.</t>
  </si>
  <si>
    <t>We have updated CC from MCGM Site on 20/03/2025.</t>
  </si>
  <si>
    <t>Please provide revised approved plans.</t>
  </si>
  <si>
    <t>Gaurav Panchal</t>
  </si>
  <si>
    <t>work is the same as last visit (dtd.10/12/2024), but</t>
  </si>
  <si>
    <t xml:space="preserve">Construction work is in process at the time of the visit. Internal photographs was not allowed.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</si>
</sst>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hidden="1"/>
    </xf>
    <xf numFmtId="0" fontId="18" fillId="0" borderId="10" xfId="0" applyFont="1" applyFill="1" applyBorder="1" applyProtection="1">
      <protection hidden="1"/>
    </xf>
    <xf numFmtId="0" fontId="13" fillId="0" borderId="3" xfId="1" applyFont="1" applyFill="1" applyBorder="1" applyAlignment="1" applyProtection="1">
      <alignment horizontal="center" vertical="top"/>
      <protection locked="0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8" fillId="0" borderId="0" xfId="1" applyFont="1" applyFill="1"/>
    <xf numFmtId="0" fontId="16" fillId="0" borderId="0" xfId="1" applyFont="1" applyFill="1"/>
    <xf numFmtId="0" fontId="13" fillId="0" borderId="0" xfId="1" applyFont="1" applyFill="1"/>
    <xf numFmtId="1" fontId="8" fillId="0" borderId="0" xfId="1" applyNumberFormat="1" applyFont="1" applyFill="1"/>
    <xf numFmtId="0" fontId="8" fillId="0" borderId="0" xfId="1" applyNumberFormat="1" applyFont="1" applyFill="1"/>
    <xf numFmtId="14" fontId="8" fillId="0" borderId="0" xfId="1" applyNumberFormat="1" applyFont="1" applyFill="1"/>
    <xf numFmtId="0" fontId="8" fillId="0" borderId="0" xfId="1" applyFont="1" applyFill="1" applyProtection="1">
      <protection hidden="1"/>
    </xf>
    <xf numFmtId="0" fontId="24" fillId="0" borderId="0" xfId="1" applyFont="1" applyFill="1"/>
    <xf numFmtId="0" fontId="8" fillId="0" borderId="9" xfId="1" applyFont="1" applyFill="1" applyBorder="1"/>
    <xf numFmtId="0" fontId="18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7" fillId="0" borderId="0" xfId="1" applyFont="1" applyFill="1"/>
    <xf numFmtId="0" fontId="7" fillId="0" borderId="0" xfId="2" applyFont="1" applyFill="1"/>
    <xf numFmtId="0" fontId="8" fillId="0" borderId="0" xfId="0" applyFont="1" applyFill="1" applyAlignment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8" fillId="0" borderId="0" xfId="1" applyFont="1" applyFill="1" applyProtection="1">
      <protection locked="0"/>
    </xf>
    <xf numFmtId="0" fontId="11" fillId="0" borderId="0" xfId="1" applyFont="1" applyFill="1" applyProtection="1"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0" fontId="25" fillId="2" borderId="29" xfId="0" applyFont="1" applyFill="1" applyBorder="1"/>
    <xf numFmtId="0" fontId="26" fillId="0" borderId="30" xfId="0" applyFont="1" applyFill="1" applyBorder="1"/>
    <xf numFmtId="0" fontId="26" fillId="0" borderId="1" xfId="0" applyFont="1" applyFill="1" applyBorder="1"/>
    <xf numFmtId="0" fontId="26" fillId="0" borderId="4" xfId="0" applyFont="1" applyFill="1" applyBorder="1"/>
    <xf numFmtId="168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vertical="top" wrapText="1"/>
      <protection locked="0"/>
    </xf>
    <xf numFmtId="0" fontId="14" fillId="0" borderId="1" xfId="1" applyFont="1" applyFill="1" applyBorder="1" applyAlignment="1" applyProtection="1">
      <alignment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center" vertical="top" wrapText="1"/>
      <protection locked="0"/>
    </xf>
    <xf numFmtId="9" fontId="13" fillId="0" borderId="6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/>
    </xf>
    <xf numFmtId="167" fontId="8" fillId="0" borderId="0" xfId="9" applyNumberFormat="1" applyFont="1" applyFill="1" applyAlignment="1">
      <alignment horizontal="right"/>
    </xf>
    <xf numFmtId="167" fontId="16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right" vertical="center"/>
    </xf>
    <xf numFmtId="167" fontId="8" fillId="0" borderId="0" xfId="9" applyNumberFormat="1" applyFont="1" applyFill="1" applyAlignment="1">
      <alignment horizontal="right" vertical="center"/>
    </xf>
    <xf numFmtId="167" fontId="16" fillId="0" borderId="0" xfId="9" applyNumberFormat="1" applyFont="1" applyFill="1" applyAlignment="1">
      <alignment horizontal="right" vertical="center"/>
    </xf>
    <xf numFmtId="1" fontId="13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/>
    </xf>
    <xf numFmtId="1" fontId="9" fillId="0" borderId="7" xfId="0" applyNumberFormat="1" applyFont="1" applyFill="1" applyBorder="1" applyAlignment="1" applyProtection="1">
      <alignment vertical="top" wrapText="1"/>
      <protection locked="0"/>
    </xf>
    <xf numFmtId="1" fontId="9" fillId="0" borderId="20" xfId="0" applyNumberFormat="1" applyFont="1" applyFill="1" applyBorder="1" applyAlignment="1" applyProtection="1">
      <alignment vertical="top" wrapText="1"/>
      <protection locked="0"/>
    </xf>
    <xf numFmtId="1" fontId="9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4" fontId="13" fillId="0" borderId="7" xfId="1" applyNumberFormat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14" fillId="0" borderId="7" xfId="0" applyNumberFormat="1" applyFont="1" applyFill="1" applyBorder="1" applyAlignment="1" applyProtection="1">
      <alignment vertical="top" wrapText="1"/>
      <protection locked="0"/>
    </xf>
    <xf numFmtId="1" fontId="14" fillId="0" borderId="20" xfId="0" applyNumberFormat="1" applyFont="1" applyFill="1" applyBorder="1" applyAlignment="1" applyProtection="1">
      <alignment vertical="top" wrapText="1"/>
      <protection locked="0"/>
    </xf>
    <xf numFmtId="1" fontId="14" fillId="0" borderId="8" xfId="0" applyNumberFormat="1" applyFont="1" applyFill="1" applyBorder="1" applyAlignment="1" applyProtection="1">
      <alignment vertical="top" wrapText="1"/>
      <protection locked="0"/>
    </xf>
    <xf numFmtId="1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" xfId="1" applyNumberFormat="1" applyFont="1" applyFill="1" applyBorder="1" applyAlignment="1" applyProtection="1">
      <alignment horizontal="center" vertical="top" wrapText="1"/>
      <protection locked="0"/>
    </xf>
    <xf numFmtId="1" fontId="9" fillId="0" borderId="15" xfId="1" applyNumberFormat="1" applyFont="1" applyFill="1" applyBorder="1" applyAlignment="1" applyProtection="1">
      <alignment horizontal="center" vertical="top" wrapText="1"/>
      <protection locked="0"/>
    </xf>
    <xf numFmtId="1" fontId="9" fillId="0" borderId="16" xfId="1" applyNumberFormat="1" applyFont="1" applyFill="1" applyBorder="1" applyAlignment="1" applyProtection="1">
      <alignment horizontal="center" vertical="top" wrapText="1"/>
      <protection locked="0"/>
    </xf>
    <xf numFmtId="1" fontId="9" fillId="0" borderId="18" xfId="1" applyNumberFormat="1" applyFont="1" applyFill="1" applyBorder="1" applyAlignment="1" applyProtection="1">
      <alignment horizontal="center" vertical="top" wrapText="1"/>
      <protection locked="0"/>
    </xf>
    <xf numFmtId="0" fontId="14" fillId="0" borderId="7" xfId="1" applyFont="1" applyFill="1" applyBorder="1" applyAlignment="1" applyProtection="1">
      <alignment horizontal="left" vertical="top" wrapText="1"/>
      <protection locked="0"/>
    </xf>
    <xf numFmtId="0" fontId="14" fillId="0" borderId="20" xfId="1" applyFont="1" applyFill="1" applyBorder="1" applyAlignment="1" applyProtection="1">
      <alignment horizontal="left" vertical="top" wrapText="1"/>
      <protection locked="0"/>
    </xf>
    <xf numFmtId="0" fontId="14" fillId="0" borderId="8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9" fontId="13" fillId="0" borderId="16" xfId="8" applyFont="1" applyFill="1" applyBorder="1" applyAlignment="1" applyProtection="1">
      <alignment horizontal="center" vertical="center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24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9" xfId="8" applyFont="1" applyFill="1" applyBorder="1" applyAlignment="1" applyProtection="1">
      <alignment horizontal="center" vertical="center" wrapText="1"/>
      <protection locked="0"/>
    </xf>
    <xf numFmtId="9" fontId="13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6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" fontId="5" fillId="0" borderId="2" xfId="1" applyNumberFormat="1" applyFont="1" applyFill="1" applyBorder="1" applyAlignment="1" applyProtection="1">
      <alignment horizontal="center" vertical="top" wrapText="1"/>
      <protection locked="0"/>
    </xf>
    <xf numFmtId="1" fontId="5" fillId="0" borderId="15" xfId="1" applyNumberFormat="1" applyFont="1" applyFill="1" applyBorder="1" applyAlignment="1" applyProtection="1">
      <alignment horizontal="center" vertical="top" wrapText="1"/>
      <protection locked="0"/>
    </xf>
    <xf numFmtId="1" fontId="9" fillId="0" borderId="17" xfId="1" applyNumberFormat="1" applyFont="1" applyFill="1" applyBorder="1" applyAlignment="1" applyProtection="1">
      <alignment horizontal="center" vertical="top" wrapText="1"/>
      <protection locked="0"/>
    </xf>
    <xf numFmtId="1" fontId="9" fillId="0" borderId="19" xfId="1" applyNumberFormat="1" applyFont="1" applyFill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0" fontId="13" fillId="0" borderId="2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7" fillId="0" borderId="16" xfId="1" applyFont="1" applyFill="1" applyBorder="1" applyAlignment="1" applyProtection="1">
      <alignment horizontal="left" vertical="top" wrapText="1"/>
      <protection locked="0"/>
    </xf>
    <xf numFmtId="0" fontId="7" fillId="0" borderId="17" xfId="1" applyFont="1" applyFill="1" applyBorder="1" applyAlignment="1" applyProtection="1">
      <alignment horizontal="left" vertical="top" wrapText="1"/>
      <protection locked="0"/>
    </xf>
    <xf numFmtId="0" fontId="7" fillId="0" borderId="18" xfId="1" applyFont="1" applyFill="1" applyBorder="1" applyAlignment="1" applyProtection="1">
      <alignment horizontal="left" vertical="top" wrapText="1"/>
      <protection locked="0"/>
    </xf>
    <xf numFmtId="0" fontId="7" fillId="0" borderId="19" xfId="1" applyFont="1" applyFill="1" applyBorder="1" applyAlignment="1" applyProtection="1">
      <alignment horizontal="left" vertical="top" wrapText="1"/>
      <protection locked="0"/>
    </xf>
    <xf numFmtId="0" fontId="14" fillId="0" borderId="3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4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14" xfId="1" applyFont="1" applyFill="1" applyBorder="1" applyAlignment="1" applyProtection="1">
      <alignment horizontal="left" vertical="top" wrapText="1"/>
      <protection locked="0"/>
    </xf>
    <xf numFmtId="0" fontId="14" fillId="0" borderId="12" xfId="1" applyFont="1" applyFill="1" applyBorder="1" applyAlignment="1" applyProtection="1">
      <alignment horizontal="left" vertical="top" wrapText="1"/>
      <protection locked="0"/>
    </xf>
    <xf numFmtId="0" fontId="14" fillId="0" borderId="13" xfId="1" applyFont="1" applyFill="1" applyBorder="1" applyAlignment="1" applyProtection="1">
      <alignment horizontal="left" vertical="top" wrapText="1"/>
      <protection locked="0"/>
    </xf>
    <xf numFmtId="0" fontId="14" fillId="0" borderId="22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14" fontId="13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14" fontId="14" fillId="0" borderId="7" xfId="1" applyNumberFormat="1" applyFont="1" applyFill="1" applyBorder="1" applyAlignment="1" applyProtection="1">
      <alignment horizontal="left" vertical="top"/>
      <protection locked="0"/>
    </xf>
    <xf numFmtId="0" fontId="14" fillId="0" borderId="8" xfId="1" applyFont="1" applyFill="1" applyBorder="1" applyAlignment="1" applyProtection="1">
      <alignment horizontal="left" vertical="top"/>
      <protection locked="0"/>
    </xf>
    <xf numFmtId="0" fontId="9" fillId="0" borderId="16" xfId="1" applyFont="1" applyFill="1" applyBorder="1" applyAlignment="1" applyProtection="1">
      <alignment horizontal="left" vertical="top" wrapText="1"/>
      <protection locked="0"/>
    </xf>
    <xf numFmtId="0" fontId="9" fillId="0" borderId="17" xfId="1" applyFont="1" applyFill="1" applyBorder="1" applyAlignment="1" applyProtection="1">
      <alignment horizontal="left" vertical="top" wrapText="1"/>
      <protection locked="0"/>
    </xf>
    <xf numFmtId="0" fontId="9" fillId="0" borderId="18" xfId="1" applyFont="1" applyFill="1" applyBorder="1" applyAlignment="1" applyProtection="1">
      <alignment horizontal="left" vertical="top" wrapText="1"/>
      <protection locked="0"/>
    </xf>
    <xf numFmtId="0" fontId="9" fillId="0" borderId="19" xfId="1" applyFont="1" applyFill="1" applyBorder="1" applyAlignment="1" applyProtection="1">
      <alignment horizontal="left" vertical="top" wrapText="1"/>
      <protection locked="0"/>
    </xf>
    <xf numFmtId="0" fontId="9" fillId="0" borderId="7" xfId="1" applyFont="1" applyFill="1" applyBorder="1" applyAlignment="1" applyProtection="1">
      <alignment horizontal="left" vertical="top" wrapText="1"/>
      <protection locked="0"/>
    </xf>
    <xf numFmtId="0" fontId="9" fillId="0" borderId="20" xfId="1" applyFont="1" applyFill="1" applyBorder="1" applyAlignment="1" applyProtection="1">
      <alignment horizontal="left" vertical="top" wrapText="1"/>
      <protection locked="0"/>
    </xf>
    <xf numFmtId="0" fontId="9" fillId="0" borderId="8" xfId="1" applyFont="1" applyFill="1" applyBorder="1" applyAlignment="1" applyProtection="1">
      <alignment horizontal="left" vertical="top" wrapText="1"/>
      <protection locked="0"/>
    </xf>
    <xf numFmtId="165" fontId="13" fillId="0" borderId="1" xfId="1" applyNumberFormat="1" applyFont="1" applyFill="1" applyBorder="1" applyAlignment="1" applyProtection="1">
      <alignment horizontal="left" vertical="top"/>
      <protection locked="0"/>
    </xf>
    <xf numFmtId="2" fontId="13" fillId="0" borderId="1" xfId="1" applyNumberFormat="1" applyFont="1" applyFill="1" applyBorder="1" applyAlignment="1" applyProtection="1">
      <alignment horizontal="left" vertical="top"/>
      <protection locked="0"/>
    </xf>
    <xf numFmtId="2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7" xfId="1" applyFont="1" applyFill="1" applyBorder="1" applyAlignment="1" applyProtection="1">
      <alignment horizontal="left"/>
      <protection locked="0"/>
    </xf>
    <xf numFmtId="0" fontId="11" fillId="0" borderId="20" xfId="1" applyFont="1" applyFill="1" applyBorder="1" applyAlignment="1" applyProtection="1">
      <alignment horizontal="left"/>
      <protection locked="0"/>
    </xf>
    <xf numFmtId="0" fontId="11" fillId="0" borderId="8" xfId="1" applyFont="1" applyFill="1" applyBorder="1" applyAlignment="1" applyProtection="1">
      <alignment horizontal="left"/>
      <protection locked="0"/>
    </xf>
    <xf numFmtId="0" fontId="8" fillId="0" borderId="0" xfId="1" applyFont="1" applyFill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4" fillId="0" borderId="7" xfId="1" applyFont="1" applyFill="1" applyBorder="1" applyAlignment="1" applyProtection="1">
      <alignment horizontal="left" vertical="top"/>
      <protection locked="0"/>
    </xf>
    <xf numFmtId="0" fontId="14" fillId="0" borderId="20" xfId="1" applyFont="1" applyFill="1" applyBorder="1" applyAlignment="1" applyProtection="1">
      <alignment horizontal="left" vertical="top"/>
      <protection locked="0"/>
    </xf>
    <xf numFmtId="0" fontId="9" fillId="0" borderId="15" xfId="1" applyFont="1" applyFill="1" applyBorder="1" applyAlignment="1" applyProtection="1">
      <alignment horizontal="left" vertical="top"/>
      <protection locked="0"/>
    </xf>
    <xf numFmtId="1" fontId="14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372719</xdr:colOff>
      <xdr:row>395</xdr:row>
      <xdr:rowOff>131688</xdr:rowOff>
    </xdr:from>
    <xdr:to>
      <xdr:col>7</xdr:col>
      <xdr:colOff>415668</xdr:colOff>
      <xdr:row>411</xdr:row>
      <xdr:rowOff>11166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2719" y="79894038"/>
          <a:ext cx="5738899" cy="30798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372719</xdr:colOff>
      <xdr:row>379</xdr:row>
      <xdr:rowOff>16562</xdr:rowOff>
    </xdr:from>
    <xdr:to>
      <xdr:col>7</xdr:col>
      <xdr:colOff>415669</xdr:colOff>
      <xdr:row>394</xdr:row>
      <xdr:rowOff>94822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2719" y="76578512"/>
          <a:ext cx="5738900" cy="30786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375179</xdr:colOff>
      <xdr:row>359</xdr:row>
      <xdr:rowOff>92356</xdr:rowOff>
    </xdr:from>
    <xdr:to>
      <xdr:col>15</xdr:col>
      <xdr:colOff>691586</xdr:colOff>
      <xdr:row>372</xdr:row>
      <xdr:rowOff>53307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57529" y="71653681"/>
          <a:ext cx="1811832" cy="256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198329</xdr:colOff>
      <xdr:row>338</xdr:row>
      <xdr:rowOff>152400</xdr:rowOff>
    </xdr:from>
    <xdr:to>
      <xdr:col>15</xdr:col>
      <xdr:colOff>764936</xdr:colOff>
      <xdr:row>358</xdr:row>
      <xdr:rowOff>181749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0104" y="67522725"/>
          <a:ext cx="2852607" cy="402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713505</xdr:colOff>
      <xdr:row>359</xdr:row>
      <xdr:rowOff>92356</xdr:rowOff>
    </xdr:from>
    <xdr:to>
      <xdr:col>10</xdr:col>
      <xdr:colOff>560012</xdr:colOff>
      <xdr:row>372</xdr:row>
      <xdr:rowOff>53307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3905" y="71653681"/>
          <a:ext cx="1770557" cy="256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650875</xdr:colOff>
      <xdr:row>338</xdr:row>
      <xdr:rowOff>152400</xdr:rowOff>
    </xdr:from>
    <xdr:to>
      <xdr:col>12</xdr:col>
      <xdr:colOff>71307</xdr:colOff>
      <xdr:row>358</xdr:row>
      <xdr:rowOff>181749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1275" y="67522725"/>
          <a:ext cx="2801807" cy="40203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690392</xdr:colOff>
      <xdr:row>359</xdr:row>
      <xdr:rowOff>92356</xdr:rowOff>
    </xdr:from>
    <xdr:to>
      <xdr:col>13</xdr:col>
      <xdr:colOff>244799</xdr:colOff>
      <xdr:row>372</xdr:row>
      <xdr:rowOff>53307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4842" y="71653681"/>
          <a:ext cx="1802307" cy="25612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638175</xdr:colOff>
      <xdr:row>338</xdr:row>
      <xdr:rowOff>104772</xdr:rowOff>
    </xdr:from>
    <xdr:to>
      <xdr:col>15</xdr:col>
      <xdr:colOff>466287</xdr:colOff>
      <xdr:row>377</xdr:row>
      <xdr:rowOff>143182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48575" y="67675122"/>
          <a:ext cx="5495487" cy="7829860"/>
          <a:chOff x="733425" y="67408424"/>
          <a:chExt cx="5495487" cy="7829760"/>
        </a:xfrm>
      </xdr:grpSpPr>
      <xdr:pic>
        <xdr:nvPicPr>
          <xdr:cNvPr id="14" name="Picture 13" descr="https://vsjcllp.vsjadon.com/upload/insp-220693-1525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29026" y="73509183"/>
            <a:ext cx="1295400" cy="1729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20693-847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67225" y="71104125"/>
            <a:ext cx="1746767" cy="233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20693-849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28900" y="71104125"/>
            <a:ext cx="1746767" cy="233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20693-851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4250" y="67408424"/>
            <a:ext cx="2704662" cy="36099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20693-861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33425" y="67408424"/>
            <a:ext cx="2704662" cy="36099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20693-925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9625" y="71104125"/>
            <a:ext cx="1746767" cy="23314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20693-1512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7426" y="73509183"/>
            <a:ext cx="1295400" cy="1729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323022</xdr:colOff>
      <xdr:row>48</xdr:row>
      <xdr:rowOff>153126</xdr:rowOff>
    </xdr:from>
    <xdr:to>
      <xdr:col>14</xdr:col>
      <xdr:colOff>627141</xdr:colOff>
      <xdr:row>54</xdr:row>
      <xdr:rowOff>137725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30109" y="10531235"/>
          <a:ext cx="5306815" cy="14009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63</xdr:row>
      <xdr:rowOff>219075</xdr:rowOff>
    </xdr:from>
    <xdr:to>
      <xdr:col>13</xdr:col>
      <xdr:colOff>500475</xdr:colOff>
      <xdr:row>75</xdr:row>
      <xdr:rowOff>161116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1C61F7-44C6-43A4-8CD7-763D1E50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13668375"/>
          <a:ext cx="4320000" cy="2561416"/>
        </a:xfrm>
        <a:prstGeom prst="rect">
          <a:avLst/>
        </a:prstGeom>
      </xdr:spPr>
    </xdr:pic>
    <xdr:clientData/>
  </xdr:twoCellAnchor>
  <xdr:twoCellAnchor>
    <xdr:from>
      <xdr:col>8</xdr:col>
      <xdr:colOff>542926</xdr:colOff>
      <xdr:row>338</xdr:row>
      <xdr:rowOff>28575</xdr:rowOff>
    </xdr:from>
    <xdr:to>
      <xdr:col>16</xdr:col>
      <xdr:colOff>352425</xdr:colOff>
      <xdr:row>372</xdr:row>
      <xdr:rowOff>85725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B0D2C204-4FC1-4414-828E-18C19E37F087}"/>
            </a:ext>
          </a:extLst>
        </xdr:cNvPr>
        <xdr:cNvGrpSpPr/>
      </xdr:nvGrpSpPr>
      <xdr:grpSpPr>
        <a:xfrm>
          <a:off x="7553326" y="67598925"/>
          <a:ext cx="6257924" cy="6848475"/>
          <a:chOff x="765573" y="491531"/>
          <a:chExt cx="5172582" cy="5592769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F96B9F91-0565-45E5-BF9A-DA18CCCD71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1773" y="49153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381CCE4-2F9A-4C25-9D75-DE7929568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9153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52687F1-FC5F-4B80-9F79-8914E88A66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5573" y="39243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556742F-79D0-4EE8-93FC-31958B162E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2708" y="39243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89D46F6-60E8-4ADC-AC9D-0CF71D53C8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9843" y="3924300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66675</xdr:colOff>
      <xdr:row>338</xdr:row>
      <xdr:rowOff>85725</xdr:rowOff>
    </xdr:from>
    <xdr:to>
      <xdr:col>7</xdr:col>
      <xdr:colOff>1235495</xdr:colOff>
      <xdr:row>368</xdr:row>
      <xdr:rowOff>84336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F0F9110-601D-43FA-9493-395F13462C78}"/>
            </a:ext>
          </a:extLst>
        </xdr:cNvPr>
        <xdr:cNvGrpSpPr/>
      </xdr:nvGrpSpPr>
      <xdr:grpSpPr>
        <a:xfrm>
          <a:off x="66675" y="67656075"/>
          <a:ext cx="6864770" cy="5989836"/>
          <a:chOff x="82710" y="383576"/>
          <a:chExt cx="6864770" cy="5989836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F7DADA03-9CF6-4675-B035-C9969335C6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0348" y="383576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7A6CBA44-64E2-4E3D-9D94-0651A14F9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0863" y="383576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FB80A7DA-FAA1-4D99-A4D6-1ABFA4999F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710" y="42134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D85592D-07B6-4D26-88A1-2EA9D95A48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0348" y="42134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1A9A7BB-B6DC-48B9-80F4-FE989293E5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29167" y="42134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E4361884-18AA-4126-B744-47AEBDA7E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22004" y="421341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302099</xdr:colOff>
      <xdr:row>7</xdr:row>
      <xdr:rowOff>146241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4588349" cy="717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AbTkqpUHPKNg5ntB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79"/>
  <sheetViews>
    <sheetView tabSelected="1" view="pageBreakPreview" zoomScaleNormal="100" zoomScaleSheetLayoutView="100" workbookViewId="0">
      <selection activeCell="J8" sqref="J8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9.7109375" style="39" customWidth="1"/>
    <col min="9" max="9" width="17.42578125" style="20" customWidth="1"/>
    <col min="10" max="10" width="11.42578125" style="20" customWidth="1"/>
    <col min="11" max="11" width="11.285156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9" ht="46.5" customHeight="1" x14ac:dyDescent="0.25">
      <c r="A1" s="170" t="s">
        <v>242</v>
      </c>
      <c r="B1" s="170"/>
      <c r="C1" s="170"/>
      <c r="D1" s="170"/>
      <c r="E1" s="170"/>
      <c r="F1" s="170"/>
      <c r="G1" s="170"/>
      <c r="H1" s="170"/>
    </row>
    <row r="2" spans="1:9" ht="16.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</row>
    <row r="3" spans="1:9" x14ac:dyDescent="0.25">
      <c r="A3" s="100" t="s">
        <v>1</v>
      </c>
      <c r="B3" s="100"/>
      <c r="C3" s="100"/>
      <c r="D3" s="100"/>
      <c r="E3" s="169" t="str">
        <f ca="1">TEXT(TODAY(),"DD/MM/YYYY")</f>
        <v>13/09/2025</v>
      </c>
      <c r="F3" s="100"/>
      <c r="G3" s="100"/>
      <c r="H3" s="100"/>
    </row>
    <row r="4" spans="1:9" ht="15" customHeight="1" x14ac:dyDescent="0.25">
      <c r="A4" s="100" t="s">
        <v>2</v>
      </c>
      <c r="B4" s="100"/>
      <c r="C4" s="100"/>
      <c r="D4" s="100"/>
      <c r="E4" s="100" t="s">
        <v>174</v>
      </c>
      <c r="F4" s="100"/>
      <c r="G4" s="100"/>
      <c r="H4" s="100"/>
    </row>
    <row r="5" spans="1:9" x14ac:dyDescent="0.25">
      <c r="A5" s="100" t="s">
        <v>3</v>
      </c>
      <c r="B5" s="100"/>
      <c r="C5" s="100"/>
      <c r="D5" s="100"/>
      <c r="E5" s="169">
        <v>45907</v>
      </c>
      <c r="F5" s="100"/>
      <c r="G5" s="100"/>
      <c r="H5" s="100"/>
    </row>
    <row r="6" spans="1:9" ht="16.5" customHeight="1" x14ac:dyDescent="0.25">
      <c r="A6" s="100" t="s">
        <v>4</v>
      </c>
      <c r="B6" s="100"/>
      <c r="C6" s="100"/>
      <c r="D6" s="100"/>
      <c r="E6" s="100" t="s">
        <v>175</v>
      </c>
      <c r="F6" s="100"/>
      <c r="G6" s="100"/>
      <c r="H6" s="100"/>
    </row>
    <row r="7" spans="1:9" ht="15" customHeight="1" x14ac:dyDescent="0.25">
      <c r="A7" s="100" t="s">
        <v>5</v>
      </c>
      <c r="B7" s="100"/>
      <c r="C7" s="100"/>
      <c r="D7" s="100"/>
      <c r="E7" s="100" t="str">
        <f>E6</f>
        <v>M/s. Suraj Estate Developers Pvt Ltd</v>
      </c>
      <c r="F7" s="100"/>
      <c r="G7" s="100"/>
      <c r="H7" s="100"/>
    </row>
    <row r="8" spans="1:9" x14ac:dyDescent="0.25">
      <c r="A8" s="100" t="s">
        <v>6</v>
      </c>
      <c r="B8" s="100"/>
      <c r="C8" s="100"/>
      <c r="D8" s="100"/>
      <c r="E8" s="160" t="s">
        <v>176</v>
      </c>
      <c r="F8" s="160"/>
      <c r="G8" s="160"/>
      <c r="H8" s="160"/>
    </row>
    <row r="9" spans="1:9" x14ac:dyDescent="0.25">
      <c r="A9" s="100" t="s">
        <v>124</v>
      </c>
      <c r="B9" s="100"/>
      <c r="C9" s="100"/>
      <c r="D9" s="100"/>
      <c r="E9" s="100" t="s">
        <v>237</v>
      </c>
      <c r="F9" s="100"/>
      <c r="G9" s="100"/>
      <c r="H9" s="100"/>
    </row>
    <row r="10" spans="1:9" x14ac:dyDescent="0.25">
      <c r="A10" s="100" t="s">
        <v>7</v>
      </c>
      <c r="B10" s="100"/>
      <c r="C10" s="100"/>
      <c r="D10" s="100"/>
      <c r="E10" s="100" t="s">
        <v>125</v>
      </c>
      <c r="F10" s="100"/>
      <c r="G10" s="100"/>
      <c r="H10" s="100"/>
    </row>
    <row r="11" spans="1:9" x14ac:dyDescent="0.25">
      <c r="A11" s="94" t="s">
        <v>8</v>
      </c>
      <c r="B11" s="94"/>
      <c r="C11" s="94"/>
      <c r="D11" s="94"/>
      <c r="E11" s="99" t="s">
        <v>177</v>
      </c>
      <c r="F11" s="99"/>
      <c r="G11" s="99"/>
      <c r="H11" s="99"/>
    </row>
    <row r="12" spans="1:9" x14ac:dyDescent="0.25">
      <c r="A12" s="94" t="s">
        <v>9</v>
      </c>
      <c r="B12" s="94"/>
      <c r="C12" s="94"/>
      <c r="D12" s="94"/>
      <c r="E12" s="99" t="s">
        <v>178</v>
      </c>
      <c r="F12" s="100"/>
      <c r="G12" s="100"/>
      <c r="H12" s="100"/>
    </row>
    <row r="13" spans="1:9" ht="31.5" customHeight="1" x14ac:dyDescent="0.25">
      <c r="A13" s="99" t="s">
        <v>10</v>
      </c>
      <c r="B13" s="99"/>
      <c r="C13" s="99" t="s">
        <v>238</v>
      </c>
      <c r="D13" s="99"/>
      <c r="E13" s="99"/>
      <c r="F13" s="99"/>
      <c r="G13" s="99"/>
      <c r="H13" s="99"/>
    </row>
    <row r="14" spans="1:9" x14ac:dyDescent="0.25">
      <c r="A14" s="99" t="s">
        <v>180</v>
      </c>
      <c r="B14" s="99"/>
      <c r="C14" s="99" t="s">
        <v>181</v>
      </c>
      <c r="D14" s="99"/>
      <c r="E14" s="99"/>
      <c r="F14" s="99"/>
      <c r="G14" s="99"/>
      <c r="H14" s="99"/>
    </row>
    <row r="15" spans="1:9" ht="15.75" hidden="1" customHeight="1" x14ac:dyDescent="0.25">
      <c r="A15" s="95" t="s">
        <v>170</v>
      </c>
      <c r="B15" s="93"/>
      <c r="C15" s="95" t="s">
        <v>30</v>
      </c>
      <c r="D15" s="96"/>
      <c r="E15" s="96"/>
      <c r="F15" s="96"/>
      <c r="G15" s="96"/>
      <c r="H15" s="93"/>
      <c r="I15" s="20" t="s">
        <v>179</v>
      </c>
    </row>
    <row r="16" spans="1:9" ht="15.75" customHeight="1" x14ac:dyDescent="0.25">
      <c r="A16" s="99" t="s">
        <v>11</v>
      </c>
      <c r="B16" s="99"/>
      <c r="C16" s="100" t="s">
        <v>187</v>
      </c>
      <c r="D16" s="100"/>
      <c r="E16" s="99" t="s">
        <v>171</v>
      </c>
      <c r="F16" s="99"/>
      <c r="G16" s="99" t="s">
        <v>182</v>
      </c>
      <c r="H16" s="99"/>
    </row>
    <row r="17" spans="1:8" x14ac:dyDescent="0.25">
      <c r="A17" s="100" t="s">
        <v>13</v>
      </c>
      <c r="B17" s="100"/>
      <c r="C17" s="99" t="s">
        <v>188</v>
      </c>
      <c r="D17" s="99"/>
      <c r="E17" s="99" t="s">
        <v>12</v>
      </c>
      <c r="F17" s="99"/>
      <c r="G17" s="171" t="s">
        <v>186</v>
      </c>
      <c r="H17" s="171"/>
    </row>
    <row r="18" spans="1:8" x14ac:dyDescent="0.25">
      <c r="A18" s="100" t="s">
        <v>74</v>
      </c>
      <c r="B18" s="100"/>
      <c r="C18" s="99" t="s">
        <v>186</v>
      </c>
      <c r="D18" s="99"/>
      <c r="E18" s="99" t="s">
        <v>14</v>
      </c>
      <c r="F18" s="99"/>
      <c r="G18" s="99">
        <v>400016</v>
      </c>
      <c r="H18" s="99"/>
    </row>
    <row r="19" spans="1:8" ht="32.25" customHeight="1" x14ac:dyDescent="0.25">
      <c r="A19" s="100" t="s">
        <v>127</v>
      </c>
      <c r="B19" s="100"/>
      <c r="C19" s="99" t="s">
        <v>185</v>
      </c>
      <c r="D19" s="99"/>
      <c r="E19" s="99" t="s">
        <v>15</v>
      </c>
      <c r="F19" s="99"/>
      <c r="G19" s="99" t="s">
        <v>189</v>
      </c>
      <c r="H19" s="99"/>
    </row>
    <row r="20" spans="1:8" ht="15" customHeight="1" x14ac:dyDescent="0.25">
      <c r="A20" s="114" t="s">
        <v>77</v>
      </c>
      <c r="B20" s="114"/>
      <c r="C20" s="114"/>
      <c r="D20" s="114"/>
      <c r="E20" s="100" t="s">
        <v>16</v>
      </c>
      <c r="F20" s="100"/>
      <c r="G20" s="100"/>
      <c r="H20" s="100"/>
    </row>
    <row r="21" spans="1:8" ht="18.75" customHeight="1" x14ac:dyDescent="0.25">
      <c r="A21" s="114"/>
      <c r="B21" s="114"/>
      <c r="C21" s="114"/>
      <c r="D21" s="114"/>
      <c r="E21" s="100"/>
      <c r="F21" s="100"/>
      <c r="G21" s="100"/>
      <c r="H21" s="100"/>
    </row>
    <row r="22" spans="1:8" ht="15" customHeight="1" x14ac:dyDescent="0.25">
      <c r="A22" s="114" t="s">
        <v>17</v>
      </c>
      <c r="B22" s="114"/>
      <c r="C22" s="114"/>
      <c r="D22" s="114"/>
      <c r="E22" s="99" t="s">
        <v>18</v>
      </c>
      <c r="F22" s="99"/>
      <c r="G22" s="99"/>
      <c r="H22" s="99"/>
    </row>
    <row r="23" spans="1:8" ht="15" customHeight="1" x14ac:dyDescent="0.25">
      <c r="A23" s="94" t="s">
        <v>19</v>
      </c>
      <c r="B23" s="94"/>
      <c r="C23" s="94"/>
      <c r="D23" s="94"/>
      <c r="E23" s="99" t="str">
        <f>IF(AND(G17="Mumbai"),"Upper Class","Middle Class")</f>
        <v>Upper Class</v>
      </c>
      <c r="F23" s="99"/>
      <c r="G23" s="99"/>
      <c r="H23" s="99"/>
    </row>
    <row r="24" spans="1:8" x14ac:dyDescent="0.25">
      <c r="A24" s="94" t="s">
        <v>20</v>
      </c>
      <c r="B24" s="94"/>
      <c r="C24" s="94"/>
      <c r="D24" s="94"/>
      <c r="E24" s="99" t="s">
        <v>21</v>
      </c>
      <c r="F24" s="99"/>
      <c r="G24" s="99"/>
      <c r="H24" s="99"/>
    </row>
    <row r="25" spans="1:8" ht="15.75" customHeight="1" x14ac:dyDescent="0.25">
      <c r="A25" s="94" t="s">
        <v>22</v>
      </c>
      <c r="B25" s="94"/>
      <c r="C25" s="94"/>
      <c r="D25" s="94"/>
      <c r="E25" s="99" t="str">
        <f>IF(AND(G17="Mumbai"),"Developed","Developing")</f>
        <v>Developed</v>
      </c>
      <c r="F25" s="99"/>
      <c r="G25" s="99"/>
      <c r="H25" s="99"/>
    </row>
    <row r="26" spans="1:8" x14ac:dyDescent="0.25">
      <c r="A26" s="94" t="s">
        <v>23</v>
      </c>
      <c r="B26" s="94"/>
      <c r="C26" s="94"/>
      <c r="D26" s="94"/>
      <c r="E26" s="99" t="s">
        <v>24</v>
      </c>
      <c r="F26" s="99"/>
      <c r="G26" s="99"/>
      <c r="H26" s="99"/>
    </row>
    <row r="27" spans="1:8" ht="15.75" customHeight="1" x14ac:dyDescent="0.25">
      <c r="A27" s="94" t="s">
        <v>82</v>
      </c>
      <c r="B27" s="94"/>
      <c r="C27" s="94"/>
      <c r="D27" s="94"/>
      <c r="E27" s="99" t="s">
        <v>83</v>
      </c>
      <c r="F27" s="99"/>
      <c r="G27" s="99"/>
      <c r="H27" s="99"/>
    </row>
    <row r="28" spans="1:8" ht="15" customHeight="1" x14ac:dyDescent="0.25">
      <c r="A28" s="94" t="s">
        <v>33</v>
      </c>
      <c r="B28" s="94"/>
      <c r="C28" s="94"/>
      <c r="D28" s="94"/>
      <c r="E28" s="9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99"/>
      <c r="G28" s="99"/>
      <c r="H28" s="99"/>
    </row>
    <row r="29" spans="1:8" ht="15.75" customHeight="1" x14ac:dyDescent="0.25">
      <c r="A29" s="94" t="s">
        <v>94</v>
      </c>
      <c r="B29" s="94"/>
      <c r="C29" s="94"/>
      <c r="D29" s="94"/>
      <c r="E29" s="99" t="s">
        <v>34</v>
      </c>
      <c r="F29" s="99"/>
      <c r="G29" s="99"/>
      <c r="H29" s="99"/>
    </row>
    <row r="30" spans="1:8" s="21" customFormat="1" x14ac:dyDescent="0.25">
      <c r="A30" s="175" t="s">
        <v>95</v>
      </c>
      <c r="B30" s="175"/>
      <c r="C30" s="174" t="s">
        <v>29</v>
      </c>
      <c r="D30" s="174"/>
      <c r="E30" s="174"/>
      <c r="F30" s="174" t="s">
        <v>31</v>
      </c>
      <c r="G30" s="174"/>
      <c r="H30" s="174"/>
    </row>
    <row r="31" spans="1:8" s="21" customFormat="1" x14ac:dyDescent="0.25">
      <c r="A31" s="172" t="s">
        <v>25</v>
      </c>
      <c r="B31" s="172" t="s">
        <v>30</v>
      </c>
      <c r="C31" s="173" t="s">
        <v>30</v>
      </c>
      <c r="D31" s="173"/>
      <c r="E31" s="173"/>
      <c r="F31" s="173" t="s">
        <v>187</v>
      </c>
      <c r="G31" s="173"/>
      <c r="H31" s="173"/>
    </row>
    <row r="32" spans="1:8" x14ac:dyDescent="0.25">
      <c r="A32" s="172" t="s">
        <v>26</v>
      </c>
      <c r="B32" s="172" t="s">
        <v>30</v>
      </c>
      <c r="C32" s="173" t="s">
        <v>30</v>
      </c>
      <c r="D32" s="173"/>
      <c r="E32" s="173"/>
      <c r="F32" s="173" t="s">
        <v>185</v>
      </c>
      <c r="G32" s="173"/>
      <c r="H32" s="173"/>
    </row>
    <row r="33" spans="1:8" s="21" customFormat="1" x14ac:dyDescent="0.25">
      <c r="A33" s="172" t="s">
        <v>28</v>
      </c>
      <c r="B33" s="172" t="s">
        <v>30</v>
      </c>
      <c r="C33" s="173" t="s">
        <v>30</v>
      </c>
      <c r="D33" s="173"/>
      <c r="E33" s="173"/>
      <c r="F33" s="173" t="s">
        <v>184</v>
      </c>
      <c r="G33" s="173"/>
      <c r="H33" s="173"/>
    </row>
    <row r="34" spans="1:8" x14ac:dyDescent="0.25">
      <c r="A34" s="172" t="s">
        <v>27</v>
      </c>
      <c r="B34" s="172" t="s">
        <v>30</v>
      </c>
      <c r="C34" s="173" t="s">
        <v>30</v>
      </c>
      <c r="D34" s="173"/>
      <c r="E34" s="173"/>
      <c r="F34" s="173" t="s">
        <v>11</v>
      </c>
      <c r="G34" s="173"/>
      <c r="H34" s="173"/>
    </row>
    <row r="35" spans="1:8" x14ac:dyDescent="0.25">
      <c r="A35" s="94" t="s">
        <v>32</v>
      </c>
      <c r="B35" s="94"/>
      <c r="C35" s="94"/>
      <c r="D35" s="94"/>
      <c r="E35" s="94"/>
      <c r="F35" s="94"/>
      <c r="G35" s="94"/>
      <c r="H35" s="94"/>
    </row>
    <row r="36" spans="1:8" ht="15.75" customHeight="1" x14ac:dyDescent="0.25">
      <c r="A36" s="94" t="s">
        <v>239</v>
      </c>
      <c r="B36" s="94"/>
      <c r="C36" s="190" t="s">
        <v>240</v>
      </c>
      <c r="D36" s="191"/>
      <c r="E36" s="191"/>
      <c r="F36" s="191"/>
      <c r="G36" s="191"/>
      <c r="H36" s="192"/>
    </row>
    <row r="37" spans="1:8" x14ac:dyDescent="0.25">
      <c r="A37" s="94" t="s">
        <v>169</v>
      </c>
      <c r="B37" s="94"/>
      <c r="C37" s="201" t="s">
        <v>183</v>
      </c>
      <c r="D37" s="99"/>
      <c r="E37" s="99"/>
      <c r="F37" s="99"/>
      <c r="G37" s="99"/>
      <c r="H37" s="99"/>
    </row>
    <row r="38" spans="1:8" x14ac:dyDescent="0.25">
      <c r="A38" s="147" t="s">
        <v>35</v>
      </c>
      <c r="B38" s="147"/>
      <c r="C38" s="147"/>
      <c r="D38" s="147"/>
      <c r="E38" s="147"/>
      <c r="F38" s="147"/>
      <c r="G38" s="147"/>
      <c r="H38" s="147"/>
    </row>
    <row r="39" spans="1:8" x14ac:dyDescent="0.25">
      <c r="A39" s="100" t="s">
        <v>36</v>
      </c>
      <c r="B39" s="100"/>
      <c r="C39" s="100"/>
      <c r="D39" s="100"/>
      <c r="E39" s="189">
        <v>2750.85</v>
      </c>
      <c r="F39" s="189"/>
      <c r="G39" s="189"/>
      <c r="H39" s="189"/>
    </row>
    <row r="40" spans="1:8" x14ac:dyDescent="0.25">
      <c r="A40" s="100" t="s">
        <v>37</v>
      </c>
      <c r="B40" s="100"/>
      <c r="C40" s="100"/>
      <c r="D40" s="100"/>
      <c r="E40" s="187">
        <v>4</v>
      </c>
      <c r="F40" s="187"/>
      <c r="G40" s="187"/>
      <c r="H40" s="187"/>
    </row>
    <row r="41" spans="1:8" x14ac:dyDescent="0.25">
      <c r="A41" s="100" t="s">
        <v>38</v>
      </c>
      <c r="B41" s="100"/>
      <c r="C41" s="100"/>
      <c r="D41" s="100"/>
      <c r="E41" s="187">
        <f>E43/E39-E40</f>
        <v>0</v>
      </c>
      <c r="F41" s="187"/>
      <c r="G41" s="187"/>
      <c r="H41" s="187"/>
    </row>
    <row r="42" spans="1:8" x14ac:dyDescent="0.25">
      <c r="A42" s="100" t="s">
        <v>39</v>
      </c>
      <c r="B42" s="100"/>
      <c r="C42" s="100"/>
      <c r="D42" s="100"/>
      <c r="E42" s="187">
        <f>E40+E41</f>
        <v>4</v>
      </c>
      <c r="F42" s="187"/>
      <c r="G42" s="187"/>
      <c r="H42" s="187"/>
    </row>
    <row r="43" spans="1:8" x14ac:dyDescent="0.25">
      <c r="A43" s="100" t="s">
        <v>93</v>
      </c>
      <c r="B43" s="100"/>
      <c r="C43" s="100"/>
      <c r="D43" s="100"/>
      <c r="E43" s="188">
        <v>11003.4</v>
      </c>
      <c r="F43" s="188"/>
      <c r="G43" s="188"/>
      <c r="H43" s="188"/>
    </row>
    <row r="44" spans="1:8" x14ac:dyDescent="0.25">
      <c r="A44" s="100" t="s">
        <v>40</v>
      </c>
      <c r="B44" s="100"/>
      <c r="C44" s="100"/>
      <c r="D44" s="100"/>
      <c r="E44" s="100" t="s">
        <v>125</v>
      </c>
      <c r="F44" s="100"/>
      <c r="G44" s="100"/>
      <c r="H44" s="100"/>
    </row>
    <row r="45" spans="1:8" x14ac:dyDescent="0.25">
      <c r="A45" s="147" t="s">
        <v>41</v>
      </c>
      <c r="B45" s="147"/>
      <c r="C45" s="147"/>
      <c r="D45" s="147"/>
      <c r="E45" s="147"/>
      <c r="F45" s="147"/>
      <c r="G45" s="147"/>
      <c r="H45" s="147"/>
    </row>
    <row r="46" spans="1:8" ht="33.75" customHeight="1" x14ac:dyDescent="0.25">
      <c r="A46" s="176" t="s">
        <v>157</v>
      </c>
      <c r="B46" s="177"/>
      <c r="C46" s="202" t="s">
        <v>190</v>
      </c>
      <c r="D46" s="203"/>
      <c r="E46" s="203"/>
      <c r="F46" s="203"/>
      <c r="G46" s="203"/>
      <c r="H46" s="179"/>
    </row>
    <row r="47" spans="1:8" ht="15.75" customHeight="1" x14ac:dyDescent="0.25">
      <c r="A47" s="176" t="s">
        <v>42</v>
      </c>
      <c r="B47" s="177"/>
      <c r="C47" s="95" t="s">
        <v>191</v>
      </c>
      <c r="D47" s="96"/>
      <c r="E47" s="93"/>
      <c r="F47" s="56" t="s">
        <v>43</v>
      </c>
      <c r="G47" s="92">
        <v>44427</v>
      </c>
      <c r="H47" s="93"/>
    </row>
    <row r="48" spans="1:8" x14ac:dyDescent="0.25">
      <c r="A48" s="176" t="s">
        <v>44</v>
      </c>
      <c r="B48" s="177"/>
      <c r="C48" s="95" t="str">
        <f>C47</f>
        <v>P-5545/2020/G/North/FP/337/1/Amend</v>
      </c>
      <c r="D48" s="96"/>
      <c r="E48" s="93"/>
      <c r="F48" s="56" t="s">
        <v>43</v>
      </c>
      <c r="G48" s="92">
        <f>G47</f>
        <v>44427</v>
      </c>
      <c r="H48" s="93"/>
    </row>
    <row r="49" spans="1:14" s="22" customFormat="1" ht="15.75" customHeight="1" x14ac:dyDescent="0.25">
      <c r="A49" s="155" t="s">
        <v>161</v>
      </c>
      <c r="B49" s="156"/>
      <c r="C49" s="95" t="s">
        <v>244</v>
      </c>
      <c r="D49" s="96"/>
      <c r="E49" s="93"/>
      <c r="F49" s="56" t="s">
        <v>43</v>
      </c>
      <c r="G49" s="92">
        <v>45670</v>
      </c>
      <c r="H49" s="93"/>
    </row>
    <row r="50" spans="1:14" s="22" customFormat="1" ht="48.75" customHeight="1" x14ac:dyDescent="0.25">
      <c r="A50" s="157"/>
      <c r="B50" s="158"/>
      <c r="C50" s="95" t="s">
        <v>243</v>
      </c>
      <c r="D50" s="96"/>
      <c r="E50" s="93"/>
      <c r="F50" s="56" t="s">
        <v>126</v>
      </c>
      <c r="G50" s="92">
        <v>45942</v>
      </c>
      <c r="H50" s="93"/>
    </row>
    <row r="51" spans="1:14" x14ac:dyDescent="0.25">
      <c r="A51" s="180" t="s">
        <v>172</v>
      </c>
      <c r="B51" s="181"/>
      <c r="C51" s="111" t="s">
        <v>30</v>
      </c>
      <c r="D51" s="112"/>
      <c r="E51" s="113"/>
      <c r="F51" s="57" t="s">
        <v>43</v>
      </c>
      <c r="G51" s="178" t="s">
        <v>30</v>
      </c>
      <c r="H51" s="179"/>
    </row>
    <row r="52" spans="1:14" hidden="1" x14ac:dyDescent="0.25">
      <c r="A52" s="182"/>
      <c r="B52" s="183"/>
      <c r="C52" s="184" t="s">
        <v>173</v>
      </c>
      <c r="D52" s="185"/>
      <c r="E52" s="185"/>
      <c r="F52" s="185"/>
      <c r="G52" s="185"/>
      <c r="H52" s="186"/>
    </row>
    <row r="53" spans="1:14" x14ac:dyDescent="0.25">
      <c r="A53" s="152" t="s">
        <v>46</v>
      </c>
      <c r="B53" s="152"/>
      <c r="C53" s="152"/>
      <c r="D53" s="152"/>
      <c r="E53" s="152"/>
      <c r="F53" s="152"/>
      <c r="G53" s="152"/>
      <c r="H53" s="152"/>
    </row>
    <row r="54" spans="1:14" x14ac:dyDescent="0.25">
      <c r="A54" s="114" t="s">
        <v>92</v>
      </c>
      <c r="B54" s="114"/>
      <c r="C54" s="114"/>
      <c r="D54" s="94">
        <f>E43</f>
        <v>11003.4</v>
      </c>
      <c r="E54" s="94"/>
      <c r="F54" s="94"/>
      <c r="G54" s="94"/>
      <c r="H54" s="94"/>
    </row>
    <row r="55" spans="1:14" x14ac:dyDescent="0.25">
      <c r="A55" s="99" t="s">
        <v>47</v>
      </c>
      <c r="B55" s="100"/>
      <c r="C55" s="100"/>
      <c r="D55" s="100" t="s">
        <v>231</v>
      </c>
      <c r="E55" s="100"/>
      <c r="F55" s="100"/>
      <c r="G55" s="100"/>
      <c r="H55" s="100"/>
      <c r="I55" s="23"/>
    </row>
    <row r="56" spans="1:14" x14ac:dyDescent="0.25">
      <c r="A56" s="97" t="s">
        <v>48</v>
      </c>
      <c r="B56" s="98"/>
      <c r="C56" s="154"/>
      <c r="D56" s="116" t="s">
        <v>192</v>
      </c>
      <c r="E56" s="153"/>
      <c r="F56" s="153"/>
      <c r="G56" s="153"/>
      <c r="H56" s="153"/>
      <c r="I56" s="24"/>
    </row>
    <row r="57" spans="1:14" ht="15.75" customHeight="1" x14ac:dyDescent="0.25">
      <c r="A57" s="97" t="s">
        <v>90</v>
      </c>
      <c r="B57" s="98"/>
      <c r="C57" s="98"/>
      <c r="D57" s="99" t="s">
        <v>193</v>
      </c>
      <c r="E57" s="100"/>
      <c r="F57" s="100"/>
      <c r="G57" s="100"/>
      <c r="H57" s="100"/>
      <c r="I57" s="24"/>
    </row>
    <row r="58" spans="1:14" ht="15.75" customHeight="1" x14ac:dyDescent="0.25">
      <c r="A58" s="94" t="s">
        <v>45</v>
      </c>
      <c r="B58" s="94"/>
      <c r="C58" s="94"/>
      <c r="D58" s="120" t="s">
        <v>194</v>
      </c>
      <c r="E58" s="120"/>
      <c r="F58" s="120"/>
      <c r="G58" s="120"/>
      <c r="H58" s="120"/>
      <c r="J58" s="25"/>
      <c r="K58" s="23"/>
      <c r="N58" s="23"/>
    </row>
    <row r="59" spans="1:14" ht="15.75" customHeight="1" x14ac:dyDescent="0.25">
      <c r="A59" s="94" t="s">
        <v>88</v>
      </c>
      <c r="B59" s="94"/>
      <c r="C59" s="94"/>
      <c r="D59" s="132" t="str">
        <f>(IF(G51="NA","60 Years After Completion",IF(G51&lt;&gt;"NA",""&amp;60-ROUNDDOWN((E3-G51)/360,0)&amp;" Years"," ")))</f>
        <v>60 Years After Completion</v>
      </c>
      <c r="E59" s="132"/>
      <c r="F59" s="132"/>
      <c r="G59" s="132"/>
      <c r="H59" s="132"/>
      <c r="N59" s="23"/>
    </row>
    <row r="60" spans="1:14" ht="15.75" customHeight="1" x14ac:dyDescent="0.25">
      <c r="A60" s="94" t="s">
        <v>89</v>
      </c>
      <c r="B60" s="94"/>
      <c r="C60" s="94"/>
      <c r="D60" s="114" t="s">
        <v>24</v>
      </c>
      <c r="E60" s="114"/>
      <c r="F60" s="114"/>
      <c r="G60" s="114"/>
      <c r="H60" s="114"/>
      <c r="J60" s="26"/>
      <c r="K60" s="26"/>
    </row>
    <row r="61" spans="1:14" ht="15" hidden="1" customHeight="1" x14ac:dyDescent="0.25">
      <c r="A61" s="94" t="s">
        <v>75</v>
      </c>
      <c r="B61" s="94"/>
      <c r="C61" s="94"/>
      <c r="D61" s="99" t="s">
        <v>153</v>
      </c>
      <c r="E61" s="114"/>
      <c r="F61" s="114"/>
      <c r="G61" s="114"/>
      <c r="H61" s="114"/>
    </row>
    <row r="62" spans="1:14" x14ac:dyDescent="0.25">
      <c r="A62" s="114" t="s">
        <v>154</v>
      </c>
      <c r="B62" s="114"/>
      <c r="C62" s="114"/>
      <c r="D62" s="114" t="s">
        <v>30</v>
      </c>
      <c r="E62" s="114"/>
      <c r="F62" s="114"/>
      <c r="G62" s="114"/>
      <c r="H62" s="114"/>
      <c r="I62" s="27"/>
      <c r="J62" s="27"/>
      <c r="K62" s="27"/>
      <c r="L62" s="27"/>
      <c r="M62" s="27"/>
      <c r="N62" s="27"/>
    </row>
    <row r="63" spans="1:14" ht="15.75" customHeight="1" x14ac:dyDescent="0.25">
      <c r="A63" s="115" t="s">
        <v>87</v>
      </c>
      <c r="B63" s="115"/>
      <c r="C63" s="115"/>
      <c r="D63" s="116" t="str">
        <f ca="1">(IF(G69&gt;95%,"Nothing",IF(G69&gt;0%,"Cement, Aggregate, Steel, etc",IF(G69=0%,"Work not yet Started"))))</f>
        <v>Cement, Aggregate, Steel, etc</v>
      </c>
      <c r="E63" s="116"/>
      <c r="F63" s="116"/>
      <c r="G63" s="116"/>
      <c r="H63" s="116"/>
      <c r="J63" s="26"/>
    </row>
    <row r="64" spans="1:14" ht="33.75" customHeight="1" thickBot="1" x14ac:dyDescent="0.3">
      <c r="A64" s="168" t="s">
        <v>119</v>
      </c>
      <c r="B64" s="168"/>
      <c r="C64" s="168"/>
      <c r="D64" s="116" t="str">
        <f ca="1">(IF(D63="Nothing","Yes",IF(D63="Cement, Aggregate, Steel, etc","Under Construction",IF(D63="Work not yet Started","Work not yet Started"))))</f>
        <v>Under Construction</v>
      </c>
      <c r="E64" s="116"/>
      <c r="F64" s="116" t="str">
        <f ca="1">(IF(D63="Nothing","Yes",IF(D63="Cement, Aggregate, Steel, etc","Under Construction",IF(D63="Work not yet Started","Work not yet Started"))))</f>
        <v>Under Construction</v>
      </c>
      <c r="G64" s="116"/>
      <c r="H64" s="116"/>
    </row>
    <row r="65" spans="1:10" ht="15.75" customHeight="1" x14ac:dyDescent="0.25">
      <c r="A65" s="161" t="s">
        <v>145</v>
      </c>
      <c r="B65" s="162"/>
      <c r="C65" s="163" t="str">
        <f>D57</f>
        <v>B + Gr + 1st to 8th Podium + 9th to 38th Floor</v>
      </c>
      <c r="D65" s="164"/>
      <c r="E65" s="164"/>
      <c r="F65" s="164"/>
      <c r="G65" s="164"/>
      <c r="H65" s="165"/>
      <c r="I65" s="45" t="str">
        <f ca="1">IF(D78=100%,"All work Completed. Possession granted to the Building.",IF(D77=100%,"All work Completed, Waiting for OC",I66&amp;""&amp;I67&amp;""&amp;J66&amp;""&amp;J65&amp;" "&amp;J67))</f>
        <v>Excavation, Plinth Completed, RCC upto 10 Slab Completed</v>
      </c>
      <c r="J65" s="46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10 Slab</v>
      </c>
    </row>
    <row r="66" spans="1:10" x14ac:dyDescent="0.25">
      <c r="A66" s="18" t="s">
        <v>147</v>
      </c>
      <c r="B66" s="53">
        <v>1</v>
      </c>
      <c r="C66" s="53" t="s">
        <v>73</v>
      </c>
      <c r="D66" s="53">
        <v>1</v>
      </c>
      <c r="E66" s="53" t="s">
        <v>72</v>
      </c>
      <c r="F66" s="53">
        <v>8</v>
      </c>
      <c r="G66" s="53" t="s">
        <v>81</v>
      </c>
      <c r="H66" s="19">
        <f ca="1">--TRIM(RIGHT(SUBSTITUTE(LEFT(C65,_xlfn.AGGREGATE(16,6,FIND({0,1,2,3,4,5,6,7,8,9},C65,ROW(INDIRECT("1:"&amp;LEN(C65)))),1))," ",REPT(" ",LEN(C65))),LEN(C65)))</f>
        <v>38</v>
      </c>
      <c r="I66" s="47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8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25">
      <c r="A67" s="159" t="s">
        <v>91</v>
      </c>
      <c r="B67" s="160"/>
      <c r="C67" s="166" t="str">
        <f ca="1">(IF($C$52=C65,"All work Completed. OC Received.",I65))</f>
        <v>Excavation, Plinth Completed, RCC upto 10 Slab Completed</v>
      </c>
      <c r="D67" s="166"/>
      <c r="E67" s="166"/>
      <c r="F67" s="166"/>
      <c r="G67" s="166"/>
      <c r="H67" s="167"/>
      <c r="I67" s="47" t="str">
        <f ca="1">IF(I66&lt;&gt;""," Completed","")</f>
        <v xml:space="preserve"> Completed</v>
      </c>
      <c r="J67" s="48" t="str">
        <f ca="1">IF(J65&lt;&gt;"","Completed","")</f>
        <v>Completed</v>
      </c>
    </row>
    <row r="68" spans="1:10" ht="15.75" customHeight="1" x14ac:dyDescent="0.25">
      <c r="A68" s="117" t="s">
        <v>49</v>
      </c>
      <c r="B68" s="118"/>
      <c r="C68" s="58" t="s">
        <v>144</v>
      </c>
      <c r="D68" s="58" t="s">
        <v>84</v>
      </c>
      <c r="E68" s="118" t="s">
        <v>86</v>
      </c>
      <c r="F68" s="118"/>
      <c r="G68" s="118" t="s">
        <v>85</v>
      </c>
      <c r="H68" s="119"/>
      <c r="I68" s="16" t="s">
        <v>146</v>
      </c>
      <c r="J68" s="28">
        <f ca="1">H66*25%</f>
        <v>9.5</v>
      </c>
    </row>
    <row r="69" spans="1:10" x14ac:dyDescent="0.25">
      <c r="A69" s="117" t="s">
        <v>133</v>
      </c>
      <c r="B69" s="118"/>
      <c r="C69" s="58">
        <v>38</v>
      </c>
      <c r="D69" s="59">
        <f ca="1">((100/H66)*C69)/100</f>
        <v>1</v>
      </c>
      <c r="E69" s="121">
        <f ca="1">(((C70/H66*10)+(40/(D66+F66+H66)*C71)+(7.5/(H66)*C72)+(7.5/(H66)*C73)+(10/H66*C74)+(10/H66*C75)+(5/H66*C76)+(5/H66*C77)+(5/H66*C78))/100)</f>
        <v>0.18510638297872339</v>
      </c>
      <c r="F69" s="122"/>
      <c r="G69" s="121">
        <f ca="1">((((C69/H66)*20)+((C70/H66)*25)+(30/(H66+F66+D66)*C71)+(5/H66*C72)+(5/H66*C73)+(5/H66*C74)+(5/H66*C75)+(0/H66*C76)+(0/H66*C77)+(5/H66*C78))/100)</f>
        <v>0.5138297872340426</v>
      </c>
      <c r="H69" s="127"/>
      <c r="I69" s="16" t="s">
        <v>102</v>
      </c>
      <c r="J69" s="29">
        <f ca="1">H66*50%</f>
        <v>19</v>
      </c>
    </row>
    <row r="70" spans="1:10" x14ac:dyDescent="0.25">
      <c r="A70" s="117" t="s">
        <v>50</v>
      </c>
      <c r="B70" s="118"/>
      <c r="C70" s="73">
        <v>38</v>
      </c>
      <c r="D70" s="59">
        <f ca="1">((100/H66)*C70)/100</f>
        <v>1</v>
      </c>
      <c r="E70" s="123"/>
      <c r="F70" s="124"/>
      <c r="G70" s="123"/>
      <c r="H70" s="128"/>
      <c r="I70" s="16" t="s">
        <v>103</v>
      </c>
      <c r="J70" s="29">
        <f ca="1">H66</f>
        <v>38</v>
      </c>
    </row>
    <row r="71" spans="1:10" ht="15.75" customHeight="1" x14ac:dyDescent="0.25">
      <c r="A71" s="117" t="s">
        <v>134</v>
      </c>
      <c r="B71" s="118"/>
      <c r="C71" s="58">
        <v>10</v>
      </c>
      <c r="D71" s="59">
        <f ca="1">((100/(D66+F66+H66))*C71)/100</f>
        <v>0.21276595744680851</v>
      </c>
      <c r="E71" s="123"/>
      <c r="F71" s="124"/>
      <c r="G71" s="123"/>
      <c r="H71" s="128"/>
      <c r="I71" s="16" t="s">
        <v>104</v>
      </c>
      <c r="J71" s="30">
        <f ca="1">(IF(B66&gt;1,(H66/(B66+2)),H66/4))</f>
        <v>9.5</v>
      </c>
    </row>
    <row r="72" spans="1:10" ht="15.75" customHeight="1" x14ac:dyDescent="0.25">
      <c r="A72" s="117" t="s">
        <v>141</v>
      </c>
      <c r="B72" s="118" t="s">
        <v>135</v>
      </c>
      <c r="C72" s="58">
        <v>0</v>
      </c>
      <c r="D72" s="59">
        <f ca="1">((100/H66)*C72)/100</f>
        <v>0</v>
      </c>
      <c r="E72" s="123"/>
      <c r="F72" s="124"/>
      <c r="G72" s="123"/>
      <c r="H72" s="128"/>
      <c r="I72" s="16" t="s">
        <v>105</v>
      </c>
      <c r="J72" s="30">
        <f ca="1">(IF(B66&gt;1,(H66/(B66+2)+J71),H66/4+J71))</f>
        <v>19</v>
      </c>
    </row>
    <row r="73" spans="1:10" ht="15.75" customHeight="1" x14ac:dyDescent="0.25">
      <c r="A73" s="117" t="s">
        <v>142</v>
      </c>
      <c r="B73" s="118" t="s">
        <v>135</v>
      </c>
      <c r="C73" s="58">
        <v>0</v>
      </c>
      <c r="D73" s="59">
        <f ca="1">((100/H66)*C73)/100</f>
        <v>0</v>
      </c>
      <c r="E73" s="123"/>
      <c r="F73" s="124"/>
      <c r="G73" s="123"/>
      <c r="H73" s="128"/>
      <c r="I73" s="16" t="s">
        <v>151</v>
      </c>
      <c r="J73" s="30">
        <f>(IF(B66&gt;1,(H66/(B66+2)+J72),0))</f>
        <v>0</v>
      </c>
    </row>
    <row r="74" spans="1:10" ht="15" customHeight="1" x14ac:dyDescent="0.25">
      <c r="A74" s="117" t="s">
        <v>140</v>
      </c>
      <c r="B74" s="118" t="s">
        <v>137</v>
      </c>
      <c r="C74" s="58">
        <v>0</v>
      </c>
      <c r="D74" s="59">
        <f ca="1">((100/(H66))*C74)/100</f>
        <v>0</v>
      </c>
      <c r="E74" s="123"/>
      <c r="F74" s="124"/>
      <c r="G74" s="123"/>
      <c r="H74" s="128"/>
      <c r="I74" s="16" t="s">
        <v>148</v>
      </c>
      <c r="J74" s="30">
        <f>(IF(B66&gt;2,(H66/(B66+2)+J73),0))</f>
        <v>0</v>
      </c>
    </row>
    <row r="75" spans="1:10" ht="15.75" customHeight="1" x14ac:dyDescent="0.25">
      <c r="A75" s="117" t="s">
        <v>136</v>
      </c>
      <c r="B75" s="118" t="s">
        <v>136</v>
      </c>
      <c r="C75" s="58">
        <v>0</v>
      </c>
      <c r="D75" s="59">
        <f ca="1">((100/H66)*C75)/100</f>
        <v>0</v>
      </c>
      <c r="E75" s="123"/>
      <c r="F75" s="124"/>
      <c r="G75" s="123"/>
      <c r="H75" s="128"/>
      <c r="I75" s="16" t="s">
        <v>149</v>
      </c>
      <c r="J75" s="31">
        <f>(IF(B66&gt;3,(H66/(B66+2)+J74),0))</f>
        <v>0</v>
      </c>
    </row>
    <row r="76" spans="1:10" ht="15.75" customHeight="1" x14ac:dyDescent="0.25">
      <c r="A76" s="117" t="s">
        <v>143</v>
      </c>
      <c r="B76" s="118"/>
      <c r="C76" s="58">
        <v>0</v>
      </c>
      <c r="D76" s="59">
        <f ca="1">((100/H66)*C76)/100</f>
        <v>0</v>
      </c>
      <c r="E76" s="123"/>
      <c r="F76" s="124"/>
      <c r="G76" s="123"/>
      <c r="H76" s="128"/>
      <c r="I76" s="16" t="s">
        <v>150</v>
      </c>
      <c r="J76" s="30">
        <f>(IF(B66&gt;4,(H66/(B66+2)+J75),0))</f>
        <v>0</v>
      </c>
    </row>
    <row r="77" spans="1:10" ht="15.75" customHeight="1" x14ac:dyDescent="0.25">
      <c r="A77" s="117" t="s">
        <v>138</v>
      </c>
      <c r="B77" s="118" t="s">
        <v>138</v>
      </c>
      <c r="C77" s="58">
        <v>0</v>
      </c>
      <c r="D77" s="59">
        <f ca="1">((100/(H66))*C77)/100</f>
        <v>0</v>
      </c>
      <c r="E77" s="123"/>
      <c r="F77" s="124"/>
      <c r="G77" s="123"/>
      <c r="H77" s="128"/>
      <c r="I77" s="16" t="s">
        <v>152</v>
      </c>
      <c r="J77" s="30">
        <f ca="1">(IF(B66=1,(H66/(B66+3)+J72),IF(B66=0,(H66/4+J72),IF(B66&gt;1,0))))</f>
        <v>28.5</v>
      </c>
    </row>
    <row r="78" spans="1:10" ht="16.5" thickBot="1" x14ac:dyDescent="0.3">
      <c r="A78" s="130" t="s">
        <v>139</v>
      </c>
      <c r="B78" s="131"/>
      <c r="C78" s="60">
        <v>0</v>
      </c>
      <c r="D78" s="61">
        <f ca="1">((100/(H66))*C78)/100</f>
        <v>0</v>
      </c>
      <c r="E78" s="125"/>
      <c r="F78" s="126"/>
      <c r="G78" s="125"/>
      <c r="H78" s="129"/>
      <c r="I78" s="17" t="s">
        <v>106</v>
      </c>
      <c r="J78" s="32">
        <f ca="1">(IF(B66&gt;1.5,(H66/(B66+2)+J72+MAX(0,J73-J72)+MAX(0,J74-J73)+MAX(0,J75-J74)+MAX(0,J76-J75)+MAX(0,J77-J76)),IF(B66=1,(H66/(B66+3)+J77),IF(B66=0,H66/4+J77))))</f>
        <v>38</v>
      </c>
    </row>
    <row r="79" spans="1:10" x14ac:dyDescent="0.25">
      <c r="A79" s="204" t="s">
        <v>163</v>
      </c>
      <c r="B79" s="204"/>
      <c r="C79" s="204"/>
      <c r="D79" s="204"/>
      <c r="E79" s="204"/>
      <c r="F79" s="196" t="s">
        <v>236</v>
      </c>
      <c r="G79" s="196"/>
      <c r="H79" s="196"/>
    </row>
    <row r="80" spans="1:10" x14ac:dyDescent="0.25">
      <c r="A80" s="94" t="s">
        <v>166</v>
      </c>
      <c r="B80" s="94"/>
      <c r="C80" s="94"/>
      <c r="D80" s="94"/>
      <c r="E80" s="94"/>
      <c r="F80" s="140">
        <v>40000</v>
      </c>
      <c r="G80" s="140"/>
      <c r="H80" s="140"/>
    </row>
    <row r="81" spans="1:8" hidden="1" x14ac:dyDescent="0.25">
      <c r="A81" s="94" t="s">
        <v>165</v>
      </c>
      <c r="B81" s="94"/>
      <c r="C81" s="94"/>
      <c r="D81" s="94"/>
      <c r="E81" s="94"/>
      <c r="F81" s="140"/>
      <c r="G81" s="140"/>
      <c r="H81" s="140"/>
    </row>
    <row r="82" spans="1:8" hidden="1" x14ac:dyDescent="0.25">
      <c r="A82" s="94" t="s">
        <v>167</v>
      </c>
      <c r="B82" s="94"/>
      <c r="C82" s="94"/>
      <c r="D82" s="94"/>
      <c r="E82" s="94"/>
      <c r="F82" s="140"/>
      <c r="G82" s="140"/>
      <c r="H82" s="140"/>
    </row>
    <row r="83" spans="1:8" s="33" customFormat="1" hidden="1" x14ac:dyDescent="0.25">
      <c r="A83" s="94" t="s">
        <v>164</v>
      </c>
      <c r="B83" s="94"/>
      <c r="C83" s="94"/>
      <c r="D83" s="94"/>
      <c r="E83" s="94"/>
      <c r="F83" s="140"/>
      <c r="G83" s="140"/>
      <c r="H83" s="140"/>
    </row>
    <row r="84" spans="1:8" s="33" customFormat="1" hidden="1" x14ac:dyDescent="0.25">
      <c r="A84" s="94" t="s">
        <v>96</v>
      </c>
      <c r="B84" s="94"/>
      <c r="C84" s="94"/>
      <c r="D84" s="94"/>
      <c r="E84" s="94"/>
      <c r="F84" s="140"/>
      <c r="G84" s="140"/>
      <c r="H84" s="140"/>
    </row>
    <row r="85" spans="1:8" s="33" customFormat="1" hidden="1" x14ac:dyDescent="0.25">
      <c r="A85" s="94" t="s">
        <v>97</v>
      </c>
      <c r="B85" s="94"/>
      <c r="C85" s="94"/>
      <c r="D85" s="94"/>
      <c r="E85" s="94"/>
      <c r="F85" s="140"/>
      <c r="G85" s="140"/>
      <c r="H85" s="140"/>
    </row>
    <row r="86" spans="1:8" s="33" customFormat="1" hidden="1" x14ac:dyDescent="0.25">
      <c r="A86" s="94" t="s">
        <v>168</v>
      </c>
      <c r="B86" s="94"/>
      <c r="C86" s="94"/>
      <c r="D86" s="94"/>
      <c r="E86" s="94"/>
      <c r="F86" s="140"/>
      <c r="G86" s="140"/>
      <c r="H86" s="140"/>
    </row>
    <row r="87" spans="1:8" s="33" customFormat="1" hidden="1" x14ac:dyDescent="0.25">
      <c r="A87" s="94" t="s">
        <v>98</v>
      </c>
      <c r="B87" s="94"/>
      <c r="C87" s="94"/>
      <c r="D87" s="94"/>
      <c r="E87" s="94"/>
      <c r="F87" s="140"/>
      <c r="G87" s="140"/>
      <c r="H87" s="140"/>
    </row>
    <row r="88" spans="1:8" s="33" customFormat="1" hidden="1" x14ac:dyDescent="0.25">
      <c r="A88" s="94" t="s">
        <v>99</v>
      </c>
      <c r="B88" s="94"/>
      <c r="C88" s="94"/>
      <c r="D88" s="94"/>
      <c r="E88" s="94"/>
      <c r="F88" s="140"/>
      <c r="G88" s="140"/>
      <c r="H88" s="140"/>
    </row>
    <row r="89" spans="1:8" s="33" customFormat="1" hidden="1" x14ac:dyDescent="0.25">
      <c r="A89" s="94" t="s">
        <v>100</v>
      </c>
      <c r="B89" s="94"/>
      <c r="C89" s="94"/>
      <c r="D89" s="94"/>
      <c r="E89" s="94"/>
      <c r="F89" s="140"/>
      <c r="G89" s="140"/>
      <c r="H89" s="140"/>
    </row>
    <row r="90" spans="1:8" s="33" customFormat="1" hidden="1" x14ac:dyDescent="0.25">
      <c r="A90" s="94" t="s">
        <v>101</v>
      </c>
      <c r="B90" s="94"/>
      <c r="C90" s="94"/>
      <c r="D90" s="94"/>
      <c r="E90" s="94"/>
      <c r="F90" s="140"/>
      <c r="G90" s="140"/>
      <c r="H90" s="140"/>
    </row>
    <row r="91" spans="1:8" x14ac:dyDescent="0.25">
      <c r="A91" s="94" t="s">
        <v>51</v>
      </c>
      <c r="B91" s="94"/>
      <c r="C91" s="94"/>
      <c r="D91" s="94"/>
      <c r="E91" s="94"/>
      <c r="F91" s="140">
        <v>1000000</v>
      </c>
      <c r="G91" s="140"/>
      <c r="H91" s="140"/>
    </row>
    <row r="92" spans="1:8" s="34" customFormat="1" x14ac:dyDescent="0.25">
      <c r="A92" s="147" t="s">
        <v>52</v>
      </c>
      <c r="B92" s="147"/>
      <c r="C92" s="147"/>
      <c r="D92" s="147"/>
      <c r="E92" s="147"/>
      <c r="F92" s="140">
        <f>F80*0.8</f>
        <v>32000</v>
      </c>
      <c r="G92" s="140"/>
      <c r="H92" s="140"/>
    </row>
    <row r="93" spans="1:8" s="35" customFormat="1" ht="15.75" customHeight="1" x14ac:dyDescent="0.25">
      <c r="A93" s="146" t="s">
        <v>76</v>
      </c>
      <c r="B93" s="146"/>
      <c r="C93" s="146"/>
      <c r="D93" s="146"/>
      <c r="E93" s="146"/>
      <c r="F93" s="146"/>
      <c r="G93" s="146"/>
      <c r="H93" s="146"/>
    </row>
    <row r="94" spans="1:8" s="35" customFormat="1" ht="15.75" customHeight="1" x14ac:dyDescent="0.25">
      <c r="A94" s="135" t="s">
        <v>53</v>
      </c>
      <c r="B94" s="135"/>
      <c r="C94" s="197" t="s">
        <v>79</v>
      </c>
      <c r="D94" s="197"/>
      <c r="E94" s="149" t="s">
        <v>54</v>
      </c>
      <c r="F94" s="149"/>
      <c r="G94" s="135" t="s">
        <v>55</v>
      </c>
      <c r="H94" s="135"/>
    </row>
    <row r="95" spans="1:8" s="35" customFormat="1" x14ac:dyDescent="0.25">
      <c r="A95" s="148" t="s">
        <v>230</v>
      </c>
      <c r="B95" s="148"/>
      <c r="C95" s="194">
        <f>COUNT(D107:D121)</f>
        <v>15</v>
      </c>
      <c r="D95" s="195"/>
      <c r="E95" s="141">
        <f>SUM(D107:D121)</f>
        <v>3949.9251479999994</v>
      </c>
      <c r="F95" s="142"/>
      <c r="G95" s="141">
        <f>SUM(F107:F121)</f>
        <v>6319.8802367999997</v>
      </c>
      <c r="H95" s="142"/>
    </row>
    <row r="96" spans="1:8" s="35" customFormat="1" x14ac:dyDescent="0.25">
      <c r="A96" s="146" t="s">
        <v>71</v>
      </c>
      <c r="B96" s="146"/>
      <c r="C96" s="146"/>
      <c r="D96" s="146"/>
      <c r="E96" s="146"/>
      <c r="F96" s="146"/>
      <c r="G96" s="146"/>
      <c r="H96" s="146"/>
    </row>
    <row r="97" spans="1:14" s="35" customFormat="1" ht="15.75" customHeight="1" x14ac:dyDescent="0.25">
      <c r="A97" s="135" t="s">
        <v>53</v>
      </c>
      <c r="B97" s="135"/>
      <c r="C97" s="197" t="s">
        <v>79</v>
      </c>
      <c r="D97" s="197"/>
      <c r="E97" s="149" t="s">
        <v>54</v>
      </c>
      <c r="F97" s="149"/>
      <c r="G97" s="135" t="s">
        <v>55</v>
      </c>
      <c r="H97" s="135"/>
    </row>
    <row r="98" spans="1:14" s="35" customFormat="1" x14ac:dyDescent="0.25">
      <c r="A98" s="148" t="s">
        <v>227</v>
      </c>
      <c r="B98" s="148"/>
      <c r="C98" s="194">
        <f>COUNT(D129:D134)+COUNT(D136:D140)+COUNT(D143:D147)+COUNT(D151:D152,D155:D156)+COUNT(D160:D165)+COUNT(D169:D171,D173:D175)+COUNT(D177:D179)+COUNT(D183:D184,D186:D187)+COUNT(D191:D192)+COUNT(D200:D201)+COUNT(D209:D211)+COUNT(D218:D219)+COUNT(D227:D228)+COUNT(D236:D239)+COUNT(D243:D244)+COUNT(D252)+COUNT(D260)+COUNT(D268:D269)+COUNT(D277:D278)</f>
        <v>62</v>
      </c>
      <c r="D98" s="195"/>
      <c r="E98" s="141">
        <f>SUM(D129:D134)+SUM(D136:D140)+SUM(D143:D147)+SUM(D151:D152,D155:D156)+SUM(D160:D165)+SUM(D169:D171,D173:D175)+SUM(D177:D179)+SUM(D183:D184,D186:D187)+SUM(D191:D192)+SUM(D200:D201)+SUM(D209:D211)+SUM(D218:D219)+SUM(D227:D228)+SUM(D236:D239)+SUM(D243:D244)+SUM(D252)+SUM(D260)+SUM(D268:D269)+SUM(D277:D278)</f>
        <v>33948.471960000003</v>
      </c>
      <c r="F98" s="142"/>
      <c r="G98" s="141">
        <f>SUM(F129:F134)+SUM(F136:F140)+SUM(F143:F147)+SUM(F151:F152,F155:F156)+SUM(F160:F165)+SUM(F169:F171,F173:F175)+SUM(F177:F179)+SUM(F183:F184,F186:F187)+SUM(F191:F192)+SUM(F200:F201)+SUM(F209:F211)+SUM(F218:F219)+SUM(F227:F228)+SUM(F236:F239)+SUM(F243:F244)+SUM(F252)+SUM(F260)+SUM(F268:F269)+SUM(F277:F278)</f>
        <v>52620.131538000023</v>
      </c>
      <c r="H98" s="142"/>
    </row>
    <row r="99" spans="1:14" s="35" customFormat="1" x14ac:dyDescent="0.25">
      <c r="A99" s="148" t="s">
        <v>228</v>
      </c>
      <c r="B99" s="148"/>
      <c r="C99" s="194">
        <f>COUNT(D141)+COUNT(D148:D149)+COUNT(D157:D158)+COUNT(D166:D167)+COUNT(D195:D196)+COUNT(D204:D205)+COUNT(D213:D214)+COUNT(D222:D223)+COUNT(D231:D232)</f>
        <v>17</v>
      </c>
      <c r="D99" s="195"/>
      <c r="E99" s="141">
        <f>SUM(D141)+SUM(D148:D149)+SUM(D157:D158)+SUM(D166:D167)+SUM(D195:D196)+SUM(D204:D205)+SUM(D213:D214)+SUM(D222:D223)+SUM(D231:D232)</f>
        <v>8894.1855599999999</v>
      </c>
      <c r="F99" s="142"/>
      <c r="G99" s="141">
        <f>SUM(F141)+SUM(F148:F149)+SUM(F157:F158)+SUM(F166:F167)+SUM(F195:F196)+SUM(F204:F205)+SUM(F213:F214)+SUM(F222:F223)+SUM(F231:F232)</f>
        <v>13785.987617999997</v>
      </c>
      <c r="H99" s="142"/>
    </row>
    <row r="100" spans="1:14" s="35" customFormat="1" x14ac:dyDescent="0.25">
      <c r="A100" s="148" t="s">
        <v>229</v>
      </c>
      <c r="B100" s="148"/>
      <c r="C100" s="194">
        <f>COUNT(D153:D154)+COUNT(D172)+COUNT(D180:D181)+COUNT(D185,D188:D189)+COUNT(D193:D194,D197:D198)+COUNT(D202:D203,D206:D207)+COUNT(D212,D215:D216)+COUNT(D220:D221,D224:D225)+COUNT(D229:D230,D233:D234)+COUNT(D240:D241)+COUNT(D245:D250)+COUNT(D253:D258)+COUNT(D261:D266)+COUNT(D270:D275)+COUNT(D279:D284)+COUNT(D286:D293)+COUNT(D295:D300)+COUNT(D302:D309)+COUNT(D311)</f>
        <v>82</v>
      </c>
      <c r="D100" s="195"/>
      <c r="E100" s="141">
        <f>SUM(D153:D154)+SUM(D172)+SUM(D180:D181)+SUM(D185,D188:D189)+SUM(D193:D194,D197:D198)+SUM(D202:D203,D206:D207)+SUM(D212,D215:D216)+SUM(D220:D221,D224:D225)+SUM(D229:D230,D233:D234)+SUM(D240:D241)+SUM(D245:D250)+SUM(D253:D258)+SUM(D261:D266)+SUM(D270:D275)+SUM(D279:D284)+SUM(D286:D293)+SUM(D295:D300)+SUM(D302:D309)+SUM(D311)</f>
        <v>51463.975680000003</v>
      </c>
      <c r="F100" s="142"/>
      <c r="G100" s="141">
        <f>SUM(F153:F154)+SUM(F172)+SUM(F180:F181)+SUM(F185,F188:F189)+SUM(F193:F194,F197:F198)+SUM(F202:F203,F206:F207)+SUM(F212,F215:F216)+SUM(F220:F221,F224:F225)+SUM(F229:F230,F233:F234)+SUM(F240:F241)+SUM(F245:F250)+SUM(F253:F258)+SUM(F261:F266)+SUM(F270:F275)+SUM(F279:F284)+SUM(F286:F293)+SUM(F295:F300)+SUM(F302:F309)+SUM(F311)</f>
        <v>79769.162303999998</v>
      </c>
      <c r="H100" s="142"/>
    </row>
    <row r="101" spans="1:14" s="35" customFormat="1" x14ac:dyDescent="0.25">
      <c r="A101" s="146" t="s">
        <v>156</v>
      </c>
      <c r="B101" s="146"/>
      <c r="C101" s="199">
        <f>SUM(C98:D100)</f>
        <v>161</v>
      </c>
      <c r="D101" s="197"/>
      <c r="E101" s="200">
        <f>SUM(E98:F100)</f>
        <v>94306.633200000011</v>
      </c>
      <c r="F101" s="149"/>
      <c r="G101" s="200">
        <f>SUM(G98:H100)</f>
        <v>146175.28146000003</v>
      </c>
      <c r="H101" s="149"/>
    </row>
    <row r="102" spans="1:14" s="34" customFormat="1" x14ac:dyDescent="0.25">
      <c r="A102" s="133" t="s">
        <v>56</v>
      </c>
      <c r="B102" s="133"/>
      <c r="C102" s="133"/>
      <c r="D102" s="133"/>
      <c r="E102" s="133"/>
      <c r="F102" s="133"/>
      <c r="G102" s="133"/>
      <c r="H102" s="133"/>
    </row>
    <row r="103" spans="1:14" x14ac:dyDescent="0.25">
      <c r="A103" s="133" t="s">
        <v>57</v>
      </c>
      <c r="B103" s="133"/>
      <c r="C103" s="133"/>
      <c r="D103" s="133"/>
      <c r="E103" s="133"/>
      <c r="F103" s="133"/>
      <c r="G103" s="133"/>
      <c r="H103" s="133"/>
    </row>
    <row r="104" spans="1:14" ht="47.25" customHeight="1" x14ac:dyDescent="0.25">
      <c r="A104" s="107" t="s">
        <v>121</v>
      </c>
      <c r="B104" s="107" t="s">
        <v>120</v>
      </c>
      <c r="C104" s="107" t="s">
        <v>58</v>
      </c>
      <c r="D104" s="107" t="s">
        <v>59</v>
      </c>
      <c r="E104" s="136" t="s">
        <v>162</v>
      </c>
      <c r="F104" s="42" t="s">
        <v>155</v>
      </c>
      <c r="G104" s="109" t="s">
        <v>61</v>
      </c>
      <c r="H104" s="138"/>
    </row>
    <row r="105" spans="1:14" s="44" customFormat="1" x14ac:dyDescent="0.25">
      <c r="A105" s="108"/>
      <c r="B105" s="108"/>
      <c r="C105" s="108"/>
      <c r="D105" s="108"/>
      <c r="E105" s="137"/>
      <c r="F105" s="15">
        <v>0.6</v>
      </c>
      <c r="G105" s="110"/>
      <c r="H105" s="139"/>
    </row>
    <row r="106" spans="1:14" s="44" customFormat="1" x14ac:dyDescent="0.25">
      <c r="A106" s="104" t="s">
        <v>217</v>
      </c>
      <c r="B106" s="105"/>
      <c r="C106" s="105"/>
      <c r="D106" s="105"/>
      <c r="E106" s="105"/>
      <c r="F106" s="105"/>
      <c r="G106" s="105"/>
      <c r="H106" s="106"/>
      <c r="J106" s="36"/>
    </row>
    <row r="107" spans="1:14" s="44" customFormat="1" ht="15.75" customHeight="1" x14ac:dyDescent="0.25">
      <c r="A107" s="51">
        <v>1</v>
      </c>
      <c r="B107" s="51" t="s">
        <v>224</v>
      </c>
      <c r="C107" s="41" t="s">
        <v>218</v>
      </c>
      <c r="D107" s="62">
        <f>(37.66)*10.764</f>
        <v>405.37223999999992</v>
      </c>
      <c r="E107" s="41">
        <v>0</v>
      </c>
      <c r="F107" s="41">
        <f>(D107+E107)*(($F$105)+1)</f>
        <v>648.59558399999992</v>
      </c>
      <c r="G107" s="86" t="str">
        <f>A106</f>
        <v>Ground Floor for Commercial</v>
      </c>
      <c r="H107" s="87"/>
      <c r="I107" s="36"/>
      <c r="L107" s="193"/>
      <c r="M107" s="193"/>
      <c r="N107" s="36"/>
    </row>
    <row r="108" spans="1:14" s="44" customFormat="1" ht="15.75" customHeight="1" x14ac:dyDescent="0.25">
      <c r="A108" s="51">
        <v>2</v>
      </c>
      <c r="B108" s="51" t="s">
        <v>224</v>
      </c>
      <c r="C108" s="51" t="s">
        <v>218</v>
      </c>
      <c r="D108" s="62">
        <f>(37.72)*10.764</f>
        <v>406.01807999999994</v>
      </c>
      <c r="E108" s="41">
        <v>0</v>
      </c>
      <c r="F108" s="41">
        <f t="shared" ref="F108:F110" si="0">(D108+E108)*(($F$105)+1)</f>
        <v>649.62892799999997</v>
      </c>
      <c r="G108" s="88"/>
      <c r="H108" s="89"/>
      <c r="I108" s="36"/>
      <c r="L108" s="193"/>
      <c r="M108" s="193"/>
      <c r="N108" s="36"/>
    </row>
    <row r="109" spans="1:14" s="44" customFormat="1" ht="15.75" customHeight="1" x14ac:dyDescent="0.25">
      <c r="A109" s="51">
        <v>3</v>
      </c>
      <c r="B109" s="51" t="s">
        <v>224</v>
      </c>
      <c r="C109" s="51" t="s">
        <v>218</v>
      </c>
      <c r="D109" s="62">
        <f>(10.13)*10.764</f>
        <v>109.03932</v>
      </c>
      <c r="E109" s="41">
        <v>0</v>
      </c>
      <c r="F109" s="41">
        <f t="shared" si="0"/>
        <v>174.46291200000002</v>
      </c>
      <c r="G109" s="88"/>
      <c r="H109" s="89"/>
      <c r="I109" s="36"/>
      <c r="L109" s="193"/>
      <c r="M109" s="193"/>
      <c r="N109" s="36"/>
    </row>
    <row r="110" spans="1:14" s="44" customFormat="1" ht="15.75" customHeight="1" x14ac:dyDescent="0.25">
      <c r="A110" s="51">
        <f t="shared" ref="A110:A120" si="1">A109+1</f>
        <v>4</v>
      </c>
      <c r="B110" s="51" t="s">
        <v>224</v>
      </c>
      <c r="C110" s="51" t="s">
        <v>218</v>
      </c>
      <c r="D110" s="62">
        <f>(34.66)*10.764</f>
        <v>373.08023999999995</v>
      </c>
      <c r="E110" s="41">
        <v>0</v>
      </c>
      <c r="F110" s="41">
        <f t="shared" si="0"/>
        <v>596.92838399999994</v>
      </c>
      <c r="G110" s="88"/>
      <c r="H110" s="89"/>
      <c r="I110" s="36"/>
      <c r="L110" s="193"/>
      <c r="M110" s="193"/>
      <c r="N110" s="36"/>
    </row>
    <row r="111" spans="1:14" s="52" customFormat="1" ht="15.75" customHeight="1" x14ac:dyDescent="0.25">
      <c r="A111" s="51">
        <v>5</v>
      </c>
      <c r="B111" s="51" t="s">
        <v>224</v>
      </c>
      <c r="C111" s="51" t="s">
        <v>218</v>
      </c>
      <c r="D111" s="62">
        <f>(11.16)*10.764</f>
        <v>120.12624</v>
      </c>
      <c r="E111" s="51">
        <v>0</v>
      </c>
      <c r="F111" s="51">
        <f>(D111+E111)*(($F$105)+1)</f>
        <v>192.20198400000001</v>
      </c>
      <c r="G111" s="88"/>
      <c r="H111" s="89"/>
      <c r="I111" s="36"/>
      <c r="L111" s="193"/>
      <c r="M111" s="193"/>
      <c r="N111" s="36"/>
    </row>
    <row r="112" spans="1:14" s="52" customFormat="1" ht="15.75" customHeight="1" x14ac:dyDescent="0.25">
      <c r="A112" s="51">
        <v>6</v>
      </c>
      <c r="B112" s="51" t="s">
        <v>224</v>
      </c>
      <c r="C112" s="51" t="s">
        <v>218</v>
      </c>
      <c r="D112" s="62">
        <f>(18.63)*10.764</f>
        <v>200.53331999999997</v>
      </c>
      <c r="E112" s="51">
        <v>0</v>
      </c>
      <c r="F112" s="51">
        <f t="shared" ref="F112:F117" si="2">(D112+E112)*(($F$105)+1)</f>
        <v>320.85331199999996</v>
      </c>
      <c r="G112" s="88"/>
      <c r="H112" s="89"/>
      <c r="I112" s="36"/>
      <c r="J112" s="62">
        <v>10.763999999999999</v>
      </c>
      <c r="L112" s="193"/>
      <c r="M112" s="193"/>
      <c r="N112" s="36"/>
    </row>
    <row r="113" spans="1:14" s="52" customFormat="1" ht="15.75" customHeight="1" x14ac:dyDescent="0.25">
      <c r="A113" s="51">
        <v>7</v>
      </c>
      <c r="B113" s="51" t="s">
        <v>224</v>
      </c>
      <c r="C113" s="51" t="s">
        <v>218</v>
      </c>
      <c r="D113" s="62">
        <f>(21.76)*10.764</f>
        <v>234.22463999999999</v>
      </c>
      <c r="E113" s="51">
        <v>0</v>
      </c>
      <c r="F113" s="51">
        <f t="shared" si="2"/>
        <v>374.75942400000002</v>
      </c>
      <c r="G113" s="88"/>
      <c r="H113" s="89"/>
      <c r="I113" s="36"/>
      <c r="L113" s="193"/>
      <c r="M113" s="193"/>
      <c r="N113" s="36"/>
    </row>
    <row r="114" spans="1:14" s="52" customFormat="1" ht="15.75" customHeight="1" x14ac:dyDescent="0.25">
      <c r="A114" s="51">
        <f t="shared" si="1"/>
        <v>8</v>
      </c>
      <c r="B114" s="51" t="s">
        <v>224</v>
      </c>
      <c r="C114" s="51" t="s">
        <v>218</v>
      </c>
      <c r="D114" s="62">
        <f>(30)*10.764</f>
        <v>322.91999999999996</v>
      </c>
      <c r="E114" s="51">
        <v>0</v>
      </c>
      <c r="F114" s="51">
        <f t="shared" si="2"/>
        <v>516.67199999999991</v>
      </c>
      <c r="G114" s="88"/>
      <c r="H114" s="89"/>
      <c r="I114" s="36"/>
      <c r="L114" s="193"/>
      <c r="M114" s="193"/>
      <c r="N114" s="36"/>
    </row>
    <row r="115" spans="1:14" s="52" customFormat="1" ht="15.75" customHeight="1" x14ac:dyDescent="0.25">
      <c r="A115" s="51">
        <v>9</v>
      </c>
      <c r="B115" s="51" t="s">
        <v>224</v>
      </c>
      <c r="C115" s="51" t="s">
        <v>218</v>
      </c>
      <c r="D115" s="62">
        <f>(28)*10.764</f>
        <v>301.392</v>
      </c>
      <c r="E115" s="51">
        <v>0</v>
      </c>
      <c r="F115" s="51">
        <f t="shared" si="2"/>
        <v>482.22720000000004</v>
      </c>
      <c r="G115" s="88"/>
      <c r="H115" s="89"/>
      <c r="I115" s="36"/>
      <c r="L115" s="193"/>
      <c r="M115" s="193"/>
      <c r="N115" s="36"/>
    </row>
    <row r="116" spans="1:14" s="52" customFormat="1" ht="15.75" customHeight="1" x14ac:dyDescent="0.25">
      <c r="A116" s="51">
        <f t="shared" si="1"/>
        <v>10</v>
      </c>
      <c r="B116" s="51" t="s">
        <v>224</v>
      </c>
      <c r="C116" s="51" t="s">
        <v>218</v>
      </c>
      <c r="D116" s="62">
        <f>(26.17)*10.764</f>
        <v>281.69387999999998</v>
      </c>
      <c r="E116" s="51">
        <v>0</v>
      </c>
      <c r="F116" s="51">
        <f t="shared" si="2"/>
        <v>450.71020799999997</v>
      </c>
      <c r="G116" s="88"/>
      <c r="H116" s="89"/>
      <c r="I116" s="36"/>
      <c r="L116" s="193"/>
      <c r="M116" s="193"/>
      <c r="N116" s="36"/>
    </row>
    <row r="117" spans="1:14" s="52" customFormat="1" ht="15.75" customHeight="1" x14ac:dyDescent="0.25">
      <c r="A117" s="51">
        <v>11</v>
      </c>
      <c r="B117" s="51" t="s">
        <v>224</v>
      </c>
      <c r="C117" s="51" t="s">
        <v>218</v>
      </c>
      <c r="D117" s="62">
        <f>(52.22)*10.764</f>
        <v>562.09607999999992</v>
      </c>
      <c r="E117" s="51">
        <v>0</v>
      </c>
      <c r="F117" s="51">
        <f t="shared" si="2"/>
        <v>899.35372799999993</v>
      </c>
      <c r="G117" s="88"/>
      <c r="H117" s="89"/>
      <c r="I117" s="36"/>
      <c r="L117" s="193"/>
      <c r="M117" s="193"/>
      <c r="N117" s="36"/>
    </row>
    <row r="118" spans="1:14" s="52" customFormat="1" ht="15.75" customHeight="1" x14ac:dyDescent="0.25">
      <c r="A118" s="51">
        <f t="shared" si="1"/>
        <v>12</v>
      </c>
      <c r="B118" s="51" t="s">
        <v>224</v>
      </c>
      <c r="C118" s="51" t="s">
        <v>218</v>
      </c>
      <c r="D118" s="62">
        <f>(3.187)*10.764</f>
        <v>34.304867999999999</v>
      </c>
      <c r="E118" s="51">
        <v>0</v>
      </c>
      <c r="F118" s="51">
        <f>(D118+E118)*(($F$105)+1)</f>
        <v>54.887788800000003</v>
      </c>
      <c r="G118" s="88"/>
      <c r="H118" s="89"/>
      <c r="I118" s="36"/>
      <c r="L118" s="193"/>
      <c r="M118" s="193"/>
      <c r="N118" s="36"/>
    </row>
    <row r="119" spans="1:14" s="52" customFormat="1" ht="15.75" customHeight="1" x14ac:dyDescent="0.25">
      <c r="A119" s="51">
        <v>13</v>
      </c>
      <c r="B119" s="51" t="s">
        <v>224</v>
      </c>
      <c r="C119" s="51" t="s">
        <v>218</v>
      </c>
      <c r="D119" s="62">
        <f>(18.64)*10.764</f>
        <v>200.64096000000001</v>
      </c>
      <c r="E119" s="51">
        <v>0</v>
      </c>
      <c r="F119" s="51">
        <f t="shared" ref="F119:F121" si="3">(D119+E119)*(($F$105)+1)</f>
        <v>321.02553600000005</v>
      </c>
      <c r="G119" s="88"/>
      <c r="H119" s="89"/>
      <c r="I119" s="36"/>
      <c r="L119" s="193"/>
      <c r="M119" s="193"/>
      <c r="N119" s="36"/>
    </row>
    <row r="120" spans="1:14" s="52" customFormat="1" ht="15.75" customHeight="1" x14ac:dyDescent="0.25">
      <c r="A120" s="51">
        <f t="shared" si="1"/>
        <v>14</v>
      </c>
      <c r="B120" s="51" t="s">
        <v>224</v>
      </c>
      <c r="C120" s="51" t="s">
        <v>218</v>
      </c>
      <c r="D120" s="62">
        <f>(27.69)*10.764</f>
        <v>298.05516</v>
      </c>
      <c r="E120" s="51">
        <v>0</v>
      </c>
      <c r="F120" s="51">
        <f t="shared" si="3"/>
        <v>476.88825600000001</v>
      </c>
      <c r="G120" s="88"/>
      <c r="H120" s="89"/>
      <c r="I120" s="36"/>
      <c r="L120" s="193"/>
      <c r="M120" s="193"/>
      <c r="N120" s="36"/>
    </row>
    <row r="121" spans="1:14" s="52" customFormat="1" ht="15.75" customHeight="1" x14ac:dyDescent="0.25">
      <c r="A121" s="51">
        <v>15</v>
      </c>
      <c r="B121" s="51" t="s">
        <v>224</v>
      </c>
      <c r="C121" s="51" t="s">
        <v>218</v>
      </c>
      <c r="D121" s="62">
        <f>(9.33)*10.764</f>
        <v>100.42811999999999</v>
      </c>
      <c r="E121" s="51">
        <v>0</v>
      </c>
      <c r="F121" s="51">
        <f t="shared" si="3"/>
        <v>160.68499199999999</v>
      </c>
      <c r="G121" s="90"/>
      <c r="H121" s="91"/>
      <c r="I121" s="36"/>
      <c r="L121" s="193"/>
      <c r="M121" s="193"/>
      <c r="N121" s="36"/>
    </row>
    <row r="122" spans="1:14" s="44" customFormat="1" x14ac:dyDescent="0.25">
      <c r="A122" s="150"/>
      <c r="B122" s="198"/>
      <c r="C122" s="198"/>
      <c r="D122" s="198"/>
      <c r="E122" s="198"/>
      <c r="F122" s="198"/>
      <c r="G122" s="198"/>
      <c r="H122" s="151"/>
      <c r="I122" s="36"/>
      <c r="N122" s="36"/>
    </row>
    <row r="123" spans="1:14" ht="47.25" customHeight="1" x14ac:dyDescent="0.25">
      <c r="A123" s="109" t="s">
        <v>122</v>
      </c>
      <c r="B123" s="109" t="s">
        <v>123</v>
      </c>
      <c r="C123" s="107" t="s">
        <v>58</v>
      </c>
      <c r="D123" s="107" t="s">
        <v>59</v>
      </c>
      <c r="E123" s="136" t="s">
        <v>60</v>
      </c>
      <c r="F123" s="42" t="s">
        <v>155</v>
      </c>
      <c r="G123" s="109" t="s">
        <v>61</v>
      </c>
      <c r="H123" s="138"/>
      <c r="I123" s="36"/>
    </row>
    <row r="124" spans="1:14" s="44" customFormat="1" x14ac:dyDescent="0.25">
      <c r="A124" s="110"/>
      <c r="B124" s="110"/>
      <c r="C124" s="108"/>
      <c r="D124" s="108"/>
      <c r="E124" s="137"/>
      <c r="F124" s="15">
        <v>0.55000000000000004</v>
      </c>
      <c r="G124" s="110"/>
      <c r="H124" s="139"/>
      <c r="I124" s="36"/>
    </row>
    <row r="125" spans="1:14" s="34" customFormat="1" x14ac:dyDescent="0.25">
      <c r="A125" s="133" t="s">
        <v>196</v>
      </c>
      <c r="B125" s="133"/>
      <c r="C125" s="133"/>
      <c r="D125" s="133"/>
      <c r="E125" s="133"/>
      <c r="F125" s="133"/>
      <c r="G125" s="133"/>
      <c r="H125" s="133"/>
    </row>
    <row r="126" spans="1:14" s="34" customFormat="1" x14ac:dyDescent="0.25">
      <c r="A126" s="133" t="s">
        <v>197</v>
      </c>
      <c r="B126" s="133"/>
      <c r="C126" s="133"/>
      <c r="D126" s="133"/>
      <c r="E126" s="133"/>
      <c r="F126" s="133"/>
      <c r="G126" s="133"/>
      <c r="H126" s="133"/>
    </row>
    <row r="127" spans="1:14" s="34" customFormat="1" x14ac:dyDescent="0.25">
      <c r="A127" s="133" t="s">
        <v>198</v>
      </c>
      <c r="B127" s="133"/>
      <c r="C127" s="133"/>
      <c r="D127" s="133"/>
      <c r="E127" s="133"/>
      <c r="F127" s="133"/>
      <c r="G127" s="133"/>
      <c r="H127" s="133"/>
    </row>
    <row r="128" spans="1:14" s="44" customFormat="1" x14ac:dyDescent="0.25">
      <c r="A128" s="104" t="s">
        <v>199</v>
      </c>
      <c r="B128" s="105"/>
      <c r="C128" s="105"/>
      <c r="D128" s="105"/>
      <c r="E128" s="105"/>
      <c r="F128" s="105"/>
      <c r="G128" s="105"/>
      <c r="H128" s="106"/>
      <c r="J128" s="36"/>
    </row>
    <row r="129" spans="1:14" s="44" customFormat="1" ht="15.75" customHeight="1" x14ac:dyDescent="0.25">
      <c r="A129" s="50">
        <v>1</v>
      </c>
      <c r="B129" s="51" t="s">
        <v>224</v>
      </c>
      <c r="C129" s="49">
        <v>1</v>
      </c>
      <c r="D129" s="62">
        <f>(39.52)*10.764</f>
        <v>425.39328</v>
      </c>
      <c r="E129" s="41">
        <v>0</v>
      </c>
      <c r="F129" s="41">
        <f t="shared" ref="F129:F134" si="4">D129*(($F$124)+1)+(IF(E129&lt;101,E129,IF(E129&lt;201,E129/2,IF(E129&lt;=301,E129/3,E129/4))))</f>
        <v>659.35958400000004</v>
      </c>
      <c r="G129" s="86" t="str">
        <f>A128</f>
        <v>9th Floor for Residential</v>
      </c>
      <c r="H129" s="87"/>
      <c r="I129" s="36"/>
      <c r="L129" s="193"/>
      <c r="M129" s="193"/>
      <c r="N129" s="36"/>
    </row>
    <row r="130" spans="1:14" s="44" customFormat="1" ht="15.75" customHeight="1" x14ac:dyDescent="0.25">
      <c r="A130" s="50">
        <f t="shared" ref="A130" si="5">A129+1</f>
        <v>2</v>
      </c>
      <c r="B130" s="51" t="s">
        <v>224</v>
      </c>
      <c r="C130" s="49">
        <v>1</v>
      </c>
      <c r="D130" s="62">
        <f>(39.52)*10.764</f>
        <v>425.39328</v>
      </c>
      <c r="E130" s="41">
        <v>0</v>
      </c>
      <c r="F130" s="41">
        <f t="shared" si="4"/>
        <v>659.35958400000004</v>
      </c>
      <c r="G130" s="88"/>
      <c r="H130" s="89"/>
      <c r="I130" s="36"/>
      <c r="L130" s="193"/>
      <c r="M130" s="193"/>
      <c r="N130" s="36"/>
    </row>
    <row r="131" spans="1:14" s="44" customFormat="1" ht="15.75" customHeight="1" x14ac:dyDescent="0.25">
      <c r="A131" s="50">
        <v>3</v>
      </c>
      <c r="B131" s="51" t="s">
        <v>224</v>
      </c>
      <c r="C131" s="49">
        <v>2</v>
      </c>
      <c r="D131" s="62">
        <f>(51.3)*10.764</f>
        <v>552.19319999999993</v>
      </c>
      <c r="E131" s="41">
        <v>0</v>
      </c>
      <c r="F131" s="41">
        <f t="shared" si="4"/>
        <v>855.89945999999998</v>
      </c>
      <c r="G131" s="88"/>
      <c r="H131" s="89"/>
      <c r="I131" s="36"/>
      <c r="J131" s="62">
        <v>10.763999999999999</v>
      </c>
      <c r="L131" s="193"/>
      <c r="M131" s="193"/>
      <c r="N131" s="36"/>
    </row>
    <row r="132" spans="1:14" s="44" customFormat="1" ht="15.75" customHeight="1" x14ac:dyDescent="0.25">
      <c r="A132" s="50">
        <v>4</v>
      </c>
      <c r="B132" s="51" t="s">
        <v>224</v>
      </c>
      <c r="C132" s="49">
        <v>2</v>
      </c>
      <c r="D132" s="62">
        <f>(48.92)*10.764</f>
        <v>526.57488000000001</v>
      </c>
      <c r="E132" s="41">
        <v>0</v>
      </c>
      <c r="F132" s="41">
        <f t="shared" si="4"/>
        <v>816.19106399999998</v>
      </c>
      <c r="G132" s="88"/>
      <c r="H132" s="89"/>
      <c r="I132" s="36"/>
      <c r="L132" s="193"/>
      <c r="M132" s="193"/>
      <c r="N132" s="36"/>
    </row>
    <row r="133" spans="1:14" s="52" customFormat="1" ht="15.75" customHeight="1" x14ac:dyDescent="0.25">
      <c r="A133" s="50">
        <v>5</v>
      </c>
      <c r="B133" s="51" t="s">
        <v>224</v>
      </c>
      <c r="C133" s="49" t="s">
        <v>219</v>
      </c>
      <c r="D133" s="62">
        <f>(80.3)*10.764</f>
        <v>864.34919999999988</v>
      </c>
      <c r="E133" s="51">
        <v>0</v>
      </c>
      <c r="F133" s="51">
        <f t="shared" si="4"/>
        <v>1339.7412599999998</v>
      </c>
      <c r="G133" s="88"/>
      <c r="H133" s="89"/>
      <c r="I133" s="36"/>
      <c r="L133" s="193"/>
      <c r="M133" s="193"/>
      <c r="N133" s="36"/>
    </row>
    <row r="134" spans="1:14" s="52" customFormat="1" ht="15.75" customHeight="1" x14ac:dyDescent="0.25">
      <c r="A134" s="50">
        <v>6</v>
      </c>
      <c r="B134" s="51" t="s">
        <v>224</v>
      </c>
      <c r="C134" s="49">
        <v>4</v>
      </c>
      <c r="D134" s="62">
        <f>(107.81)*10.764</f>
        <v>1160.46684</v>
      </c>
      <c r="E134" s="51">
        <v>0</v>
      </c>
      <c r="F134" s="51">
        <f t="shared" si="4"/>
        <v>1798.723602</v>
      </c>
      <c r="G134" s="90"/>
      <c r="H134" s="91"/>
      <c r="I134" s="36"/>
      <c r="L134" s="193"/>
      <c r="M134" s="193"/>
      <c r="N134" s="36"/>
    </row>
    <row r="135" spans="1:14" s="52" customFormat="1" x14ac:dyDescent="0.25">
      <c r="A135" s="104" t="s">
        <v>195</v>
      </c>
      <c r="B135" s="105"/>
      <c r="C135" s="105"/>
      <c r="D135" s="105"/>
      <c r="E135" s="105"/>
      <c r="F135" s="105"/>
      <c r="G135" s="105"/>
      <c r="H135" s="106"/>
      <c r="J135" s="36"/>
    </row>
    <row r="136" spans="1:14" s="52" customFormat="1" x14ac:dyDescent="0.25">
      <c r="A136" s="51">
        <v>1</v>
      </c>
      <c r="B136" s="51" t="s">
        <v>224</v>
      </c>
      <c r="C136" s="49">
        <v>1</v>
      </c>
      <c r="D136" s="62">
        <f>(39.52)*10.764</f>
        <v>425.39328</v>
      </c>
      <c r="E136" s="51">
        <v>0</v>
      </c>
      <c r="F136" s="51">
        <f t="shared" ref="F136:F141" si="6">D136*(($F$124)+1)+(IF(E136&lt;101,E136,IF(E136&lt;201,E136/2,IF(E136&lt;=301,E136/3,E136/4))))</f>
        <v>659.35958400000004</v>
      </c>
      <c r="G136" s="86" t="str">
        <f>A135</f>
        <v>10th Floor</v>
      </c>
      <c r="H136" s="87"/>
      <c r="I136" s="36"/>
      <c r="L136" s="193"/>
      <c r="M136" s="193"/>
      <c r="N136" s="36"/>
    </row>
    <row r="137" spans="1:14" s="52" customFormat="1" x14ac:dyDescent="0.25">
      <c r="A137" s="51">
        <f t="shared" ref="A137" si="7">A136+1</f>
        <v>2</v>
      </c>
      <c r="B137" s="51" t="s">
        <v>224</v>
      </c>
      <c r="C137" s="49">
        <v>1</v>
      </c>
      <c r="D137" s="62">
        <f>(39.52)*10.764</f>
        <v>425.39328</v>
      </c>
      <c r="E137" s="51">
        <v>0</v>
      </c>
      <c r="F137" s="51">
        <f t="shared" si="6"/>
        <v>659.35958400000004</v>
      </c>
      <c r="G137" s="88"/>
      <c r="H137" s="89"/>
      <c r="I137" s="36"/>
      <c r="L137" s="193"/>
      <c r="M137" s="193"/>
      <c r="N137" s="36"/>
    </row>
    <row r="138" spans="1:14" s="52" customFormat="1" x14ac:dyDescent="0.25">
      <c r="A138" s="51">
        <v>3</v>
      </c>
      <c r="B138" s="51" t="s">
        <v>224</v>
      </c>
      <c r="C138" s="49">
        <v>4</v>
      </c>
      <c r="D138" s="62">
        <f>(100.67)*10.764</f>
        <v>1083.6118799999999</v>
      </c>
      <c r="E138" s="51">
        <v>0</v>
      </c>
      <c r="F138" s="51">
        <f t="shared" si="6"/>
        <v>1679.598414</v>
      </c>
      <c r="G138" s="88"/>
      <c r="H138" s="89"/>
      <c r="I138" s="36"/>
      <c r="L138" s="193"/>
      <c r="M138" s="193"/>
      <c r="N138" s="36"/>
    </row>
    <row r="139" spans="1:14" s="52" customFormat="1" x14ac:dyDescent="0.25">
      <c r="A139" s="51">
        <v>4</v>
      </c>
      <c r="B139" s="51" t="s">
        <v>224</v>
      </c>
      <c r="C139" s="49" t="s">
        <v>219</v>
      </c>
      <c r="D139" s="62">
        <f>(80.36)*10.764</f>
        <v>864.9950399999999</v>
      </c>
      <c r="E139" s="51">
        <v>0</v>
      </c>
      <c r="F139" s="51">
        <f t="shared" si="6"/>
        <v>1340.7423119999999</v>
      </c>
      <c r="G139" s="88"/>
      <c r="H139" s="89"/>
      <c r="I139" s="36"/>
      <c r="L139" s="193"/>
      <c r="M139" s="193"/>
      <c r="N139" s="36"/>
    </row>
    <row r="140" spans="1:14" s="52" customFormat="1" x14ac:dyDescent="0.25">
      <c r="A140" s="51">
        <v>5</v>
      </c>
      <c r="B140" s="51" t="s">
        <v>224</v>
      </c>
      <c r="C140" s="49">
        <v>2</v>
      </c>
      <c r="D140" s="62">
        <f>(61.37)*10.764</f>
        <v>660.58667999999989</v>
      </c>
      <c r="E140" s="51">
        <v>0</v>
      </c>
      <c r="F140" s="51">
        <f t="shared" si="6"/>
        <v>1023.9093539999999</v>
      </c>
      <c r="G140" s="88"/>
      <c r="H140" s="89"/>
      <c r="I140" s="36"/>
      <c r="L140" s="193"/>
      <c r="M140" s="193"/>
      <c r="N140" s="36"/>
    </row>
    <row r="141" spans="1:14" s="52" customFormat="1" x14ac:dyDescent="0.25">
      <c r="A141" s="51">
        <v>6</v>
      </c>
      <c r="B141" s="51" t="s">
        <v>225</v>
      </c>
      <c r="C141" s="49">
        <v>2</v>
      </c>
      <c r="D141" s="62">
        <f>(61.37)*10.764</f>
        <v>660.58667999999989</v>
      </c>
      <c r="E141" s="51">
        <v>0</v>
      </c>
      <c r="F141" s="51">
        <f t="shared" si="6"/>
        <v>1023.9093539999999</v>
      </c>
      <c r="G141" s="90"/>
      <c r="H141" s="91"/>
      <c r="I141" s="36"/>
      <c r="L141" s="193"/>
      <c r="M141" s="193"/>
      <c r="N141" s="36"/>
    </row>
    <row r="142" spans="1:14" s="52" customFormat="1" x14ac:dyDescent="0.25">
      <c r="A142" s="104" t="s">
        <v>200</v>
      </c>
      <c r="B142" s="105"/>
      <c r="C142" s="105"/>
      <c r="D142" s="105"/>
      <c r="E142" s="105"/>
      <c r="F142" s="105"/>
      <c r="G142" s="105"/>
      <c r="H142" s="106"/>
      <c r="J142" s="36"/>
    </row>
    <row r="143" spans="1:14" s="52" customFormat="1" x14ac:dyDescent="0.25">
      <c r="A143" s="51">
        <v>1</v>
      </c>
      <c r="B143" s="51" t="s">
        <v>224</v>
      </c>
      <c r="C143" s="49">
        <v>1</v>
      </c>
      <c r="D143" s="62">
        <f>(39.52)*10.764</f>
        <v>425.39328</v>
      </c>
      <c r="E143" s="51">
        <v>0</v>
      </c>
      <c r="F143" s="51">
        <f t="shared" ref="F143:F149" si="8">D143*(($F$124)+1)+(IF(E143&lt;101,E143,IF(E143&lt;201,E143/2,IF(E143&lt;=301,E143/3,E143/4))))</f>
        <v>659.35958400000004</v>
      </c>
      <c r="G143" s="86" t="str">
        <f>A142</f>
        <v>11th Floor</v>
      </c>
      <c r="H143" s="87"/>
      <c r="I143" s="36"/>
      <c r="L143" s="193"/>
      <c r="M143" s="193"/>
      <c r="N143" s="36"/>
    </row>
    <row r="144" spans="1:14" s="52" customFormat="1" x14ac:dyDescent="0.25">
      <c r="A144" s="51">
        <f t="shared" ref="A144" si="9">A143+1</f>
        <v>2</v>
      </c>
      <c r="B144" s="51" t="s">
        <v>224</v>
      </c>
      <c r="C144" s="49">
        <v>1</v>
      </c>
      <c r="D144" s="62">
        <f>(39.52)*10.764</f>
        <v>425.39328</v>
      </c>
      <c r="E144" s="51">
        <v>0</v>
      </c>
      <c r="F144" s="51">
        <f t="shared" si="8"/>
        <v>659.35958400000004</v>
      </c>
      <c r="G144" s="88"/>
      <c r="H144" s="89"/>
      <c r="I144" s="36"/>
      <c r="L144" s="193"/>
      <c r="M144" s="193"/>
      <c r="N144" s="36"/>
    </row>
    <row r="145" spans="1:14" s="52" customFormat="1" x14ac:dyDescent="0.25">
      <c r="A145" s="51">
        <v>3</v>
      </c>
      <c r="B145" s="51" t="s">
        <v>224</v>
      </c>
      <c r="C145" s="49">
        <v>2</v>
      </c>
      <c r="D145" s="62">
        <f>(52.62)*10.764</f>
        <v>566.40167999999994</v>
      </c>
      <c r="E145" s="51">
        <v>0</v>
      </c>
      <c r="F145" s="51">
        <f t="shared" si="8"/>
        <v>877.92260399999998</v>
      </c>
      <c r="G145" s="88"/>
      <c r="H145" s="89"/>
      <c r="I145" s="36"/>
      <c r="L145" s="193"/>
      <c r="M145" s="193"/>
      <c r="N145" s="36"/>
    </row>
    <row r="146" spans="1:14" s="52" customFormat="1" x14ac:dyDescent="0.25">
      <c r="A146" s="51">
        <v>4</v>
      </c>
      <c r="B146" s="51" t="s">
        <v>224</v>
      </c>
      <c r="C146" s="49">
        <v>2</v>
      </c>
      <c r="D146" s="62">
        <f>(54.71)*10.764</f>
        <v>588.89843999999994</v>
      </c>
      <c r="E146" s="51">
        <v>0</v>
      </c>
      <c r="F146" s="51">
        <f t="shared" si="8"/>
        <v>912.79258199999992</v>
      </c>
      <c r="G146" s="88"/>
      <c r="H146" s="89"/>
      <c r="I146" s="36"/>
      <c r="L146" s="193"/>
      <c r="M146" s="193"/>
      <c r="N146" s="36"/>
    </row>
    <row r="147" spans="1:14" s="52" customFormat="1" x14ac:dyDescent="0.25">
      <c r="A147" s="51">
        <v>5</v>
      </c>
      <c r="B147" s="51" t="s">
        <v>224</v>
      </c>
      <c r="C147" s="49" t="s">
        <v>219</v>
      </c>
      <c r="D147" s="62">
        <f>(80.3)*10.764</f>
        <v>864.34919999999988</v>
      </c>
      <c r="E147" s="51">
        <v>0</v>
      </c>
      <c r="F147" s="51">
        <f t="shared" si="8"/>
        <v>1339.7412599999998</v>
      </c>
      <c r="G147" s="88"/>
      <c r="H147" s="89"/>
      <c r="I147" s="36"/>
      <c r="L147" s="193"/>
      <c r="M147" s="193"/>
      <c r="N147" s="36"/>
    </row>
    <row r="148" spans="1:14" s="52" customFormat="1" x14ac:dyDescent="0.25">
      <c r="A148" s="51">
        <v>6</v>
      </c>
      <c r="B148" s="51" t="s">
        <v>225</v>
      </c>
      <c r="C148" s="49">
        <v>2</v>
      </c>
      <c r="D148" s="62">
        <f>(61.37)*10.764</f>
        <v>660.58667999999989</v>
      </c>
      <c r="E148" s="51">
        <v>0</v>
      </c>
      <c r="F148" s="51">
        <f t="shared" si="8"/>
        <v>1023.9093539999999</v>
      </c>
      <c r="G148" s="88"/>
      <c r="H148" s="89"/>
      <c r="I148" s="36"/>
      <c r="L148" s="193"/>
      <c r="M148" s="193"/>
      <c r="N148" s="36"/>
    </row>
    <row r="149" spans="1:14" s="52" customFormat="1" x14ac:dyDescent="0.25">
      <c r="A149" s="51">
        <v>7</v>
      </c>
      <c r="B149" s="51" t="s">
        <v>225</v>
      </c>
      <c r="C149" s="49">
        <v>2</v>
      </c>
      <c r="D149" s="62">
        <f>(61.37)*10.764</f>
        <v>660.58667999999989</v>
      </c>
      <c r="E149" s="51">
        <v>0</v>
      </c>
      <c r="F149" s="51">
        <f t="shared" si="8"/>
        <v>1023.9093539999999</v>
      </c>
      <c r="G149" s="90"/>
      <c r="H149" s="91"/>
      <c r="I149" s="36"/>
      <c r="L149" s="193"/>
      <c r="M149" s="193"/>
      <c r="N149" s="36"/>
    </row>
    <row r="150" spans="1:14" s="52" customFormat="1" x14ac:dyDescent="0.25">
      <c r="A150" s="104" t="s">
        <v>201</v>
      </c>
      <c r="B150" s="105"/>
      <c r="C150" s="105"/>
      <c r="D150" s="105"/>
      <c r="E150" s="105"/>
      <c r="F150" s="105"/>
      <c r="G150" s="105"/>
      <c r="H150" s="106"/>
      <c r="J150" s="36"/>
    </row>
    <row r="151" spans="1:14" s="52" customFormat="1" x14ac:dyDescent="0.25">
      <c r="A151" s="51">
        <v>1</v>
      </c>
      <c r="B151" s="51" t="s">
        <v>224</v>
      </c>
      <c r="C151" s="49">
        <v>1</v>
      </c>
      <c r="D151" s="62">
        <f>(39.52)*10.764</f>
        <v>425.39328</v>
      </c>
      <c r="E151" s="51">
        <v>0</v>
      </c>
      <c r="F151" s="51">
        <f t="shared" ref="F151:F158" si="10">D151*(($F$124)+1)+(IF(E151&lt;101,E151,IF(E151&lt;201,E151/2,IF(E151&lt;=301,E151/3,E151/4))))</f>
        <v>659.35958400000004</v>
      </c>
      <c r="G151" s="86" t="str">
        <f>A150</f>
        <v>12th Floor</v>
      </c>
      <c r="H151" s="87"/>
      <c r="I151" s="36"/>
      <c r="L151" s="193"/>
      <c r="M151" s="193"/>
      <c r="N151" s="36"/>
    </row>
    <row r="152" spans="1:14" s="52" customFormat="1" x14ac:dyDescent="0.25">
      <c r="A152" s="51">
        <f t="shared" ref="A152" si="11">A151+1</f>
        <v>2</v>
      </c>
      <c r="B152" s="51" t="s">
        <v>224</v>
      </c>
      <c r="C152" s="49">
        <v>1</v>
      </c>
      <c r="D152" s="62">
        <f>(39.52)*10.764</f>
        <v>425.39328</v>
      </c>
      <c r="E152" s="51">
        <v>0</v>
      </c>
      <c r="F152" s="51">
        <f t="shared" si="10"/>
        <v>659.35958400000004</v>
      </c>
      <c r="G152" s="88"/>
      <c r="H152" s="89"/>
      <c r="I152" s="36"/>
      <c r="L152" s="193"/>
      <c r="M152" s="193"/>
      <c r="N152" s="36"/>
    </row>
    <row r="153" spans="1:14" s="52" customFormat="1" x14ac:dyDescent="0.25">
      <c r="A153" s="54">
        <v>3</v>
      </c>
      <c r="B153" s="54" t="s">
        <v>226</v>
      </c>
      <c r="C153" s="49">
        <v>2</v>
      </c>
      <c r="D153" s="62">
        <f>(58.23)*10.764</f>
        <v>626.78771999999992</v>
      </c>
      <c r="E153" s="51">
        <v>0</v>
      </c>
      <c r="F153" s="51">
        <f t="shared" si="10"/>
        <v>971.52096599999993</v>
      </c>
      <c r="G153" s="88"/>
      <c r="H153" s="89"/>
      <c r="I153" s="36"/>
      <c r="L153" s="193"/>
      <c r="M153" s="193"/>
      <c r="N153" s="36"/>
    </row>
    <row r="154" spans="1:14" s="52" customFormat="1" x14ac:dyDescent="0.25">
      <c r="A154" s="54">
        <v>4</v>
      </c>
      <c r="B154" s="54" t="s">
        <v>226</v>
      </c>
      <c r="C154" s="49">
        <v>2</v>
      </c>
      <c r="D154" s="62">
        <f>(58.23)*10.764</f>
        <v>626.78771999999992</v>
      </c>
      <c r="E154" s="51">
        <v>0</v>
      </c>
      <c r="F154" s="51">
        <f t="shared" si="10"/>
        <v>971.52096599999993</v>
      </c>
      <c r="G154" s="88"/>
      <c r="H154" s="89"/>
      <c r="I154" s="36"/>
      <c r="L154" s="193"/>
      <c r="M154" s="193"/>
      <c r="N154" s="36"/>
    </row>
    <row r="155" spans="1:14" s="52" customFormat="1" x14ac:dyDescent="0.25">
      <c r="A155" s="51">
        <v>5</v>
      </c>
      <c r="B155" s="51" t="s">
        <v>224</v>
      </c>
      <c r="C155" s="49">
        <v>1</v>
      </c>
      <c r="D155" s="62">
        <f>(39.67)*10.764</f>
        <v>427.00788</v>
      </c>
      <c r="E155" s="51">
        <v>0</v>
      </c>
      <c r="F155" s="51">
        <f t="shared" si="10"/>
        <v>661.86221399999999</v>
      </c>
      <c r="G155" s="88"/>
      <c r="H155" s="89"/>
      <c r="I155" s="36"/>
      <c r="L155" s="193"/>
      <c r="M155" s="193"/>
      <c r="N155" s="36"/>
    </row>
    <row r="156" spans="1:14" s="52" customFormat="1" x14ac:dyDescent="0.25">
      <c r="A156" s="51">
        <v>6</v>
      </c>
      <c r="B156" s="51" t="s">
        <v>224</v>
      </c>
      <c r="C156" s="49">
        <v>1</v>
      </c>
      <c r="D156" s="62">
        <f>(39.67)*10.764</f>
        <v>427.00788</v>
      </c>
      <c r="E156" s="51">
        <v>0</v>
      </c>
      <c r="F156" s="51">
        <f t="shared" si="10"/>
        <v>661.86221399999999</v>
      </c>
      <c r="G156" s="88"/>
      <c r="H156" s="89"/>
      <c r="I156" s="36"/>
      <c r="L156" s="193"/>
      <c r="M156" s="193"/>
      <c r="N156" s="36"/>
    </row>
    <row r="157" spans="1:14" s="52" customFormat="1" x14ac:dyDescent="0.25">
      <c r="A157" s="51">
        <v>7</v>
      </c>
      <c r="B157" s="51" t="s">
        <v>225</v>
      </c>
      <c r="C157" s="49">
        <v>2</v>
      </c>
      <c r="D157" s="62">
        <f>(61.37)*10.764</f>
        <v>660.58667999999989</v>
      </c>
      <c r="E157" s="51">
        <v>0</v>
      </c>
      <c r="F157" s="51">
        <f t="shared" si="10"/>
        <v>1023.9093539999999</v>
      </c>
      <c r="G157" s="88"/>
      <c r="H157" s="89"/>
      <c r="I157" s="36"/>
      <c r="L157" s="193"/>
      <c r="M157" s="193"/>
      <c r="N157" s="36"/>
    </row>
    <row r="158" spans="1:14" s="52" customFormat="1" x14ac:dyDescent="0.25">
      <c r="A158" s="51">
        <v>8</v>
      </c>
      <c r="B158" s="51" t="s">
        <v>225</v>
      </c>
      <c r="C158" s="49">
        <v>2</v>
      </c>
      <c r="D158" s="62">
        <f>(61.37)*10.764</f>
        <v>660.58667999999989</v>
      </c>
      <c r="E158" s="51">
        <v>0</v>
      </c>
      <c r="F158" s="51">
        <f t="shared" si="10"/>
        <v>1023.9093539999999</v>
      </c>
      <c r="G158" s="90"/>
      <c r="H158" s="91"/>
      <c r="I158" s="36"/>
      <c r="L158" s="193"/>
      <c r="M158" s="193"/>
      <c r="N158" s="36"/>
    </row>
    <row r="159" spans="1:14" s="52" customFormat="1" x14ac:dyDescent="0.25">
      <c r="A159" s="104" t="s">
        <v>202</v>
      </c>
      <c r="B159" s="105"/>
      <c r="C159" s="105"/>
      <c r="D159" s="105"/>
      <c r="E159" s="105"/>
      <c r="F159" s="105"/>
      <c r="G159" s="105"/>
      <c r="H159" s="106"/>
      <c r="J159" s="36"/>
    </row>
    <row r="160" spans="1:14" s="52" customFormat="1" x14ac:dyDescent="0.25">
      <c r="A160" s="51">
        <v>1</v>
      </c>
      <c r="B160" s="51" t="s">
        <v>224</v>
      </c>
      <c r="C160" s="49">
        <v>1</v>
      </c>
      <c r="D160" s="62">
        <f>(39.52)*10.764</f>
        <v>425.39328</v>
      </c>
      <c r="E160" s="51">
        <v>0</v>
      </c>
      <c r="F160" s="51">
        <f t="shared" ref="F160:F167" si="12">D160*(($F$124)+1)+(IF(E160&lt;101,E160,IF(E160&lt;201,E160/2,IF(E160&lt;=301,E160/3,E160/4))))</f>
        <v>659.35958400000004</v>
      </c>
      <c r="G160" s="86" t="str">
        <f>A159</f>
        <v>13th Floor</v>
      </c>
      <c r="H160" s="87"/>
      <c r="I160" s="36"/>
      <c r="L160" s="193"/>
      <c r="M160" s="193"/>
      <c r="N160" s="36"/>
    </row>
    <row r="161" spans="1:14" s="52" customFormat="1" x14ac:dyDescent="0.25">
      <c r="A161" s="51">
        <f t="shared" ref="A161" si="13">A160+1</f>
        <v>2</v>
      </c>
      <c r="B161" s="51" t="s">
        <v>224</v>
      </c>
      <c r="C161" s="49">
        <v>1</v>
      </c>
      <c r="D161" s="62">
        <f>(39.52)*10.764</f>
        <v>425.39328</v>
      </c>
      <c r="E161" s="51">
        <v>0</v>
      </c>
      <c r="F161" s="51">
        <f t="shared" si="12"/>
        <v>659.35958400000004</v>
      </c>
      <c r="G161" s="88"/>
      <c r="H161" s="89"/>
      <c r="I161" s="36"/>
      <c r="L161" s="193"/>
      <c r="M161" s="193"/>
      <c r="N161" s="36"/>
    </row>
    <row r="162" spans="1:14" s="52" customFormat="1" x14ac:dyDescent="0.25">
      <c r="A162" s="51">
        <v>3</v>
      </c>
      <c r="B162" s="51" t="s">
        <v>224</v>
      </c>
      <c r="C162" s="49">
        <v>2</v>
      </c>
      <c r="D162" s="62">
        <f>(54.71)*10.764</f>
        <v>588.89843999999994</v>
      </c>
      <c r="E162" s="51">
        <v>0</v>
      </c>
      <c r="F162" s="51">
        <f t="shared" si="12"/>
        <v>912.79258199999992</v>
      </c>
      <c r="G162" s="88"/>
      <c r="H162" s="89"/>
      <c r="I162" s="36"/>
      <c r="L162" s="193"/>
      <c r="M162" s="193"/>
      <c r="N162" s="36"/>
    </row>
    <row r="163" spans="1:14" s="52" customFormat="1" x14ac:dyDescent="0.25">
      <c r="A163" s="51">
        <v>4</v>
      </c>
      <c r="B163" s="51" t="s">
        <v>224</v>
      </c>
      <c r="C163" s="49">
        <v>2</v>
      </c>
      <c r="D163" s="62">
        <f>(54.71)*10.764</f>
        <v>588.89843999999994</v>
      </c>
      <c r="E163" s="51">
        <v>0</v>
      </c>
      <c r="F163" s="51">
        <f t="shared" si="12"/>
        <v>912.79258199999992</v>
      </c>
      <c r="G163" s="88"/>
      <c r="H163" s="89"/>
      <c r="I163" s="36"/>
      <c r="L163" s="193"/>
      <c r="M163" s="193"/>
      <c r="N163" s="36"/>
    </row>
    <row r="164" spans="1:14" s="52" customFormat="1" x14ac:dyDescent="0.25">
      <c r="A164" s="51">
        <v>5</v>
      </c>
      <c r="B164" s="51" t="s">
        <v>224</v>
      </c>
      <c r="C164" s="49">
        <v>1</v>
      </c>
      <c r="D164" s="62">
        <f>(39.67)*10.764</f>
        <v>427.00788</v>
      </c>
      <c r="E164" s="51">
        <v>0</v>
      </c>
      <c r="F164" s="51">
        <f t="shared" si="12"/>
        <v>661.86221399999999</v>
      </c>
      <c r="G164" s="88"/>
      <c r="H164" s="89"/>
      <c r="I164" s="36"/>
      <c r="L164" s="193"/>
      <c r="M164" s="193"/>
      <c r="N164" s="36"/>
    </row>
    <row r="165" spans="1:14" s="52" customFormat="1" x14ac:dyDescent="0.25">
      <c r="A165" s="51">
        <v>6</v>
      </c>
      <c r="B165" s="51" t="s">
        <v>224</v>
      </c>
      <c r="C165" s="49">
        <v>1</v>
      </c>
      <c r="D165" s="62">
        <f>(39.67)*10.764</f>
        <v>427.00788</v>
      </c>
      <c r="E165" s="51">
        <v>0</v>
      </c>
      <c r="F165" s="51">
        <f t="shared" si="12"/>
        <v>661.86221399999999</v>
      </c>
      <c r="G165" s="88"/>
      <c r="H165" s="89"/>
      <c r="I165" s="36"/>
      <c r="L165" s="193"/>
      <c r="M165" s="193"/>
      <c r="N165" s="36"/>
    </row>
    <row r="166" spans="1:14" s="52" customFormat="1" x14ac:dyDescent="0.25">
      <c r="A166" s="51">
        <v>7</v>
      </c>
      <c r="B166" s="51" t="s">
        <v>225</v>
      </c>
      <c r="C166" s="49">
        <v>2</v>
      </c>
      <c r="D166" s="62">
        <f>(61.37)*10.764</f>
        <v>660.58667999999989</v>
      </c>
      <c r="E166" s="51">
        <v>0</v>
      </c>
      <c r="F166" s="51">
        <f t="shared" si="12"/>
        <v>1023.9093539999999</v>
      </c>
      <c r="G166" s="88"/>
      <c r="H166" s="89"/>
      <c r="I166" s="36"/>
      <c r="L166" s="193"/>
      <c r="M166" s="193"/>
      <c r="N166" s="36"/>
    </row>
    <row r="167" spans="1:14" s="52" customFormat="1" x14ac:dyDescent="0.25">
      <c r="A167" s="51">
        <v>8</v>
      </c>
      <c r="B167" s="51" t="s">
        <v>225</v>
      </c>
      <c r="C167" s="49">
        <v>2</v>
      </c>
      <c r="D167" s="62">
        <f>(61.37)*10.764</f>
        <v>660.58667999999989</v>
      </c>
      <c r="E167" s="51">
        <v>0</v>
      </c>
      <c r="F167" s="51">
        <f t="shared" si="12"/>
        <v>1023.9093539999999</v>
      </c>
      <c r="G167" s="90"/>
      <c r="H167" s="91"/>
      <c r="I167" s="36"/>
      <c r="L167" s="193"/>
      <c r="M167" s="193"/>
      <c r="N167" s="36"/>
    </row>
    <row r="168" spans="1:14" s="52" customFormat="1" x14ac:dyDescent="0.25">
      <c r="A168" s="104" t="s">
        <v>203</v>
      </c>
      <c r="B168" s="105"/>
      <c r="C168" s="105"/>
      <c r="D168" s="105"/>
      <c r="E168" s="105"/>
      <c r="F168" s="105"/>
      <c r="G168" s="105"/>
      <c r="H168" s="106"/>
      <c r="J168" s="36"/>
    </row>
    <row r="169" spans="1:14" s="52" customFormat="1" x14ac:dyDescent="0.25">
      <c r="A169" s="51">
        <v>1</v>
      </c>
      <c r="B169" s="51" t="s">
        <v>224</v>
      </c>
      <c r="C169" s="49">
        <v>1</v>
      </c>
      <c r="D169" s="62">
        <f>(39.52)*10.764</f>
        <v>425.39328</v>
      </c>
      <c r="E169" s="51">
        <v>0</v>
      </c>
      <c r="F169" s="51">
        <f t="shared" ref="F169:F175" si="14">D169*(($F$124)+1)+(IF(E169&lt;101,E169,IF(E169&lt;201,E169/2,IF(E169&lt;=301,E169/3,E169/4))))</f>
        <v>659.35958400000004</v>
      </c>
      <c r="G169" s="86" t="str">
        <f>A168</f>
        <v>14th Floor</v>
      </c>
      <c r="H169" s="87"/>
      <c r="I169" s="36"/>
      <c r="L169" s="193"/>
      <c r="M169" s="193"/>
      <c r="N169" s="36"/>
    </row>
    <row r="170" spans="1:14" s="52" customFormat="1" x14ac:dyDescent="0.25">
      <c r="A170" s="51">
        <f t="shared" ref="A170" si="15">A169+1</f>
        <v>2</v>
      </c>
      <c r="B170" s="51" t="s">
        <v>224</v>
      </c>
      <c r="C170" s="49">
        <v>1</v>
      </c>
      <c r="D170" s="62">
        <f>(39.52)*10.764</f>
        <v>425.39328</v>
      </c>
      <c r="E170" s="51">
        <v>0</v>
      </c>
      <c r="F170" s="51">
        <f t="shared" si="14"/>
        <v>659.35958400000004</v>
      </c>
      <c r="G170" s="88"/>
      <c r="H170" s="89"/>
      <c r="I170" s="36"/>
      <c r="L170" s="193"/>
      <c r="M170" s="193"/>
      <c r="N170" s="36"/>
    </row>
    <row r="171" spans="1:14" s="52" customFormat="1" x14ac:dyDescent="0.25">
      <c r="A171" s="51">
        <v>3</v>
      </c>
      <c r="B171" s="51" t="s">
        <v>224</v>
      </c>
      <c r="C171" s="49">
        <v>2</v>
      </c>
      <c r="D171" s="62">
        <f>(54.71)*10.764</f>
        <v>588.89843999999994</v>
      </c>
      <c r="E171" s="51">
        <v>0</v>
      </c>
      <c r="F171" s="51">
        <f t="shared" si="14"/>
        <v>912.79258199999992</v>
      </c>
      <c r="G171" s="88"/>
      <c r="H171" s="89"/>
      <c r="I171" s="36"/>
      <c r="L171" s="193"/>
      <c r="M171" s="193"/>
      <c r="N171" s="36"/>
    </row>
    <row r="172" spans="1:14" s="52" customFormat="1" x14ac:dyDescent="0.25">
      <c r="A172" s="54">
        <v>4</v>
      </c>
      <c r="B172" s="54" t="s">
        <v>226</v>
      </c>
      <c r="C172" s="49">
        <v>2</v>
      </c>
      <c r="D172" s="62">
        <f>(58.23)*10.764</f>
        <v>626.78771999999992</v>
      </c>
      <c r="E172" s="51">
        <v>0</v>
      </c>
      <c r="F172" s="51">
        <f t="shared" si="14"/>
        <v>971.52096599999993</v>
      </c>
      <c r="G172" s="88"/>
      <c r="H172" s="89"/>
      <c r="I172" s="36"/>
      <c r="L172" s="193"/>
      <c r="M172" s="193"/>
      <c r="N172" s="36"/>
    </row>
    <row r="173" spans="1:14" s="52" customFormat="1" x14ac:dyDescent="0.25">
      <c r="A173" s="51">
        <v>5</v>
      </c>
      <c r="B173" s="51" t="s">
        <v>224</v>
      </c>
      <c r="C173" s="49" t="s">
        <v>219</v>
      </c>
      <c r="D173" s="62">
        <f>(80.36)*10.764</f>
        <v>864.9950399999999</v>
      </c>
      <c r="E173" s="51">
        <v>0</v>
      </c>
      <c r="F173" s="51">
        <f t="shared" si="14"/>
        <v>1340.7423119999999</v>
      </c>
      <c r="G173" s="88"/>
      <c r="H173" s="89"/>
      <c r="I173" s="36"/>
      <c r="L173" s="193"/>
      <c r="M173" s="193"/>
      <c r="N173" s="36"/>
    </row>
    <row r="174" spans="1:14" s="52" customFormat="1" x14ac:dyDescent="0.25">
      <c r="A174" s="51">
        <v>6</v>
      </c>
      <c r="B174" s="51" t="s">
        <v>224</v>
      </c>
      <c r="C174" s="49">
        <v>2</v>
      </c>
      <c r="D174" s="62">
        <f>(61.37)*10.764</f>
        <v>660.58667999999989</v>
      </c>
      <c r="E174" s="51">
        <v>0</v>
      </c>
      <c r="F174" s="51">
        <f t="shared" si="14"/>
        <v>1023.9093539999999</v>
      </c>
      <c r="G174" s="88"/>
      <c r="H174" s="89"/>
      <c r="I174" s="36"/>
      <c r="K174" s="62">
        <v>10.763999999999999</v>
      </c>
      <c r="L174" s="193"/>
      <c r="M174" s="193"/>
      <c r="N174" s="36"/>
    </row>
    <row r="175" spans="1:14" s="52" customFormat="1" x14ac:dyDescent="0.25">
      <c r="A175" s="51">
        <v>7</v>
      </c>
      <c r="B175" s="51" t="s">
        <v>224</v>
      </c>
      <c r="C175" s="49">
        <v>2</v>
      </c>
      <c r="D175" s="62">
        <f>(61.37)*10.764</f>
        <v>660.58667999999989</v>
      </c>
      <c r="E175" s="51">
        <v>0</v>
      </c>
      <c r="F175" s="51">
        <f t="shared" si="14"/>
        <v>1023.9093539999999</v>
      </c>
      <c r="G175" s="90"/>
      <c r="H175" s="91"/>
      <c r="I175" s="36"/>
      <c r="L175" s="193"/>
      <c r="M175" s="193"/>
      <c r="N175" s="36"/>
    </row>
    <row r="176" spans="1:14" s="52" customFormat="1" x14ac:dyDescent="0.25">
      <c r="A176" s="104" t="s">
        <v>220</v>
      </c>
      <c r="B176" s="105"/>
      <c r="C176" s="105"/>
      <c r="D176" s="105"/>
      <c r="E176" s="105"/>
      <c r="F176" s="105"/>
      <c r="G176" s="105"/>
      <c r="H176" s="106"/>
      <c r="J176" s="36"/>
    </row>
    <row r="177" spans="1:14" s="52" customFormat="1" ht="15.75" customHeight="1" x14ac:dyDescent="0.25">
      <c r="A177" s="51">
        <v>1</v>
      </c>
      <c r="B177" s="51" t="s">
        <v>224</v>
      </c>
      <c r="C177" s="49">
        <v>1</v>
      </c>
      <c r="D177" s="62">
        <f>(39.52)*10.764</f>
        <v>425.39328</v>
      </c>
      <c r="E177" s="51">
        <v>0</v>
      </c>
      <c r="F177" s="51">
        <f>D177*(($F$124)+1)+(IF(E177&lt;101,E177,IF(E177&lt;201,E177/2,IF(E177&lt;=301,E177/3,E177/4))))</f>
        <v>659.35958400000004</v>
      </c>
      <c r="G177" s="86" t="str">
        <f>A176</f>
        <v>15th Floor (Part Refuge Area)</v>
      </c>
      <c r="H177" s="87"/>
      <c r="I177" s="36"/>
      <c r="L177" s="193"/>
      <c r="M177" s="193"/>
      <c r="N177" s="36"/>
    </row>
    <row r="178" spans="1:14" s="52" customFormat="1" ht="15.75" customHeight="1" x14ac:dyDescent="0.25">
      <c r="A178" s="51">
        <f t="shared" ref="A178" si="16">A177+1</f>
        <v>2</v>
      </c>
      <c r="B178" s="51" t="s">
        <v>224</v>
      </c>
      <c r="C178" s="49">
        <v>1</v>
      </c>
      <c r="D178" s="62">
        <f>(39.52)*10.764</f>
        <v>425.39328</v>
      </c>
      <c r="E178" s="51">
        <v>0</v>
      </c>
      <c r="F178" s="51">
        <f>D178*(($F$124)+1)+(IF(E178&lt;101,E178,IF(E178&lt;201,E178/2,IF(E178&lt;=301,E178/3,E178/4))))</f>
        <v>659.35958400000004</v>
      </c>
      <c r="G178" s="88"/>
      <c r="H178" s="89"/>
      <c r="I178" s="36"/>
      <c r="L178" s="193"/>
      <c r="M178" s="193"/>
      <c r="N178" s="36"/>
    </row>
    <row r="179" spans="1:14" s="52" customFormat="1" ht="15.75" customHeight="1" x14ac:dyDescent="0.25">
      <c r="A179" s="51">
        <v>3</v>
      </c>
      <c r="B179" s="51" t="s">
        <v>224</v>
      </c>
      <c r="C179" s="49" t="s">
        <v>219</v>
      </c>
      <c r="D179" s="62">
        <f>(80.36)*10.764</f>
        <v>864.9950399999999</v>
      </c>
      <c r="E179" s="51">
        <v>0</v>
      </c>
      <c r="F179" s="51">
        <f>D179*(($F$124)+1)+(IF(E179&lt;101,E179,IF(E179&lt;201,E179/2,IF(E179&lt;=301,E179/3,E179/4))))</f>
        <v>1340.7423119999999</v>
      </c>
      <c r="G179" s="88"/>
      <c r="H179" s="89"/>
      <c r="I179" s="36"/>
      <c r="L179" s="193"/>
      <c r="M179" s="193"/>
      <c r="N179" s="36"/>
    </row>
    <row r="180" spans="1:14" s="52" customFormat="1" ht="15.75" customHeight="1" x14ac:dyDescent="0.25">
      <c r="A180" s="54">
        <v>4</v>
      </c>
      <c r="B180" s="54" t="s">
        <v>226</v>
      </c>
      <c r="C180" s="49">
        <v>2</v>
      </c>
      <c r="D180" s="62">
        <f>(65.61)*10.764</f>
        <v>706.2260399999999</v>
      </c>
      <c r="E180" s="51">
        <v>0</v>
      </c>
      <c r="F180" s="51">
        <f>D180*(($F$124)+1)+(IF(E180&lt;101,E180,IF(E180&lt;201,E180/2,IF(E180&lt;=301,E180/3,E180/4))))</f>
        <v>1094.6503619999999</v>
      </c>
      <c r="G180" s="88"/>
      <c r="H180" s="89"/>
      <c r="I180" s="36"/>
      <c r="L180" s="193"/>
      <c r="M180" s="193"/>
      <c r="N180" s="36"/>
    </row>
    <row r="181" spans="1:14" s="52" customFormat="1" ht="15.75" customHeight="1" x14ac:dyDescent="0.25">
      <c r="A181" s="54">
        <v>5</v>
      </c>
      <c r="B181" s="54" t="s">
        <v>226</v>
      </c>
      <c r="C181" s="49">
        <v>2</v>
      </c>
      <c r="D181" s="62">
        <f>(65.61)*10.764</f>
        <v>706.2260399999999</v>
      </c>
      <c r="E181" s="51">
        <v>0</v>
      </c>
      <c r="F181" s="51">
        <f>D181*(($F$124)+1)+(IF(E181&lt;101,E181,IF(E181&lt;201,E181/2,IF(E181&lt;=301,E181/3,E181/4))))</f>
        <v>1094.6503619999999</v>
      </c>
      <c r="G181" s="90"/>
      <c r="H181" s="91"/>
      <c r="I181" s="36"/>
      <c r="L181" s="193"/>
      <c r="M181" s="193"/>
      <c r="N181" s="36"/>
    </row>
    <row r="182" spans="1:14" s="52" customFormat="1" x14ac:dyDescent="0.25">
      <c r="A182" s="104" t="s">
        <v>204</v>
      </c>
      <c r="B182" s="105"/>
      <c r="C182" s="105"/>
      <c r="D182" s="105"/>
      <c r="E182" s="105"/>
      <c r="F182" s="105"/>
      <c r="G182" s="105"/>
      <c r="H182" s="106"/>
      <c r="J182" s="36"/>
    </row>
    <row r="183" spans="1:14" s="52" customFormat="1" x14ac:dyDescent="0.25">
      <c r="A183" s="51">
        <v>1</v>
      </c>
      <c r="B183" s="51" t="s">
        <v>224</v>
      </c>
      <c r="C183" s="49">
        <v>1</v>
      </c>
      <c r="D183" s="62">
        <f>(39.52)*10.764</f>
        <v>425.39328</v>
      </c>
      <c r="E183" s="51">
        <v>0</v>
      </c>
      <c r="F183" s="51">
        <f t="shared" ref="F183:F189" si="17">D183*(($F$124)+1)+(IF(E183&lt;101,E183,IF(E183&lt;201,E183/2,IF(E183&lt;=301,E183/3,E183/4))))</f>
        <v>659.35958400000004</v>
      </c>
      <c r="G183" s="86" t="str">
        <f>A182</f>
        <v>16th Floor</v>
      </c>
      <c r="H183" s="87"/>
      <c r="I183" s="36"/>
      <c r="L183" s="193"/>
      <c r="M183" s="193"/>
      <c r="N183" s="36"/>
    </row>
    <row r="184" spans="1:14" s="52" customFormat="1" x14ac:dyDescent="0.25">
      <c r="A184" s="51">
        <f t="shared" ref="A184" si="18">A183+1</f>
        <v>2</v>
      </c>
      <c r="B184" s="51" t="s">
        <v>224</v>
      </c>
      <c r="C184" s="49">
        <v>1</v>
      </c>
      <c r="D184" s="62">
        <f>(39.52)*10.764</f>
        <v>425.39328</v>
      </c>
      <c r="E184" s="51">
        <v>0</v>
      </c>
      <c r="F184" s="51">
        <f t="shared" si="17"/>
        <v>659.35958400000004</v>
      </c>
      <c r="G184" s="88"/>
      <c r="H184" s="89"/>
      <c r="I184" s="36"/>
      <c r="L184" s="193"/>
      <c r="M184" s="193"/>
      <c r="N184" s="36"/>
    </row>
    <row r="185" spans="1:14" s="52" customFormat="1" x14ac:dyDescent="0.25">
      <c r="A185" s="54">
        <v>3</v>
      </c>
      <c r="B185" s="54" t="s">
        <v>226</v>
      </c>
      <c r="C185" s="49">
        <v>2</v>
      </c>
      <c r="D185" s="62">
        <f>(59.14)*10.764</f>
        <v>636.58295999999996</v>
      </c>
      <c r="E185" s="51">
        <v>0</v>
      </c>
      <c r="F185" s="51">
        <f t="shared" si="17"/>
        <v>986.70358799999997</v>
      </c>
      <c r="G185" s="88"/>
      <c r="H185" s="89"/>
      <c r="I185" s="36"/>
      <c r="L185" s="193"/>
      <c r="M185" s="193"/>
      <c r="N185" s="36"/>
    </row>
    <row r="186" spans="1:14" s="52" customFormat="1" x14ac:dyDescent="0.25">
      <c r="A186" s="51">
        <v>4</v>
      </c>
      <c r="B186" s="51" t="s">
        <v>224</v>
      </c>
      <c r="C186" s="49">
        <v>2</v>
      </c>
      <c r="D186" s="62">
        <f>(55.62)*10.764</f>
        <v>598.69367999999997</v>
      </c>
      <c r="E186" s="51">
        <v>0</v>
      </c>
      <c r="F186" s="51">
        <f t="shared" si="17"/>
        <v>927.97520399999996</v>
      </c>
      <c r="G186" s="88"/>
      <c r="H186" s="89"/>
      <c r="I186" s="36"/>
      <c r="L186" s="193"/>
      <c r="M186" s="193"/>
      <c r="N186" s="36"/>
    </row>
    <row r="187" spans="1:14" s="52" customFormat="1" x14ac:dyDescent="0.25">
      <c r="A187" s="51">
        <v>5</v>
      </c>
      <c r="B187" s="51" t="s">
        <v>224</v>
      </c>
      <c r="C187" s="49" t="s">
        <v>219</v>
      </c>
      <c r="D187" s="62">
        <f>(80.36)*10.764</f>
        <v>864.9950399999999</v>
      </c>
      <c r="E187" s="51">
        <v>0</v>
      </c>
      <c r="F187" s="51">
        <f t="shared" si="17"/>
        <v>1340.7423119999999</v>
      </c>
      <c r="G187" s="88"/>
      <c r="H187" s="89"/>
      <c r="I187" s="36"/>
      <c r="L187" s="193"/>
      <c r="M187" s="193"/>
      <c r="N187" s="36"/>
    </row>
    <row r="188" spans="1:14" s="52" customFormat="1" x14ac:dyDescent="0.25">
      <c r="A188" s="54">
        <v>6</v>
      </c>
      <c r="B188" s="54" t="s">
        <v>226</v>
      </c>
      <c r="C188" s="49">
        <v>2</v>
      </c>
      <c r="D188" s="62">
        <f>(65.61)*10.764</f>
        <v>706.2260399999999</v>
      </c>
      <c r="E188" s="51">
        <v>0</v>
      </c>
      <c r="F188" s="51">
        <f t="shared" si="17"/>
        <v>1094.6503619999999</v>
      </c>
      <c r="G188" s="88"/>
      <c r="H188" s="89"/>
      <c r="I188" s="36"/>
      <c r="L188" s="193"/>
      <c r="M188" s="193"/>
      <c r="N188" s="36"/>
    </row>
    <row r="189" spans="1:14" s="52" customFormat="1" x14ac:dyDescent="0.25">
      <c r="A189" s="54">
        <v>7</v>
      </c>
      <c r="B189" s="54" t="s">
        <v>226</v>
      </c>
      <c r="C189" s="49">
        <v>2</v>
      </c>
      <c r="D189" s="62">
        <f>(65.61)*10.764</f>
        <v>706.2260399999999</v>
      </c>
      <c r="E189" s="51">
        <v>0</v>
      </c>
      <c r="F189" s="51">
        <f t="shared" si="17"/>
        <v>1094.6503619999999</v>
      </c>
      <c r="G189" s="90"/>
      <c r="H189" s="91"/>
      <c r="I189" s="36"/>
      <c r="L189" s="193"/>
      <c r="M189" s="193"/>
      <c r="N189" s="36"/>
    </row>
    <row r="190" spans="1:14" s="52" customFormat="1" x14ac:dyDescent="0.25">
      <c r="A190" s="104" t="s">
        <v>205</v>
      </c>
      <c r="B190" s="105"/>
      <c r="C190" s="105"/>
      <c r="D190" s="105"/>
      <c r="E190" s="105"/>
      <c r="F190" s="105"/>
      <c r="G190" s="105"/>
      <c r="H190" s="106"/>
      <c r="J190" s="36"/>
    </row>
    <row r="191" spans="1:14" s="52" customFormat="1" x14ac:dyDescent="0.25">
      <c r="A191" s="51">
        <v>1</v>
      </c>
      <c r="B191" s="51" t="s">
        <v>224</v>
      </c>
      <c r="C191" s="49">
        <v>1</v>
      </c>
      <c r="D191" s="62">
        <f>(39.52)*10.764</f>
        <v>425.39328</v>
      </c>
      <c r="E191" s="51">
        <v>0</v>
      </c>
      <c r="F191" s="51">
        <f t="shared" ref="F191:F198" si="19">D191*(($F$124)+1)+(IF(E191&lt;101,E191,IF(E191&lt;201,E191/2,IF(E191&lt;=301,E191/3,E191/4))))</f>
        <v>659.35958400000004</v>
      </c>
      <c r="G191" s="86" t="str">
        <f>A190</f>
        <v>17th Floor</v>
      </c>
      <c r="H191" s="87"/>
      <c r="I191" s="36"/>
      <c r="L191" s="193"/>
      <c r="M191" s="193"/>
      <c r="N191" s="36"/>
    </row>
    <row r="192" spans="1:14" s="52" customFormat="1" x14ac:dyDescent="0.25">
      <c r="A192" s="51">
        <f t="shared" ref="A192" si="20">A191+1</f>
        <v>2</v>
      </c>
      <c r="B192" s="51" t="s">
        <v>224</v>
      </c>
      <c r="C192" s="49">
        <v>1</v>
      </c>
      <c r="D192" s="62">
        <f>(39.52)*10.764</f>
        <v>425.39328</v>
      </c>
      <c r="E192" s="51">
        <v>0</v>
      </c>
      <c r="F192" s="51">
        <f t="shared" si="19"/>
        <v>659.35958400000004</v>
      </c>
      <c r="G192" s="88"/>
      <c r="H192" s="89"/>
      <c r="I192" s="36"/>
      <c r="L192" s="193"/>
      <c r="M192" s="193"/>
      <c r="N192" s="36"/>
    </row>
    <row r="193" spans="1:14" s="52" customFormat="1" x14ac:dyDescent="0.25">
      <c r="A193" s="54">
        <v>3</v>
      </c>
      <c r="B193" s="54" t="s">
        <v>226</v>
      </c>
      <c r="C193" s="49">
        <v>2</v>
      </c>
      <c r="D193" s="62">
        <f>(59.14)*10.764</f>
        <v>636.58295999999996</v>
      </c>
      <c r="E193" s="51">
        <v>0</v>
      </c>
      <c r="F193" s="51">
        <f t="shared" si="19"/>
        <v>986.70358799999997</v>
      </c>
      <c r="G193" s="88"/>
      <c r="H193" s="89"/>
      <c r="I193" s="36"/>
      <c r="L193" s="193"/>
      <c r="M193" s="193"/>
      <c r="N193" s="36"/>
    </row>
    <row r="194" spans="1:14" s="52" customFormat="1" x14ac:dyDescent="0.25">
      <c r="A194" s="54">
        <v>4</v>
      </c>
      <c r="B194" s="54" t="s">
        <v>226</v>
      </c>
      <c r="C194" s="49">
        <v>2</v>
      </c>
      <c r="D194" s="62">
        <f>(59.14)*10.764</f>
        <v>636.58295999999996</v>
      </c>
      <c r="E194" s="51">
        <v>0</v>
      </c>
      <c r="F194" s="51">
        <f t="shared" si="19"/>
        <v>986.70358799999997</v>
      </c>
      <c r="G194" s="88"/>
      <c r="H194" s="89"/>
      <c r="I194" s="36"/>
      <c r="K194" s="62">
        <v>10.763999999999999</v>
      </c>
      <c r="L194" s="193"/>
      <c r="M194" s="193"/>
      <c r="N194" s="36"/>
    </row>
    <row r="195" spans="1:14" s="52" customFormat="1" x14ac:dyDescent="0.25">
      <c r="A195" s="51">
        <v>5</v>
      </c>
      <c r="B195" s="51" t="s">
        <v>225</v>
      </c>
      <c r="C195" s="49">
        <v>1</v>
      </c>
      <c r="D195" s="62">
        <f>(39.67)*10.764</f>
        <v>427.00788</v>
      </c>
      <c r="E195" s="51">
        <v>0</v>
      </c>
      <c r="F195" s="51">
        <f t="shared" si="19"/>
        <v>661.86221399999999</v>
      </c>
      <c r="G195" s="88"/>
      <c r="H195" s="89"/>
      <c r="I195" s="36"/>
      <c r="L195" s="193"/>
      <c r="M195" s="193"/>
      <c r="N195" s="36"/>
    </row>
    <row r="196" spans="1:14" s="52" customFormat="1" x14ac:dyDescent="0.25">
      <c r="A196" s="51">
        <v>6</v>
      </c>
      <c r="B196" s="51" t="s">
        <v>225</v>
      </c>
      <c r="C196" s="49">
        <v>1</v>
      </c>
      <c r="D196" s="62">
        <f>(39.67)*10.764</f>
        <v>427.00788</v>
      </c>
      <c r="E196" s="51">
        <v>0</v>
      </c>
      <c r="F196" s="51">
        <f t="shared" si="19"/>
        <v>661.86221399999999</v>
      </c>
      <c r="G196" s="88"/>
      <c r="H196" s="89"/>
      <c r="I196" s="36"/>
      <c r="L196" s="193"/>
      <c r="M196" s="193"/>
      <c r="N196" s="36"/>
    </row>
    <row r="197" spans="1:14" s="52" customFormat="1" x14ac:dyDescent="0.25">
      <c r="A197" s="54">
        <v>7</v>
      </c>
      <c r="B197" s="54" t="s">
        <v>226</v>
      </c>
      <c r="C197" s="49">
        <v>2</v>
      </c>
      <c r="D197" s="62">
        <f>(65.61)*10.764</f>
        <v>706.2260399999999</v>
      </c>
      <c r="E197" s="51">
        <v>0</v>
      </c>
      <c r="F197" s="51">
        <f t="shared" si="19"/>
        <v>1094.6503619999999</v>
      </c>
      <c r="G197" s="88"/>
      <c r="H197" s="89"/>
      <c r="I197" s="36"/>
      <c r="L197" s="193"/>
      <c r="M197" s="193"/>
      <c r="N197" s="36"/>
    </row>
    <row r="198" spans="1:14" s="52" customFormat="1" x14ac:dyDescent="0.25">
      <c r="A198" s="54">
        <v>8</v>
      </c>
      <c r="B198" s="54" t="s">
        <v>226</v>
      </c>
      <c r="C198" s="49">
        <v>2</v>
      </c>
      <c r="D198" s="62">
        <f>(65.61)*10.764</f>
        <v>706.2260399999999</v>
      </c>
      <c r="E198" s="51">
        <v>0</v>
      </c>
      <c r="F198" s="51">
        <f t="shared" si="19"/>
        <v>1094.6503619999999</v>
      </c>
      <c r="G198" s="90"/>
      <c r="H198" s="91"/>
      <c r="I198" s="36"/>
      <c r="L198" s="193"/>
      <c r="M198" s="193"/>
      <c r="N198" s="36"/>
    </row>
    <row r="199" spans="1:14" s="52" customFormat="1" x14ac:dyDescent="0.25">
      <c r="A199" s="104" t="s">
        <v>206</v>
      </c>
      <c r="B199" s="105"/>
      <c r="C199" s="105"/>
      <c r="D199" s="105"/>
      <c r="E199" s="105"/>
      <c r="F199" s="105"/>
      <c r="G199" s="105"/>
      <c r="H199" s="106"/>
      <c r="J199" s="36"/>
    </row>
    <row r="200" spans="1:14" s="52" customFormat="1" x14ac:dyDescent="0.25">
      <c r="A200" s="51">
        <v>1</v>
      </c>
      <c r="B200" s="51" t="s">
        <v>224</v>
      </c>
      <c r="C200" s="49">
        <v>1</v>
      </c>
      <c r="D200" s="62">
        <f>(39.52)*10.764</f>
        <v>425.39328</v>
      </c>
      <c r="E200" s="51">
        <v>0</v>
      </c>
      <c r="F200" s="51">
        <f t="shared" ref="F200:F207" si="21">D200*(($F$124)+1)+(IF(E200&lt;101,E200,IF(E200&lt;201,E200/2,IF(E200&lt;=301,E200/3,E200/4))))</f>
        <v>659.35958400000004</v>
      </c>
      <c r="G200" s="86" t="str">
        <f>A199</f>
        <v>18th Floor</v>
      </c>
      <c r="H200" s="87"/>
      <c r="I200" s="36"/>
      <c r="L200" s="193"/>
      <c r="M200" s="193"/>
      <c r="N200" s="36"/>
    </row>
    <row r="201" spans="1:14" s="52" customFormat="1" x14ac:dyDescent="0.25">
      <c r="A201" s="51">
        <f t="shared" ref="A201" si="22">A200+1</f>
        <v>2</v>
      </c>
      <c r="B201" s="51" t="s">
        <v>224</v>
      </c>
      <c r="C201" s="49">
        <v>1</v>
      </c>
      <c r="D201" s="62">
        <f>(39.52)*10.764</f>
        <v>425.39328</v>
      </c>
      <c r="E201" s="51">
        <v>0</v>
      </c>
      <c r="F201" s="51">
        <f t="shared" si="21"/>
        <v>659.35958400000004</v>
      </c>
      <c r="G201" s="88"/>
      <c r="H201" s="89"/>
      <c r="I201" s="36"/>
      <c r="L201" s="193"/>
      <c r="M201" s="193"/>
      <c r="N201" s="36"/>
    </row>
    <row r="202" spans="1:14" s="52" customFormat="1" x14ac:dyDescent="0.25">
      <c r="A202" s="54">
        <v>3</v>
      </c>
      <c r="B202" s="54" t="s">
        <v>226</v>
      </c>
      <c r="C202" s="49">
        <v>2</v>
      </c>
      <c r="D202" s="62">
        <f>(59.14)*10.764</f>
        <v>636.58295999999996</v>
      </c>
      <c r="E202" s="51">
        <v>0</v>
      </c>
      <c r="F202" s="51">
        <f t="shared" si="21"/>
        <v>986.70358799999997</v>
      </c>
      <c r="G202" s="88"/>
      <c r="H202" s="89"/>
      <c r="I202" s="36"/>
      <c r="L202" s="193"/>
      <c r="M202" s="193"/>
      <c r="N202" s="36"/>
    </row>
    <row r="203" spans="1:14" s="52" customFormat="1" x14ac:dyDescent="0.25">
      <c r="A203" s="54">
        <v>4</v>
      </c>
      <c r="B203" s="54" t="s">
        <v>226</v>
      </c>
      <c r="C203" s="49">
        <v>2</v>
      </c>
      <c r="D203" s="62">
        <f>(59.14)*10.764</f>
        <v>636.58295999999996</v>
      </c>
      <c r="E203" s="51">
        <v>0</v>
      </c>
      <c r="F203" s="51">
        <f t="shared" si="21"/>
        <v>986.70358799999997</v>
      </c>
      <c r="G203" s="88"/>
      <c r="H203" s="89"/>
      <c r="I203" s="36"/>
      <c r="L203" s="193"/>
      <c r="M203" s="193"/>
      <c r="N203" s="36"/>
    </row>
    <row r="204" spans="1:14" s="52" customFormat="1" x14ac:dyDescent="0.25">
      <c r="A204" s="51">
        <v>5</v>
      </c>
      <c r="B204" s="51" t="s">
        <v>225</v>
      </c>
      <c r="C204" s="49">
        <v>1</v>
      </c>
      <c r="D204" s="62">
        <f>(39.67)*10.764</f>
        <v>427.00788</v>
      </c>
      <c r="E204" s="51">
        <v>0</v>
      </c>
      <c r="F204" s="51">
        <f t="shared" si="21"/>
        <v>661.86221399999999</v>
      </c>
      <c r="G204" s="88"/>
      <c r="H204" s="89"/>
      <c r="I204" s="36"/>
      <c r="L204" s="193"/>
      <c r="M204" s="193"/>
      <c r="N204" s="36"/>
    </row>
    <row r="205" spans="1:14" s="52" customFormat="1" x14ac:dyDescent="0.25">
      <c r="A205" s="51">
        <v>6</v>
      </c>
      <c r="B205" s="51" t="s">
        <v>225</v>
      </c>
      <c r="C205" s="49">
        <v>1</v>
      </c>
      <c r="D205" s="62">
        <f>(39.67)*10.764</f>
        <v>427.00788</v>
      </c>
      <c r="E205" s="51">
        <v>0</v>
      </c>
      <c r="F205" s="51">
        <f t="shared" si="21"/>
        <v>661.86221399999999</v>
      </c>
      <c r="G205" s="88"/>
      <c r="H205" s="89"/>
      <c r="I205" s="36"/>
      <c r="L205" s="193"/>
      <c r="M205" s="193"/>
      <c r="N205" s="36"/>
    </row>
    <row r="206" spans="1:14" s="52" customFormat="1" x14ac:dyDescent="0.25">
      <c r="A206" s="54">
        <v>7</v>
      </c>
      <c r="B206" s="54" t="s">
        <v>226</v>
      </c>
      <c r="C206" s="49">
        <v>2</v>
      </c>
      <c r="D206" s="62">
        <f>(65.61)*10.764</f>
        <v>706.2260399999999</v>
      </c>
      <c r="E206" s="51">
        <v>0</v>
      </c>
      <c r="F206" s="51">
        <f t="shared" si="21"/>
        <v>1094.6503619999999</v>
      </c>
      <c r="G206" s="88"/>
      <c r="H206" s="89"/>
      <c r="I206" s="36"/>
      <c r="L206" s="193"/>
      <c r="M206" s="193"/>
      <c r="N206" s="36"/>
    </row>
    <row r="207" spans="1:14" s="52" customFormat="1" x14ac:dyDescent="0.25">
      <c r="A207" s="54">
        <v>8</v>
      </c>
      <c r="B207" s="54" t="s">
        <v>226</v>
      </c>
      <c r="C207" s="49">
        <v>2</v>
      </c>
      <c r="D207" s="62">
        <f>(65.61)*10.764</f>
        <v>706.2260399999999</v>
      </c>
      <c r="E207" s="51">
        <v>0</v>
      </c>
      <c r="F207" s="51">
        <f t="shared" si="21"/>
        <v>1094.6503619999999</v>
      </c>
      <c r="G207" s="90"/>
      <c r="H207" s="91"/>
      <c r="I207" s="36"/>
      <c r="L207" s="193"/>
      <c r="M207" s="193"/>
      <c r="N207" s="36"/>
    </row>
    <row r="208" spans="1:14" s="52" customFormat="1" x14ac:dyDescent="0.25">
      <c r="A208" s="104" t="s">
        <v>207</v>
      </c>
      <c r="B208" s="105"/>
      <c r="C208" s="105"/>
      <c r="D208" s="105"/>
      <c r="E208" s="105"/>
      <c r="F208" s="105"/>
      <c r="G208" s="105"/>
      <c r="H208" s="106"/>
      <c r="J208" s="36"/>
    </row>
    <row r="209" spans="1:14" s="52" customFormat="1" x14ac:dyDescent="0.25">
      <c r="A209" s="51">
        <v>1</v>
      </c>
      <c r="B209" s="51" t="s">
        <v>224</v>
      </c>
      <c r="C209" s="49">
        <v>1</v>
      </c>
      <c r="D209" s="62">
        <f>(39.52)*10.764</f>
        <v>425.39328</v>
      </c>
      <c r="E209" s="51">
        <v>0</v>
      </c>
      <c r="F209" s="51">
        <f t="shared" ref="F209:F216" si="23">D209*(($F$124)+1)+(IF(E209&lt;101,E209,IF(E209&lt;201,E209/2,IF(E209&lt;=301,E209/3,E209/4))))</f>
        <v>659.35958400000004</v>
      </c>
      <c r="G209" s="86" t="str">
        <f>A208</f>
        <v>19th Floor</v>
      </c>
      <c r="H209" s="87"/>
      <c r="I209" s="36"/>
      <c r="L209" s="193"/>
      <c r="M209" s="193"/>
      <c r="N209" s="36"/>
    </row>
    <row r="210" spans="1:14" s="52" customFormat="1" x14ac:dyDescent="0.25">
      <c r="A210" s="51">
        <f t="shared" ref="A210" si="24">A209+1</f>
        <v>2</v>
      </c>
      <c r="B210" s="51" t="s">
        <v>224</v>
      </c>
      <c r="C210" s="49">
        <v>1</v>
      </c>
      <c r="D210" s="62">
        <f>(39.52)*10.764</f>
        <v>425.39328</v>
      </c>
      <c r="E210" s="51">
        <v>0</v>
      </c>
      <c r="F210" s="51">
        <f t="shared" si="23"/>
        <v>659.35958400000004</v>
      </c>
      <c r="G210" s="88"/>
      <c r="H210" s="89"/>
      <c r="I210" s="36"/>
      <c r="L210" s="193"/>
      <c r="M210" s="193"/>
      <c r="N210" s="36"/>
    </row>
    <row r="211" spans="1:14" s="52" customFormat="1" x14ac:dyDescent="0.25">
      <c r="A211" s="51">
        <v>3</v>
      </c>
      <c r="B211" s="51" t="s">
        <v>224</v>
      </c>
      <c r="C211" s="49">
        <v>2</v>
      </c>
      <c r="D211" s="62">
        <f>(57.98)*10.764</f>
        <v>624.09671999999989</v>
      </c>
      <c r="E211" s="51">
        <v>0</v>
      </c>
      <c r="F211" s="51">
        <f t="shared" si="23"/>
        <v>967.34991599999989</v>
      </c>
      <c r="G211" s="88"/>
      <c r="H211" s="89"/>
      <c r="I211" s="36"/>
      <c r="L211" s="193"/>
      <c r="M211" s="193"/>
      <c r="N211" s="36"/>
    </row>
    <row r="212" spans="1:14" s="52" customFormat="1" x14ac:dyDescent="0.25">
      <c r="A212" s="54">
        <v>4</v>
      </c>
      <c r="B212" s="54" t="s">
        <v>226</v>
      </c>
      <c r="C212" s="49">
        <v>2</v>
      </c>
      <c r="D212" s="62">
        <f>(61.67)*10.764</f>
        <v>663.81587999999999</v>
      </c>
      <c r="E212" s="51">
        <v>0</v>
      </c>
      <c r="F212" s="51">
        <f t="shared" si="23"/>
        <v>1028.914614</v>
      </c>
      <c r="G212" s="88"/>
      <c r="H212" s="89"/>
      <c r="I212" s="36"/>
      <c r="L212" s="193"/>
      <c r="M212" s="193"/>
      <c r="N212" s="36"/>
    </row>
    <row r="213" spans="1:14" s="52" customFormat="1" x14ac:dyDescent="0.25">
      <c r="A213" s="51">
        <v>5</v>
      </c>
      <c r="B213" s="51" t="s">
        <v>225</v>
      </c>
      <c r="C213" s="49">
        <v>1</v>
      </c>
      <c r="D213" s="62">
        <f>(39.67)*10.764</f>
        <v>427.00788</v>
      </c>
      <c r="E213" s="51">
        <v>0</v>
      </c>
      <c r="F213" s="51">
        <f t="shared" si="23"/>
        <v>661.86221399999999</v>
      </c>
      <c r="G213" s="88"/>
      <c r="H213" s="89"/>
      <c r="I213" s="36"/>
      <c r="L213" s="193"/>
      <c r="M213" s="193"/>
      <c r="N213" s="36"/>
    </row>
    <row r="214" spans="1:14" s="52" customFormat="1" x14ac:dyDescent="0.25">
      <c r="A214" s="51">
        <v>6</v>
      </c>
      <c r="B214" s="51" t="s">
        <v>225</v>
      </c>
      <c r="C214" s="49">
        <v>1</v>
      </c>
      <c r="D214" s="62">
        <f>(39.67)*10.764</f>
        <v>427.00788</v>
      </c>
      <c r="E214" s="51">
        <v>0</v>
      </c>
      <c r="F214" s="51">
        <f t="shared" si="23"/>
        <v>661.86221399999999</v>
      </c>
      <c r="G214" s="88"/>
      <c r="H214" s="89"/>
      <c r="I214" s="36"/>
      <c r="L214" s="193"/>
      <c r="M214" s="193"/>
      <c r="N214" s="36"/>
    </row>
    <row r="215" spans="1:14" s="52" customFormat="1" x14ac:dyDescent="0.25">
      <c r="A215" s="54">
        <v>7</v>
      </c>
      <c r="B215" s="54" t="s">
        <v>226</v>
      </c>
      <c r="C215" s="49">
        <v>2</v>
      </c>
      <c r="D215" s="62">
        <f>(65.61)*10.764</f>
        <v>706.2260399999999</v>
      </c>
      <c r="E215" s="51">
        <v>0</v>
      </c>
      <c r="F215" s="51">
        <f t="shared" si="23"/>
        <v>1094.6503619999999</v>
      </c>
      <c r="G215" s="88"/>
      <c r="H215" s="89"/>
      <c r="I215" s="36"/>
      <c r="L215" s="193"/>
      <c r="M215" s="193"/>
      <c r="N215" s="36"/>
    </row>
    <row r="216" spans="1:14" s="52" customFormat="1" x14ac:dyDescent="0.25">
      <c r="A216" s="54">
        <v>8</v>
      </c>
      <c r="B216" s="54" t="s">
        <v>226</v>
      </c>
      <c r="C216" s="49">
        <v>2</v>
      </c>
      <c r="D216" s="62">
        <f>(65.61)*10.764</f>
        <v>706.2260399999999</v>
      </c>
      <c r="E216" s="51">
        <v>0</v>
      </c>
      <c r="F216" s="51">
        <f t="shared" si="23"/>
        <v>1094.6503619999999</v>
      </c>
      <c r="G216" s="90"/>
      <c r="H216" s="91"/>
      <c r="I216" s="36"/>
      <c r="L216" s="193"/>
      <c r="M216" s="193"/>
      <c r="N216" s="36"/>
    </row>
    <row r="217" spans="1:14" s="52" customFormat="1" x14ac:dyDescent="0.25">
      <c r="A217" s="104" t="s">
        <v>208</v>
      </c>
      <c r="B217" s="105"/>
      <c r="C217" s="105"/>
      <c r="D217" s="105"/>
      <c r="E217" s="105"/>
      <c r="F217" s="105"/>
      <c r="G217" s="105"/>
      <c r="H217" s="106"/>
      <c r="J217" s="36"/>
    </row>
    <row r="218" spans="1:14" s="52" customFormat="1" x14ac:dyDescent="0.25">
      <c r="A218" s="51">
        <v>1</v>
      </c>
      <c r="B218" s="51" t="s">
        <v>224</v>
      </c>
      <c r="C218" s="49">
        <v>1</v>
      </c>
      <c r="D218" s="62">
        <f>(39.52)*10.764</f>
        <v>425.39328</v>
      </c>
      <c r="E218" s="51">
        <v>0</v>
      </c>
      <c r="F218" s="51">
        <f t="shared" ref="F218:F225" si="25">D218*(($F$124)+1)+(IF(E218&lt;101,E218,IF(E218&lt;201,E218/2,IF(E218&lt;=301,E218/3,E218/4))))</f>
        <v>659.35958400000004</v>
      </c>
      <c r="G218" s="86" t="str">
        <f>A217</f>
        <v>20th Floor</v>
      </c>
      <c r="H218" s="87"/>
      <c r="I218" s="36"/>
      <c r="L218" s="193"/>
      <c r="M218" s="193"/>
      <c r="N218" s="36"/>
    </row>
    <row r="219" spans="1:14" s="52" customFormat="1" x14ac:dyDescent="0.25">
      <c r="A219" s="51">
        <f t="shared" ref="A219" si="26">A218+1</f>
        <v>2</v>
      </c>
      <c r="B219" s="51" t="s">
        <v>224</v>
      </c>
      <c r="C219" s="49">
        <v>1</v>
      </c>
      <c r="D219" s="62">
        <f>(39.52)*10.764</f>
        <v>425.39328</v>
      </c>
      <c r="E219" s="51">
        <v>0</v>
      </c>
      <c r="F219" s="51">
        <f t="shared" si="25"/>
        <v>659.35958400000004</v>
      </c>
      <c r="G219" s="88"/>
      <c r="H219" s="89"/>
      <c r="I219" s="36"/>
      <c r="L219" s="193"/>
      <c r="M219" s="193"/>
      <c r="N219" s="36"/>
    </row>
    <row r="220" spans="1:14" s="52" customFormat="1" x14ac:dyDescent="0.25">
      <c r="A220" s="54">
        <v>3</v>
      </c>
      <c r="B220" s="54" t="s">
        <v>226</v>
      </c>
      <c r="C220" s="49">
        <v>2</v>
      </c>
      <c r="D220" s="62">
        <f>(61.67)*10.764</f>
        <v>663.81587999999999</v>
      </c>
      <c r="E220" s="51">
        <v>0</v>
      </c>
      <c r="F220" s="51">
        <f t="shared" si="25"/>
        <v>1028.914614</v>
      </c>
      <c r="G220" s="88"/>
      <c r="H220" s="89"/>
      <c r="I220" s="36"/>
      <c r="L220" s="193"/>
      <c r="M220" s="193"/>
      <c r="N220" s="36"/>
    </row>
    <row r="221" spans="1:14" s="52" customFormat="1" x14ac:dyDescent="0.25">
      <c r="A221" s="54">
        <v>4</v>
      </c>
      <c r="B221" s="54" t="s">
        <v>226</v>
      </c>
      <c r="C221" s="49">
        <v>2</v>
      </c>
      <c r="D221" s="62">
        <f>(61.67)*10.764</f>
        <v>663.81587999999999</v>
      </c>
      <c r="E221" s="51">
        <v>0</v>
      </c>
      <c r="F221" s="51">
        <f t="shared" si="25"/>
        <v>1028.914614</v>
      </c>
      <c r="G221" s="88"/>
      <c r="H221" s="89"/>
      <c r="I221" s="36"/>
      <c r="L221" s="193"/>
      <c r="M221" s="193"/>
      <c r="N221" s="36"/>
    </row>
    <row r="222" spans="1:14" s="52" customFormat="1" x14ac:dyDescent="0.25">
      <c r="A222" s="51">
        <v>5</v>
      </c>
      <c r="B222" s="51" t="s">
        <v>225</v>
      </c>
      <c r="C222" s="49">
        <v>1</v>
      </c>
      <c r="D222" s="62">
        <f>(39.67)*10.764</f>
        <v>427.00788</v>
      </c>
      <c r="E222" s="51">
        <v>0</v>
      </c>
      <c r="F222" s="51">
        <f t="shared" si="25"/>
        <v>661.86221399999999</v>
      </c>
      <c r="G222" s="88"/>
      <c r="H222" s="89"/>
      <c r="I222" s="36"/>
      <c r="L222" s="193"/>
      <c r="M222" s="193"/>
      <c r="N222" s="36"/>
    </row>
    <row r="223" spans="1:14" s="52" customFormat="1" x14ac:dyDescent="0.25">
      <c r="A223" s="51">
        <v>6</v>
      </c>
      <c r="B223" s="51" t="s">
        <v>225</v>
      </c>
      <c r="C223" s="49">
        <v>1</v>
      </c>
      <c r="D223" s="62">
        <f>(39.67)*10.764</f>
        <v>427.00788</v>
      </c>
      <c r="E223" s="51">
        <v>0</v>
      </c>
      <c r="F223" s="51">
        <f t="shared" si="25"/>
        <v>661.86221399999999</v>
      </c>
      <c r="G223" s="88"/>
      <c r="H223" s="89"/>
      <c r="I223" s="36"/>
      <c r="L223" s="193"/>
      <c r="M223" s="193"/>
      <c r="N223" s="36"/>
    </row>
    <row r="224" spans="1:14" s="52" customFormat="1" x14ac:dyDescent="0.25">
      <c r="A224" s="54">
        <v>7</v>
      </c>
      <c r="B224" s="54" t="s">
        <v>226</v>
      </c>
      <c r="C224" s="49">
        <v>2</v>
      </c>
      <c r="D224" s="62">
        <f>(65.61)*10.764</f>
        <v>706.2260399999999</v>
      </c>
      <c r="E224" s="51">
        <v>0</v>
      </c>
      <c r="F224" s="51">
        <f t="shared" si="25"/>
        <v>1094.6503619999999</v>
      </c>
      <c r="G224" s="88"/>
      <c r="H224" s="89"/>
      <c r="I224" s="36"/>
      <c r="L224" s="193"/>
      <c r="M224" s="193"/>
      <c r="N224" s="36"/>
    </row>
    <row r="225" spans="1:14" s="52" customFormat="1" x14ac:dyDescent="0.25">
      <c r="A225" s="54">
        <v>8</v>
      </c>
      <c r="B225" s="54" t="s">
        <v>226</v>
      </c>
      <c r="C225" s="49">
        <v>2</v>
      </c>
      <c r="D225" s="62">
        <f>(65.61)*10.764</f>
        <v>706.2260399999999</v>
      </c>
      <c r="E225" s="51">
        <v>0</v>
      </c>
      <c r="F225" s="51">
        <f t="shared" si="25"/>
        <v>1094.6503619999999</v>
      </c>
      <c r="G225" s="90"/>
      <c r="H225" s="91"/>
      <c r="I225" s="36"/>
      <c r="L225" s="193"/>
      <c r="M225" s="193"/>
      <c r="N225" s="36"/>
    </row>
    <row r="226" spans="1:14" s="52" customFormat="1" x14ac:dyDescent="0.25">
      <c r="A226" s="104" t="s">
        <v>209</v>
      </c>
      <c r="B226" s="105"/>
      <c r="C226" s="105"/>
      <c r="D226" s="105"/>
      <c r="E226" s="105"/>
      <c r="F226" s="105"/>
      <c r="G226" s="105"/>
      <c r="H226" s="106"/>
      <c r="J226" s="36"/>
    </row>
    <row r="227" spans="1:14" s="52" customFormat="1" x14ac:dyDescent="0.25">
      <c r="A227" s="51">
        <v>1</v>
      </c>
      <c r="B227" s="51" t="s">
        <v>224</v>
      </c>
      <c r="C227" s="49">
        <v>1</v>
      </c>
      <c r="D227" s="62">
        <f>(39.52)*10.764</f>
        <v>425.39328</v>
      </c>
      <c r="E227" s="51">
        <v>0</v>
      </c>
      <c r="F227" s="51">
        <f t="shared" ref="F227:F234" si="27">D227*(($F$124)+1)+(IF(E227&lt;101,E227,IF(E227&lt;201,E227/2,IF(E227&lt;=301,E227/3,E227/4))))</f>
        <v>659.35958400000004</v>
      </c>
      <c r="G227" s="86" t="str">
        <f>A226</f>
        <v>21th Floor</v>
      </c>
      <c r="H227" s="87"/>
      <c r="I227" s="36"/>
      <c r="L227" s="193"/>
      <c r="M227" s="193"/>
      <c r="N227" s="36"/>
    </row>
    <row r="228" spans="1:14" s="52" customFormat="1" x14ac:dyDescent="0.25">
      <c r="A228" s="51">
        <f t="shared" ref="A228" si="28">A227+1</f>
        <v>2</v>
      </c>
      <c r="B228" s="51" t="s">
        <v>224</v>
      </c>
      <c r="C228" s="49">
        <v>1</v>
      </c>
      <c r="D228" s="62">
        <f>(39.52)*10.764</f>
        <v>425.39328</v>
      </c>
      <c r="E228" s="51">
        <v>0</v>
      </c>
      <c r="F228" s="51">
        <f t="shared" si="27"/>
        <v>659.35958400000004</v>
      </c>
      <c r="G228" s="88"/>
      <c r="H228" s="89"/>
      <c r="I228" s="36"/>
      <c r="L228" s="193"/>
      <c r="M228" s="193"/>
      <c r="N228" s="36"/>
    </row>
    <row r="229" spans="1:14" s="52" customFormat="1" x14ac:dyDescent="0.25">
      <c r="A229" s="54">
        <v>3</v>
      </c>
      <c r="B229" s="54" t="s">
        <v>226</v>
      </c>
      <c r="C229" s="49">
        <v>2</v>
      </c>
      <c r="D229" s="62">
        <f>(61.67)*10.764</f>
        <v>663.81587999999999</v>
      </c>
      <c r="E229" s="51">
        <v>0</v>
      </c>
      <c r="F229" s="51">
        <f t="shared" si="27"/>
        <v>1028.914614</v>
      </c>
      <c r="G229" s="88"/>
      <c r="H229" s="89"/>
      <c r="I229" s="36"/>
      <c r="L229" s="193"/>
      <c r="M229" s="193"/>
      <c r="N229" s="36"/>
    </row>
    <row r="230" spans="1:14" s="52" customFormat="1" x14ac:dyDescent="0.25">
      <c r="A230" s="54">
        <v>4</v>
      </c>
      <c r="B230" s="54" t="s">
        <v>226</v>
      </c>
      <c r="C230" s="49">
        <v>2</v>
      </c>
      <c r="D230" s="62">
        <f>(61.67)*10.764</f>
        <v>663.81587999999999</v>
      </c>
      <c r="E230" s="51">
        <v>0</v>
      </c>
      <c r="F230" s="51">
        <f t="shared" si="27"/>
        <v>1028.914614</v>
      </c>
      <c r="G230" s="88"/>
      <c r="H230" s="89"/>
      <c r="I230" s="36"/>
      <c r="L230" s="193"/>
      <c r="M230" s="193"/>
      <c r="N230" s="36"/>
    </row>
    <row r="231" spans="1:14" s="52" customFormat="1" x14ac:dyDescent="0.25">
      <c r="A231" s="51">
        <v>5</v>
      </c>
      <c r="B231" s="51" t="s">
        <v>225</v>
      </c>
      <c r="C231" s="49">
        <v>1</v>
      </c>
      <c r="D231" s="62">
        <f>(39.67)*10.764</f>
        <v>427.00788</v>
      </c>
      <c r="E231" s="51">
        <v>0</v>
      </c>
      <c r="F231" s="51">
        <f t="shared" si="27"/>
        <v>661.86221399999999</v>
      </c>
      <c r="G231" s="88"/>
      <c r="H231" s="89"/>
      <c r="I231" s="36"/>
      <c r="L231" s="193"/>
      <c r="M231" s="193"/>
      <c r="N231" s="36"/>
    </row>
    <row r="232" spans="1:14" s="52" customFormat="1" x14ac:dyDescent="0.25">
      <c r="A232" s="51">
        <v>6</v>
      </c>
      <c r="B232" s="51" t="s">
        <v>225</v>
      </c>
      <c r="C232" s="49">
        <v>1</v>
      </c>
      <c r="D232" s="62">
        <f>(39.67)*10.764</f>
        <v>427.00788</v>
      </c>
      <c r="E232" s="51">
        <v>0</v>
      </c>
      <c r="F232" s="51">
        <f t="shared" si="27"/>
        <v>661.86221399999999</v>
      </c>
      <c r="G232" s="88"/>
      <c r="H232" s="89"/>
      <c r="I232" s="36"/>
      <c r="L232" s="193"/>
      <c r="M232" s="193"/>
      <c r="N232" s="36"/>
    </row>
    <row r="233" spans="1:14" s="52" customFormat="1" x14ac:dyDescent="0.25">
      <c r="A233" s="54">
        <v>7</v>
      </c>
      <c r="B233" s="54" t="s">
        <v>226</v>
      </c>
      <c r="C233" s="49">
        <v>2</v>
      </c>
      <c r="D233" s="62">
        <f>(65.61)*10.764</f>
        <v>706.2260399999999</v>
      </c>
      <c r="E233" s="51">
        <v>0</v>
      </c>
      <c r="F233" s="51">
        <f t="shared" si="27"/>
        <v>1094.6503619999999</v>
      </c>
      <c r="G233" s="88"/>
      <c r="H233" s="89"/>
      <c r="I233" s="36"/>
      <c r="L233" s="193"/>
      <c r="M233" s="193"/>
      <c r="N233" s="36"/>
    </row>
    <row r="234" spans="1:14" s="52" customFormat="1" x14ac:dyDescent="0.25">
      <c r="A234" s="54">
        <v>8</v>
      </c>
      <c r="B234" s="54" t="s">
        <v>226</v>
      </c>
      <c r="C234" s="49">
        <v>2</v>
      </c>
      <c r="D234" s="62">
        <f>(65.61)*10.764</f>
        <v>706.2260399999999</v>
      </c>
      <c r="E234" s="51">
        <v>0</v>
      </c>
      <c r="F234" s="51">
        <f t="shared" si="27"/>
        <v>1094.6503619999999</v>
      </c>
      <c r="G234" s="90"/>
      <c r="H234" s="91"/>
      <c r="I234" s="36"/>
      <c r="L234" s="193"/>
      <c r="M234" s="193"/>
      <c r="N234" s="36"/>
    </row>
    <row r="235" spans="1:14" s="52" customFormat="1" x14ac:dyDescent="0.25">
      <c r="A235" s="104" t="s">
        <v>221</v>
      </c>
      <c r="B235" s="105"/>
      <c r="C235" s="105"/>
      <c r="D235" s="105"/>
      <c r="E235" s="105"/>
      <c r="F235" s="105"/>
      <c r="G235" s="105"/>
      <c r="H235" s="106"/>
      <c r="J235" s="36"/>
    </row>
    <row r="236" spans="1:14" s="52" customFormat="1" ht="15.75" customHeight="1" x14ac:dyDescent="0.25">
      <c r="A236" s="51">
        <v>1</v>
      </c>
      <c r="B236" s="51" t="s">
        <v>224</v>
      </c>
      <c r="C236" s="49">
        <v>1</v>
      </c>
      <c r="D236" s="62">
        <f>(42.81)*10.764</f>
        <v>460.80684000000002</v>
      </c>
      <c r="E236" s="51">
        <v>0</v>
      </c>
      <c r="F236" s="51">
        <f t="shared" ref="F236:F241" si="29">D236*(($F$124)+1)+(IF(E236&lt;101,E236,IF(E236&lt;201,E236/2,IF(E236&lt;=301,E236/3,E236/4))))</f>
        <v>714.25060200000007</v>
      </c>
      <c r="G236" s="86" t="str">
        <f>A235</f>
        <v>22th Floor (Part Refuge Area)</v>
      </c>
      <c r="H236" s="87"/>
      <c r="I236" s="36"/>
      <c r="L236" s="193"/>
      <c r="M236" s="193"/>
      <c r="N236" s="36"/>
    </row>
    <row r="237" spans="1:14" s="52" customFormat="1" ht="15.75" customHeight="1" x14ac:dyDescent="0.25">
      <c r="A237" s="51">
        <f t="shared" ref="A237" si="30">A236+1</f>
        <v>2</v>
      </c>
      <c r="B237" s="51" t="s">
        <v>224</v>
      </c>
      <c r="C237" s="49">
        <v>1</v>
      </c>
      <c r="D237" s="62">
        <f>(42.87)*10.764</f>
        <v>461.45267999999993</v>
      </c>
      <c r="E237" s="51">
        <v>0</v>
      </c>
      <c r="F237" s="51">
        <f t="shared" si="29"/>
        <v>715.25165399999992</v>
      </c>
      <c r="G237" s="88"/>
      <c r="H237" s="89"/>
      <c r="I237" s="36"/>
      <c r="J237" s="70" t="s">
        <v>234</v>
      </c>
      <c r="K237" s="70" t="s">
        <v>114</v>
      </c>
      <c r="L237" s="193"/>
      <c r="M237" s="193"/>
      <c r="N237" s="36"/>
    </row>
    <row r="238" spans="1:14" s="52" customFormat="1" ht="15.75" customHeight="1" x14ac:dyDescent="0.25">
      <c r="A238" s="51">
        <v>3</v>
      </c>
      <c r="B238" s="51" t="s">
        <v>224</v>
      </c>
      <c r="C238" s="49">
        <v>1</v>
      </c>
      <c r="D238" s="62">
        <f>(39.67)*10.764</f>
        <v>427.00788</v>
      </c>
      <c r="E238" s="51">
        <v>0</v>
      </c>
      <c r="F238" s="51">
        <f t="shared" si="29"/>
        <v>661.86221399999999</v>
      </c>
      <c r="G238" s="88"/>
      <c r="H238" s="89"/>
      <c r="I238" s="36"/>
      <c r="J238" s="68">
        <f>17700000/F247</f>
        <v>25862.602391138738</v>
      </c>
      <c r="K238" s="71">
        <f>19000000/F297</f>
        <v>27762.115561109382</v>
      </c>
      <c r="L238" s="193"/>
      <c r="M238" s="193"/>
      <c r="N238" s="36"/>
    </row>
    <row r="239" spans="1:14" s="52" customFormat="1" ht="15.75" customHeight="1" x14ac:dyDescent="0.25">
      <c r="A239" s="51">
        <v>4</v>
      </c>
      <c r="B239" s="51" t="s">
        <v>224</v>
      </c>
      <c r="C239" s="49">
        <v>1</v>
      </c>
      <c r="D239" s="62">
        <f>(39.67)*10.764</f>
        <v>427.00788</v>
      </c>
      <c r="E239" s="51">
        <v>0</v>
      </c>
      <c r="F239" s="51">
        <f t="shared" si="29"/>
        <v>661.86221399999999</v>
      </c>
      <c r="G239" s="88"/>
      <c r="H239" s="89"/>
      <c r="I239" s="36"/>
      <c r="J239" s="68">
        <f>17900000/F236</f>
        <v>25061.231939990717</v>
      </c>
      <c r="K239" s="71">
        <f>24500000/F253</f>
        <v>23811.499678048112</v>
      </c>
      <c r="L239" s="193"/>
      <c r="M239" s="193"/>
      <c r="N239" s="36"/>
    </row>
    <row r="240" spans="1:14" s="52" customFormat="1" ht="15.75" customHeight="1" x14ac:dyDescent="0.25">
      <c r="A240" s="54">
        <v>5</v>
      </c>
      <c r="B240" s="54" t="s">
        <v>226</v>
      </c>
      <c r="C240" s="49">
        <v>2</v>
      </c>
      <c r="D240" s="62">
        <f>(65.61)*10.764</f>
        <v>706.2260399999999</v>
      </c>
      <c r="E240" s="51">
        <v>0</v>
      </c>
      <c r="F240" s="51">
        <f t="shared" si="29"/>
        <v>1094.6503619999999</v>
      </c>
      <c r="G240" s="88"/>
      <c r="H240" s="89"/>
      <c r="I240" s="36"/>
      <c r="J240" s="69">
        <f>AVERAGE(J238:J239)</f>
        <v>25461.91716556473</v>
      </c>
      <c r="K240" s="72">
        <f>AVERAGE(K238:K239)</f>
        <v>25786.807619578747</v>
      </c>
      <c r="L240" s="193"/>
      <c r="M240" s="193"/>
      <c r="N240" s="36"/>
    </row>
    <row r="241" spans="1:14" s="52" customFormat="1" ht="15.75" customHeight="1" x14ac:dyDescent="0.25">
      <c r="A241" s="54">
        <v>6</v>
      </c>
      <c r="B241" s="54" t="s">
        <v>226</v>
      </c>
      <c r="C241" s="49">
        <v>2</v>
      </c>
      <c r="D241" s="62">
        <f>(65.61)*10.764</f>
        <v>706.2260399999999</v>
      </c>
      <c r="E241" s="51">
        <v>0</v>
      </c>
      <c r="F241" s="51">
        <f t="shared" si="29"/>
        <v>1094.6503619999999</v>
      </c>
      <c r="G241" s="90"/>
      <c r="H241" s="91"/>
      <c r="I241" s="36"/>
      <c r="L241" s="193"/>
      <c r="M241" s="193"/>
      <c r="N241" s="36"/>
    </row>
    <row r="242" spans="1:14" s="52" customFormat="1" x14ac:dyDescent="0.25">
      <c r="A242" s="104" t="s">
        <v>210</v>
      </c>
      <c r="B242" s="105"/>
      <c r="C242" s="105"/>
      <c r="D242" s="105"/>
      <c r="E242" s="105"/>
      <c r="F242" s="105"/>
      <c r="G242" s="105"/>
      <c r="H242" s="106"/>
      <c r="J242" s="36"/>
    </row>
    <row r="243" spans="1:14" s="52" customFormat="1" x14ac:dyDescent="0.25">
      <c r="A243" s="51">
        <v>1</v>
      </c>
      <c r="B243" s="51" t="s">
        <v>224</v>
      </c>
      <c r="C243" s="49">
        <v>1</v>
      </c>
      <c r="D243" s="62">
        <f>(42.87)*10.764</f>
        <v>461.45267999999993</v>
      </c>
      <c r="E243" s="51">
        <v>0</v>
      </c>
      <c r="F243" s="51">
        <f t="shared" ref="F243:F250" si="31">D243*(($F$124)+1)+(IF(E243&lt;101,E243,IF(E243&lt;201,E243/2,IF(E243&lt;=301,E243/3,E243/4))))</f>
        <v>715.25165399999992</v>
      </c>
      <c r="G243" s="86" t="str">
        <f>A242</f>
        <v>23th Floor</v>
      </c>
      <c r="H243" s="87"/>
      <c r="I243" s="36"/>
      <c r="L243" s="193"/>
      <c r="M243" s="193"/>
      <c r="N243" s="36"/>
    </row>
    <row r="244" spans="1:14" s="52" customFormat="1" x14ac:dyDescent="0.25">
      <c r="A244" s="51">
        <f t="shared" ref="A244" si="32">A243+1</f>
        <v>2</v>
      </c>
      <c r="B244" s="51" t="s">
        <v>224</v>
      </c>
      <c r="C244" s="49">
        <v>1</v>
      </c>
      <c r="D244" s="62">
        <f>(42.87)*10.764</f>
        <v>461.45267999999993</v>
      </c>
      <c r="E244" s="51">
        <v>0</v>
      </c>
      <c r="F244" s="51">
        <f t="shared" si="31"/>
        <v>715.25165399999992</v>
      </c>
      <c r="G244" s="88"/>
      <c r="H244" s="89"/>
      <c r="I244" s="36"/>
      <c r="L244" s="193"/>
      <c r="M244" s="193"/>
      <c r="N244" s="36"/>
    </row>
    <row r="245" spans="1:14" s="52" customFormat="1" x14ac:dyDescent="0.25">
      <c r="A245" s="54">
        <v>3</v>
      </c>
      <c r="B245" s="54" t="s">
        <v>226</v>
      </c>
      <c r="C245" s="49">
        <v>2</v>
      </c>
      <c r="D245" s="62">
        <f>(61.67)*10.764</f>
        <v>663.81587999999999</v>
      </c>
      <c r="E245" s="51">
        <v>0</v>
      </c>
      <c r="F245" s="51">
        <f t="shared" si="31"/>
        <v>1028.914614</v>
      </c>
      <c r="G245" s="88"/>
      <c r="H245" s="89"/>
      <c r="I245" s="36"/>
      <c r="L245" s="193"/>
      <c r="M245" s="193"/>
      <c r="N245" s="36"/>
    </row>
    <row r="246" spans="1:14" s="52" customFormat="1" x14ac:dyDescent="0.25">
      <c r="A246" s="54">
        <v>4</v>
      </c>
      <c r="B246" s="54" t="s">
        <v>226</v>
      </c>
      <c r="C246" s="49">
        <v>2</v>
      </c>
      <c r="D246" s="62">
        <f>(61.67)*10.764</f>
        <v>663.81587999999999</v>
      </c>
      <c r="E246" s="51">
        <v>0</v>
      </c>
      <c r="F246" s="51">
        <f t="shared" si="31"/>
        <v>1028.914614</v>
      </c>
      <c r="G246" s="88"/>
      <c r="H246" s="89"/>
      <c r="I246" s="36"/>
      <c r="L246" s="193"/>
      <c r="M246" s="193"/>
      <c r="N246" s="36"/>
    </row>
    <row r="247" spans="1:14" s="52" customFormat="1" x14ac:dyDescent="0.25">
      <c r="A247" s="54">
        <v>5</v>
      </c>
      <c r="B247" s="54" t="s">
        <v>226</v>
      </c>
      <c r="C247" s="49">
        <v>1</v>
      </c>
      <c r="D247" s="62">
        <f>(41.02)*10.764</f>
        <v>441.53928000000002</v>
      </c>
      <c r="E247" s="51">
        <v>0</v>
      </c>
      <c r="F247" s="51">
        <f t="shared" si="31"/>
        <v>684.38588400000003</v>
      </c>
      <c r="G247" s="88"/>
      <c r="H247" s="89"/>
      <c r="I247" s="36"/>
      <c r="L247" s="193"/>
      <c r="M247" s="193"/>
      <c r="N247" s="36"/>
    </row>
    <row r="248" spans="1:14" s="52" customFormat="1" x14ac:dyDescent="0.25">
      <c r="A248" s="54">
        <v>6</v>
      </c>
      <c r="B248" s="54" t="s">
        <v>226</v>
      </c>
      <c r="C248" s="49">
        <v>1</v>
      </c>
      <c r="D248" s="62">
        <f>(41.02)*10.764</f>
        <v>441.53928000000002</v>
      </c>
      <c r="E248" s="51">
        <v>0</v>
      </c>
      <c r="F248" s="51">
        <f t="shared" si="31"/>
        <v>684.38588400000003</v>
      </c>
      <c r="G248" s="88"/>
      <c r="H248" s="89"/>
      <c r="I248" s="36"/>
      <c r="L248" s="193"/>
      <c r="M248" s="193"/>
      <c r="N248" s="36"/>
    </row>
    <row r="249" spans="1:14" s="52" customFormat="1" x14ac:dyDescent="0.25">
      <c r="A249" s="54">
        <v>7</v>
      </c>
      <c r="B249" s="54" t="s">
        <v>226</v>
      </c>
      <c r="C249" s="49">
        <v>2</v>
      </c>
      <c r="D249" s="62">
        <f>(65.61)*10.764</f>
        <v>706.2260399999999</v>
      </c>
      <c r="E249" s="51">
        <v>0</v>
      </c>
      <c r="F249" s="51">
        <f t="shared" si="31"/>
        <v>1094.6503619999999</v>
      </c>
      <c r="G249" s="88"/>
      <c r="H249" s="89"/>
      <c r="I249" s="36"/>
      <c r="L249" s="193"/>
      <c r="M249" s="193"/>
      <c r="N249" s="36"/>
    </row>
    <row r="250" spans="1:14" s="52" customFormat="1" x14ac:dyDescent="0.25">
      <c r="A250" s="54">
        <v>8</v>
      </c>
      <c r="B250" s="54" t="s">
        <v>226</v>
      </c>
      <c r="C250" s="49">
        <v>2</v>
      </c>
      <c r="D250" s="62">
        <f>(65.61)*10.764</f>
        <v>706.2260399999999</v>
      </c>
      <c r="E250" s="51">
        <v>0</v>
      </c>
      <c r="F250" s="51">
        <f t="shared" si="31"/>
        <v>1094.6503619999999</v>
      </c>
      <c r="G250" s="90"/>
      <c r="H250" s="91"/>
      <c r="I250" s="36"/>
      <c r="K250" s="62">
        <v>10.763999999999999</v>
      </c>
      <c r="L250" s="193"/>
      <c r="M250" s="193"/>
      <c r="N250" s="36"/>
    </row>
    <row r="251" spans="1:14" s="52" customFormat="1" x14ac:dyDescent="0.25">
      <c r="A251" s="104" t="s">
        <v>211</v>
      </c>
      <c r="B251" s="105"/>
      <c r="C251" s="105"/>
      <c r="D251" s="105"/>
      <c r="E251" s="105"/>
      <c r="F251" s="105"/>
      <c r="G251" s="105"/>
      <c r="H251" s="106"/>
      <c r="J251" s="36"/>
    </row>
    <row r="252" spans="1:14" s="52" customFormat="1" x14ac:dyDescent="0.25">
      <c r="A252" s="51">
        <v>1</v>
      </c>
      <c r="B252" s="51" t="s">
        <v>224</v>
      </c>
      <c r="C252" s="49" t="s">
        <v>219</v>
      </c>
      <c r="D252" s="62">
        <f>(86.85)*10.764</f>
        <v>934.85339999999985</v>
      </c>
      <c r="E252" s="51">
        <v>0</v>
      </c>
      <c r="F252" s="51">
        <f t="shared" ref="F252:F258" si="33">D252*(($F$124)+1)+(IF(E252&lt;101,E252,IF(E252&lt;201,E252/2,IF(E252&lt;=301,E252/3,E252/4))))</f>
        <v>1449.0227699999998</v>
      </c>
      <c r="G252" s="86" t="str">
        <f>A251</f>
        <v>24th Floor</v>
      </c>
      <c r="H252" s="87"/>
      <c r="I252" s="36"/>
      <c r="L252" s="193"/>
      <c r="M252" s="193"/>
      <c r="N252" s="36"/>
    </row>
    <row r="253" spans="1:14" s="52" customFormat="1" x14ac:dyDescent="0.25">
      <c r="A253" s="54">
        <f t="shared" ref="A253" si="34">A252+1</f>
        <v>2</v>
      </c>
      <c r="B253" s="54" t="s">
        <v>226</v>
      </c>
      <c r="C253" s="49">
        <v>2</v>
      </c>
      <c r="D253" s="62">
        <f>(61.67)*10.764</f>
        <v>663.81587999999999</v>
      </c>
      <c r="E253" s="51">
        <v>0</v>
      </c>
      <c r="F253" s="51">
        <f t="shared" si="33"/>
        <v>1028.914614</v>
      </c>
      <c r="G253" s="88"/>
      <c r="H253" s="89"/>
      <c r="I253" s="36"/>
      <c r="L253" s="193"/>
      <c r="M253" s="193"/>
      <c r="N253" s="36"/>
    </row>
    <row r="254" spans="1:14" s="52" customFormat="1" x14ac:dyDescent="0.25">
      <c r="A254" s="54">
        <v>3</v>
      </c>
      <c r="B254" s="54" t="s">
        <v>226</v>
      </c>
      <c r="C254" s="49">
        <v>2</v>
      </c>
      <c r="D254" s="62">
        <f>(61.67)*10.764</f>
        <v>663.81587999999999</v>
      </c>
      <c r="E254" s="51">
        <v>0</v>
      </c>
      <c r="F254" s="51">
        <f t="shared" si="33"/>
        <v>1028.914614</v>
      </c>
      <c r="G254" s="88"/>
      <c r="H254" s="89"/>
      <c r="I254" s="36"/>
      <c r="L254" s="193"/>
      <c r="M254" s="193"/>
      <c r="N254" s="36"/>
    </row>
    <row r="255" spans="1:14" s="52" customFormat="1" x14ac:dyDescent="0.25">
      <c r="A255" s="54">
        <v>4</v>
      </c>
      <c r="B255" s="54" t="s">
        <v>226</v>
      </c>
      <c r="C255" s="49">
        <v>1</v>
      </c>
      <c r="D255" s="62">
        <f>(41.02)*10.764</f>
        <v>441.53928000000002</v>
      </c>
      <c r="E255" s="51">
        <v>0</v>
      </c>
      <c r="F255" s="51">
        <f t="shared" si="33"/>
        <v>684.38588400000003</v>
      </c>
      <c r="G255" s="88"/>
      <c r="H255" s="89"/>
      <c r="I255" s="36"/>
      <c r="L255" s="193"/>
      <c r="M255" s="193"/>
      <c r="N255" s="36"/>
    </row>
    <row r="256" spans="1:14" s="52" customFormat="1" x14ac:dyDescent="0.25">
      <c r="A256" s="54">
        <v>5</v>
      </c>
      <c r="B256" s="54" t="s">
        <v>226</v>
      </c>
      <c r="C256" s="49">
        <v>1</v>
      </c>
      <c r="D256" s="62">
        <f>(41.02)*10.764</f>
        <v>441.53928000000002</v>
      </c>
      <c r="E256" s="51">
        <v>0</v>
      </c>
      <c r="F256" s="51">
        <f t="shared" si="33"/>
        <v>684.38588400000003</v>
      </c>
      <c r="G256" s="88"/>
      <c r="H256" s="89"/>
      <c r="I256" s="36"/>
      <c r="L256" s="193"/>
      <c r="M256" s="193"/>
      <c r="N256" s="36"/>
    </row>
    <row r="257" spans="1:14" s="52" customFormat="1" x14ac:dyDescent="0.25">
      <c r="A257" s="54">
        <v>6</v>
      </c>
      <c r="B257" s="54" t="s">
        <v>226</v>
      </c>
      <c r="C257" s="49">
        <v>2</v>
      </c>
      <c r="D257" s="62">
        <f>(65.61)*10.764</f>
        <v>706.2260399999999</v>
      </c>
      <c r="E257" s="51">
        <v>0</v>
      </c>
      <c r="F257" s="51">
        <f t="shared" si="33"/>
        <v>1094.6503619999999</v>
      </c>
      <c r="G257" s="88"/>
      <c r="H257" s="89"/>
      <c r="I257" s="36"/>
      <c r="L257" s="193"/>
      <c r="M257" s="193"/>
      <c r="N257" s="36"/>
    </row>
    <row r="258" spans="1:14" s="52" customFormat="1" x14ac:dyDescent="0.25">
      <c r="A258" s="54">
        <v>7</v>
      </c>
      <c r="B258" s="54" t="s">
        <v>226</v>
      </c>
      <c r="C258" s="49">
        <v>2</v>
      </c>
      <c r="D258" s="62">
        <f>(65.61)*10.764</f>
        <v>706.2260399999999</v>
      </c>
      <c r="E258" s="51">
        <v>0</v>
      </c>
      <c r="F258" s="51">
        <f t="shared" si="33"/>
        <v>1094.6503619999999</v>
      </c>
      <c r="G258" s="90"/>
      <c r="H258" s="91"/>
      <c r="I258" s="36"/>
      <c r="L258" s="193"/>
      <c r="M258" s="193"/>
      <c r="N258" s="36"/>
    </row>
    <row r="259" spans="1:14" s="52" customFormat="1" x14ac:dyDescent="0.25">
      <c r="A259" s="104" t="s">
        <v>212</v>
      </c>
      <c r="B259" s="105"/>
      <c r="C259" s="105"/>
      <c r="D259" s="105"/>
      <c r="E259" s="105"/>
      <c r="F259" s="105"/>
      <c r="G259" s="105"/>
      <c r="H259" s="106"/>
      <c r="J259" s="36"/>
    </row>
    <row r="260" spans="1:14" s="52" customFormat="1" x14ac:dyDescent="0.25">
      <c r="A260" s="51">
        <v>1</v>
      </c>
      <c r="B260" s="51" t="s">
        <v>224</v>
      </c>
      <c r="C260" s="49" t="s">
        <v>219</v>
      </c>
      <c r="D260" s="62">
        <f>(86.85)*10.764</f>
        <v>934.85339999999985</v>
      </c>
      <c r="E260" s="51">
        <v>0</v>
      </c>
      <c r="F260" s="51">
        <f t="shared" ref="F260:F266" si="35">D260*(($F$124)+1)+(IF(E260&lt;101,E260,IF(E260&lt;201,E260/2,IF(E260&lt;=301,E260/3,E260/4))))</f>
        <v>1449.0227699999998</v>
      </c>
      <c r="G260" s="86" t="str">
        <f>A259</f>
        <v>25th Floor</v>
      </c>
      <c r="H260" s="87"/>
      <c r="I260" s="36"/>
      <c r="L260" s="193"/>
      <c r="M260" s="193"/>
      <c r="N260" s="36"/>
    </row>
    <row r="261" spans="1:14" s="52" customFormat="1" x14ac:dyDescent="0.25">
      <c r="A261" s="54">
        <f t="shared" ref="A261" si="36">A260+1</f>
        <v>2</v>
      </c>
      <c r="B261" s="54" t="s">
        <v>226</v>
      </c>
      <c r="C261" s="49">
        <v>2</v>
      </c>
      <c r="D261" s="62">
        <f>(61.67)*10.764</f>
        <v>663.81587999999999</v>
      </c>
      <c r="E261" s="51">
        <v>0</v>
      </c>
      <c r="F261" s="51">
        <f t="shared" si="35"/>
        <v>1028.914614</v>
      </c>
      <c r="G261" s="88"/>
      <c r="H261" s="89"/>
      <c r="I261" s="36"/>
      <c r="L261" s="193"/>
      <c r="M261" s="193"/>
      <c r="N261" s="36"/>
    </row>
    <row r="262" spans="1:14" s="52" customFormat="1" x14ac:dyDescent="0.25">
      <c r="A262" s="54">
        <v>3</v>
      </c>
      <c r="B262" s="54" t="s">
        <v>226</v>
      </c>
      <c r="C262" s="49">
        <v>2</v>
      </c>
      <c r="D262" s="62">
        <f>(61.67)*10.764</f>
        <v>663.81587999999999</v>
      </c>
      <c r="E262" s="51">
        <v>0</v>
      </c>
      <c r="F262" s="51">
        <f t="shared" si="35"/>
        <v>1028.914614</v>
      </c>
      <c r="G262" s="88"/>
      <c r="H262" s="89"/>
      <c r="I262" s="36"/>
      <c r="L262" s="193"/>
      <c r="M262" s="193"/>
      <c r="N262" s="36"/>
    </row>
    <row r="263" spans="1:14" s="52" customFormat="1" x14ac:dyDescent="0.25">
      <c r="A263" s="54">
        <v>4</v>
      </c>
      <c r="B263" s="54" t="s">
        <v>226</v>
      </c>
      <c r="C263" s="49">
        <v>1</v>
      </c>
      <c r="D263" s="62">
        <f>(41.02)*10.764</f>
        <v>441.53928000000002</v>
      </c>
      <c r="E263" s="51">
        <v>0</v>
      </c>
      <c r="F263" s="51">
        <f t="shared" si="35"/>
        <v>684.38588400000003</v>
      </c>
      <c r="G263" s="88"/>
      <c r="H263" s="89"/>
      <c r="I263" s="36"/>
      <c r="L263" s="193"/>
      <c r="M263" s="193"/>
      <c r="N263" s="36"/>
    </row>
    <row r="264" spans="1:14" s="52" customFormat="1" x14ac:dyDescent="0.25">
      <c r="A264" s="54">
        <v>5</v>
      </c>
      <c r="B264" s="54" t="s">
        <v>226</v>
      </c>
      <c r="C264" s="49">
        <v>1</v>
      </c>
      <c r="D264" s="62">
        <f>(41.02)*10.764</f>
        <v>441.53928000000002</v>
      </c>
      <c r="E264" s="51">
        <v>0</v>
      </c>
      <c r="F264" s="51">
        <f t="shared" si="35"/>
        <v>684.38588400000003</v>
      </c>
      <c r="G264" s="88"/>
      <c r="H264" s="89"/>
      <c r="I264" s="36"/>
      <c r="L264" s="193"/>
      <c r="M264" s="193"/>
      <c r="N264" s="36"/>
    </row>
    <row r="265" spans="1:14" s="52" customFormat="1" x14ac:dyDescent="0.25">
      <c r="A265" s="54">
        <v>6</v>
      </c>
      <c r="B265" s="54" t="s">
        <v>226</v>
      </c>
      <c r="C265" s="49">
        <v>2</v>
      </c>
      <c r="D265" s="62">
        <f>(65.61)*10.764</f>
        <v>706.2260399999999</v>
      </c>
      <c r="E265" s="51">
        <v>0</v>
      </c>
      <c r="F265" s="51">
        <f t="shared" si="35"/>
        <v>1094.6503619999999</v>
      </c>
      <c r="G265" s="88"/>
      <c r="H265" s="89"/>
      <c r="I265" s="36"/>
      <c r="L265" s="193"/>
      <c r="M265" s="193"/>
      <c r="N265" s="36"/>
    </row>
    <row r="266" spans="1:14" s="52" customFormat="1" x14ac:dyDescent="0.25">
      <c r="A266" s="54">
        <v>7</v>
      </c>
      <c r="B266" s="54" t="s">
        <v>226</v>
      </c>
      <c r="C266" s="49">
        <v>2</v>
      </c>
      <c r="D266" s="62">
        <f>(65.61)*10.764</f>
        <v>706.2260399999999</v>
      </c>
      <c r="E266" s="51">
        <v>0</v>
      </c>
      <c r="F266" s="51">
        <f t="shared" si="35"/>
        <v>1094.6503619999999</v>
      </c>
      <c r="G266" s="90"/>
      <c r="H266" s="91"/>
      <c r="I266" s="36"/>
      <c r="L266" s="193"/>
      <c r="M266" s="193"/>
      <c r="N266" s="36"/>
    </row>
    <row r="267" spans="1:14" s="52" customFormat="1" x14ac:dyDescent="0.25">
      <c r="A267" s="104" t="s">
        <v>213</v>
      </c>
      <c r="B267" s="105"/>
      <c r="C267" s="105"/>
      <c r="D267" s="105"/>
      <c r="E267" s="105"/>
      <c r="F267" s="105"/>
      <c r="G267" s="105"/>
      <c r="H267" s="106"/>
      <c r="J267" s="36"/>
    </row>
    <row r="268" spans="1:14" s="52" customFormat="1" x14ac:dyDescent="0.25">
      <c r="A268" s="64">
        <v>1</v>
      </c>
      <c r="B268" s="64" t="s">
        <v>224</v>
      </c>
      <c r="C268" s="65">
        <v>1</v>
      </c>
      <c r="D268" s="63">
        <f>(45.83)*10.764</f>
        <v>493.31411999999995</v>
      </c>
      <c r="E268" s="64">
        <v>0</v>
      </c>
      <c r="F268" s="64">
        <f t="shared" ref="F268:F275" si="37">D268*(($F$124)+1)+(IF(E268&lt;101,E268,IF(E268&lt;201,E268/2,IF(E268&lt;=301,E268/3,E268/4))))</f>
        <v>764.63688599999989</v>
      </c>
      <c r="G268" s="80" t="str">
        <f>A267</f>
        <v>26th Floor</v>
      </c>
      <c r="H268" s="81"/>
      <c r="I268" s="36"/>
      <c r="L268" s="193"/>
      <c r="M268" s="193"/>
      <c r="N268" s="36"/>
    </row>
    <row r="269" spans="1:14" s="52" customFormat="1" x14ac:dyDescent="0.25">
      <c r="A269" s="64">
        <f t="shared" ref="A269" si="38">A268+1</f>
        <v>2</v>
      </c>
      <c r="B269" s="64" t="s">
        <v>224</v>
      </c>
      <c r="C269" s="65">
        <v>1</v>
      </c>
      <c r="D269" s="63">
        <f>(45.83)*10.764</f>
        <v>493.31411999999995</v>
      </c>
      <c r="E269" s="64">
        <v>0</v>
      </c>
      <c r="F269" s="64">
        <f t="shared" si="37"/>
        <v>764.63688599999989</v>
      </c>
      <c r="G269" s="82"/>
      <c r="H269" s="83"/>
      <c r="I269" s="36"/>
      <c r="L269" s="193"/>
      <c r="M269" s="193"/>
      <c r="N269" s="36"/>
    </row>
    <row r="270" spans="1:14" s="52" customFormat="1" x14ac:dyDescent="0.25">
      <c r="A270" s="66">
        <v>3</v>
      </c>
      <c r="B270" s="66" t="s">
        <v>226</v>
      </c>
      <c r="C270" s="65">
        <v>2</v>
      </c>
      <c r="D270" s="63">
        <f>(61.67)*10.764</f>
        <v>663.81587999999999</v>
      </c>
      <c r="E270" s="64">
        <v>0</v>
      </c>
      <c r="F270" s="64">
        <f t="shared" si="37"/>
        <v>1028.914614</v>
      </c>
      <c r="G270" s="82"/>
      <c r="H270" s="83"/>
      <c r="I270" s="36"/>
      <c r="L270" s="193"/>
      <c r="M270" s="193"/>
      <c r="N270" s="36"/>
    </row>
    <row r="271" spans="1:14" s="52" customFormat="1" x14ac:dyDescent="0.25">
      <c r="A271" s="66">
        <v>4</v>
      </c>
      <c r="B271" s="66" t="s">
        <v>226</v>
      </c>
      <c r="C271" s="65">
        <v>2</v>
      </c>
      <c r="D271" s="63">
        <f>(61.67)*10.764</f>
        <v>663.81587999999999</v>
      </c>
      <c r="E271" s="64">
        <v>0</v>
      </c>
      <c r="F271" s="64">
        <f t="shared" si="37"/>
        <v>1028.914614</v>
      </c>
      <c r="G271" s="82"/>
      <c r="H271" s="83"/>
      <c r="I271" s="36"/>
      <c r="L271" s="193"/>
      <c r="M271" s="193"/>
      <c r="N271" s="36"/>
    </row>
    <row r="272" spans="1:14" s="52" customFormat="1" x14ac:dyDescent="0.25">
      <c r="A272" s="66">
        <v>5</v>
      </c>
      <c r="B272" s="66" t="s">
        <v>226</v>
      </c>
      <c r="C272" s="65">
        <v>1</v>
      </c>
      <c r="D272" s="63">
        <f>(41.02)*10.764</f>
        <v>441.53928000000002</v>
      </c>
      <c r="E272" s="64">
        <v>0</v>
      </c>
      <c r="F272" s="64">
        <f t="shared" si="37"/>
        <v>684.38588400000003</v>
      </c>
      <c r="G272" s="82"/>
      <c r="H272" s="83"/>
      <c r="I272" s="36"/>
      <c r="L272" s="193"/>
      <c r="M272" s="193"/>
      <c r="N272" s="36"/>
    </row>
    <row r="273" spans="1:14" s="52" customFormat="1" x14ac:dyDescent="0.25">
      <c r="A273" s="66">
        <v>6</v>
      </c>
      <c r="B273" s="66" t="s">
        <v>226</v>
      </c>
      <c r="C273" s="65">
        <v>1</v>
      </c>
      <c r="D273" s="63">
        <f>(41.02)*10.764</f>
        <v>441.53928000000002</v>
      </c>
      <c r="E273" s="64">
        <v>0</v>
      </c>
      <c r="F273" s="64">
        <f t="shared" si="37"/>
        <v>684.38588400000003</v>
      </c>
      <c r="G273" s="82"/>
      <c r="H273" s="83"/>
      <c r="I273" s="36"/>
      <c r="L273" s="193"/>
      <c r="M273" s="193"/>
      <c r="N273" s="36"/>
    </row>
    <row r="274" spans="1:14" s="52" customFormat="1" x14ac:dyDescent="0.25">
      <c r="A274" s="66">
        <v>7</v>
      </c>
      <c r="B274" s="66" t="s">
        <v>226</v>
      </c>
      <c r="C274" s="65">
        <v>2</v>
      </c>
      <c r="D274" s="63">
        <f>(65.61)*10.764</f>
        <v>706.2260399999999</v>
      </c>
      <c r="E274" s="64">
        <v>0</v>
      </c>
      <c r="F274" s="64">
        <f t="shared" si="37"/>
        <v>1094.6503619999999</v>
      </c>
      <c r="G274" s="82"/>
      <c r="H274" s="83"/>
      <c r="I274" s="36"/>
      <c r="L274" s="193"/>
      <c r="M274" s="193"/>
      <c r="N274" s="36"/>
    </row>
    <row r="275" spans="1:14" s="52" customFormat="1" x14ac:dyDescent="0.25">
      <c r="A275" s="66">
        <v>8</v>
      </c>
      <c r="B275" s="66" t="s">
        <v>226</v>
      </c>
      <c r="C275" s="65">
        <v>2</v>
      </c>
      <c r="D275" s="63">
        <f>(65.61)*10.764</f>
        <v>706.2260399999999</v>
      </c>
      <c r="E275" s="64">
        <v>0</v>
      </c>
      <c r="F275" s="64">
        <f t="shared" si="37"/>
        <v>1094.6503619999999</v>
      </c>
      <c r="G275" s="84"/>
      <c r="H275" s="85"/>
      <c r="I275" s="36"/>
      <c r="L275" s="193"/>
      <c r="M275" s="193"/>
      <c r="N275" s="36"/>
    </row>
    <row r="276" spans="1:14" s="52" customFormat="1" x14ac:dyDescent="0.25">
      <c r="A276" s="205" t="s">
        <v>214</v>
      </c>
      <c r="B276" s="206"/>
      <c r="C276" s="206"/>
      <c r="D276" s="206"/>
      <c r="E276" s="206"/>
      <c r="F276" s="206"/>
      <c r="G276" s="206"/>
      <c r="H276" s="207"/>
      <c r="J276" s="36"/>
    </row>
    <row r="277" spans="1:14" s="52" customFormat="1" x14ac:dyDescent="0.25">
      <c r="A277" s="64">
        <v>1</v>
      </c>
      <c r="B277" s="64" t="s">
        <v>224</v>
      </c>
      <c r="C277" s="65">
        <v>1</v>
      </c>
      <c r="D277" s="63">
        <f>(45.83)*10.764</f>
        <v>493.31411999999995</v>
      </c>
      <c r="E277" s="64">
        <v>0</v>
      </c>
      <c r="F277" s="64">
        <f t="shared" ref="F277:F284" si="39">D277*(($F$124)+1)+(IF(E277&lt;101,E277,IF(E277&lt;201,E277/2,IF(E277&lt;=301,E277/3,E277/4))))</f>
        <v>764.63688599999989</v>
      </c>
      <c r="G277" s="80" t="str">
        <f>A276</f>
        <v>27th Floor</v>
      </c>
      <c r="H277" s="81"/>
      <c r="I277" s="36"/>
      <c r="L277" s="193"/>
      <c r="M277" s="193"/>
      <c r="N277" s="36"/>
    </row>
    <row r="278" spans="1:14" s="52" customFormat="1" x14ac:dyDescent="0.25">
      <c r="A278" s="64">
        <f t="shared" ref="A278" si="40">A277+1</f>
        <v>2</v>
      </c>
      <c r="B278" s="64" t="s">
        <v>224</v>
      </c>
      <c r="C278" s="65">
        <v>1</v>
      </c>
      <c r="D278" s="63">
        <f>(45.83)*10.764</f>
        <v>493.31411999999995</v>
      </c>
      <c r="E278" s="64">
        <v>0</v>
      </c>
      <c r="F278" s="64">
        <f t="shared" si="39"/>
        <v>764.63688599999989</v>
      </c>
      <c r="G278" s="82"/>
      <c r="H278" s="83"/>
      <c r="I278" s="36"/>
      <c r="L278" s="193"/>
      <c r="M278" s="193"/>
      <c r="N278" s="36"/>
    </row>
    <row r="279" spans="1:14" s="52" customFormat="1" x14ac:dyDescent="0.25">
      <c r="A279" s="66">
        <v>3</v>
      </c>
      <c r="B279" s="66" t="s">
        <v>226</v>
      </c>
      <c r="C279" s="65">
        <v>2</v>
      </c>
      <c r="D279" s="63">
        <f>(61.67)*10.764</f>
        <v>663.81587999999999</v>
      </c>
      <c r="E279" s="64">
        <v>0</v>
      </c>
      <c r="F279" s="64">
        <f t="shared" si="39"/>
        <v>1028.914614</v>
      </c>
      <c r="G279" s="82"/>
      <c r="H279" s="83"/>
      <c r="I279" s="36"/>
      <c r="L279" s="193"/>
      <c r="M279" s="193"/>
      <c r="N279" s="36"/>
    </row>
    <row r="280" spans="1:14" s="52" customFormat="1" x14ac:dyDescent="0.25">
      <c r="A280" s="66">
        <v>4</v>
      </c>
      <c r="B280" s="66" t="s">
        <v>226</v>
      </c>
      <c r="C280" s="65">
        <v>2</v>
      </c>
      <c r="D280" s="63">
        <f>(61.67)*10.764</f>
        <v>663.81587999999999</v>
      </c>
      <c r="E280" s="64">
        <v>0</v>
      </c>
      <c r="F280" s="64">
        <f t="shared" si="39"/>
        <v>1028.914614</v>
      </c>
      <c r="G280" s="82"/>
      <c r="H280" s="83"/>
      <c r="I280" s="36"/>
      <c r="L280" s="193"/>
      <c r="M280" s="193"/>
      <c r="N280" s="36"/>
    </row>
    <row r="281" spans="1:14" s="52" customFormat="1" x14ac:dyDescent="0.25">
      <c r="A281" s="54">
        <v>5</v>
      </c>
      <c r="B281" s="66" t="s">
        <v>226</v>
      </c>
      <c r="C281" s="49">
        <v>1</v>
      </c>
      <c r="D281" s="63">
        <f>(41.02)*10.764</f>
        <v>441.53928000000002</v>
      </c>
      <c r="E281" s="51">
        <v>0</v>
      </c>
      <c r="F281" s="51">
        <f t="shared" si="39"/>
        <v>684.38588400000003</v>
      </c>
      <c r="G281" s="82"/>
      <c r="H281" s="83"/>
      <c r="I281" s="36"/>
      <c r="K281" s="63">
        <v>10.763999999999999</v>
      </c>
      <c r="L281" s="193"/>
      <c r="M281" s="193"/>
      <c r="N281" s="36"/>
    </row>
    <row r="282" spans="1:14" s="52" customFormat="1" x14ac:dyDescent="0.25">
      <c r="A282" s="54">
        <v>6</v>
      </c>
      <c r="B282" s="66" t="s">
        <v>226</v>
      </c>
      <c r="C282" s="49">
        <v>1</v>
      </c>
      <c r="D282" s="63">
        <f>(41.02)*10.764</f>
        <v>441.53928000000002</v>
      </c>
      <c r="E282" s="51">
        <v>0</v>
      </c>
      <c r="F282" s="51">
        <f t="shared" si="39"/>
        <v>684.38588400000003</v>
      </c>
      <c r="G282" s="82"/>
      <c r="H282" s="83"/>
      <c r="I282" s="36"/>
      <c r="L282" s="193"/>
      <c r="M282" s="193"/>
      <c r="N282" s="36"/>
    </row>
    <row r="283" spans="1:14" s="52" customFormat="1" x14ac:dyDescent="0.25">
      <c r="A283" s="54">
        <v>7</v>
      </c>
      <c r="B283" s="66" t="s">
        <v>226</v>
      </c>
      <c r="C283" s="49">
        <v>2</v>
      </c>
      <c r="D283" s="63">
        <f>(65.61)*10.764</f>
        <v>706.2260399999999</v>
      </c>
      <c r="E283" s="51">
        <v>0</v>
      </c>
      <c r="F283" s="51">
        <f t="shared" si="39"/>
        <v>1094.6503619999999</v>
      </c>
      <c r="G283" s="82"/>
      <c r="H283" s="83"/>
      <c r="I283" s="36"/>
      <c r="L283" s="193"/>
      <c r="M283" s="193"/>
      <c r="N283" s="36"/>
    </row>
    <row r="284" spans="1:14" s="52" customFormat="1" x14ac:dyDescent="0.25">
      <c r="A284" s="54">
        <v>8</v>
      </c>
      <c r="B284" s="66" t="s">
        <v>226</v>
      </c>
      <c r="C284" s="49">
        <v>2</v>
      </c>
      <c r="D284" s="63">
        <f>(65.61)*10.764</f>
        <v>706.2260399999999</v>
      </c>
      <c r="E284" s="51">
        <v>0</v>
      </c>
      <c r="F284" s="51">
        <f t="shared" si="39"/>
        <v>1094.6503619999999</v>
      </c>
      <c r="G284" s="84"/>
      <c r="H284" s="85"/>
      <c r="I284" s="36"/>
      <c r="L284" s="193"/>
      <c r="M284" s="193"/>
      <c r="N284" s="36"/>
    </row>
    <row r="285" spans="1:14" s="52" customFormat="1" x14ac:dyDescent="0.25">
      <c r="A285" s="104" t="s">
        <v>215</v>
      </c>
      <c r="B285" s="105"/>
      <c r="C285" s="105"/>
      <c r="D285" s="105"/>
      <c r="E285" s="105"/>
      <c r="F285" s="105"/>
      <c r="G285" s="105"/>
      <c r="H285" s="106"/>
      <c r="J285" s="36"/>
    </row>
    <row r="286" spans="1:14" s="52" customFormat="1" x14ac:dyDescent="0.25">
      <c r="A286" s="54">
        <v>1</v>
      </c>
      <c r="B286" s="54" t="s">
        <v>226</v>
      </c>
      <c r="C286" s="49">
        <v>1</v>
      </c>
      <c r="D286" s="63">
        <f>(49.06)*10.764</f>
        <v>528.08183999999994</v>
      </c>
      <c r="E286" s="51">
        <v>0</v>
      </c>
      <c r="F286" s="51">
        <f t="shared" ref="F286:F293" si="41">D286*(($F$124)+1)+(IF(E286&lt;101,E286,IF(E286&lt;201,E286/2,IF(E286&lt;=301,E286/3,E286/4))))</f>
        <v>818.52685199999996</v>
      </c>
      <c r="G286" s="86" t="str">
        <f>A285</f>
        <v>28th Floor</v>
      </c>
      <c r="H286" s="87"/>
      <c r="I286" s="36"/>
      <c r="L286" s="193"/>
      <c r="M286" s="193"/>
      <c r="N286" s="36"/>
    </row>
    <row r="287" spans="1:14" s="52" customFormat="1" x14ac:dyDescent="0.25">
      <c r="A287" s="54">
        <f t="shared" ref="A287" si="42">A286+1</f>
        <v>2</v>
      </c>
      <c r="B287" s="54" t="s">
        <v>226</v>
      </c>
      <c r="C287" s="49">
        <v>1</v>
      </c>
      <c r="D287" s="63">
        <f>(49.06)*10.764</f>
        <v>528.08183999999994</v>
      </c>
      <c r="E287" s="51">
        <v>0</v>
      </c>
      <c r="F287" s="51">
        <f t="shared" si="41"/>
        <v>818.52685199999996</v>
      </c>
      <c r="G287" s="88"/>
      <c r="H287" s="89"/>
      <c r="I287" s="36"/>
      <c r="L287" s="193"/>
      <c r="M287" s="193"/>
      <c r="N287" s="36"/>
    </row>
    <row r="288" spans="1:14" s="52" customFormat="1" x14ac:dyDescent="0.25">
      <c r="A288" s="54">
        <v>3</v>
      </c>
      <c r="B288" s="54" t="s">
        <v>226</v>
      </c>
      <c r="C288" s="49">
        <v>2</v>
      </c>
      <c r="D288" s="63">
        <f>(61.67)*10.764</f>
        <v>663.81587999999999</v>
      </c>
      <c r="E288" s="51">
        <v>0</v>
      </c>
      <c r="F288" s="51">
        <f t="shared" si="41"/>
        <v>1028.914614</v>
      </c>
      <c r="G288" s="88"/>
      <c r="H288" s="89"/>
      <c r="I288" s="36"/>
      <c r="L288" s="193"/>
      <c r="M288" s="193"/>
      <c r="N288" s="36"/>
    </row>
    <row r="289" spans="1:14" s="52" customFormat="1" x14ac:dyDescent="0.25">
      <c r="A289" s="54">
        <v>4</v>
      </c>
      <c r="B289" s="54" t="s">
        <v>226</v>
      </c>
      <c r="C289" s="49">
        <v>2</v>
      </c>
      <c r="D289" s="63">
        <f>(61.67)*10.764</f>
        <v>663.81587999999999</v>
      </c>
      <c r="E289" s="51">
        <v>0</v>
      </c>
      <c r="F289" s="51">
        <f t="shared" si="41"/>
        <v>1028.914614</v>
      </c>
      <c r="G289" s="88"/>
      <c r="H289" s="89"/>
      <c r="I289" s="36"/>
      <c r="L289" s="193"/>
      <c r="M289" s="193"/>
      <c r="N289" s="36"/>
    </row>
    <row r="290" spans="1:14" s="52" customFormat="1" x14ac:dyDescent="0.25">
      <c r="A290" s="54">
        <v>5</v>
      </c>
      <c r="B290" s="54" t="s">
        <v>226</v>
      </c>
      <c r="C290" s="49">
        <v>1</v>
      </c>
      <c r="D290" s="63">
        <f>(41.02)*10.764</f>
        <v>441.53928000000002</v>
      </c>
      <c r="E290" s="51">
        <v>0</v>
      </c>
      <c r="F290" s="51">
        <f t="shared" si="41"/>
        <v>684.38588400000003</v>
      </c>
      <c r="G290" s="88"/>
      <c r="H290" s="89"/>
      <c r="I290" s="36"/>
      <c r="L290" s="193"/>
      <c r="M290" s="193"/>
      <c r="N290" s="36"/>
    </row>
    <row r="291" spans="1:14" s="52" customFormat="1" x14ac:dyDescent="0.25">
      <c r="A291" s="54">
        <v>6</v>
      </c>
      <c r="B291" s="54" t="s">
        <v>226</v>
      </c>
      <c r="C291" s="49">
        <v>1</v>
      </c>
      <c r="D291" s="63">
        <f>(41.02)*10.764</f>
        <v>441.53928000000002</v>
      </c>
      <c r="E291" s="51">
        <v>0</v>
      </c>
      <c r="F291" s="51">
        <f t="shared" si="41"/>
        <v>684.38588400000003</v>
      </c>
      <c r="G291" s="88"/>
      <c r="H291" s="89"/>
      <c r="I291" s="36"/>
      <c r="L291" s="193"/>
      <c r="M291" s="193"/>
      <c r="N291" s="36"/>
    </row>
    <row r="292" spans="1:14" s="52" customFormat="1" x14ac:dyDescent="0.25">
      <c r="A292" s="54">
        <v>7</v>
      </c>
      <c r="B292" s="54" t="s">
        <v>226</v>
      </c>
      <c r="C292" s="49">
        <v>2</v>
      </c>
      <c r="D292" s="63">
        <f>(65.61)*10.764</f>
        <v>706.2260399999999</v>
      </c>
      <c r="E292" s="51">
        <v>0</v>
      </c>
      <c r="F292" s="51">
        <f t="shared" si="41"/>
        <v>1094.6503619999999</v>
      </c>
      <c r="G292" s="88"/>
      <c r="H292" s="89"/>
      <c r="I292" s="36"/>
      <c r="L292" s="193"/>
      <c r="M292" s="193"/>
      <c r="N292" s="36"/>
    </row>
    <row r="293" spans="1:14" s="52" customFormat="1" x14ac:dyDescent="0.25">
      <c r="A293" s="54">
        <v>8</v>
      </c>
      <c r="B293" s="54" t="s">
        <v>226</v>
      </c>
      <c r="C293" s="49">
        <v>2</v>
      </c>
      <c r="D293" s="63">
        <f>(65.61)*10.764</f>
        <v>706.2260399999999</v>
      </c>
      <c r="E293" s="51">
        <v>0</v>
      </c>
      <c r="F293" s="51">
        <f t="shared" si="41"/>
        <v>1094.6503619999999</v>
      </c>
      <c r="G293" s="90"/>
      <c r="H293" s="91"/>
      <c r="I293" s="36"/>
      <c r="L293" s="193"/>
      <c r="M293" s="193"/>
      <c r="N293" s="36"/>
    </row>
    <row r="294" spans="1:14" s="52" customFormat="1" x14ac:dyDescent="0.25">
      <c r="A294" s="104" t="s">
        <v>222</v>
      </c>
      <c r="B294" s="105"/>
      <c r="C294" s="105"/>
      <c r="D294" s="105"/>
      <c r="E294" s="105"/>
      <c r="F294" s="105"/>
      <c r="G294" s="105"/>
      <c r="H294" s="106"/>
      <c r="J294" s="36"/>
    </row>
    <row r="295" spans="1:14" s="52" customFormat="1" ht="15.75" customHeight="1" x14ac:dyDescent="0.25">
      <c r="A295" s="54">
        <v>1</v>
      </c>
      <c r="B295" s="54" t="s">
        <v>226</v>
      </c>
      <c r="C295" s="49">
        <v>1</v>
      </c>
      <c r="D295" s="63">
        <f>(49.06)*10.764</f>
        <v>528.08183999999994</v>
      </c>
      <c r="E295" s="51">
        <v>0</v>
      </c>
      <c r="F295" s="51">
        <f t="shared" ref="F295:F300" si="43">D295*(($F$124)+1)+(IF(E295&lt;101,E295,IF(E295&lt;201,E295/2,IF(E295&lt;=301,E295/3,E295/4))))</f>
        <v>818.52685199999996</v>
      </c>
      <c r="G295" s="86" t="str">
        <f>A294</f>
        <v>29th Floor (Part Refuge Area)</v>
      </c>
      <c r="H295" s="87"/>
      <c r="I295" s="36"/>
      <c r="L295" s="193"/>
      <c r="M295" s="193"/>
      <c r="N295" s="36"/>
    </row>
    <row r="296" spans="1:14" s="52" customFormat="1" ht="15.75" customHeight="1" x14ac:dyDescent="0.25">
      <c r="A296" s="54">
        <f t="shared" ref="A296" si="44">A295+1</f>
        <v>2</v>
      </c>
      <c r="B296" s="54" t="s">
        <v>226</v>
      </c>
      <c r="C296" s="49">
        <v>1</v>
      </c>
      <c r="D296" s="63">
        <f>(49.06)*10.764</f>
        <v>528.08183999999994</v>
      </c>
      <c r="E296" s="51">
        <v>0</v>
      </c>
      <c r="F296" s="51">
        <f t="shared" si="43"/>
        <v>818.52685199999996</v>
      </c>
      <c r="G296" s="88"/>
      <c r="H296" s="89"/>
      <c r="I296" s="36"/>
      <c r="L296" s="193"/>
      <c r="M296" s="193"/>
      <c r="N296" s="36"/>
    </row>
    <row r="297" spans="1:14" s="52" customFormat="1" ht="15.75" customHeight="1" x14ac:dyDescent="0.25">
      <c r="A297" s="54">
        <v>3</v>
      </c>
      <c r="B297" s="54" t="s">
        <v>226</v>
      </c>
      <c r="C297" s="49">
        <v>1</v>
      </c>
      <c r="D297" s="63">
        <f>(41.02)*10.764</f>
        <v>441.53928000000002</v>
      </c>
      <c r="E297" s="51">
        <v>0</v>
      </c>
      <c r="F297" s="51">
        <f t="shared" si="43"/>
        <v>684.38588400000003</v>
      </c>
      <c r="G297" s="88"/>
      <c r="H297" s="89"/>
      <c r="I297" s="36"/>
      <c r="L297" s="193"/>
      <c r="M297" s="193"/>
      <c r="N297" s="36"/>
    </row>
    <row r="298" spans="1:14" s="52" customFormat="1" ht="15.75" customHeight="1" x14ac:dyDescent="0.25">
      <c r="A298" s="54">
        <v>4</v>
      </c>
      <c r="B298" s="54" t="s">
        <v>226</v>
      </c>
      <c r="C298" s="49">
        <v>1</v>
      </c>
      <c r="D298" s="63">
        <f>(41.02)*10.764</f>
        <v>441.53928000000002</v>
      </c>
      <c r="E298" s="51">
        <v>0</v>
      </c>
      <c r="F298" s="51">
        <f t="shared" si="43"/>
        <v>684.38588400000003</v>
      </c>
      <c r="G298" s="88"/>
      <c r="H298" s="89"/>
      <c r="I298" s="36"/>
      <c r="L298" s="193"/>
      <c r="M298" s="193"/>
      <c r="N298" s="36"/>
    </row>
    <row r="299" spans="1:14" s="52" customFormat="1" ht="15.75" customHeight="1" x14ac:dyDescent="0.25">
      <c r="A299" s="54">
        <v>5</v>
      </c>
      <c r="B299" s="54" t="s">
        <v>226</v>
      </c>
      <c r="C299" s="49">
        <v>2</v>
      </c>
      <c r="D299" s="63">
        <f>(65.61)*10.764</f>
        <v>706.2260399999999</v>
      </c>
      <c r="E299" s="51">
        <v>0</v>
      </c>
      <c r="F299" s="51">
        <f t="shared" si="43"/>
        <v>1094.6503619999999</v>
      </c>
      <c r="G299" s="88"/>
      <c r="H299" s="89"/>
      <c r="I299" s="36"/>
      <c r="L299" s="193"/>
      <c r="M299" s="193"/>
      <c r="N299" s="36"/>
    </row>
    <row r="300" spans="1:14" s="52" customFormat="1" ht="15.75" customHeight="1" x14ac:dyDescent="0.25">
      <c r="A300" s="54">
        <v>6</v>
      </c>
      <c r="B300" s="54" t="s">
        <v>226</v>
      </c>
      <c r="C300" s="49">
        <v>2</v>
      </c>
      <c r="D300" s="63">
        <f>(65.61)*10.764</f>
        <v>706.2260399999999</v>
      </c>
      <c r="E300" s="51">
        <v>0</v>
      </c>
      <c r="F300" s="51">
        <f t="shared" si="43"/>
        <v>1094.6503619999999</v>
      </c>
      <c r="G300" s="90"/>
      <c r="H300" s="91"/>
      <c r="I300" s="36"/>
      <c r="L300" s="193"/>
      <c r="M300" s="193"/>
      <c r="N300" s="36"/>
    </row>
    <row r="301" spans="1:14" s="52" customFormat="1" x14ac:dyDescent="0.25">
      <c r="A301" s="104" t="s">
        <v>216</v>
      </c>
      <c r="B301" s="105"/>
      <c r="C301" s="105"/>
      <c r="D301" s="105"/>
      <c r="E301" s="105"/>
      <c r="F301" s="105"/>
      <c r="G301" s="105"/>
      <c r="H301" s="106"/>
      <c r="J301" s="36"/>
    </row>
    <row r="302" spans="1:14" s="52" customFormat="1" x14ac:dyDescent="0.25">
      <c r="A302" s="54">
        <v>1</v>
      </c>
      <c r="B302" s="54" t="s">
        <v>226</v>
      </c>
      <c r="C302" s="49">
        <v>1</v>
      </c>
      <c r="D302" s="63">
        <f>(49.06)*10.764</f>
        <v>528.08183999999994</v>
      </c>
      <c r="E302" s="51">
        <v>0</v>
      </c>
      <c r="F302" s="51">
        <f t="shared" ref="F302:F309" si="45">D302*(($F$124)+1)+(IF(E302&lt;101,E302,IF(E302&lt;201,E302/2,IF(E302&lt;=301,E302/3,E302/4))))</f>
        <v>818.52685199999996</v>
      </c>
      <c r="G302" s="86" t="str">
        <f>A301</f>
        <v>30th Floor</v>
      </c>
      <c r="H302" s="87"/>
      <c r="I302" s="36"/>
      <c r="L302" s="193"/>
      <c r="M302" s="193"/>
      <c r="N302" s="36"/>
    </row>
    <row r="303" spans="1:14" s="52" customFormat="1" x14ac:dyDescent="0.25">
      <c r="A303" s="54">
        <f t="shared" ref="A303" si="46">A302+1</f>
        <v>2</v>
      </c>
      <c r="B303" s="54" t="s">
        <v>226</v>
      </c>
      <c r="C303" s="49">
        <v>1</v>
      </c>
      <c r="D303" s="63">
        <f>(49.06)*10.764</f>
        <v>528.08183999999994</v>
      </c>
      <c r="E303" s="51">
        <v>0</v>
      </c>
      <c r="F303" s="51">
        <f t="shared" si="45"/>
        <v>818.52685199999996</v>
      </c>
      <c r="G303" s="88"/>
      <c r="H303" s="89"/>
      <c r="I303" s="36"/>
      <c r="L303" s="193"/>
      <c r="M303" s="193"/>
      <c r="N303" s="36"/>
    </row>
    <row r="304" spans="1:14" s="52" customFormat="1" x14ac:dyDescent="0.25">
      <c r="A304" s="54">
        <v>3</v>
      </c>
      <c r="B304" s="54" t="s">
        <v>226</v>
      </c>
      <c r="C304" s="49">
        <v>2</v>
      </c>
      <c r="D304" s="63">
        <f>(61.67)*10.764</f>
        <v>663.81587999999999</v>
      </c>
      <c r="E304" s="51">
        <v>0</v>
      </c>
      <c r="F304" s="51">
        <f t="shared" si="45"/>
        <v>1028.914614</v>
      </c>
      <c r="G304" s="88"/>
      <c r="H304" s="89"/>
      <c r="I304" s="36"/>
      <c r="L304" s="193"/>
      <c r="M304" s="193"/>
      <c r="N304" s="36"/>
    </row>
    <row r="305" spans="1:14" s="52" customFormat="1" x14ac:dyDescent="0.25">
      <c r="A305" s="54">
        <v>4</v>
      </c>
      <c r="B305" s="54" t="s">
        <v>226</v>
      </c>
      <c r="C305" s="49">
        <v>2</v>
      </c>
      <c r="D305" s="63">
        <f>(61.67)*10.764</f>
        <v>663.81587999999999</v>
      </c>
      <c r="E305" s="51">
        <v>0</v>
      </c>
      <c r="F305" s="51">
        <f t="shared" si="45"/>
        <v>1028.914614</v>
      </c>
      <c r="G305" s="88"/>
      <c r="H305" s="89"/>
      <c r="I305" s="36"/>
      <c r="L305" s="193"/>
      <c r="M305" s="193"/>
      <c r="N305" s="36"/>
    </row>
    <row r="306" spans="1:14" s="52" customFormat="1" x14ac:dyDescent="0.25">
      <c r="A306" s="54">
        <v>5</v>
      </c>
      <c r="B306" s="54" t="s">
        <v>226</v>
      </c>
      <c r="C306" s="49">
        <v>1</v>
      </c>
      <c r="D306" s="63">
        <f>(41.02)*10.764</f>
        <v>441.53928000000002</v>
      </c>
      <c r="E306" s="51">
        <v>0</v>
      </c>
      <c r="F306" s="51">
        <f t="shared" si="45"/>
        <v>684.38588400000003</v>
      </c>
      <c r="G306" s="88"/>
      <c r="H306" s="89"/>
      <c r="I306" s="36"/>
      <c r="L306" s="193"/>
      <c r="M306" s="193"/>
      <c r="N306" s="36"/>
    </row>
    <row r="307" spans="1:14" s="52" customFormat="1" x14ac:dyDescent="0.25">
      <c r="A307" s="54">
        <v>6</v>
      </c>
      <c r="B307" s="54" t="s">
        <v>226</v>
      </c>
      <c r="C307" s="49">
        <v>1</v>
      </c>
      <c r="D307" s="63">
        <f>(41.02)*10.764</f>
        <v>441.53928000000002</v>
      </c>
      <c r="E307" s="51">
        <v>0</v>
      </c>
      <c r="F307" s="51">
        <f t="shared" si="45"/>
        <v>684.38588400000003</v>
      </c>
      <c r="G307" s="88"/>
      <c r="H307" s="89"/>
      <c r="I307" s="36"/>
      <c r="L307" s="193"/>
      <c r="M307" s="193"/>
      <c r="N307" s="36"/>
    </row>
    <row r="308" spans="1:14" s="52" customFormat="1" x14ac:dyDescent="0.25">
      <c r="A308" s="54">
        <v>7</v>
      </c>
      <c r="B308" s="54" t="s">
        <v>226</v>
      </c>
      <c r="C308" s="49">
        <v>2</v>
      </c>
      <c r="D308" s="63">
        <f>(65.61)*10.764</f>
        <v>706.2260399999999</v>
      </c>
      <c r="E308" s="51">
        <v>0</v>
      </c>
      <c r="F308" s="51">
        <f t="shared" si="45"/>
        <v>1094.6503619999999</v>
      </c>
      <c r="G308" s="88"/>
      <c r="H308" s="89"/>
      <c r="I308" s="36"/>
      <c r="L308" s="193"/>
      <c r="M308" s="193"/>
      <c r="N308" s="36"/>
    </row>
    <row r="309" spans="1:14" s="52" customFormat="1" x14ac:dyDescent="0.25">
      <c r="A309" s="54">
        <v>8</v>
      </c>
      <c r="B309" s="54" t="s">
        <v>226</v>
      </c>
      <c r="C309" s="49">
        <v>2</v>
      </c>
      <c r="D309" s="63">
        <f>(65.61)*10.764</f>
        <v>706.2260399999999</v>
      </c>
      <c r="E309" s="51">
        <v>0</v>
      </c>
      <c r="F309" s="51">
        <f t="shared" si="45"/>
        <v>1094.6503619999999</v>
      </c>
      <c r="G309" s="90"/>
      <c r="H309" s="91"/>
      <c r="I309" s="36"/>
      <c r="L309" s="193"/>
      <c r="M309" s="193"/>
      <c r="N309" s="36"/>
    </row>
    <row r="310" spans="1:14" s="52" customFormat="1" x14ac:dyDescent="0.25">
      <c r="A310" s="104" t="s">
        <v>223</v>
      </c>
      <c r="B310" s="105"/>
      <c r="C310" s="105"/>
      <c r="D310" s="105"/>
      <c r="E310" s="105"/>
      <c r="F310" s="105"/>
      <c r="G310" s="105"/>
      <c r="H310" s="106"/>
      <c r="J310" s="36"/>
    </row>
    <row r="311" spans="1:14" s="52" customFormat="1" x14ac:dyDescent="0.25">
      <c r="A311" s="54">
        <v>1</v>
      </c>
      <c r="B311" s="54" t="s">
        <v>226</v>
      </c>
      <c r="C311" s="49">
        <v>3</v>
      </c>
      <c r="D311" s="63">
        <f>(88.8)*10.764</f>
        <v>955.84319999999991</v>
      </c>
      <c r="E311" s="51">
        <v>0</v>
      </c>
      <c r="F311" s="51">
        <f>D311*(($F$124)+1)+(IF(E311&lt;101,E311,IF(E311&lt;201,E311/2,IF(E311&lt;=301,E311/3,E311/4))))</f>
        <v>1481.5569599999999</v>
      </c>
      <c r="G311" s="150" t="str">
        <f>A310</f>
        <v>31th Floor (Part Terrace Area)</v>
      </c>
      <c r="H311" s="151"/>
      <c r="I311" s="36"/>
      <c r="L311" s="193"/>
      <c r="M311" s="193"/>
      <c r="N311" s="36"/>
    </row>
    <row r="312" spans="1:14" s="35" customFormat="1" x14ac:dyDescent="0.25">
      <c r="A312" s="143" t="s">
        <v>69</v>
      </c>
      <c r="B312" s="143"/>
      <c r="C312" s="143"/>
      <c r="D312" s="143"/>
      <c r="E312" s="143"/>
      <c r="F312" s="143"/>
      <c r="G312" s="143"/>
      <c r="H312" s="143"/>
    </row>
    <row r="313" spans="1:14" s="35" customFormat="1" x14ac:dyDescent="0.25">
      <c r="A313" s="43" t="s">
        <v>159</v>
      </c>
      <c r="B313" s="101" t="s">
        <v>251</v>
      </c>
      <c r="C313" s="102"/>
      <c r="D313" s="102"/>
      <c r="E313" s="102"/>
      <c r="F313" s="102"/>
      <c r="G313" s="102"/>
      <c r="H313" s="103"/>
      <c r="I313" s="76" t="s">
        <v>246</v>
      </c>
    </row>
    <row r="314" spans="1:14" s="35" customFormat="1" x14ac:dyDescent="0.25">
      <c r="A314" s="43" t="s">
        <v>159</v>
      </c>
      <c r="B314" s="101" t="str">
        <f>(IF(F123="Saleable area Loading :","We have considered Saleable area of Flats as per our Calculation.","We considered Saleable area of Flat as per Builder area Sheet."))</f>
        <v>We have considered Saleable area of Flats as per our Calculation.</v>
      </c>
      <c r="C314" s="102"/>
      <c r="D314" s="102"/>
      <c r="E314" s="102"/>
      <c r="F314" s="102"/>
      <c r="G314" s="102"/>
      <c r="H314" s="103"/>
    </row>
    <row r="315" spans="1:14" s="35" customFormat="1" x14ac:dyDescent="0.25">
      <c r="A315" s="43" t="s">
        <v>159</v>
      </c>
      <c r="B315" s="101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5" s="102"/>
      <c r="D315" s="102"/>
      <c r="E315" s="102"/>
      <c r="F315" s="102"/>
      <c r="G315" s="102"/>
      <c r="H315" s="103"/>
      <c r="K315" s="35" t="s">
        <v>250</v>
      </c>
    </row>
    <row r="316" spans="1:14" s="35" customFormat="1" x14ac:dyDescent="0.25">
      <c r="A316" s="43" t="s">
        <v>159</v>
      </c>
      <c r="B316" s="101" t="s">
        <v>128</v>
      </c>
      <c r="C316" s="102"/>
      <c r="D316" s="102"/>
      <c r="E316" s="102"/>
      <c r="F316" s="102"/>
      <c r="G316" s="102"/>
      <c r="H316" s="103"/>
    </row>
    <row r="317" spans="1:14" s="35" customFormat="1" x14ac:dyDescent="0.25">
      <c r="A317" s="43" t="s">
        <v>159</v>
      </c>
      <c r="B317" s="101" t="s">
        <v>233</v>
      </c>
      <c r="C317" s="102"/>
      <c r="D317" s="102"/>
      <c r="E317" s="102"/>
      <c r="F317" s="102"/>
      <c r="G317" s="102"/>
      <c r="H317" s="103"/>
    </row>
    <row r="318" spans="1:14" s="35" customFormat="1" x14ac:dyDescent="0.25">
      <c r="A318" s="43" t="s">
        <v>159</v>
      </c>
      <c r="B318" s="101" t="s">
        <v>158</v>
      </c>
      <c r="C318" s="102"/>
      <c r="D318" s="102"/>
      <c r="E318" s="102"/>
      <c r="F318" s="102"/>
      <c r="G318" s="102"/>
      <c r="H318" s="103"/>
    </row>
    <row r="319" spans="1:14" s="35" customFormat="1" x14ac:dyDescent="0.25">
      <c r="A319" s="43" t="s">
        <v>159</v>
      </c>
      <c r="B319" s="77" t="s">
        <v>129</v>
      </c>
      <c r="C319" s="78"/>
      <c r="D319" s="78"/>
      <c r="E319" s="78"/>
      <c r="F319" s="78"/>
      <c r="G319" s="78"/>
      <c r="H319" s="79"/>
    </row>
    <row r="320" spans="1:14" s="35" customFormat="1" ht="34.5" customHeight="1" x14ac:dyDescent="0.25">
      <c r="A320" s="43" t="s">
        <v>159</v>
      </c>
      <c r="B320" s="77" t="s">
        <v>160</v>
      </c>
      <c r="C320" s="78"/>
      <c r="D320" s="78"/>
      <c r="E320" s="78"/>
      <c r="F320" s="78"/>
      <c r="G320" s="78"/>
      <c r="H320" s="79"/>
    </row>
    <row r="321" spans="1:8" s="35" customFormat="1" x14ac:dyDescent="0.25">
      <c r="A321" s="43" t="s">
        <v>159</v>
      </c>
      <c r="B321" s="77" t="s">
        <v>130</v>
      </c>
      <c r="C321" s="78"/>
      <c r="D321" s="78"/>
      <c r="E321" s="78"/>
      <c r="F321" s="78"/>
      <c r="G321" s="78"/>
      <c r="H321" s="79"/>
    </row>
    <row r="322" spans="1:8" s="35" customFormat="1" hidden="1" x14ac:dyDescent="0.25">
      <c r="A322" s="55" t="s">
        <v>159</v>
      </c>
      <c r="B322" s="101" t="s">
        <v>232</v>
      </c>
      <c r="C322" s="102"/>
      <c r="D322" s="102"/>
      <c r="E322" s="102"/>
      <c r="F322" s="102"/>
      <c r="G322" s="102"/>
      <c r="H322" s="103"/>
    </row>
    <row r="323" spans="1:8" s="35" customFormat="1" hidden="1" x14ac:dyDescent="0.25">
      <c r="A323" s="75" t="s">
        <v>159</v>
      </c>
      <c r="B323" s="77" t="s">
        <v>241</v>
      </c>
      <c r="C323" s="78"/>
      <c r="D323" s="78"/>
      <c r="E323" s="78"/>
      <c r="F323" s="78"/>
      <c r="G323" s="78"/>
      <c r="H323" s="79"/>
    </row>
    <row r="324" spans="1:8" s="35" customFormat="1" x14ac:dyDescent="0.25">
      <c r="A324" s="75" t="s">
        <v>159</v>
      </c>
      <c r="B324" s="77" t="s">
        <v>247</v>
      </c>
      <c r="C324" s="78"/>
      <c r="D324" s="78"/>
      <c r="E324" s="78"/>
      <c r="F324" s="78"/>
      <c r="G324" s="78"/>
      <c r="H324" s="79"/>
    </row>
    <row r="325" spans="1:8" s="35" customFormat="1" x14ac:dyDescent="0.25">
      <c r="A325" s="74" t="s">
        <v>159</v>
      </c>
      <c r="B325" s="77" t="s">
        <v>248</v>
      </c>
      <c r="C325" s="78"/>
      <c r="D325" s="78"/>
      <c r="E325" s="78"/>
      <c r="F325" s="78"/>
      <c r="G325" s="78"/>
      <c r="H325" s="79"/>
    </row>
    <row r="326" spans="1:8" x14ac:dyDescent="0.25">
      <c r="A326" s="152" t="s">
        <v>62</v>
      </c>
      <c r="B326" s="152"/>
      <c r="C326" s="152"/>
      <c r="D326" s="152"/>
      <c r="E326" s="152"/>
      <c r="F326" s="152"/>
      <c r="G326" s="152"/>
      <c r="H326" s="152"/>
    </row>
    <row r="327" spans="1:8" x14ac:dyDescent="0.25">
      <c r="A327" s="94" t="s">
        <v>63</v>
      </c>
      <c r="B327" s="94"/>
      <c r="C327" s="94"/>
      <c r="D327" s="94"/>
      <c r="E327" s="94"/>
      <c r="F327" s="94"/>
      <c r="G327" s="94"/>
      <c r="H327" s="94"/>
    </row>
    <row r="328" spans="1:8" ht="15.75" customHeight="1" x14ac:dyDescent="0.25">
      <c r="A328" s="134" t="s">
        <v>64</v>
      </c>
      <c r="B328" s="134"/>
      <c r="C328" s="134"/>
      <c r="D328" s="134"/>
      <c r="E328" s="134"/>
      <c r="F328" s="134"/>
      <c r="G328" s="134"/>
      <c r="H328" s="134"/>
    </row>
    <row r="329" spans="1:8" x14ac:dyDescent="0.25">
      <c r="A329" s="94" t="s">
        <v>65</v>
      </c>
      <c r="B329" s="94"/>
      <c r="C329" s="94"/>
      <c r="D329" s="94"/>
      <c r="E329" s="94"/>
      <c r="F329" s="94"/>
      <c r="G329" s="94"/>
      <c r="H329" s="94"/>
    </row>
    <row r="330" spans="1:8" x14ac:dyDescent="0.25">
      <c r="A330" s="94" t="s">
        <v>66</v>
      </c>
      <c r="B330" s="94"/>
      <c r="C330" s="94"/>
      <c r="D330" s="94"/>
      <c r="E330" s="94"/>
      <c r="F330" s="94"/>
      <c r="G330" s="94"/>
      <c r="H330" s="94"/>
    </row>
    <row r="331" spans="1:8" x14ac:dyDescent="0.25">
      <c r="A331" s="94" t="s">
        <v>131</v>
      </c>
      <c r="B331" s="94"/>
      <c r="C331" s="94"/>
      <c r="D331" s="94"/>
      <c r="E331" s="94"/>
      <c r="F331" s="94"/>
      <c r="G331" s="94"/>
      <c r="H331" s="94"/>
    </row>
    <row r="332" spans="1:8" ht="35.25" customHeight="1" x14ac:dyDescent="0.25">
      <c r="A332" s="114" t="s">
        <v>132</v>
      </c>
      <c r="B332" s="114"/>
      <c r="C332" s="114"/>
      <c r="D332" s="114"/>
      <c r="E332" s="114"/>
      <c r="F332" s="114"/>
      <c r="G332" s="114"/>
      <c r="H332" s="114"/>
    </row>
    <row r="333" spans="1:8" x14ac:dyDescent="0.25">
      <c r="A333" s="145" t="s">
        <v>78</v>
      </c>
      <c r="B333" s="145"/>
      <c r="C333" s="145" t="s">
        <v>245</v>
      </c>
      <c r="D333" s="145"/>
      <c r="E333" s="145" t="s">
        <v>107</v>
      </c>
      <c r="F333" s="145"/>
      <c r="G333" s="145" t="s">
        <v>249</v>
      </c>
      <c r="H333" s="145"/>
    </row>
    <row r="334" spans="1:8" x14ac:dyDescent="0.25">
      <c r="A334" s="144" t="s">
        <v>80</v>
      </c>
      <c r="B334" s="144"/>
      <c r="C334" s="144"/>
      <c r="D334" s="144"/>
      <c r="E334" s="144"/>
      <c r="F334" s="144"/>
      <c r="G334" s="144"/>
      <c r="H334" s="144"/>
    </row>
    <row r="335" spans="1:8" x14ac:dyDescent="0.25">
      <c r="A335" s="144"/>
      <c r="B335" s="144"/>
      <c r="C335" s="144"/>
      <c r="D335" s="144"/>
      <c r="E335" s="144"/>
      <c r="F335" s="144"/>
      <c r="G335" s="144"/>
      <c r="H335" s="144"/>
    </row>
    <row r="336" spans="1:8" x14ac:dyDescent="0.25">
      <c r="A336" s="144"/>
      <c r="B336" s="144"/>
      <c r="C336" s="144"/>
      <c r="D336" s="144"/>
      <c r="E336" s="144"/>
      <c r="F336" s="144"/>
      <c r="G336" s="144"/>
      <c r="H336" s="144"/>
    </row>
    <row r="337" spans="1:8" x14ac:dyDescent="0.25">
      <c r="A337" s="144"/>
      <c r="B337" s="144"/>
      <c r="C337" s="144"/>
      <c r="D337" s="144"/>
      <c r="E337" s="144"/>
      <c r="F337" s="144"/>
      <c r="G337" s="144"/>
      <c r="H337" s="144"/>
    </row>
    <row r="338" spans="1:8" x14ac:dyDescent="0.25">
      <c r="A338" s="37" t="s">
        <v>67</v>
      </c>
      <c r="B338" s="38"/>
      <c r="C338" s="38"/>
      <c r="D338" s="37" t="str">
        <f>E8</f>
        <v>Vitalis</v>
      </c>
      <c r="F338" s="38"/>
      <c r="G338" s="38"/>
      <c r="H338" s="38"/>
    </row>
    <row r="339" spans="1:8" x14ac:dyDescent="0.25">
      <c r="A339" s="38"/>
      <c r="B339" s="38"/>
      <c r="C339" s="38"/>
      <c r="D339" s="38"/>
      <c r="E339" s="38"/>
      <c r="F339" s="38"/>
      <c r="G339" s="38"/>
      <c r="H339" s="38"/>
    </row>
    <row r="340" spans="1:8" x14ac:dyDescent="0.25">
      <c r="A340" s="38"/>
      <c r="B340" s="38"/>
      <c r="C340" s="38"/>
      <c r="D340" s="38"/>
      <c r="E340" s="38"/>
      <c r="F340" s="38"/>
      <c r="G340" s="38"/>
      <c r="H340" s="38"/>
    </row>
    <row r="341" spans="1:8" ht="15" customHeight="1" x14ac:dyDescent="0.25"/>
    <row r="379" spans="1:1" x14ac:dyDescent="0.25">
      <c r="A379" s="40" t="s">
        <v>68</v>
      </c>
    </row>
  </sheetData>
  <mergeCells count="481">
    <mergeCell ref="A294:H294"/>
    <mergeCell ref="L295:M295"/>
    <mergeCell ref="L116:M116"/>
    <mergeCell ref="L117:M117"/>
    <mergeCell ref="L121:M121"/>
    <mergeCell ref="L118:M118"/>
    <mergeCell ref="L119:M119"/>
    <mergeCell ref="L120:M120"/>
    <mergeCell ref="L287:M287"/>
    <mergeCell ref="L273:M273"/>
    <mergeCell ref="L284:M284"/>
    <mergeCell ref="L286:M286"/>
    <mergeCell ref="L282:M282"/>
    <mergeCell ref="L277:M277"/>
    <mergeCell ref="L278:M278"/>
    <mergeCell ref="L279:M279"/>
    <mergeCell ref="L261:M261"/>
    <mergeCell ref="L262:M262"/>
    <mergeCell ref="L300:M300"/>
    <mergeCell ref="L297:M297"/>
    <mergeCell ref="L298:M298"/>
    <mergeCell ref="L299:M299"/>
    <mergeCell ref="L111:M111"/>
    <mergeCell ref="L112:M112"/>
    <mergeCell ref="L113:M113"/>
    <mergeCell ref="L114:M114"/>
    <mergeCell ref="L115:M115"/>
    <mergeCell ref="L293:M293"/>
    <mergeCell ref="L311:M311"/>
    <mergeCell ref="L305:M305"/>
    <mergeCell ref="L306:M306"/>
    <mergeCell ref="L307:M307"/>
    <mergeCell ref="L308:M308"/>
    <mergeCell ref="L309:M309"/>
    <mergeCell ref="L302:M302"/>
    <mergeCell ref="L303:M303"/>
    <mergeCell ref="L304:M304"/>
    <mergeCell ref="L274:M274"/>
    <mergeCell ref="L275:M275"/>
    <mergeCell ref="L270:M270"/>
    <mergeCell ref="L271:M271"/>
    <mergeCell ref="L272:M272"/>
    <mergeCell ref="L280:M280"/>
    <mergeCell ref="L281:M281"/>
    <mergeCell ref="L283:M283"/>
    <mergeCell ref="L296:M296"/>
    <mergeCell ref="L290:M290"/>
    <mergeCell ref="L291:M291"/>
    <mergeCell ref="L292:M292"/>
    <mergeCell ref="L288:M288"/>
    <mergeCell ref="L289:M289"/>
    <mergeCell ref="L258:M258"/>
    <mergeCell ref="A259:H259"/>
    <mergeCell ref="L260:M260"/>
    <mergeCell ref="L268:M268"/>
    <mergeCell ref="L269:M269"/>
    <mergeCell ref="L264:M264"/>
    <mergeCell ref="L265:M265"/>
    <mergeCell ref="L266:M266"/>
    <mergeCell ref="L248:M248"/>
    <mergeCell ref="L249:M249"/>
    <mergeCell ref="L250:M250"/>
    <mergeCell ref="A267:H267"/>
    <mergeCell ref="L263:M263"/>
    <mergeCell ref="L245:M245"/>
    <mergeCell ref="L246:M246"/>
    <mergeCell ref="L247:M247"/>
    <mergeCell ref="L255:M255"/>
    <mergeCell ref="L256:M256"/>
    <mergeCell ref="L257:M257"/>
    <mergeCell ref="L252:M252"/>
    <mergeCell ref="L253:M253"/>
    <mergeCell ref="L254:M254"/>
    <mergeCell ref="L237:M237"/>
    <mergeCell ref="L238:M238"/>
    <mergeCell ref="L239:M239"/>
    <mergeCell ref="L233:M233"/>
    <mergeCell ref="L234:M234"/>
    <mergeCell ref="A235:H235"/>
    <mergeCell ref="L236:M236"/>
    <mergeCell ref="L243:M243"/>
    <mergeCell ref="L244:M244"/>
    <mergeCell ref="L240:M240"/>
    <mergeCell ref="L241:M241"/>
    <mergeCell ref="A242:H242"/>
    <mergeCell ref="L223:M223"/>
    <mergeCell ref="L224:M224"/>
    <mergeCell ref="L225:M225"/>
    <mergeCell ref="L220:M220"/>
    <mergeCell ref="L221:M221"/>
    <mergeCell ref="L222:M222"/>
    <mergeCell ref="L230:M230"/>
    <mergeCell ref="L231:M231"/>
    <mergeCell ref="L232:M232"/>
    <mergeCell ref="L227:M227"/>
    <mergeCell ref="L228:M228"/>
    <mergeCell ref="L229:M229"/>
    <mergeCell ref="L215:M215"/>
    <mergeCell ref="L216:M216"/>
    <mergeCell ref="A217:H217"/>
    <mergeCell ref="L218:M218"/>
    <mergeCell ref="L219:M219"/>
    <mergeCell ref="L211:M211"/>
    <mergeCell ref="L212:M212"/>
    <mergeCell ref="L213:M213"/>
    <mergeCell ref="L214:M214"/>
    <mergeCell ref="L206:M206"/>
    <mergeCell ref="L207:M207"/>
    <mergeCell ref="A208:H208"/>
    <mergeCell ref="L209:M209"/>
    <mergeCell ref="L210:M210"/>
    <mergeCell ref="L202:M202"/>
    <mergeCell ref="L203:M203"/>
    <mergeCell ref="L204:M204"/>
    <mergeCell ref="L205:M205"/>
    <mergeCell ref="L197:M197"/>
    <mergeCell ref="L198:M198"/>
    <mergeCell ref="A199:H199"/>
    <mergeCell ref="L200:M200"/>
    <mergeCell ref="L201:M201"/>
    <mergeCell ref="L193:M193"/>
    <mergeCell ref="L194:M194"/>
    <mergeCell ref="L195:M195"/>
    <mergeCell ref="L196:M196"/>
    <mergeCell ref="L189:M189"/>
    <mergeCell ref="A190:H190"/>
    <mergeCell ref="L191:M191"/>
    <mergeCell ref="L192:M192"/>
    <mergeCell ref="L183:M183"/>
    <mergeCell ref="L184:M184"/>
    <mergeCell ref="L185:M185"/>
    <mergeCell ref="L186:M186"/>
    <mergeCell ref="L187:M187"/>
    <mergeCell ref="L188:M188"/>
    <mergeCell ref="A176:H176"/>
    <mergeCell ref="L177:M177"/>
    <mergeCell ref="L178:M178"/>
    <mergeCell ref="L179:M179"/>
    <mergeCell ref="L180:M180"/>
    <mergeCell ref="L181:M181"/>
    <mergeCell ref="L169:M169"/>
    <mergeCell ref="L170:M170"/>
    <mergeCell ref="L171:M171"/>
    <mergeCell ref="L172:M172"/>
    <mergeCell ref="L173:M173"/>
    <mergeCell ref="L174:M174"/>
    <mergeCell ref="L175:M175"/>
    <mergeCell ref="L160:M160"/>
    <mergeCell ref="L161:M161"/>
    <mergeCell ref="L155:M155"/>
    <mergeCell ref="L156:M156"/>
    <mergeCell ref="L157:M157"/>
    <mergeCell ref="L165:M165"/>
    <mergeCell ref="L166:M166"/>
    <mergeCell ref="L167:M167"/>
    <mergeCell ref="L162:M162"/>
    <mergeCell ref="L163:M163"/>
    <mergeCell ref="L164:M164"/>
    <mergeCell ref="L145:M145"/>
    <mergeCell ref="L152:M152"/>
    <mergeCell ref="L153:M153"/>
    <mergeCell ref="L154:M154"/>
    <mergeCell ref="L149:M149"/>
    <mergeCell ref="A150:H150"/>
    <mergeCell ref="L151:M151"/>
    <mergeCell ref="L158:M158"/>
    <mergeCell ref="A159:H159"/>
    <mergeCell ref="A301:H301"/>
    <mergeCell ref="L141:M141"/>
    <mergeCell ref="L138:M138"/>
    <mergeCell ref="L139:M139"/>
    <mergeCell ref="L140:M140"/>
    <mergeCell ref="A125:H125"/>
    <mergeCell ref="A126:H126"/>
    <mergeCell ref="A127:H127"/>
    <mergeCell ref="A135:H135"/>
    <mergeCell ref="L136:M136"/>
    <mergeCell ref="L137:M137"/>
    <mergeCell ref="L133:M133"/>
    <mergeCell ref="L134:M134"/>
    <mergeCell ref="L132:M132"/>
    <mergeCell ref="L129:M129"/>
    <mergeCell ref="L130:M130"/>
    <mergeCell ref="L131:M131"/>
    <mergeCell ref="A128:H128"/>
    <mergeCell ref="L146:M146"/>
    <mergeCell ref="L147:M147"/>
    <mergeCell ref="L148:M148"/>
    <mergeCell ref="A142:H142"/>
    <mergeCell ref="L143:M143"/>
    <mergeCell ref="L144:M144"/>
    <mergeCell ref="B104:B105"/>
    <mergeCell ref="A37:B37"/>
    <mergeCell ref="C37:H37"/>
    <mergeCell ref="B320:H320"/>
    <mergeCell ref="A46:B46"/>
    <mergeCell ref="C46:H46"/>
    <mergeCell ref="B318:H318"/>
    <mergeCell ref="A99:B99"/>
    <mergeCell ref="F81:H81"/>
    <mergeCell ref="A81:E81"/>
    <mergeCell ref="D104:D105"/>
    <mergeCell ref="A83:E83"/>
    <mergeCell ref="F83:H83"/>
    <mergeCell ref="F89:H89"/>
    <mergeCell ref="A90:E90"/>
    <mergeCell ref="C97:D97"/>
    <mergeCell ref="G97:H97"/>
    <mergeCell ref="A82:E82"/>
    <mergeCell ref="A79:E79"/>
    <mergeCell ref="A85:E85"/>
    <mergeCell ref="A226:H226"/>
    <mergeCell ref="A251:H251"/>
    <mergeCell ref="A285:H285"/>
    <mergeCell ref="A276:H276"/>
    <mergeCell ref="A88:E88"/>
    <mergeCell ref="F82:H82"/>
    <mergeCell ref="F87:H87"/>
    <mergeCell ref="C94:D94"/>
    <mergeCell ref="F90:H90"/>
    <mergeCell ref="F88:H88"/>
    <mergeCell ref="C123:C124"/>
    <mergeCell ref="C100:D100"/>
    <mergeCell ref="G94:H94"/>
    <mergeCell ref="A89:E89"/>
    <mergeCell ref="C95:D95"/>
    <mergeCell ref="E95:F95"/>
    <mergeCell ref="E97:F97"/>
    <mergeCell ref="A100:B100"/>
    <mergeCell ref="E100:F100"/>
    <mergeCell ref="A122:H122"/>
    <mergeCell ref="A123:A124"/>
    <mergeCell ref="C99:D99"/>
    <mergeCell ref="E99:F99"/>
    <mergeCell ref="G99:H99"/>
    <mergeCell ref="G100:H100"/>
    <mergeCell ref="C101:D101"/>
    <mergeCell ref="E101:F101"/>
    <mergeCell ref="G101:H101"/>
    <mergeCell ref="A42:D42"/>
    <mergeCell ref="A35:H35"/>
    <mergeCell ref="A34:B34"/>
    <mergeCell ref="C34:E34"/>
    <mergeCell ref="A39:D39"/>
    <mergeCell ref="E39:H39"/>
    <mergeCell ref="C36:H36"/>
    <mergeCell ref="L110:M110"/>
    <mergeCell ref="L109:M109"/>
    <mergeCell ref="L108:M108"/>
    <mergeCell ref="L107:M107"/>
    <mergeCell ref="A76:B76"/>
    <mergeCell ref="C98:D98"/>
    <mergeCell ref="E98:F98"/>
    <mergeCell ref="G98:H98"/>
    <mergeCell ref="F86:H86"/>
    <mergeCell ref="A80:E80"/>
    <mergeCell ref="A106:H106"/>
    <mergeCell ref="E104:E105"/>
    <mergeCell ref="G104:H105"/>
    <mergeCell ref="F79:H79"/>
    <mergeCell ref="F84:H84"/>
    <mergeCell ref="A104:A105"/>
    <mergeCell ref="F85:H85"/>
    <mergeCell ref="A38:H38"/>
    <mergeCell ref="A58:C58"/>
    <mergeCell ref="F34:H34"/>
    <mergeCell ref="A36:B36"/>
    <mergeCell ref="A48:B48"/>
    <mergeCell ref="A53:H53"/>
    <mergeCell ref="A54:C54"/>
    <mergeCell ref="A55:C55"/>
    <mergeCell ref="D55:H55"/>
    <mergeCell ref="G51:H51"/>
    <mergeCell ref="A51:B52"/>
    <mergeCell ref="C52:H52"/>
    <mergeCell ref="E40:H40"/>
    <mergeCell ref="A40:D40"/>
    <mergeCell ref="A47:B47"/>
    <mergeCell ref="C47:E47"/>
    <mergeCell ref="C50:E50"/>
    <mergeCell ref="G50:H50"/>
    <mergeCell ref="G47:H47"/>
    <mergeCell ref="A41:D41"/>
    <mergeCell ref="E41:H41"/>
    <mergeCell ref="E42:H42"/>
    <mergeCell ref="E43:H43"/>
    <mergeCell ref="E44:H44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F31:H31"/>
    <mergeCell ref="F32:H32"/>
    <mergeCell ref="E24:H24"/>
    <mergeCell ref="A26:D26"/>
    <mergeCell ref="E26:H26"/>
    <mergeCell ref="A23:D23"/>
    <mergeCell ref="E23:H23"/>
    <mergeCell ref="C15:H15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20:D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A19:B19"/>
    <mergeCell ref="C19:D19"/>
    <mergeCell ref="E19:F19"/>
    <mergeCell ref="G19:H19"/>
    <mergeCell ref="A15:B15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326:H326"/>
    <mergeCell ref="A43:D43"/>
    <mergeCell ref="A44:D44"/>
    <mergeCell ref="A45:H45"/>
    <mergeCell ref="D56:H56"/>
    <mergeCell ref="A56:C56"/>
    <mergeCell ref="G48:H48"/>
    <mergeCell ref="A49:B50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G236:H241"/>
    <mergeCell ref="G243:H250"/>
    <mergeCell ref="A64:C64"/>
    <mergeCell ref="A334:H337"/>
    <mergeCell ref="A333:B333"/>
    <mergeCell ref="E333:F333"/>
    <mergeCell ref="C333:D333"/>
    <mergeCell ref="G333:H333"/>
    <mergeCell ref="A93:H93"/>
    <mergeCell ref="A91:E91"/>
    <mergeCell ref="F91:H91"/>
    <mergeCell ref="A92:E92"/>
    <mergeCell ref="F92:H92"/>
    <mergeCell ref="A168:H168"/>
    <mergeCell ref="A98:B98"/>
    <mergeCell ref="A95:B95"/>
    <mergeCell ref="A329:H329"/>
    <mergeCell ref="A96:H96"/>
    <mergeCell ref="A332:H332"/>
    <mergeCell ref="A330:H330"/>
    <mergeCell ref="E94:F94"/>
    <mergeCell ref="A94:B94"/>
    <mergeCell ref="A310:H310"/>
    <mergeCell ref="G311:H311"/>
    <mergeCell ref="A327:H327"/>
    <mergeCell ref="A101:B101"/>
    <mergeCell ref="A331:H331"/>
    <mergeCell ref="A328:H328"/>
    <mergeCell ref="A97:B97"/>
    <mergeCell ref="D123:D124"/>
    <mergeCell ref="E123:E124"/>
    <mergeCell ref="G123:H124"/>
    <mergeCell ref="A74:B74"/>
    <mergeCell ref="F80:H80"/>
    <mergeCell ref="G95:H95"/>
    <mergeCell ref="B322:H322"/>
    <mergeCell ref="G136:H141"/>
    <mergeCell ref="G143:H149"/>
    <mergeCell ref="G151:H158"/>
    <mergeCell ref="G160:H167"/>
    <mergeCell ref="G169:H175"/>
    <mergeCell ref="G177:H181"/>
    <mergeCell ref="G183:H189"/>
    <mergeCell ref="G191:H198"/>
    <mergeCell ref="G200:H207"/>
    <mergeCell ref="G209:H216"/>
    <mergeCell ref="G218:H225"/>
    <mergeCell ref="G227:H234"/>
    <mergeCell ref="B317:H317"/>
    <mergeCell ref="A312:H312"/>
    <mergeCell ref="B323:H323"/>
    <mergeCell ref="C48:E48"/>
    <mergeCell ref="C51:E51"/>
    <mergeCell ref="G107:H121"/>
    <mergeCell ref="G129:H134"/>
    <mergeCell ref="A62:C62"/>
    <mergeCell ref="D62:H62"/>
    <mergeCell ref="A63:C63"/>
    <mergeCell ref="D63:H63"/>
    <mergeCell ref="A69:B69"/>
    <mergeCell ref="G68:H68"/>
    <mergeCell ref="A87:E87"/>
    <mergeCell ref="A84:E84"/>
    <mergeCell ref="A59:C59"/>
    <mergeCell ref="D58:H58"/>
    <mergeCell ref="E69:F78"/>
    <mergeCell ref="G69:H78"/>
    <mergeCell ref="A77:B77"/>
    <mergeCell ref="A78:B78"/>
    <mergeCell ref="D59:H59"/>
    <mergeCell ref="A102:H102"/>
    <mergeCell ref="A103:H103"/>
    <mergeCell ref="D64:H64"/>
    <mergeCell ref="A61:C61"/>
    <mergeCell ref="D61:H61"/>
    <mergeCell ref="B324:H324"/>
    <mergeCell ref="B325:H325"/>
    <mergeCell ref="G277:H284"/>
    <mergeCell ref="G286:H293"/>
    <mergeCell ref="G295:H300"/>
    <mergeCell ref="G302:H309"/>
    <mergeCell ref="G49:H49"/>
    <mergeCell ref="D54:H54"/>
    <mergeCell ref="C49:E49"/>
    <mergeCell ref="A57:C57"/>
    <mergeCell ref="D57:H57"/>
    <mergeCell ref="B321:H321"/>
    <mergeCell ref="B319:H319"/>
    <mergeCell ref="B315:H315"/>
    <mergeCell ref="A182:H182"/>
    <mergeCell ref="G252:H258"/>
    <mergeCell ref="G260:H266"/>
    <mergeCell ref="G268:H275"/>
    <mergeCell ref="C104:C105"/>
    <mergeCell ref="B123:B124"/>
    <mergeCell ref="B313:H313"/>
    <mergeCell ref="B314:H314"/>
    <mergeCell ref="B316:H316"/>
    <mergeCell ref="A86:E86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5748031496063" footer="0.196850393700787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337" max="16383" man="1"/>
    <brk id="3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G5" sqref="G5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08" t="s">
        <v>108</v>
      </c>
      <c r="C3" s="208"/>
      <c r="D3" s="208"/>
      <c r="E3" s="208"/>
      <c r="F3" s="208"/>
      <c r="G3" s="208"/>
      <c r="H3" s="208"/>
    </row>
    <row r="4" spans="1:9" x14ac:dyDescent="0.25">
      <c r="A4" s="3"/>
      <c r="B4" s="4" t="s">
        <v>109</v>
      </c>
      <c r="C4" s="4" t="s">
        <v>110</v>
      </c>
      <c r="D4" s="4" t="s">
        <v>70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25">
      <c r="A5" s="3"/>
      <c r="B5" s="67" t="s">
        <v>234</v>
      </c>
      <c r="C5" s="7"/>
      <c r="D5" s="67" t="s">
        <v>235</v>
      </c>
      <c r="E5" s="6">
        <f>(41.02)*10.764</f>
        <v>441.53928000000002</v>
      </c>
      <c r="F5" s="8">
        <f>E5*1.6</f>
        <v>706.46284800000012</v>
      </c>
      <c r="G5" s="8">
        <f>H5/F5</f>
        <v>250543.9606641565</v>
      </c>
      <c r="H5" s="9">
        <v>177000000</v>
      </c>
    </row>
    <row r="6" spans="1:9" x14ac:dyDescent="0.25">
      <c r="A6" s="3"/>
      <c r="B6" s="6" t="s">
        <v>113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113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113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113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114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114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115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A5" sqref="A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2025-09-13T07:05:17Z</cp:lastPrinted>
  <dcterms:created xsi:type="dcterms:W3CDTF">2019-07-16T09:29:46Z</dcterms:created>
  <dcterms:modified xsi:type="dcterms:W3CDTF">2025-09-13T07:06:12Z</dcterms:modified>
</cp:coreProperties>
</file>