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ept 25\DUMP\"/>
    </mc:Choice>
  </mc:AlternateContent>
  <xr:revisionPtr revIDLastSave="0" documentId="13_ncr:1_{90E2A87A-06F8-4E35-B794-9778B18D6F8F}" xr6:coauthVersionLast="47" xr6:coauthVersionMax="47" xr10:uidLastSave="{00000000-0000-0000-0000-000000000000}"/>
  <bookViews>
    <workbookView xWindow="-120" yWindow="-120" windowWidth="20730" windowHeight="11160" xr2:uid="{00000000-000D-0000-FFFF-FFFF00000000}"/>
  </bookViews>
  <sheets>
    <sheet name="Jasmine" sheetId="6" r:id="rId1"/>
    <sheet name="Flat detail" sheetId="3" r:id="rId2"/>
    <sheet name="Note" sheetId="4" r:id="rId3"/>
    <sheet name="valuation" sheetId="5" r:id="rId4"/>
  </sheets>
  <definedNames>
    <definedName name="_xlnm.Print_Area" localSheetId="0">Jasmine!$A$1:$H$805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9" i="6" l="1"/>
  <c r="D492" i="6" l="1"/>
  <c r="F492" i="6" s="1"/>
  <c r="D501" i="6"/>
  <c r="F501" i="6" s="1"/>
  <c r="D500" i="6"/>
  <c r="F500" i="6" s="1"/>
  <c r="D499" i="6"/>
  <c r="F499" i="6" s="1"/>
  <c r="D498" i="6"/>
  <c r="F498" i="6" s="1"/>
  <c r="D497" i="6"/>
  <c r="F497" i="6" s="1"/>
  <c r="D496" i="6"/>
  <c r="F496" i="6" s="1"/>
  <c r="D495" i="6"/>
  <c r="F495" i="6" s="1"/>
  <c r="D494" i="6"/>
  <c r="F494" i="6" s="1"/>
  <c r="D493" i="6"/>
  <c r="F493" i="6" s="1"/>
  <c r="I490" i="6"/>
  <c r="D490" i="6"/>
  <c r="F490" i="6" s="1"/>
  <c r="I489" i="6"/>
  <c r="G489" i="6"/>
  <c r="D489" i="6"/>
  <c r="F489" i="6" s="1"/>
  <c r="J488" i="6"/>
  <c r="D449" i="6"/>
  <c r="F449" i="6" s="1"/>
  <c r="D456" i="6"/>
  <c r="F456" i="6" s="1"/>
  <c r="D455" i="6"/>
  <c r="F455" i="6" s="1"/>
  <c r="D454" i="6"/>
  <c r="F454" i="6" s="1"/>
  <c r="D453" i="6"/>
  <c r="F453" i="6" s="1"/>
  <c r="D452" i="6"/>
  <c r="F452" i="6" s="1"/>
  <c r="D451" i="6"/>
  <c r="F451" i="6" s="1"/>
  <c r="D450" i="6"/>
  <c r="F450" i="6" s="1"/>
  <c r="D448" i="6"/>
  <c r="F448" i="6" s="1"/>
  <c r="D447" i="6"/>
  <c r="F447" i="6" s="1"/>
  <c r="G446" i="6"/>
  <c r="D446" i="6"/>
  <c r="F446" i="6" s="1"/>
  <c r="D409" i="6"/>
  <c r="F409" i="6" s="1"/>
  <c r="D412" i="6"/>
  <c r="F412" i="6" s="1"/>
  <c r="D411" i="6"/>
  <c r="F411" i="6" s="1"/>
  <c r="D410" i="6"/>
  <c r="F410" i="6" s="1"/>
  <c r="D408" i="6"/>
  <c r="F408" i="6" s="1"/>
  <c r="D407" i="6"/>
  <c r="F407" i="6" s="1"/>
  <c r="D406" i="6"/>
  <c r="F406" i="6" s="1"/>
  <c r="K405" i="6"/>
  <c r="D405" i="6"/>
  <c r="F405" i="6" s="1"/>
  <c r="D404" i="6"/>
  <c r="F404" i="6" s="1"/>
  <c r="D403" i="6"/>
  <c r="F403" i="6" s="1"/>
  <c r="D402" i="6"/>
  <c r="F402" i="6" s="1"/>
  <c r="D401" i="6"/>
  <c r="F401" i="6" s="1"/>
  <c r="G400" i="6"/>
  <c r="D400" i="6"/>
  <c r="F400" i="6" s="1"/>
  <c r="J198" i="6" l="1"/>
  <c r="K391" i="6"/>
  <c r="E206" i="6" l="1"/>
  <c r="J146" i="6" l="1"/>
  <c r="J145" i="6"/>
  <c r="J144" i="6"/>
  <c r="J143" i="6"/>
  <c r="J132" i="6"/>
  <c r="J131" i="6"/>
  <c r="J130" i="6"/>
  <c r="J129" i="6"/>
  <c r="J104" i="6"/>
  <c r="J103" i="6"/>
  <c r="J102" i="6"/>
  <c r="J101" i="6"/>
  <c r="C149" i="6"/>
  <c r="J162" i="6"/>
  <c r="J161" i="6"/>
  <c r="J160" i="6"/>
  <c r="J159" i="6"/>
  <c r="J118" i="6"/>
  <c r="J117" i="6"/>
  <c r="J116" i="6"/>
  <c r="J115" i="6"/>
  <c r="J90" i="6"/>
  <c r="J89" i="6"/>
  <c r="J88" i="6"/>
  <c r="J87" i="6"/>
  <c r="D354" i="6"/>
  <c r="F354" i="6" s="1"/>
  <c r="D359" i="6"/>
  <c r="F359" i="6" s="1"/>
  <c r="D358" i="6"/>
  <c r="F358" i="6" s="1"/>
  <c r="D357" i="6"/>
  <c r="F357" i="6" s="1"/>
  <c r="D356" i="6"/>
  <c r="F356" i="6" s="1"/>
  <c r="D355" i="6"/>
  <c r="F355" i="6" s="1"/>
  <c r="D340" i="6"/>
  <c r="F340" i="6" s="1"/>
  <c r="D341" i="6"/>
  <c r="F341" i="6" s="1"/>
  <c r="D342" i="6"/>
  <c r="F342" i="6" s="1"/>
  <c r="D343" i="6"/>
  <c r="F343" i="6" s="1"/>
  <c r="L176" i="6" s="1"/>
  <c r="D344" i="6"/>
  <c r="F344" i="6" s="1"/>
  <c r="D345" i="6"/>
  <c r="F345" i="6" s="1"/>
  <c r="D352" i="6"/>
  <c r="F352" i="6" s="1"/>
  <c r="D351" i="6"/>
  <c r="F351" i="6" s="1"/>
  <c r="D350" i="6"/>
  <c r="F350" i="6" s="1"/>
  <c r="D349" i="6"/>
  <c r="F349" i="6" s="1"/>
  <c r="D348" i="6"/>
  <c r="F348" i="6" s="1"/>
  <c r="D347" i="6"/>
  <c r="F347" i="6" s="1"/>
  <c r="D323" i="6"/>
  <c r="F323" i="6" s="1"/>
  <c r="D329" i="6"/>
  <c r="F329" i="6" s="1"/>
  <c r="D328" i="6"/>
  <c r="F328" i="6" s="1"/>
  <c r="D327" i="6"/>
  <c r="F327" i="6" s="1"/>
  <c r="D326" i="6"/>
  <c r="F326" i="6" s="1"/>
  <c r="D325" i="6"/>
  <c r="F325" i="6" s="1"/>
  <c r="D324" i="6"/>
  <c r="F324" i="6" s="1"/>
  <c r="L324" i="6" s="1"/>
  <c r="D321" i="6"/>
  <c r="F321" i="6" s="1"/>
  <c r="D320" i="6"/>
  <c r="F320" i="6" s="1"/>
  <c r="N318" i="6" s="1"/>
  <c r="D319" i="6"/>
  <c r="F319" i="6" s="1"/>
  <c r="D318" i="6"/>
  <c r="F318" i="6" s="1"/>
  <c r="L179" i="6" s="1"/>
  <c r="D317" i="6"/>
  <c r="F317" i="6" s="1"/>
  <c r="D316" i="6"/>
  <c r="F316" i="6" s="1"/>
  <c r="L177" i="6" s="1"/>
  <c r="D315" i="6"/>
  <c r="F315" i="6" s="1"/>
  <c r="D339" i="6"/>
  <c r="F339" i="6" s="1"/>
  <c r="D338" i="6"/>
  <c r="F338" i="6" s="1"/>
  <c r="D337" i="6"/>
  <c r="F337" i="6" s="1"/>
  <c r="D336" i="6"/>
  <c r="F336" i="6" s="1"/>
  <c r="L178" i="6" s="1"/>
  <c r="D335" i="6"/>
  <c r="F335" i="6" s="1"/>
  <c r="D334" i="6"/>
  <c r="F334" i="6" s="1"/>
  <c r="D333" i="6"/>
  <c r="F333" i="6" s="1"/>
  <c r="K319" i="6"/>
  <c r="L319" i="6" s="1"/>
  <c r="K318" i="6"/>
  <c r="L318" i="6" s="1"/>
  <c r="K317" i="6"/>
  <c r="L317" i="6" s="1"/>
  <c r="K316" i="6"/>
  <c r="L316" i="6" s="1"/>
  <c r="K315" i="6"/>
  <c r="L315" i="6" s="1"/>
  <c r="K179" i="6" l="1"/>
  <c r="N317" i="6"/>
  <c r="L175" i="6"/>
  <c r="L335" i="6"/>
  <c r="L323" i="6"/>
  <c r="K180" i="6"/>
  <c r="L180" i="6"/>
  <c r="N315" i="6"/>
  <c r="F189" i="6"/>
  <c r="F190" i="6"/>
  <c r="D189" i="6"/>
  <c r="D190" i="6"/>
  <c r="C189" i="6"/>
  <c r="C190" i="6"/>
  <c r="D306" i="6"/>
  <c r="F306" i="6" s="1"/>
  <c r="D299" i="6"/>
  <c r="F299" i="6" s="1"/>
  <c r="D295" i="6"/>
  <c r="F295" i="6" s="1"/>
  <c r="D296" i="6"/>
  <c r="F296" i="6" s="1"/>
  <c r="D297" i="6"/>
  <c r="F297" i="6" s="1"/>
  <c r="D298" i="6"/>
  <c r="F298" i="6" s="1"/>
  <c r="D300" i="6"/>
  <c r="F300" i="6" s="1"/>
  <c r="D301" i="6"/>
  <c r="F301" i="6" s="1"/>
  <c r="D302" i="6"/>
  <c r="F302" i="6" s="1"/>
  <c r="D303" i="6"/>
  <c r="F303" i="6" s="1"/>
  <c r="D304" i="6"/>
  <c r="F304" i="6" s="1"/>
  <c r="D305" i="6"/>
  <c r="F305" i="6" s="1"/>
  <c r="D294" i="6"/>
  <c r="F294" i="6" s="1"/>
  <c r="D293" i="6"/>
  <c r="F293" i="6" s="1"/>
  <c r="G293" i="6"/>
  <c r="G294" i="6" s="1"/>
  <c r="G295" i="6" s="1"/>
  <c r="G296" i="6" s="1"/>
  <c r="G297" i="6" s="1"/>
  <c r="G298" i="6" s="1"/>
  <c r="G299" i="6" s="1"/>
  <c r="G300" i="6" s="1"/>
  <c r="G301" i="6" s="1"/>
  <c r="G302" i="6" s="1"/>
  <c r="G303" i="6" s="1"/>
  <c r="G304" i="6" s="1"/>
  <c r="G305" i="6" s="1"/>
  <c r="G306" i="6" s="1"/>
  <c r="D291" i="6"/>
  <c r="D290" i="6"/>
  <c r="F290" i="6" s="1"/>
  <c r="D289" i="6"/>
  <c r="F289" i="6" s="1"/>
  <c r="D288" i="6"/>
  <c r="F288" i="6" s="1"/>
  <c r="D287" i="6"/>
  <c r="F287" i="6" s="1"/>
  <c r="D286" i="6"/>
  <c r="F286" i="6" s="1"/>
  <c r="D285" i="6"/>
  <c r="F285" i="6" s="1"/>
  <c r="D284" i="6"/>
  <c r="D283" i="6"/>
  <c r="F283" i="6" s="1"/>
  <c r="D282" i="6"/>
  <c r="D281" i="6"/>
  <c r="F281" i="6" s="1"/>
  <c r="D280" i="6"/>
  <c r="D279" i="6"/>
  <c r="F279" i="6" s="1"/>
  <c r="D278" i="6"/>
  <c r="D277" i="6"/>
  <c r="F277" i="6" s="1"/>
  <c r="G277" i="6"/>
  <c r="G278" i="6" s="1"/>
  <c r="G279" i="6" s="1"/>
  <c r="G280" i="6" s="1"/>
  <c r="G281" i="6" s="1"/>
  <c r="G282" i="6" s="1"/>
  <c r="G283" i="6" s="1"/>
  <c r="G284" i="6" s="1"/>
  <c r="G285" i="6" s="1"/>
  <c r="G286" i="6" s="1"/>
  <c r="G287" i="6" s="1"/>
  <c r="G288" i="6" s="1"/>
  <c r="G289" i="6" s="1"/>
  <c r="G290" i="6" s="1"/>
  <c r="G291" i="6" s="1"/>
  <c r="D597" i="6"/>
  <c r="F597" i="6" s="1"/>
  <c r="D526" i="6"/>
  <c r="F526" i="6" s="1"/>
  <c r="D601" i="6"/>
  <c r="F601" i="6" s="1"/>
  <c r="D600" i="6"/>
  <c r="F600" i="6" s="1"/>
  <c r="D599" i="6"/>
  <c r="F599" i="6" s="1"/>
  <c r="D598" i="6"/>
  <c r="F598" i="6" s="1"/>
  <c r="D595" i="6"/>
  <c r="F595" i="6" s="1"/>
  <c r="D594" i="6"/>
  <c r="F594" i="6" s="1"/>
  <c r="G593" i="6"/>
  <c r="D593" i="6"/>
  <c r="F593" i="6" s="1"/>
  <c r="D570" i="6"/>
  <c r="F570" i="6" s="1"/>
  <c r="D569" i="6"/>
  <c r="F569" i="6" s="1"/>
  <c r="D568" i="6"/>
  <c r="F568" i="6" s="1"/>
  <c r="D567" i="6"/>
  <c r="F567" i="6" s="1"/>
  <c r="D566" i="6"/>
  <c r="F566" i="6" s="1"/>
  <c r="D564" i="6"/>
  <c r="F564" i="6" s="1"/>
  <c r="D563" i="6"/>
  <c r="F563" i="6" s="1"/>
  <c r="D562" i="6"/>
  <c r="F562" i="6" s="1"/>
  <c r="D561" i="6"/>
  <c r="F561" i="6" s="1"/>
  <c r="G560" i="6"/>
  <c r="D560" i="6"/>
  <c r="F560" i="6" s="1"/>
  <c r="D533" i="6"/>
  <c r="F533" i="6" s="1"/>
  <c r="D532" i="6"/>
  <c r="F532" i="6" s="1"/>
  <c r="D531" i="6"/>
  <c r="F531" i="6" s="1"/>
  <c r="D530" i="6"/>
  <c r="F530" i="6" s="1"/>
  <c r="D529" i="6"/>
  <c r="F529" i="6" s="1"/>
  <c r="D528" i="6"/>
  <c r="F528" i="6" s="1"/>
  <c r="D527" i="6"/>
  <c r="F527" i="6" s="1"/>
  <c r="D524" i="6"/>
  <c r="F524" i="6" s="1"/>
  <c r="D523" i="6"/>
  <c r="F523" i="6" s="1"/>
  <c r="D522" i="6"/>
  <c r="F522" i="6" s="1"/>
  <c r="J519" i="6"/>
  <c r="I521" i="6"/>
  <c r="G521" i="6"/>
  <c r="D521" i="6"/>
  <c r="F521" i="6" s="1"/>
  <c r="D591" i="6"/>
  <c r="F591" i="6" s="1"/>
  <c r="D590" i="6"/>
  <c r="F590" i="6" s="1"/>
  <c r="D589" i="6"/>
  <c r="F589" i="6" s="1"/>
  <c r="D588" i="6"/>
  <c r="F588" i="6" s="1"/>
  <c r="D587" i="6"/>
  <c r="F587" i="6" s="1"/>
  <c r="D586" i="6"/>
  <c r="F586" i="6" s="1"/>
  <c r="D585" i="6"/>
  <c r="F585" i="6" s="1"/>
  <c r="D584" i="6"/>
  <c r="F584" i="6" s="1"/>
  <c r="G583" i="6"/>
  <c r="D583" i="6"/>
  <c r="F583" i="6" s="1"/>
  <c r="E581" i="6"/>
  <c r="D581" i="6"/>
  <c r="E580" i="6"/>
  <c r="D580" i="6"/>
  <c r="E579" i="6"/>
  <c r="D579" i="6"/>
  <c r="D578" i="6"/>
  <c r="F578" i="6" s="1"/>
  <c r="D577" i="6"/>
  <c r="F577" i="6" s="1"/>
  <c r="D576" i="6"/>
  <c r="F576" i="6" s="1"/>
  <c r="D575" i="6"/>
  <c r="F575" i="6" s="1"/>
  <c r="E574" i="6"/>
  <c r="D574" i="6"/>
  <c r="E573" i="6"/>
  <c r="D573" i="6"/>
  <c r="G573" i="6"/>
  <c r="D558" i="6"/>
  <c r="F558" i="6" s="1"/>
  <c r="D557" i="6"/>
  <c r="F557" i="6" s="1"/>
  <c r="D556" i="6"/>
  <c r="F556" i="6" s="1"/>
  <c r="D555" i="6"/>
  <c r="F555" i="6" s="1"/>
  <c r="D554" i="6"/>
  <c r="F554" i="6" s="1"/>
  <c r="D553" i="6"/>
  <c r="F553" i="6" s="1"/>
  <c r="D552" i="6"/>
  <c r="F552" i="6" s="1"/>
  <c r="D551" i="6"/>
  <c r="F551" i="6" s="1"/>
  <c r="D550" i="6"/>
  <c r="F550" i="6" s="1"/>
  <c r="D549" i="6"/>
  <c r="F549" i="6" s="1"/>
  <c r="D548" i="6"/>
  <c r="F548" i="6" s="1"/>
  <c r="E546" i="6"/>
  <c r="D546" i="6"/>
  <c r="E545" i="6"/>
  <c r="D545" i="6"/>
  <c r="D544" i="6"/>
  <c r="F544" i="6" s="1"/>
  <c r="D543" i="6"/>
  <c r="F543" i="6" s="1"/>
  <c r="D542" i="6"/>
  <c r="F542" i="6" s="1"/>
  <c r="D541" i="6"/>
  <c r="F541" i="6" s="1"/>
  <c r="D540" i="6"/>
  <c r="F540" i="6" s="1"/>
  <c r="D539" i="6"/>
  <c r="F539" i="6" s="1"/>
  <c r="E538" i="6"/>
  <c r="D538" i="6"/>
  <c r="E537" i="6"/>
  <c r="D537" i="6"/>
  <c r="E536" i="6"/>
  <c r="D536" i="6"/>
  <c r="G548" i="6"/>
  <c r="G536" i="6"/>
  <c r="D507" i="6"/>
  <c r="D508" i="6"/>
  <c r="F508" i="6" s="1"/>
  <c r="D509" i="6"/>
  <c r="F509" i="6" s="1"/>
  <c r="D510" i="6"/>
  <c r="F510" i="6" s="1"/>
  <c r="D511" i="6"/>
  <c r="F511" i="6" s="1"/>
  <c r="M510" i="6" s="1"/>
  <c r="D512" i="6"/>
  <c r="F512" i="6" s="1"/>
  <c r="D513" i="6"/>
  <c r="F513" i="6" s="1"/>
  <c r="D514" i="6"/>
  <c r="F514" i="6" s="1"/>
  <c r="D515" i="6"/>
  <c r="F515" i="6" s="1"/>
  <c r="D516" i="6"/>
  <c r="F516" i="6" s="1"/>
  <c r="D517" i="6"/>
  <c r="F517" i="6" s="1"/>
  <c r="D518" i="6"/>
  <c r="F518" i="6" s="1"/>
  <c r="D519" i="6"/>
  <c r="F519" i="6" s="1"/>
  <c r="J505" i="6"/>
  <c r="I507" i="6"/>
  <c r="G50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G260" i="6"/>
  <c r="G261" i="6" s="1"/>
  <c r="G262" i="6" s="1"/>
  <c r="G263" i="6" s="1"/>
  <c r="G264" i="6" s="1"/>
  <c r="G265" i="6" s="1"/>
  <c r="G266" i="6" s="1"/>
  <c r="G267" i="6" s="1"/>
  <c r="G268" i="6" s="1"/>
  <c r="G269" i="6" s="1"/>
  <c r="G270" i="6" s="1"/>
  <c r="G271" i="6" s="1"/>
  <c r="G272" i="6" s="1"/>
  <c r="G273" i="6" s="1"/>
  <c r="G274" i="6" s="1"/>
  <c r="E260" i="6"/>
  <c r="D260" i="6"/>
  <c r="G242" i="6"/>
  <c r="G243" i="6" s="1"/>
  <c r="G244" i="6" s="1"/>
  <c r="G245" i="6" s="1"/>
  <c r="G246" i="6" s="1"/>
  <c r="G247" i="6" s="1"/>
  <c r="G248" i="6" s="1"/>
  <c r="G249" i="6" s="1"/>
  <c r="G250" i="6" s="1"/>
  <c r="G251" i="6" s="1"/>
  <c r="G252" i="6" s="1"/>
  <c r="G253" i="6" s="1"/>
  <c r="G254" i="6" s="1"/>
  <c r="G255" i="6" s="1"/>
  <c r="G256" i="6" s="1"/>
  <c r="D444" i="6"/>
  <c r="F444" i="6" s="1"/>
  <c r="D443" i="6"/>
  <c r="F443" i="6" s="1"/>
  <c r="D442" i="6"/>
  <c r="F442" i="6" s="1"/>
  <c r="D441" i="6"/>
  <c r="F441" i="6" s="1"/>
  <c r="D440" i="6"/>
  <c r="F440" i="6" s="1"/>
  <c r="D439" i="6"/>
  <c r="F439" i="6" s="1"/>
  <c r="D438" i="6"/>
  <c r="F438" i="6" s="1"/>
  <c r="D437" i="6"/>
  <c r="F437" i="6" s="1"/>
  <c r="D436" i="6"/>
  <c r="F436" i="6" s="1"/>
  <c r="D435" i="6"/>
  <c r="F435" i="6" s="1"/>
  <c r="D434" i="6"/>
  <c r="F434" i="6" s="1"/>
  <c r="D432" i="6"/>
  <c r="D431" i="6"/>
  <c r="D430" i="6"/>
  <c r="D429" i="6"/>
  <c r="F429" i="6" s="1"/>
  <c r="D428" i="6"/>
  <c r="F428" i="6" s="1"/>
  <c r="D427" i="6"/>
  <c r="F427" i="6" s="1"/>
  <c r="D426" i="6"/>
  <c r="F426" i="6" s="1"/>
  <c r="D425" i="6"/>
  <c r="F425" i="6" s="1"/>
  <c r="D424" i="6"/>
  <c r="F424" i="6" s="1"/>
  <c r="D423" i="6"/>
  <c r="D422" i="6"/>
  <c r="D420" i="6"/>
  <c r="F420" i="6" s="1"/>
  <c r="D419" i="6"/>
  <c r="F419" i="6" s="1"/>
  <c r="D418" i="6"/>
  <c r="F418" i="6" s="1"/>
  <c r="D417" i="6"/>
  <c r="F417" i="6" s="1"/>
  <c r="D416" i="6"/>
  <c r="D415" i="6"/>
  <c r="G415" i="6"/>
  <c r="E416" i="6"/>
  <c r="E415" i="6"/>
  <c r="D461" i="6"/>
  <c r="D462" i="6"/>
  <c r="F462" i="6" s="1"/>
  <c r="D463" i="6"/>
  <c r="F463" i="6" s="1"/>
  <c r="D464" i="6"/>
  <c r="F464" i="6" s="1"/>
  <c r="D465" i="6"/>
  <c r="F465" i="6" s="1"/>
  <c r="D466" i="6"/>
  <c r="F466" i="6" s="1"/>
  <c r="D467" i="6"/>
  <c r="F467" i="6" s="1"/>
  <c r="D468" i="6"/>
  <c r="F468" i="6" s="1"/>
  <c r="D469" i="6"/>
  <c r="F469" i="6" s="1"/>
  <c r="D470" i="6"/>
  <c r="F470" i="6" s="1"/>
  <c r="D471" i="6"/>
  <c r="F471" i="6" s="1"/>
  <c r="D472" i="6"/>
  <c r="F472" i="6" s="1"/>
  <c r="D473" i="6"/>
  <c r="F473" i="6" s="1"/>
  <c r="D481" i="6"/>
  <c r="F481" i="6" s="1"/>
  <c r="D480" i="6"/>
  <c r="F480" i="6" s="1"/>
  <c r="F242" i="6" l="1"/>
  <c r="F461" i="6"/>
  <c r="D192" i="6"/>
  <c r="C192" i="6"/>
  <c r="D195" i="6"/>
  <c r="D194" i="6"/>
  <c r="L181" i="6"/>
  <c r="F507" i="6"/>
  <c r="F194" i="6" s="1"/>
  <c r="F415" i="6"/>
  <c r="F538" i="6"/>
  <c r="F545" i="6"/>
  <c r="F573" i="6"/>
  <c r="F579" i="6"/>
  <c r="F416" i="6"/>
  <c r="F546" i="6"/>
  <c r="F574" i="6"/>
  <c r="F580" i="6"/>
  <c r="F536" i="6"/>
  <c r="F581" i="6"/>
  <c r="F537" i="6"/>
  <c r="D182" i="6"/>
  <c r="C196" i="6"/>
  <c r="C194" i="6"/>
  <c r="C195" i="6"/>
  <c r="F260" i="6"/>
  <c r="C183" i="6"/>
  <c r="D183" i="6"/>
  <c r="D196" i="6"/>
  <c r="C182" i="6"/>
  <c r="D184" i="6"/>
  <c r="C184" i="6"/>
  <c r="F185" i="6"/>
  <c r="D185" i="6"/>
  <c r="C185" i="6"/>
  <c r="F261" i="6"/>
  <c r="F265" i="6"/>
  <c r="F269" i="6"/>
  <c r="F273" i="6"/>
  <c r="F244" i="6"/>
  <c r="F262" i="6"/>
  <c r="F266" i="6"/>
  <c r="F270" i="6"/>
  <c r="F274" i="6"/>
  <c r="F252" i="6"/>
  <c r="F282" i="6"/>
  <c r="F263" i="6"/>
  <c r="F267" i="6"/>
  <c r="F271" i="6"/>
  <c r="F280" i="6"/>
  <c r="F284" i="6"/>
  <c r="F278" i="6"/>
  <c r="F291" i="6"/>
  <c r="F247" i="6"/>
  <c r="F264" i="6"/>
  <c r="F268" i="6"/>
  <c r="F272" i="6"/>
  <c r="F243" i="6"/>
  <c r="F254" i="6"/>
  <c r="F245" i="6"/>
  <c r="F256" i="6"/>
  <c r="F255" i="6"/>
  <c r="F253" i="6"/>
  <c r="F251" i="6"/>
  <c r="F250" i="6"/>
  <c r="F249" i="6"/>
  <c r="F248" i="6"/>
  <c r="F246" i="6"/>
  <c r="D487" i="6"/>
  <c r="F487" i="6" s="1"/>
  <c r="D486" i="6"/>
  <c r="F486" i="6" s="1"/>
  <c r="D485" i="6"/>
  <c r="F485" i="6" s="1"/>
  <c r="D484" i="6"/>
  <c r="F484" i="6" s="1"/>
  <c r="D483" i="6"/>
  <c r="F483" i="6" s="1"/>
  <c r="D482" i="6"/>
  <c r="F482" i="6" s="1"/>
  <c r="D479" i="6"/>
  <c r="F479" i="6" s="1"/>
  <c r="D478" i="6"/>
  <c r="F478" i="6" s="1"/>
  <c r="D477" i="6"/>
  <c r="F477" i="6" s="1"/>
  <c r="J474" i="6"/>
  <c r="I476" i="6"/>
  <c r="D476" i="6"/>
  <c r="F476" i="6" s="1"/>
  <c r="J473" i="6"/>
  <c r="I475" i="6"/>
  <c r="G475" i="6"/>
  <c r="D475" i="6"/>
  <c r="F475" i="6" s="1"/>
  <c r="E432" i="6"/>
  <c r="F432" i="6" s="1"/>
  <c r="E431" i="6"/>
  <c r="F431" i="6" s="1"/>
  <c r="E430" i="6"/>
  <c r="F430" i="6" s="1"/>
  <c r="E423" i="6"/>
  <c r="F423" i="6" s="1"/>
  <c r="E422" i="6"/>
  <c r="F422" i="6" s="1"/>
  <c r="G434" i="6"/>
  <c r="E384" i="6"/>
  <c r="E383" i="6"/>
  <c r="E374" i="6"/>
  <c r="E373" i="6"/>
  <c r="E372" i="6"/>
  <c r="D398" i="6"/>
  <c r="F398" i="6" s="1"/>
  <c r="D397" i="6"/>
  <c r="F397" i="6" s="1"/>
  <c r="D396" i="6"/>
  <c r="F396" i="6" s="1"/>
  <c r="D395" i="6"/>
  <c r="F395" i="6" s="1"/>
  <c r="D394" i="6"/>
  <c r="F394" i="6" s="1"/>
  <c r="D393" i="6"/>
  <c r="F393" i="6" s="1"/>
  <c r="D392" i="6"/>
  <c r="F392" i="6" s="1"/>
  <c r="D391" i="6"/>
  <c r="F391" i="6" s="1"/>
  <c r="D390" i="6"/>
  <c r="F390" i="6" s="1"/>
  <c r="D389" i="6"/>
  <c r="F389" i="6" s="1"/>
  <c r="D388" i="6"/>
  <c r="F388" i="6" s="1"/>
  <c r="D387" i="6"/>
  <c r="F387" i="6" s="1"/>
  <c r="G386" i="6"/>
  <c r="D386" i="6"/>
  <c r="F386" i="6" s="1"/>
  <c r="D384" i="6"/>
  <c r="D383" i="6"/>
  <c r="D382" i="6"/>
  <c r="F382" i="6" s="1"/>
  <c r="D381" i="6"/>
  <c r="F381" i="6" s="1"/>
  <c r="D380" i="6"/>
  <c r="F380" i="6" s="1"/>
  <c r="D379" i="6"/>
  <c r="F379" i="6" s="1"/>
  <c r="D378" i="6"/>
  <c r="F378" i="6" s="1"/>
  <c r="D377" i="6"/>
  <c r="F377" i="6" s="1"/>
  <c r="D376" i="6"/>
  <c r="F376" i="6" s="1"/>
  <c r="D375" i="6"/>
  <c r="F375" i="6" s="1"/>
  <c r="D374" i="6"/>
  <c r="D373" i="6"/>
  <c r="D372" i="6"/>
  <c r="G372" i="6"/>
  <c r="J460" i="6"/>
  <c r="I462" i="6"/>
  <c r="J459" i="6"/>
  <c r="I461" i="6"/>
  <c r="G461" i="6"/>
  <c r="G422" i="6"/>
  <c r="D370" i="6"/>
  <c r="F370" i="6" s="1"/>
  <c r="D369" i="6"/>
  <c r="F369" i="6" s="1"/>
  <c r="D368" i="6"/>
  <c r="F368" i="6" s="1"/>
  <c r="D367" i="6"/>
  <c r="F367" i="6" s="1"/>
  <c r="D366" i="6"/>
  <c r="F366" i="6" s="1"/>
  <c r="K181" i="6" s="1"/>
  <c r="D365" i="6"/>
  <c r="F365" i="6" s="1"/>
  <c r="D364" i="6"/>
  <c r="F364" i="6" s="1"/>
  <c r="D363" i="6"/>
  <c r="F192" i="6" l="1"/>
  <c r="C193" i="6"/>
  <c r="D193" i="6"/>
  <c r="F363" i="6"/>
  <c r="D191" i="6"/>
  <c r="C191" i="6"/>
  <c r="F193" i="6"/>
  <c r="F383" i="6"/>
  <c r="F384" i="6"/>
  <c r="F196" i="6"/>
  <c r="F373" i="6"/>
  <c r="F195" i="6"/>
  <c r="F372" i="6"/>
  <c r="F374" i="6"/>
  <c r="F184" i="6"/>
  <c r="F182" i="6"/>
  <c r="F183" i="6"/>
  <c r="J193" i="6"/>
  <c r="J364" i="6"/>
  <c r="I364" i="6"/>
  <c r="I363" i="6"/>
  <c r="J363" i="6"/>
  <c r="G363" i="6"/>
  <c r="E238" i="6"/>
  <c r="E237" i="6"/>
  <c r="E236" i="6"/>
  <c r="E235" i="6"/>
  <c r="E234" i="6"/>
  <c r="E233" i="6"/>
  <c r="E232" i="6"/>
  <c r="E231" i="6"/>
  <c r="E230" i="6"/>
  <c r="E229" i="6"/>
  <c r="E228" i="6"/>
  <c r="E227" i="6"/>
  <c r="E226" i="6"/>
  <c r="E225" i="6"/>
  <c r="E224" i="6"/>
  <c r="E220" i="6"/>
  <c r="E219" i="6"/>
  <c r="E218" i="6"/>
  <c r="E217" i="6"/>
  <c r="E216" i="6"/>
  <c r="E215" i="6"/>
  <c r="E214" i="6"/>
  <c r="E213" i="6"/>
  <c r="E212" i="6"/>
  <c r="E211" i="6"/>
  <c r="E210" i="6"/>
  <c r="E209" i="6"/>
  <c r="E208" i="6"/>
  <c r="E207" i="6"/>
  <c r="J206" i="6"/>
  <c r="D238" i="6"/>
  <c r="D237" i="6"/>
  <c r="D236" i="6"/>
  <c r="D235" i="6"/>
  <c r="D234" i="6"/>
  <c r="D233" i="6"/>
  <c r="D232" i="6"/>
  <c r="D231" i="6"/>
  <c r="D230" i="6"/>
  <c r="D229" i="6"/>
  <c r="D228" i="6"/>
  <c r="D227" i="6"/>
  <c r="D226" i="6"/>
  <c r="D225" i="6"/>
  <c r="D224" i="6"/>
  <c r="D220" i="6"/>
  <c r="D219" i="6"/>
  <c r="D218" i="6"/>
  <c r="D217" i="6"/>
  <c r="D216" i="6"/>
  <c r="D215" i="6"/>
  <c r="D214" i="6"/>
  <c r="D213" i="6"/>
  <c r="D212" i="6"/>
  <c r="D211" i="6"/>
  <c r="D210" i="6"/>
  <c r="D209" i="6"/>
  <c r="D208" i="6"/>
  <c r="D207" i="6"/>
  <c r="D206" i="6"/>
  <c r="I224" i="6"/>
  <c r="C197" i="6" l="1"/>
  <c r="F191" i="6"/>
  <c r="F197" i="6" s="1"/>
  <c r="D197" i="6"/>
  <c r="C181" i="6"/>
  <c r="D181" i="6"/>
  <c r="C180" i="6"/>
  <c r="D180" i="6"/>
  <c r="F207" i="6"/>
  <c r="F226" i="6"/>
  <c r="F215" i="6"/>
  <c r="F225" i="6"/>
  <c r="F233" i="6"/>
  <c r="F209" i="6"/>
  <c r="F217" i="6"/>
  <c r="F228" i="6"/>
  <c r="F236" i="6"/>
  <c r="F211" i="6"/>
  <c r="F219" i="6"/>
  <c r="F230" i="6"/>
  <c r="F238" i="6"/>
  <c r="F234" i="6"/>
  <c r="F237" i="6"/>
  <c r="F210" i="6"/>
  <c r="F229" i="6"/>
  <c r="F214" i="6"/>
  <c r="F218" i="6"/>
  <c r="F206" i="6"/>
  <c r="F213" i="6"/>
  <c r="F208" i="6"/>
  <c r="F216" i="6"/>
  <c r="F227" i="6"/>
  <c r="F235" i="6"/>
  <c r="F232" i="6"/>
  <c r="F224" i="6"/>
  <c r="F212" i="6"/>
  <c r="F220" i="6"/>
  <c r="F231" i="6"/>
  <c r="I206" i="6"/>
  <c r="G206" i="6"/>
  <c r="G207" i="6" s="1"/>
  <c r="G208" i="6" s="1"/>
  <c r="G209" i="6" s="1"/>
  <c r="G210" i="6" s="1"/>
  <c r="G211" i="6" s="1"/>
  <c r="G212" i="6" s="1"/>
  <c r="G213" i="6" s="1"/>
  <c r="G214" i="6" s="1"/>
  <c r="G215" i="6" s="1"/>
  <c r="G216" i="6" s="1"/>
  <c r="G217" i="6" s="1"/>
  <c r="G218" i="6" s="1"/>
  <c r="G219" i="6" s="1"/>
  <c r="G220" i="6" s="1"/>
  <c r="G224" i="6" s="1"/>
  <c r="G225" i="6" s="1"/>
  <c r="G226" i="6" s="1"/>
  <c r="G227" i="6" s="1"/>
  <c r="G228" i="6" s="1"/>
  <c r="G229" i="6" s="1"/>
  <c r="G230" i="6" s="1"/>
  <c r="G231" i="6" s="1"/>
  <c r="G232" i="6" s="1"/>
  <c r="G233" i="6" s="1"/>
  <c r="G234" i="6" s="1"/>
  <c r="G235" i="6" s="1"/>
  <c r="G236" i="6" s="1"/>
  <c r="G237" i="6" s="1"/>
  <c r="G238" i="6" s="1"/>
  <c r="F180" i="6" l="1"/>
  <c r="D186" i="6"/>
  <c r="C186" i="6"/>
  <c r="F181" i="6"/>
  <c r="G333" i="6"/>
  <c r="G315" i="6"/>
  <c r="E3" i="6"/>
  <c r="F186" i="6" l="1"/>
  <c r="C63" i="6"/>
  <c r="M349" i="6" l="1"/>
  <c r="N349" i="6" s="1"/>
  <c r="K349" i="6"/>
  <c r="J76" i="6" l="1"/>
  <c r="J75" i="6"/>
  <c r="J74" i="6"/>
  <c r="J73" i="6"/>
  <c r="H64" i="6"/>
  <c r="C71" i="6" l="1"/>
  <c r="D71" i="6" s="1"/>
  <c r="J69" i="6"/>
  <c r="J71" i="6"/>
  <c r="J72" i="6" s="1"/>
  <c r="J77" i="6" s="1"/>
  <c r="J78" i="6" s="1"/>
  <c r="C70" i="6" s="1"/>
  <c r="D77" i="6"/>
  <c r="D75" i="6"/>
  <c r="D78" i="6"/>
  <c r="D76" i="6"/>
  <c r="D74" i="6"/>
  <c r="D72" i="6"/>
  <c r="J70" i="6"/>
  <c r="C69" i="6" s="1"/>
  <c r="D69" i="6" s="1"/>
  <c r="J68" i="6"/>
  <c r="D73" i="6"/>
  <c r="H80" i="6"/>
  <c r="H94" i="6"/>
  <c r="H150" i="6"/>
  <c r="H122" i="6"/>
  <c r="D133" i="6" l="1"/>
  <c r="D129" i="6"/>
  <c r="J127" i="6"/>
  <c r="J128" i="6" s="1"/>
  <c r="J133" i="6" s="1"/>
  <c r="J134" i="6" s="1"/>
  <c r="C126" i="6" s="1"/>
  <c r="J125" i="6"/>
  <c r="D132" i="6"/>
  <c r="D128" i="6"/>
  <c r="D131" i="6"/>
  <c r="D127" i="6"/>
  <c r="D134" i="6"/>
  <c r="D130" i="6"/>
  <c r="J126" i="6"/>
  <c r="C125" i="6" s="1"/>
  <c r="J124" i="6"/>
  <c r="D105" i="6"/>
  <c r="D101" i="6"/>
  <c r="J97" i="6"/>
  <c r="D104" i="6"/>
  <c r="D100" i="6"/>
  <c r="D99" i="6"/>
  <c r="J98" i="6"/>
  <c r="D102" i="6"/>
  <c r="J99" i="6"/>
  <c r="J100" i="6" s="1"/>
  <c r="J105" i="6" s="1"/>
  <c r="J106" i="6" s="1"/>
  <c r="D103" i="6"/>
  <c r="J96" i="6"/>
  <c r="D106" i="6"/>
  <c r="D163" i="6"/>
  <c r="D159" i="6"/>
  <c r="J156" i="6"/>
  <c r="C155" i="6" s="1"/>
  <c r="D155" i="6" s="1"/>
  <c r="J155" i="6"/>
  <c r="D162" i="6"/>
  <c r="D158" i="6"/>
  <c r="J157" i="6"/>
  <c r="J158" i="6" s="1"/>
  <c r="J163" i="6" s="1"/>
  <c r="J164" i="6" s="1"/>
  <c r="C156" i="6" s="1"/>
  <c r="D160" i="6"/>
  <c r="J154" i="6"/>
  <c r="D161" i="6"/>
  <c r="D157" i="6"/>
  <c r="D164" i="6"/>
  <c r="D85" i="6"/>
  <c r="D92" i="6"/>
  <c r="D88" i="6"/>
  <c r="J84" i="6"/>
  <c r="C83" i="6" s="1"/>
  <c r="D83" i="6" s="1"/>
  <c r="J82" i="6"/>
  <c r="D91" i="6"/>
  <c r="D87" i="6"/>
  <c r="J83" i="6"/>
  <c r="D90" i="6"/>
  <c r="D86" i="6"/>
  <c r="D89" i="6"/>
  <c r="J85" i="6"/>
  <c r="J86" i="6" s="1"/>
  <c r="J91" i="6" s="1"/>
  <c r="J92" i="6" s="1"/>
  <c r="C84" i="6" s="1"/>
  <c r="E69" i="6"/>
  <c r="I63" i="6" s="1"/>
  <c r="D70" i="6"/>
  <c r="G69" i="6"/>
  <c r="H136" i="6"/>
  <c r="H108" i="6"/>
  <c r="J139" i="6" l="1"/>
  <c r="D147" i="6"/>
  <c r="D143" i="6"/>
  <c r="D146" i="6"/>
  <c r="D142" i="6"/>
  <c r="J141" i="6"/>
  <c r="J142" i="6" s="1"/>
  <c r="J147" i="6" s="1"/>
  <c r="J148" i="6" s="1"/>
  <c r="C140" i="6" s="1"/>
  <c r="D145" i="6"/>
  <c r="D141" i="6"/>
  <c r="D148" i="6"/>
  <c r="D144" i="6"/>
  <c r="J140" i="6"/>
  <c r="C139" i="6" s="1"/>
  <c r="D139" i="6" s="1"/>
  <c r="J138" i="6"/>
  <c r="E125" i="6"/>
  <c r="D126" i="6"/>
  <c r="G125" i="6"/>
  <c r="D125" i="6"/>
  <c r="E97" i="6"/>
  <c r="D98" i="6"/>
  <c r="G97" i="6"/>
  <c r="D97" i="6"/>
  <c r="E155" i="6"/>
  <c r="I149" i="6" s="1"/>
  <c r="C151" i="6" s="1"/>
  <c r="D156" i="6"/>
  <c r="G155" i="6"/>
  <c r="D119" i="6"/>
  <c r="D115" i="6"/>
  <c r="J111" i="6"/>
  <c r="D113" i="6"/>
  <c r="D116" i="6"/>
  <c r="J110" i="6"/>
  <c r="D118" i="6"/>
  <c r="D114" i="6"/>
  <c r="D117" i="6"/>
  <c r="J112" i="6"/>
  <c r="C111" i="6" s="1"/>
  <c r="D111" i="6" s="1"/>
  <c r="J113" i="6"/>
  <c r="J114" i="6" s="1"/>
  <c r="J119" i="6" s="1"/>
  <c r="J120" i="6" s="1"/>
  <c r="C112" i="6" s="1"/>
  <c r="D120" i="6"/>
  <c r="E83" i="6"/>
  <c r="I79" i="6" s="1"/>
  <c r="C81" i="6" s="1"/>
  <c r="D84" i="6"/>
  <c r="G83" i="6"/>
  <c r="C65" i="6"/>
  <c r="J316" i="6"/>
  <c r="J317" i="6"/>
  <c r="J318" i="6"/>
  <c r="J319" i="6"/>
  <c r="J320" i="6"/>
  <c r="J321" i="6"/>
  <c r="J315" i="6"/>
  <c r="I315" i="6"/>
  <c r="I316" i="6"/>
  <c r="I317" i="6"/>
  <c r="I318" i="6"/>
  <c r="I319" i="6"/>
  <c r="I320" i="6"/>
  <c r="I321" i="6"/>
  <c r="I324" i="6"/>
  <c r="I325" i="6"/>
  <c r="I326" i="6"/>
  <c r="I327" i="6"/>
  <c r="I328" i="6"/>
  <c r="I329" i="6"/>
  <c r="I335" i="6"/>
  <c r="I336" i="6"/>
  <c r="I340" i="6"/>
  <c r="I349" i="6"/>
  <c r="I350" i="6"/>
  <c r="I354" i="6"/>
  <c r="I323" i="6"/>
  <c r="I333" i="6"/>
  <c r="I334" i="6"/>
  <c r="I337" i="6"/>
  <c r="I338" i="6"/>
  <c r="I339" i="6"/>
  <c r="I341" i="6"/>
  <c r="I342" i="6"/>
  <c r="I343" i="6"/>
  <c r="I344" i="6"/>
  <c r="I345" i="6"/>
  <c r="I347" i="6"/>
  <c r="I348" i="6"/>
  <c r="I351" i="6"/>
  <c r="I352" i="6"/>
  <c r="I355" i="6"/>
  <c r="I356" i="6"/>
  <c r="I357" i="6"/>
  <c r="I358" i="6"/>
  <c r="I359" i="6"/>
  <c r="I121" i="6" l="1"/>
  <c r="C123" i="6" s="1"/>
  <c r="E139" i="6"/>
  <c r="I135" i="6" s="1"/>
  <c r="C137" i="6" s="1"/>
  <c r="D140" i="6"/>
  <c r="G139" i="6"/>
  <c r="I93" i="6"/>
  <c r="C95" i="6" s="1"/>
  <c r="E111" i="6"/>
  <c r="I107" i="6" s="1"/>
  <c r="C109" i="6" s="1"/>
  <c r="D112" i="6"/>
  <c r="G111" i="6"/>
  <c r="D615" i="6"/>
  <c r="G347" i="6"/>
  <c r="G323" i="6"/>
  <c r="F177" i="6"/>
  <c r="G48" i="6"/>
  <c r="E41" i="6"/>
  <c r="E42" i="6" s="1"/>
  <c r="C14" i="6"/>
  <c r="E7" i="6"/>
  <c r="G7" i="5" l="1"/>
  <c r="G6" i="5"/>
  <c r="G8" i="5"/>
  <c r="G5" i="5"/>
  <c r="G9" i="5" l="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<sst xmlns="http://schemas.openxmlformats.org/spreadsheetml/2006/main" count="957" uniqueCount="296">
  <si>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</si>
  <si>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</si>
  <si>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</si>
  <si>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</si>
  <si>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</si>
  <si>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</si>
  <si>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</si>
  <si>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</si>
  <si>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</si>
  <si>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</si>
  <si>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</si>
  <si>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</si>
  <si>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</si>
  <si>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</si>
  <si>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</si>
  <si>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</si>
  <si>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</si>
  <si>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</si>
  <si>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</si>
  <si>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</si>
  <si>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</si>
  <si>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</si>
  <si>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</si>
  <si>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</si>
  <si>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</si>
  <si>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</si>
  <si>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</si>
  <si>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</si>
  <si>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</si>
  <si>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</si>
  <si>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</si>
  <si>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</si>
  <si>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</si>
  <si>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</si>
  <si>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</si>
  <si>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</si>
  <si>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</si>
  <si>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</si>
  <si>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</si>
  <si>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</si>
  <si>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</si>
  <si>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</si>
  <si>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</si>
  <si>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</si>
  <si>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</si>
  <si>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</si>
  <si>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</si>
  <si>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</si>
  <si>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</si>
  <si>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</si>
  <si>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</si>
  <si>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</si>
  <si>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</si>
  <si>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</si>
  <si>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</si>
  <si>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</si>
  <si>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</si>
  <si>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</si>
  <si>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</si>
  <si>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</si>
  <si>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</si>
  <si>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</si>
  <si>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</si>
  <si>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</si>
  <si>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</si>
  <si>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</si>
  <si>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</si>
  <si>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</si>
  <si>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</si>
  <si>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</si>
  <si>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</si>
  <si>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</si>
  <si>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</si>
  <si>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</si>
  <si>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</si>
  <si>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</si>
  <si>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</si>
  <si>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</si>
  <si>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</si>
  <si>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</si>
  <si>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</si>
  <si>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</si>
  <si>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</si>
  <si>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</si>
  <si>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</si>
  <si>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</si>
  <si>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</si>
  <si>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</si>
  <si>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</si>
  <si>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</si>
  <si>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</si>
  <si>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</si>
  <si>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</si>
  <si>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</si>
  <si>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</si>
  <si>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</si>
  <si>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</si>
  <si>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</si>
  <si>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</si>
  <si>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</si>
  <si>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</si>
  <si>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</si>
  <si>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</si>
  <si>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</si>
  <si>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</si>
  <si>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</si>
  <si>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</si>
  <si>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</si>
  <si>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</si>
  <si>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</si>
  <si>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</si>
  <si>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</si>
  <si>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</si>
  <si>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</si>
  <si>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</si>
  <si>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</si>
  <si>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</si>
  <si>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</si>
  <si>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</si>
  <si>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</si>
  <si>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</si>
  <si>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</si>
  <si>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</si>
  <si>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</si>
  <si>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</si>
  <si>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</si>
  <si>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</si>
  <si>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</si>
  <si>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</si>
  <si>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</si>
  <si>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</si>
  <si>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</si>
  <si>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</si>
  <si>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</si>
  <si>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</si>
  <si>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</si>
  <si>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</si>
  <si>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</si>
  <si>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</si>
  <si>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</si>
  <si>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</si>
  <si>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</si>
  <si>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</si>
  <si>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</si>
  <si>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</si>
  <si>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</si>
  <si>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</si>
  <si>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</si>
  <si>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Average</t>
  </si>
  <si>
    <t xml:space="preserve">Valuation Adopted </t>
  </si>
  <si>
    <t>Saleable Area</t>
  </si>
  <si>
    <t>Rate on Saleable</t>
  </si>
  <si>
    <t>Axis Sanpada</t>
  </si>
  <si>
    <t>Middle Class</t>
  </si>
  <si>
    <t>Developing</t>
  </si>
  <si>
    <t>Raigad</t>
  </si>
  <si>
    <t>Gram Panchayat Road</t>
  </si>
  <si>
    <t>Open Plot</t>
  </si>
  <si>
    <t>Internal Road</t>
  </si>
  <si>
    <t>Building</t>
  </si>
  <si>
    <t>Chambharli</t>
  </si>
  <si>
    <t>Khalapur</t>
  </si>
  <si>
    <t>6.7km from Chauk Railway Station</t>
  </si>
  <si>
    <t>Residential + Commercial</t>
  </si>
  <si>
    <t xml:space="preserve">Wing A </t>
  </si>
  <si>
    <t xml:space="preserve">Ground Floor for Parking </t>
  </si>
  <si>
    <t>1st Floor for Residential</t>
  </si>
  <si>
    <t>2BHK</t>
  </si>
  <si>
    <t>1BHK</t>
  </si>
  <si>
    <t>Wing B</t>
  </si>
  <si>
    <t>Gorund Floor for Parking</t>
  </si>
  <si>
    <t>Refuge Area</t>
  </si>
  <si>
    <t>Wing A</t>
  </si>
  <si>
    <t>Wheather the construction is as per approved Building plan : Under Construction</t>
  </si>
  <si>
    <t xml:space="preserve">Cement, Aggregate, Steel, etc </t>
  </si>
  <si>
    <t>Dand Apta Road</t>
  </si>
  <si>
    <t>17/1 B,18/1, 18/2, 19, 20, 21, 22, 24, 25, 26, 27 &amp; 28</t>
  </si>
  <si>
    <t>Gut No</t>
  </si>
  <si>
    <t>9821354769/022-27742468</t>
  </si>
  <si>
    <t>Thalia Vastu Infra Projects</t>
  </si>
  <si>
    <t>Approved Plans, CC, Sale Plans, Cost sheet.</t>
  </si>
  <si>
    <t>Legal Charges</t>
  </si>
  <si>
    <t>Vrindavan Flora</t>
  </si>
  <si>
    <t>magicbricks</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</si>
  <si>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</si>
  <si>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</si>
  <si>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</si>
  <si>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</si>
  <si>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</si>
  <si>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</si>
  <si>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</si>
  <si>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</si>
  <si>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</si>
  <si>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</si>
  <si>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</si>
  <si>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</si>
  <si>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</si>
  <si>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</si>
  <si>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</si>
  <si>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</si>
  <si>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</si>
  <si>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</si>
  <si>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Advance Maintenance Charges for 2 Years </t>
  </si>
  <si>
    <t>https://goo.gl/maps/1oKa6gAzGuKoaskd8</t>
  </si>
  <si>
    <r>
      <t xml:space="preserve">Shop No.
</t>
    </r>
    <r>
      <rPr>
        <b/>
        <sz val="11"/>
        <color rgb="FF000000"/>
        <rFont val="Times New Roman"/>
        <family val="1"/>
      </rPr>
      <t>(Approved Plan)</t>
    </r>
  </si>
  <si>
    <t>Shop No.
(Sale Plan)</t>
  </si>
  <si>
    <t>Attached Loft area</t>
  </si>
  <si>
    <t>Saleable area Loading :</t>
  </si>
  <si>
    <t>Stilt Floor For Entrance Lobby, Meter Room, Fire Control Room &amp; Parking</t>
  </si>
  <si>
    <t>Shop</t>
  </si>
  <si>
    <t xml:space="preserve"> Ground Floor For Commercial, Meter Room, Fire Control Room &amp; Parking</t>
  </si>
  <si>
    <t>Wing E</t>
  </si>
  <si>
    <t>Wing F</t>
  </si>
  <si>
    <t>3BHK</t>
  </si>
  <si>
    <t>Wing G</t>
  </si>
  <si>
    <t>3rd to 7th, 9th to 12th, 14th &amp; 15th Floor</t>
  </si>
  <si>
    <t>2nd Floor</t>
  </si>
  <si>
    <t xml:space="preserve">2nd to 7th, 9th to 12th, 14th &amp; 15th Floor </t>
  </si>
  <si>
    <t>Wing H</t>
  </si>
  <si>
    <t xml:space="preserve"> Ground Floor For Entrance Lobby, Meter Room, Driver Room, Fire Control Room &amp; Parking</t>
  </si>
  <si>
    <t xml:space="preserve"> Wing I</t>
  </si>
  <si>
    <t xml:space="preserve"> Wing J</t>
  </si>
  <si>
    <t xml:space="preserve"> Ground Floor For Commercial, Entrance Lobby Meter Room, Fire Control Room &amp; Parking</t>
  </si>
  <si>
    <t>1st to 7th, 9th to 12th, 14th &amp; 15th Floor For Residential</t>
  </si>
  <si>
    <t>Wing I</t>
  </si>
  <si>
    <t>1st Floor For Residential</t>
  </si>
  <si>
    <t>2nd to 7th, 9th to 12th, 14th &amp; 15th Floor</t>
  </si>
  <si>
    <t>Wing J</t>
  </si>
  <si>
    <t>8th &amp; 13th Floor (Part Reffuge Area)</t>
  </si>
  <si>
    <t>Building No. 5 Gardenia</t>
  </si>
  <si>
    <t xml:space="preserve"> Ground Floor For Commercial &amp; Entrance Lobby</t>
  </si>
  <si>
    <t>1st &amp; 2nd Floor</t>
  </si>
  <si>
    <t>Office</t>
  </si>
  <si>
    <t>Bldg No. 5
Gardenia</t>
  </si>
  <si>
    <t>Winh J</t>
  </si>
  <si>
    <t xml:space="preserve">Shop  </t>
  </si>
  <si>
    <t>1st to 7th &amp; 9th to 12th Floor for Residential</t>
  </si>
  <si>
    <t>8th Floor (Part Refuge Area)</t>
  </si>
  <si>
    <t>Saleable area
Loading: 50%</t>
  </si>
  <si>
    <t>Bldg No. 1
Jasmine</t>
  </si>
  <si>
    <t>MSRDC/SPA/Chambharli/Khalapur/BP-200/Revised CC/2022/1011</t>
  </si>
  <si>
    <t>MSRDC/SPA/Chambharli/BP-200/Revised CC/2022/1011</t>
  </si>
  <si>
    <t>As per RERA - 30/12/2028</t>
  </si>
  <si>
    <t>Building No.3-Tulip (Wing F &amp; G) = Gr/St + 1st to 15th Floor</t>
  </si>
  <si>
    <t>Building No.4 - Lotus (Wing H, I &amp; J) = Gr/St + 1st to 15th Floor</t>
  </si>
  <si>
    <t>Layout :</t>
  </si>
  <si>
    <t>P52000023788</t>
  </si>
  <si>
    <t>Building No. 1  (Jasmine)</t>
  </si>
  <si>
    <t>09 Wings</t>
  </si>
  <si>
    <t>Building No.1 (Wing A &amp; B) = Gr/St + 1st to 12th Floor</t>
  </si>
  <si>
    <t>Building No.5 Gardenia = Gr/St + 1st to 2nd Floor</t>
  </si>
  <si>
    <t>https://www.magicbricks.com/vrindavan-flora-rasayani-navi-mumbai-pdpid-4d4235303939323931</t>
  </si>
  <si>
    <t>https://housing.com/in/buy/projects/page/236336-vrindavan-flora-by-thalia-labh-group-in-rasayani?gclid=CjwKCAjw5pShBhB_EiwAvmnNVzNGN4KKkLz7G5_vGs6YL2TE7SWhFesZqQ4dcz5jrOBXyrs9OIyrqhoCca4QAvD_BwE</t>
  </si>
  <si>
    <t xml:space="preserve">Recommended rate of the Shop Per Sq. Ft. </t>
  </si>
  <si>
    <t xml:space="preserve">Recommended rate of the office Per Sq. Ft. </t>
  </si>
  <si>
    <t>8th &amp; 13th Floor (Part Refuge Area)</t>
  </si>
  <si>
    <t>8th &amp; 13th Floor  (Part Refuge Area)</t>
  </si>
  <si>
    <t>Flats - 1260, Shop = 75, Office = 28</t>
  </si>
  <si>
    <t xml:space="preserve">Building No. 1 Jasmine (Wing A &amp; B)
Building No. 3 Lotus (Wing E, F &amp; G)
Building No. 4 Tulip (Wing H, I &amp; J)
Building No. 5 Gardenia
</t>
  </si>
  <si>
    <t>Valid Upto : 
Building No.1 - Jasmine (Wing A &amp; B) = Gr/St + 1st to 12th Floor
Building No.3 - Lotus  (Wing E, F &amp; G) = Gr/St + 1st to 3rd Floor
Building No.4 - Tulip (Wing H, I &amp; J) = Gr/St + 1st to 15th Floor
Building No.5 - Gardenia = Gr/St + 1st to 2nd Floor</t>
  </si>
  <si>
    <t>Building No.3 Lotus (Wing E, F &amp; G) = Gr/St + 1st to 15th Floor</t>
  </si>
  <si>
    <t>Building No.4 Tulip (Wing H, I &amp; J) = Gr/St + 1st to 15th Floor</t>
  </si>
  <si>
    <t>Building No.4  Tulip (Wing H) = Gr/St + 1st to 15th Floor</t>
  </si>
  <si>
    <t>Building No.4 - Tulip (Wing I) = Gr/St + 1st to 15th Floor</t>
  </si>
  <si>
    <t>Building No.4 - Tulip (Wing J) = Gr/St + 1st to 15th Floor</t>
  </si>
  <si>
    <t>Letter:</t>
  </si>
  <si>
    <t>Building No. 4 Tulip</t>
  </si>
  <si>
    <t>Building No. 3 Lotus</t>
  </si>
  <si>
    <t>Bldg No. 3
Lotus</t>
  </si>
  <si>
    <t>Bldg No. 4
Tulip</t>
  </si>
  <si>
    <t>Building No. 4 (Tulip)</t>
  </si>
  <si>
    <t>4000 to 4500</t>
  </si>
  <si>
    <t>250000/-</t>
  </si>
  <si>
    <t xml:space="preserve">2.5L P &amp; 3.25L </t>
  </si>
  <si>
    <t>sanket</t>
  </si>
  <si>
    <t>IGR &amp; Cost sheet</t>
  </si>
  <si>
    <t>18.894579,73.191836</t>
  </si>
  <si>
    <t>Location Link</t>
  </si>
  <si>
    <t>Latitude, Longitude</t>
  </si>
  <si>
    <t>Contact Details ( Name &amp; Contact No.)</t>
  </si>
  <si>
    <t>Office No. 1031, Wing J, Akshar Business Park, Plot No. 03 Sector 25, Near APMC Market,
Vashi, Navi Mumbai, Maharashtra 400703 TEL: 022-46090378/79/80                                                                                             E mail : vsjcapf@gmail.com. Web site : www.vsjadon.com</t>
  </si>
  <si>
    <t>Site Meet Person Contact Details ( Name &amp; Contact No.)</t>
  </si>
  <si>
    <t>Floor Rise Rate from 5th  Floor</t>
  </si>
  <si>
    <t>25/-</t>
  </si>
  <si>
    <t>Mr. Sushil Jaiswal 9617960517</t>
  </si>
  <si>
    <t>Building No.1 Jasmine (Wing A &amp; B) = Gr/St + 1st to 12th Floor
Building No.3 Lotus  (Wing E, F &amp; G) = Gr/St + 1st to 15th Floor
Building No.4 Tulip (Wing H, I &amp; J) = Gr/St + 1st to 15th Floor
Building No.5 Gardenia = Gr/St + 1st to 2nd Floor</t>
  </si>
  <si>
    <t>6000 to 8200</t>
  </si>
  <si>
    <t xml:space="preserve">SMITH </t>
  </si>
  <si>
    <t xml:space="preserve">VERBAL </t>
  </si>
  <si>
    <t>COST SHEET</t>
  </si>
  <si>
    <t>7000 to 8200</t>
  </si>
  <si>
    <t>rate match for office</t>
  </si>
  <si>
    <t>Index II (Office no 109) :</t>
  </si>
  <si>
    <r>
      <t>1. Bldg No. 1 &amp; 5 = All work completed. Please provide OC.
    Bldg No. 3 = Construction work was stopped. Work is same as last visit(10/09/2023).
    Bldg No. 4  = Construction work in process at the time of visit.
2. We considered  Saleable area as per Builder Area sheet.
3. We considered Carpet area as per Approved Plan.
4. We considered Gross carpet area = Net carpet + Enclose balcony + W.S. Area
5. We have considered rate by verifying it from market inquire.
6. Car parking is subjected to authentic documentation.
8. We have considered Other charges from cost sheet.
9. We have Updated CC &amp; Approved Floor Plans of Building No.1 Jasmine (Wing A &amp; B), Building No.3 Lotus (Wing E, F &amp; G), Building No.4 Tulip  (Wing H, I &amp; J), Building No.5 Gardenia on (06/04/2023)
10. We have updated Approved Floor Plans For Building No.3 Lotus (Wing E, F &amp; G) 8th &amp; 13th Refuge Floor Plan (On 27/04/2023).
11. Clerification Letter For building name provided by the builder is attached below.
12. Please provide revised CC of Building No. 3.</t>
    </r>
    <r>
      <rPr>
        <b/>
        <sz val="12"/>
        <color rgb="FFFF0000"/>
        <rFont val="Times New Roman"/>
        <family val="1"/>
      </rPr>
      <t xml:space="preserve">
</t>
    </r>
    <r>
      <rPr>
        <b/>
        <sz val="12"/>
        <rFont val="Times New Roman"/>
        <family val="1"/>
      </rPr>
      <t xml:space="preserve">13. Recommended Rates / Other charges of the Property have been revised on 03/07/2025. (Document attached below).
10. On Site, we meet Miss. Seema Dhabane - 9206300800.
12. Please Provide 8th &amp; 13th Refuge Floor Plan Of Building No. 3 Tulip.
</t>
    </r>
  </si>
  <si>
    <t>Gaurav Panchal</t>
  </si>
  <si>
    <t>Nitesh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</si>
</sst>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u/>
      <sz val="11"/>
      <color theme="10"/>
      <name val="Calibri"/>
      <family val="2"/>
    </font>
    <font>
      <b/>
      <sz val="11"/>
      <color rgb="FF000000"/>
      <name val="Times New Roman"/>
      <family val="1"/>
    </font>
    <font>
      <b/>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1" fillId="0" borderId="0"/>
    <xf numFmtId="9" fontId="22" fillId="0" borderId="0" applyFont="0" applyFill="0" applyBorder="0" applyAlignment="0" applyProtection="0"/>
    <xf numFmtId="0" fontId="23" fillId="0" borderId="0" applyNumberFormat="0" applyFill="0" applyBorder="0" applyAlignment="0" applyProtection="0"/>
    <xf numFmtId="164" fontId="22" fillId="0" borderId="0" applyFont="0" applyFill="0" applyBorder="0" applyAlignment="0" applyProtection="0"/>
  </cellStyleXfs>
  <cellXfs count="230">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top"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0" fontId="8" fillId="0" borderId="9" xfId="1" applyFont="1" applyBorder="1" applyProtection="1">
      <protection hidden="1"/>
    </xf>
    <xf numFmtId="0" fontId="8" fillId="0" borderId="10" xfId="1" applyFont="1" applyBorder="1" applyProtection="1">
      <protection hidden="1"/>
    </xf>
    <xf numFmtId="0" fontId="8" fillId="0" borderId="10" xfId="1" applyFont="1" applyBorder="1"/>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3" fillId="0" borderId="5"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1" fontId="7" fillId="0" borderId="1" xfId="1" applyNumberFormat="1" applyFont="1" applyBorder="1" applyAlignment="1" applyProtection="1">
      <alignment horizontal="center" vertical="center" wrapText="1"/>
      <protection locked="0"/>
    </xf>
    <xf numFmtId="0" fontId="13" fillId="2" borderId="1" xfId="1" applyFont="1" applyFill="1" applyBorder="1" applyAlignment="1" applyProtection="1">
      <alignment horizontal="left" vertical="top"/>
      <protection locked="0"/>
    </xf>
    <xf numFmtId="0" fontId="14" fillId="2" borderId="1" xfId="1" applyFont="1" applyFill="1" applyBorder="1" applyAlignment="1" applyProtection="1">
      <alignment horizontal="left" vertical="top"/>
      <protection locked="0"/>
    </xf>
    <xf numFmtId="1" fontId="9" fillId="0" borderId="1" xfId="1" applyNumberFormat="1" applyFont="1" applyBorder="1" applyAlignment="1" applyProtection="1">
      <alignment horizontal="center" vertical="top" wrapText="1"/>
      <protection locked="0"/>
    </xf>
    <xf numFmtId="1" fontId="8" fillId="0" borderId="0" xfId="0" applyNumberFormat="1" applyFont="1" applyAlignment="1">
      <alignment horizontal="center" vertical="center"/>
    </xf>
    <xf numFmtId="1" fontId="11" fillId="0" borderId="1" xfId="0" applyNumberFormat="1" applyFont="1" applyBorder="1" applyAlignment="1" applyProtection="1">
      <alignment horizontal="center" vertical="center"/>
      <protection locked="0"/>
    </xf>
    <xf numFmtId="2" fontId="0" fillId="0" borderId="0" xfId="0" applyNumberFormat="1"/>
    <xf numFmtId="0" fontId="1" fillId="0" borderId="1" xfId="5" applyFont="1" applyBorder="1" applyAlignment="1">
      <alignment horizontal="left" vertical="center"/>
    </xf>
    <xf numFmtId="0" fontId="1" fillId="0" borderId="1" xfId="5" applyFont="1" applyBorder="1" applyAlignment="1">
      <alignment horizontal="center" vertical="center"/>
    </xf>
    <xf numFmtId="0" fontId="8" fillId="0" borderId="8" xfId="1" applyFont="1" applyBorder="1" applyProtection="1">
      <protection hidden="1"/>
    </xf>
    <xf numFmtId="0" fontId="18" fillId="0" borderId="0" xfId="0" applyFont="1" applyProtection="1">
      <protection hidden="1"/>
    </xf>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0" fontId="18" fillId="0" borderId="11" xfId="0" applyFont="1" applyBorder="1" applyProtection="1">
      <protection hidden="1"/>
    </xf>
    <xf numFmtId="1" fontId="0" fillId="0" borderId="12" xfId="0" applyNumberFormat="1" applyBorder="1"/>
    <xf numFmtId="9" fontId="13" fillId="2" borderId="1" xfId="1" applyNumberFormat="1" applyFont="1" applyFill="1" applyBorder="1" applyAlignment="1" applyProtection="1">
      <alignment horizontal="center" vertical="center" wrapText="1"/>
      <protection hidden="1"/>
    </xf>
    <xf numFmtId="0" fontId="13" fillId="0" borderId="27" xfId="1" applyFont="1" applyBorder="1" applyAlignment="1" applyProtection="1">
      <alignment horizontal="center" wrapText="1"/>
      <protection locked="0"/>
    </xf>
    <xf numFmtId="9" fontId="13" fillId="2" borderId="27" xfId="1" applyNumberFormat="1" applyFont="1" applyFill="1" applyBorder="1" applyAlignment="1" applyProtection="1">
      <alignment horizontal="center" vertical="center" wrapText="1"/>
      <protection hidden="1"/>
    </xf>
    <xf numFmtId="1" fontId="8" fillId="0" borderId="0" xfId="1" applyNumberFormat="1" applyFont="1" applyAlignment="1">
      <alignment horizontal="center" vertical="center"/>
    </xf>
    <xf numFmtId="1" fontId="9" fillId="0" borderId="3" xfId="1" applyNumberFormat="1" applyFont="1" applyBorder="1" applyAlignment="1" applyProtection="1">
      <alignment horizontal="center" vertical="top" wrapText="1"/>
      <protection locked="0"/>
    </xf>
    <xf numFmtId="9" fontId="9" fillId="0" borderId="29" xfId="8" applyFont="1" applyFill="1" applyBorder="1" applyAlignment="1" applyProtection="1">
      <alignment horizontal="center" vertical="top" wrapText="1"/>
      <protection locked="0"/>
    </xf>
    <xf numFmtId="1" fontId="8" fillId="0" borderId="1" xfId="1" applyNumberFormat="1" applyFont="1" applyBorder="1" applyAlignment="1">
      <alignment horizontal="center" vertical="center"/>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13" fillId="0" borderId="0" xfId="1" applyFont="1" applyAlignment="1">
      <alignment horizontal="center" vertical="center"/>
    </xf>
    <xf numFmtId="1" fontId="8" fillId="0" borderId="0" xfId="1" applyNumberFormat="1" applyFont="1"/>
    <xf numFmtId="0" fontId="23" fillId="0" borderId="0" xfId="9" applyAlignment="1">
      <alignment horizontal="center" vertical="center"/>
    </xf>
    <xf numFmtId="166" fontId="8" fillId="0" borderId="0" xfId="10" applyNumberFormat="1" applyFont="1" applyAlignment="1">
      <alignment horizontal="center" vertical="center"/>
    </xf>
    <xf numFmtId="166" fontId="11" fillId="0" borderId="0" xfId="0" applyNumberFormat="1" applyFont="1" applyAlignment="1">
      <alignment horizontal="center" vertical="center"/>
    </xf>
    <xf numFmtId="0" fontId="8" fillId="4" borderId="0" xfId="1" applyFont="1" applyFill="1"/>
    <xf numFmtId="14" fontId="8" fillId="4" borderId="0" xfId="1" applyNumberFormat="1" applyFont="1" applyFill="1"/>
    <xf numFmtId="0" fontId="15" fillId="0" borderId="1" xfId="1" applyFont="1" applyBorder="1" applyAlignment="1" applyProtection="1">
      <alignment horizontal="center" vertical="top" wrapText="1"/>
      <protection locked="0"/>
    </xf>
    <xf numFmtId="0" fontId="8" fillId="0" borderId="0" xfId="1" applyFont="1" applyAlignment="1" applyProtection="1">
      <alignment horizontal="center" vertical="center"/>
      <protection hidden="1"/>
    </xf>
    <xf numFmtId="0" fontId="8" fillId="0" borderId="10" xfId="1" applyFont="1" applyBorder="1" applyAlignment="1" applyProtection="1">
      <alignment horizontal="center" vertical="center"/>
      <protection hidden="1"/>
    </xf>
    <xf numFmtId="0" fontId="13" fillId="0" borderId="3" xfId="1" applyFont="1" applyBorder="1" applyAlignment="1" applyProtection="1">
      <alignment horizontal="center" wrapText="1"/>
      <protection locked="0"/>
    </xf>
    <xf numFmtId="9" fontId="13" fillId="2" borderId="3" xfId="1" applyNumberFormat="1" applyFont="1" applyFill="1" applyBorder="1" applyAlignment="1" applyProtection="1">
      <alignment horizontal="center" vertical="center" wrapText="1"/>
      <protection hidden="1"/>
    </xf>
    <xf numFmtId="0" fontId="13" fillId="0" borderId="29" xfId="1" applyFont="1" applyBorder="1" applyAlignment="1" applyProtection="1">
      <alignment horizontal="center" vertical="top" wrapText="1"/>
      <protection locked="0"/>
    </xf>
    <xf numFmtId="0" fontId="15" fillId="0" borderId="29" xfId="1" applyFont="1" applyBorder="1" applyAlignment="1" applyProtection="1">
      <alignment horizontal="center" vertical="top" wrapText="1"/>
      <protection locked="0"/>
    </xf>
    <xf numFmtId="14" fontId="17" fillId="0" borderId="0" xfId="1" applyNumberFormat="1" applyFont="1"/>
    <xf numFmtId="0" fontId="7" fillId="0" borderId="1" xfId="1" applyFont="1" applyBorder="1" applyAlignment="1" applyProtection="1">
      <alignment horizontal="left" vertical="top"/>
      <protection locked="0"/>
    </xf>
    <xf numFmtId="0" fontId="14" fillId="0" borderId="31" xfId="1" applyFont="1" applyBorder="1" applyAlignment="1" applyProtection="1">
      <alignment horizontal="center" vertical="center"/>
      <protection locked="0"/>
    </xf>
    <xf numFmtId="0" fontId="14" fillId="0" borderId="15" xfId="1" applyFont="1" applyBorder="1" applyAlignment="1" applyProtection="1">
      <alignment horizontal="center" vertical="center"/>
      <protection locked="0"/>
    </xf>
    <xf numFmtId="0" fontId="14" fillId="0" borderId="37" xfId="1" applyFont="1" applyBorder="1" applyAlignment="1" applyProtection="1">
      <alignment horizontal="center" vertical="center"/>
      <protection locked="0"/>
    </xf>
    <xf numFmtId="0" fontId="14" fillId="0" borderId="38" xfId="1" applyFont="1" applyBorder="1" applyAlignment="1" applyProtection="1">
      <alignment horizontal="center" vertical="center"/>
      <protection locked="0"/>
    </xf>
    <xf numFmtId="9" fontId="14" fillId="0" borderId="14" xfId="1" applyNumberFormat="1" applyFont="1" applyBorder="1" applyAlignment="1" applyProtection="1">
      <alignment horizontal="center" vertical="center" wrapText="1"/>
      <protection locked="0"/>
    </xf>
    <xf numFmtId="0" fontId="14" fillId="0" borderId="15" xfId="1" applyFont="1" applyBorder="1" applyAlignment="1" applyProtection="1">
      <alignment horizontal="center" vertical="center" wrapText="1"/>
      <protection locked="0"/>
    </xf>
    <xf numFmtId="0" fontId="14" fillId="0" borderId="39" xfId="1" applyFont="1" applyBorder="1" applyAlignment="1" applyProtection="1">
      <alignment horizontal="center" vertical="center" wrapText="1"/>
      <protection locked="0"/>
    </xf>
    <xf numFmtId="0" fontId="14" fillId="0" borderId="38" xfId="1" applyFont="1" applyBorder="1" applyAlignment="1" applyProtection="1">
      <alignment horizontal="center" vertical="center" wrapText="1"/>
      <protection locked="0"/>
    </xf>
    <xf numFmtId="0" fontId="14" fillId="0" borderId="14" xfId="1" applyFont="1" applyBorder="1" applyAlignment="1" applyProtection="1">
      <alignment horizontal="center" vertical="center" wrapText="1"/>
      <protection locked="0"/>
    </xf>
    <xf numFmtId="0" fontId="14" fillId="0" borderId="32" xfId="1" applyFont="1" applyBorder="1" applyAlignment="1" applyProtection="1">
      <alignment horizontal="center" vertical="center" wrapText="1"/>
      <protection locked="0"/>
    </xf>
    <xf numFmtId="0" fontId="14" fillId="0" borderId="12" xfId="1" applyFont="1" applyBorder="1" applyAlignment="1" applyProtection="1">
      <alignment horizontal="center" vertical="center" wrapText="1"/>
      <protection locked="0"/>
    </xf>
    <xf numFmtId="0" fontId="14" fillId="0" borderId="21"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4" fillId="0" borderId="23"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13"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5"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9" fontId="13" fillId="2" borderId="27" xfId="1" applyNumberFormat="1" applyFont="1" applyFill="1" applyBorder="1" applyAlignment="1" applyProtection="1">
      <alignment horizontal="center" vertical="center" wrapText="1"/>
      <protection hidden="1"/>
    </xf>
    <xf numFmtId="9" fontId="13" fillId="2" borderId="5" xfId="1" applyNumberFormat="1" applyFont="1" applyFill="1" applyBorder="1" applyAlignment="1" applyProtection="1">
      <alignment horizontal="center" vertical="center" wrapText="1"/>
      <protection hidden="1"/>
    </xf>
    <xf numFmtId="9" fontId="13" fillId="2" borderId="28" xfId="1" applyNumberFormat="1" applyFont="1" applyFill="1" applyBorder="1" applyAlignment="1" applyProtection="1">
      <alignment horizontal="center" vertical="center" wrapText="1"/>
      <protection hidden="1"/>
    </xf>
    <xf numFmtId="0" fontId="13" fillId="0" borderId="4"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26" xfId="1" applyFont="1" applyBorder="1" applyAlignment="1" applyProtection="1">
      <alignment horizontal="center" vertical="top" wrapText="1"/>
      <protection locked="0"/>
    </xf>
    <xf numFmtId="0" fontId="13" fillId="0" borderId="27" xfId="1" applyFont="1" applyBorder="1" applyAlignment="1" applyProtection="1">
      <alignment horizontal="center" vertical="top" wrapText="1"/>
      <protection locked="0"/>
    </xf>
    <xf numFmtId="9" fontId="13" fillId="2" borderId="3" xfId="1" applyNumberFormat="1" applyFont="1" applyFill="1" applyBorder="1" applyAlignment="1" applyProtection="1">
      <alignment horizontal="center" vertical="center" wrapText="1"/>
      <protection hidden="1"/>
    </xf>
    <xf numFmtId="9" fontId="13" fillId="2" borderId="34" xfId="1" applyNumberFormat="1" applyFont="1" applyFill="1" applyBorder="1" applyAlignment="1" applyProtection="1">
      <alignment horizontal="center" vertical="center" wrapText="1"/>
      <protection hidden="1"/>
    </xf>
    <xf numFmtId="0" fontId="13" fillId="0" borderId="33" xfId="1" applyFont="1" applyBorder="1" applyAlignment="1" applyProtection="1">
      <alignment horizontal="center" vertical="top" wrapText="1"/>
      <protection locked="0"/>
    </xf>
    <xf numFmtId="0" fontId="13" fillId="0" borderId="3" xfId="1" applyFont="1" applyBorder="1" applyAlignment="1" applyProtection="1">
      <alignment horizontal="center" vertical="top" wrapText="1"/>
      <protection locked="0"/>
    </xf>
    <xf numFmtId="0" fontId="13" fillId="0" borderId="35" xfId="1" applyFont="1" applyBorder="1" applyAlignment="1" applyProtection="1">
      <alignment horizontal="center" vertical="top" wrapText="1"/>
      <protection locked="0"/>
    </xf>
    <xf numFmtId="0" fontId="13" fillId="0" borderId="29" xfId="1" applyFont="1" applyBorder="1" applyAlignment="1" applyProtection="1">
      <alignment horizontal="center" vertical="top" wrapText="1"/>
      <protection locked="0"/>
    </xf>
    <xf numFmtId="0" fontId="13" fillId="0" borderId="36" xfId="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7" fillId="0" borderId="14"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9" fillId="0" borderId="6" xfId="1" applyNumberFormat="1" applyFont="1" applyBorder="1" applyAlignment="1" applyProtection="1">
      <alignment horizontal="center" vertical="center" wrapText="1"/>
      <protection locked="0"/>
    </xf>
    <xf numFmtId="1" fontId="9" fillId="0" borderId="13" xfId="1" applyNumberFormat="1" applyFont="1" applyBorder="1" applyAlignment="1" applyProtection="1">
      <alignment horizontal="center" vertical="center" wrapText="1"/>
      <protection locked="0"/>
    </xf>
    <xf numFmtId="1" fontId="9" fillId="0" borderId="7"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1" fontId="7" fillId="0" borderId="6"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top"/>
      <protection locked="0"/>
    </xf>
    <xf numFmtId="1" fontId="7" fillId="0" borderId="13" xfId="1" applyNumberFormat="1" applyFont="1" applyBorder="1" applyAlignment="1" applyProtection="1">
      <alignment horizontal="center" vertical="center" wrapText="1"/>
      <protection locked="0"/>
    </xf>
    <xf numFmtId="14" fontId="7"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0" fontId="13" fillId="0" borderId="1" xfId="1" applyFont="1" applyBorder="1" applyAlignment="1" applyProtection="1">
      <alignment horizontal="left" vertical="center"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protection locked="0"/>
    </xf>
    <xf numFmtId="0" fontId="7" fillId="2" borderId="1" xfId="1" applyFont="1" applyFill="1" applyBorder="1" applyAlignment="1" applyProtection="1">
      <alignment horizontal="left" vertical="top" wrapText="1"/>
      <protection locked="0"/>
    </xf>
    <xf numFmtId="0" fontId="14" fillId="0" borderId="1" xfId="1" applyFont="1" applyBorder="1" applyAlignment="1" applyProtection="1">
      <alignment horizontal="center"/>
      <protection locked="0"/>
    </xf>
    <xf numFmtId="0" fontId="14"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7" fillId="0" borderId="1" xfId="1" applyNumberFormat="1" applyFont="1" applyBorder="1" applyAlignment="1" applyProtection="1">
      <alignment horizontal="left" vertical="top" wrapText="1"/>
      <protection locked="0"/>
    </xf>
    <xf numFmtId="165" fontId="7" fillId="0" borderId="1" xfId="1" applyNumberFormat="1" applyFont="1" applyBorder="1" applyAlignment="1" applyProtection="1">
      <alignment horizontal="left" vertical="top"/>
      <protection locked="0"/>
    </xf>
    <xf numFmtId="0" fontId="8" fillId="0" borderId="6" xfId="1" applyFont="1" applyBorder="1" applyAlignment="1" applyProtection="1">
      <alignment horizontal="left"/>
      <protection locked="0"/>
    </xf>
    <xf numFmtId="0" fontId="8" fillId="0" borderId="13" xfId="1" applyFont="1" applyBorder="1" applyAlignment="1" applyProtection="1">
      <alignment horizontal="left"/>
      <protection locked="0"/>
    </xf>
    <xf numFmtId="0" fontId="8" fillId="0" borderId="7" xfId="1" applyFont="1" applyBorder="1" applyAlignment="1" applyProtection="1">
      <alignment horizontal="left"/>
      <protection locked="0"/>
    </xf>
    <xf numFmtId="0" fontId="23" fillId="0" borderId="6" xfId="9" applyBorder="1" applyAlignment="1" applyProtection="1">
      <alignment horizontal="left"/>
      <protection locked="0"/>
    </xf>
    <xf numFmtId="0" fontId="13" fillId="2" borderId="1" xfId="1" applyFont="1" applyFill="1" applyBorder="1" applyAlignment="1" applyProtection="1">
      <alignment horizontal="left" vertical="top" wrapText="1"/>
      <protection locked="0"/>
    </xf>
    <xf numFmtId="14" fontId="13" fillId="0" borderId="1"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9" fillId="0" borderId="1" xfId="1" applyFont="1" applyBorder="1" applyAlignment="1" applyProtection="1">
      <alignment vertical="top"/>
      <protection locked="0"/>
    </xf>
    <xf numFmtId="14" fontId="13" fillId="2" borderId="1" xfId="1" applyNumberFormat="1" applyFont="1" applyFill="1" applyBorder="1" applyAlignment="1" applyProtection="1">
      <alignment horizontal="left" vertical="top"/>
      <protection locked="0"/>
    </xf>
    <xf numFmtId="0" fontId="13" fillId="2" borderId="6" xfId="1" applyFont="1" applyFill="1" applyBorder="1" applyAlignment="1" applyProtection="1">
      <alignment horizontal="left" vertical="top" wrapText="1"/>
      <protection locked="0"/>
    </xf>
    <xf numFmtId="0" fontId="13" fillId="2" borderId="13" xfId="1" applyFont="1" applyFill="1" applyBorder="1" applyAlignment="1" applyProtection="1">
      <alignment horizontal="left" vertical="top" wrapText="1"/>
      <protection locked="0"/>
    </xf>
    <xf numFmtId="0" fontId="13" fillId="2" borderId="7"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protection locked="0"/>
    </xf>
    <xf numFmtId="0" fontId="14" fillId="0" borderId="6"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3" fontId="13" fillId="2" borderId="1" xfId="1" applyNumberFormat="1" applyFont="1" applyFill="1" applyBorder="1" applyAlignment="1" applyProtection="1">
      <alignment horizontal="left" vertical="top"/>
      <protection locked="0"/>
    </xf>
    <xf numFmtId="1" fontId="14"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7" fillId="0" borderId="29"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7" fillId="0" borderId="14" xfId="0" applyNumberFormat="1" applyFont="1" applyBorder="1" applyAlignment="1" applyProtection="1">
      <alignment horizontal="center" vertical="top" wrapText="1"/>
      <protection locked="0"/>
    </xf>
    <xf numFmtId="1" fontId="7" fillId="0" borderId="20" xfId="0" applyNumberFormat="1" applyFont="1" applyBorder="1" applyAlignment="1" applyProtection="1">
      <alignment horizontal="center" vertical="top" wrapText="1"/>
      <protection locked="0"/>
    </xf>
    <xf numFmtId="1" fontId="7" fillId="0" borderId="15"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9" fillId="0" borderId="29" xfId="1" applyFont="1" applyBorder="1" applyAlignment="1" applyProtection="1">
      <alignment horizontal="center" vertical="top"/>
      <protection locked="0"/>
    </xf>
    <xf numFmtId="1" fontId="9" fillId="0" borderId="3" xfId="1" applyNumberFormat="1" applyFont="1" applyBorder="1" applyAlignment="1" applyProtection="1">
      <alignment horizontal="center" vertical="top" wrapText="1"/>
      <protection locked="0"/>
    </xf>
    <xf numFmtId="1" fontId="9" fillId="0" borderId="29" xfId="1"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29" xfId="1" applyNumberFormat="1" applyFont="1" applyBorder="1" applyAlignment="1" applyProtection="1">
      <alignment horizontal="center" vertical="top" wrapText="1"/>
      <protection locked="0"/>
    </xf>
    <xf numFmtId="1" fontId="9" fillId="0" borderId="14"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5" fillId="0" borderId="1" xfId="1" applyFont="1" applyBorder="1" applyAlignment="1" applyProtection="1">
      <alignment horizontal="center" vertical="top" wrapText="1"/>
      <protection locked="0"/>
    </xf>
    <xf numFmtId="0" fontId="14" fillId="0" borderId="14" xfId="1" applyFont="1" applyBorder="1" applyAlignment="1" applyProtection="1">
      <alignment horizontal="center" vertical="top" wrapText="1"/>
      <protection locked="0"/>
    </xf>
    <xf numFmtId="0" fontId="14" fillId="0" borderId="20" xfId="1" applyFont="1" applyBorder="1" applyAlignment="1" applyProtection="1">
      <alignment horizontal="center" vertical="top" wrapText="1"/>
      <protection locked="0"/>
    </xf>
    <xf numFmtId="0" fontId="14" fillId="0" borderId="15" xfId="1" applyFont="1" applyBorder="1" applyAlignment="1" applyProtection="1">
      <alignment horizontal="center" vertical="top" wrapText="1"/>
      <protection locked="0"/>
    </xf>
    <xf numFmtId="0" fontId="14" fillId="0" borderId="16" xfId="1" applyFont="1" applyBorder="1" applyAlignment="1" applyProtection="1">
      <alignment horizontal="center" vertical="top" wrapText="1"/>
      <protection locked="0"/>
    </xf>
    <xf numFmtId="0" fontId="14" fillId="0" borderId="0" xfId="1" applyFont="1" applyAlignment="1" applyProtection="1">
      <alignment horizontal="center" vertical="top" wrapText="1"/>
      <protection locked="0"/>
    </xf>
    <xf numFmtId="0" fontId="14" fillId="0" borderId="17" xfId="1" applyFont="1" applyBorder="1" applyAlignment="1" applyProtection="1">
      <alignment horizontal="center" vertical="top" wrapText="1"/>
      <protection locked="0"/>
    </xf>
    <xf numFmtId="0" fontId="14" fillId="0" borderId="18" xfId="1" applyFont="1" applyBorder="1" applyAlignment="1" applyProtection="1">
      <alignment horizontal="center" vertical="top" wrapText="1"/>
      <protection locked="0"/>
    </xf>
    <xf numFmtId="0" fontId="14" fillId="0" borderId="2" xfId="1" applyFont="1" applyBorder="1" applyAlignment="1" applyProtection="1">
      <alignment horizontal="center" vertical="top" wrapText="1"/>
      <protection locked="0"/>
    </xf>
    <xf numFmtId="0" fontId="14" fillId="0" borderId="19"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center" wrapText="1"/>
      <protection locked="0"/>
    </xf>
    <xf numFmtId="1" fontId="9" fillId="0" borderId="14" xfId="1" applyNumberFormat="1" applyFont="1" applyBorder="1" applyAlignment="1" applyProtection="1">
      <alignment horizontal="center" vertical="center" wrapText="1"/>
      <protection locked="0"/>
    </xf>
    <xf numFmtId="1" fontId="9" fillId="0" borderId="15" xfId="1" applyNumberFormat="1" applyFont="1" applyBorder="1" applyAlignment="1" applyProtection="1">
      <alignment horizontal="center" vertical="center" wrapText="1"/>
      <protection locked="0"/>
    </xf>
    <xf numFmtId="1" fontId="9" fillId="0" borderId="16" xfId="1" applyNumberFormat="1" applyFont="1" applyBorder="1" applyAlignment="1" applyProtection="1">
      <alignment horizontal="center" vertical="center" wrapText="1"/>
      <protection locked="0"/>
    </xf>
    <xf numFmtId="1" fontId="9" fillId="0" borderId="17" xfId="1" applyNumberFormat="1" applyFont="1" applyBorder="1" applyAlignment="1" applyProtection="1">
      <alignment horizontal="center" vertical="center" wrapText="1"/>
      <protection locked="0"/>
    </xf>
    <xf numFmtId="1" fontId="9" fillId="0" borderId="18" xfId="1" applyNumberFormat="1" applyFont="1" applyBorder="1" applyAlignment="1" applyProtection="1">
      <alignment horizontal="center" vertical="center" wrapText="1"/>
      <protection locked="0"/>
    </xf>
    <xf numFmtId="1" fontId="9" fillId="0" borderId="19" xfId="1" applyNumberFormat="1" applyFont="1" applyBorder="1" applyAlignment="1" applyProtection="1">
      <alignment horizontal="center" vertical="center" wrapText="1"/>
      <protection locked="0"/>
    </xf>
    <xf numFmtId="1" fontId="9" fillId="2" borderId="1" xfId="1" applyNumberFormat="1" applyFont="1" applyFill="1" applyBorder="1" applyAlignment="1" applyProtection="1">
      <alignment horizontal="center" vertical="center" wrapText="1"/>
      <protection locked="0"/>
    </xf>
    <xf numFmtId="1" fontId="7" fillId="0" borderId="30" xfId="0" applyNumberFormat="1" applyFont="1" applyBorder="1" applyAlignment="1" applyProtection="1">
      <alignment horizontal="center" vertical="center" wrapText="1"/>
      <protection locked="0"/>
    </xf>
    <xf numFmtId="1" fontId="8" fillId="0" borderId="6" xfId="0" applyNumberFormat="1" applyFont="1" applyBorder="1" applyAlignment="1" applyProtection="1">
      <alignment horizontal="center" vertical="top" wrapText="1"/>
      <protection locked="0"/>
    </xf>
    <xf numFmtId="1" fontId="8" fillId="0" borderId="7" xfId="0" applyNumberFormat="1" applyFont="1" applyBorder="1" applyAlignment="1" applyProtection="1">
      <alignment horizontal="center" vertical="top" wrapText="1"/>
      <protection locked="0"/>
    </xf>
    <xf numFmtId="1" fontId="7" fillId="0" borderId="6" xfId="0" applyNumberFormat="1" applyFont="1" applyBorder="1" applyAlignment="1" applyProtection="1">
      <alignment horizontal="center" vertical="center" wrapText="1"/>
      <protection locked="0"/>
    </xf>
    <xf numFmtId="1" fontId="7" fillId="0" borderId="13" xfId="0" applyNumberFormat="1" applyFont="1" applyBorder="1" applyAlignment="1" applyProtection="1">
      <alignment horizontal="center" vertical="center" wrapText="1"/>
      <protection locked="0"/>
    </xf>
    <xf numFmtId="1" fontId="7" fillId="0" borderId="7" xfId="0" applyNumberFormat="1" applyFont="1" applyBorder="1" applyAlignment="1" applyProtection="1">
      <alignment horizontal="center" vertical="center"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11">
    <cellStyle name="Comma" xfId="10" builtinId="3"/>
    <cellStyle name="Comma 2" xfId="6" xr:uid="{00000000-0005-0000-0000-000001000000}"/>
    <cellStyle name="Excel Built-in Normal" xfId="2" xr:uid="{00000000-0005-0000-0000-000002000000}"/>
    <cellStyle name="Excel Built-in Normal 2" xfId="4" xr:uid="{00000000-0005-0000-0000-000003000000}"/>
    <cellStyle name="Hyperlink" xfId="9"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colors>
    <mruColors>
      <color rgb="FFBC1498"/>
      <color rgb="FFC533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 Id="rId4" Type="http://schemas.openxmlformats.org/officeDocument/2006/relationships/image" Target="../media/image4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drawing1.xml><?xml version="1.0" encoding="utf-8"?>
<xdr:wsDr xmlns:xdr="http://schemas.openxmlformats.org/drawingml/2006/spreadsheetDrawing" xmlns:a="http://schemas.openxmlformats.org/drawingml/2006/main">
  <xdr:twoCellAnchor editAs="oneCell">
    <xdr:from>
      <xdr:col>0</xdr:col>
      <xdr:colOff>572521</xdr:colOff>
      <xdr:row>788</xdr:row>
      <xdr:rowOff>84055</xdr:rowOff>
    </xdr:from>
    <xdr:to>
      <xdr:col>7</xdr:col>
      <xdr:colOff>337198</xdr:colOff>
      <xdr:row>804</xdr:row>
      <xdr:rowOff>52039</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72521" y="140491214"/>
          <a:ext cx="5349791" cy="3154528"/>
        </a:xfrm>
        <a:prstGeom prst="rect">
          <a:avLst/>
        </a:prstGeom>
        <a:ln>
          <a:solidFill>
            <a:schemeClr val="tx1"/>
          </a:solidFill>
        </a:ln>
      </xdr:spPr>
    </xdr:pic>
    <xdr:clientData/>
  </xdr:twoCellAnchor>
  <xdr:twoCellAnchor>
    <xdr:from>
      <xdr:col>5</xdr:col>
      <xdr:colOff>459441</xdr:colOff>
      <xdr:row>616</xdr:row>
      <xdr:rowOff>22412</xdr:rowOff>
    </xdr:from>
    <xdr:to>
      <xdr:col>7</xdr:col>
      <xdr:colOff>1199030</xdr:colOff>
      <xdr:row>619</xdr:row>
      <xdr:rowOff>156882</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4863353" y="122334618"/>
          <a:ext cx="1703295" cy="7395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400" b="1">
            <a:ln>
              <a:noFill/>
            </a:ln>
            <a:solidFill>
              <a:srgbClr val="C00000"/>
            </a:solidFill>
          </a:endParaRPr>
        </a:p>
      </xdr:txBody>
    </xdr:sp>
    <xdr:clientData/>
  </xdr:twoCellAnchor>
  <xdr:twoCellAnchor>
    <xdr:from>
      <xdr:col>8</xdr:col>
      <xdr:colOff>411255</xdr:colOff>
      <xdr:row>631</xdr:row>
      <xdr:rowOff>9372</xdr:rowOff>
    </xdr:from>
    <xdr:to>
      <xdr:col>10</xdr:col>
      <xdr:colOff>437234</xdr:colOff>
      <xdr:row>634</xdr:row>
      <xdr:rowOff>141295</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6758369" y="119522145"/>
          <a:ext cx="961160" cy="729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400" b="1">
            <a:ln>
              <a:noFill/>
            </a:ln>
            <a:solidFill>
              <a:srgbClr val="C00000"/>
            </a:solidFill>
          </a:endParaRPr>
        </a:p>
      </xdr:txBody>
    </xdr:sp>
    <xdr:clientData/>
  </xdr:twoCellAnchor>
  <xdr:twoCellAnchor>
    <xdr:from>
      <xdr:col>1</xdr:col>
      <xdr:colOff>683559</xdr:colOff>
      <xdr:row>631</xdr:row>
      <xdr:rowOff>67235</xdr:rowOff>
    </xdr:from>
    <xdr:to>
      <xdr:col>3</xdr:col>
      <xdr:colOff>605118</xdr:colOff>
      <xdr:row>634</xdr:row>
      <xdr:rowOff>201705</xdr:rowOff>
    </xdr:to>
    <xdr:sp macro="" textlink="">
      <xdr:nvSpPr>
        <xdr:cNvPr id="35" name="Rectangle 34">
          <a:extLst>
            <a:ext uri="{FF2B5EF4-FFF2-40B4-BE49-F238E27FC236}">
              <a16:creationId xmlns:a16="http://schemas.microsoft.com/office/drawing/2014/main" id="{00000000-0008-0000-0000-000023000000}"/>
            </a:ext>
          </a:extLst>
        </xdr:cNvPr>
        <xdr:cNvSpPr/>
      </xdr:nvSpPr>
      <xdr:spPr>
        <a:xfrm>
          <a:off x="1501588" y="122390647"/>
          <a:ext cx="1703295" cy="739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400" b="1">
            <a:ln>
              <a:noFill/>
            </a:ln>
            <a:solidFill>
              <a:srgbClr val="C00000"/>
            </a:solidFill>
          </a:endParaRPr>
        </a:p>
      </xdr:txBody>
    </xdr:sp>
    <xdr:clientData/>
  </xdr:twoCellAnchor>
  <xdr:twoCellAnchor editAs="oneCell">
    <xdr:from>
      <xdr:col>0</xdr:col>
      <xdr:colOff>358583</xdr:colOff>
      <xdr:row>659</xdr:row>
      <xdr:rowOff>22410</xdr:rowOff>
    </xdr:from>
    <xdr:to>
      <xdr:col>7</xdr:col>
      <xdr:colOff>422893</xdr:colOff>
      <xdr:row>689</xdr:row>
      <xdr:rowOff>91232</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358583" y="128800410"/>
          <a:ext cx="6081869" cy="6120000"/>
        </a:xfrm>
        <a:prstGeom prst="rect">
          <a:avLst/>
        </a:prstGeom>
        <a:ln>
          <a:solidFill>
            <a:schemeClr val="tx1"/>
          </a:solidFill>
        </a:ln>
      </xdr:spPr>
    </xdr:pic>
    <xdr:clientData/>
  </xdr:twoCellAnchor>
  <xdr:twoCellAnchor>
    <xdr:from>
      <xdr:col>1</xdr:col>
      <xdr:colOff>406464</xdr:colOff>
      <xdr:row>666</xdr:row>
      <xdr:rowOff>182350</xdr:rowOff>
    </xdr:from>
    <xdr:to>
      <xdr:col>2</xdr:col>
      <xdr:colOff>159935</xdr:colOff>
      <xdr:row>673</xdr:row>
      <xdr:rowOff>164523</xdr:rowOff>
    </xdr:to>
    <xdr:sp macro="" textlink="">
      <xdr:nvSpPr>
        <xdr:cNvPr id="37" name="Rectangle 36">
          <a:extLst>
            <a:ext uri="{FF2B5EF4-FFF2-40B4-BE49-F238E27FC236}">
              <a16:creationId xmlns:a16="http://schemas.microsoft.com/office/drawing/2014/main" id="{00000000-0008-0000-0000-000025000000}"/>
            </a:ext>
          </a:extLst>
        </xdr:cNvPr>
        <xdr:cNvSpPr/>
      </xdr:nvSpPr>
      <xdr:spPr>
        <a:xfrm rot="5400000">
          <a:off x="755374" y="127277940"/>
          <a:ext cx="1376287" cy="5501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ln>
                <a:noFill/>
              </a:ln>
              <a:solidFill>
                <a:srgbClr val="C00000"/>
              </a:solidFill>
            </a:rPr>
            <a:t>Bldg</a:t>
          </a:r>
          <a:r>
            <a:rPr lang="en-IN" sz="1800" b="1" baseline="0">
              <a:ln>
                <a:noFill/>
              </a:ln>
              <a:solidFill>
                <a:srgbClr val="C00000"/>
              </a:solidFill>
            </a:rPr>
            <a:t> No. 1</a:t>
          </a:r>
          <a:endParaRPr lang="en-IN" sz="1800" b="1">
            <a:ln>
              <a:noFill/>
            </a:ln>
            <a:solidFill>
              <a:srgbClr val="C00000"/>
            </a:solidFill>
          </a:endParaRPr>
        </a:p>
      </xdr:txBody>
    </xdr:sp>
    <xdr:clientData/>
  </xdr:twoCellAnchor>
  <xdr:twoCellAnchor>
    <xdr:from>
      <xdr:col>2</xdr:col>
      <xdr:colOff>471258</xdr:colOff>
      <xdr:row>666</xdr:row>
      <xdr:rowOff>21497</xdr:rowOff>
    </xdr:from>
    <xdr:to>
      <xdr:col>3</xdr:col>
      <xdr:colOff>238991</xdr:colOff>
      <xdr:row>672</xdr:row>
      <xdr:rowOff>181843</xdr:rowOff>
    </xdr:to>
    <xdr:sp macro="" textlink="">
      <xdr:nvSpPr>
        <xdr:cNvPr id="38" name="Rectangle 37">
          <a:extLst>
            <a:ext uri="{FF2B5EF4-FFF2-40B4-BE49-F238E27FC236}">
              <a16:creationId xmlns:a16="http://schemas.microsoft.com/office/drawing/2014/main" id="{00000000-0008-0000-0000-000026000000}"/>
            </a:ext>
          </a:extLst>
        </xdr:cNvPr>
        <xdr:cNvSpPr/>
      </xdr:nvSpPr>
      <xdr:spPr>
        <a:xfrm rot="5400000">
          <a:off x="1660405" y="127073486"/>
          <a:ext cx="1355301" cy="6163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ln>
                <a:noFill/>
              </a:ln>
              <a:solidFill>
                <a:srgbClr val="0070C0"/>
              </a:solidFill>
            </a:rPr>
            <a:t>Bldg</a:t>
          </a:r>
          <a:r>
            <a:rPr lang="en-IN" sz="1800" b="1" baseline="0">
              <a:ln>
                <a:noFill/>
              </a:ln>
              <a:solidFill>
                <a:srgbClr val="0070C0"/>
              </a:solidFill>
            </a:rPr>
            <a:t> No. 2</a:t>
          </a:r>
          <a:endParaRPr lang="en-IN" sz="1800" b="1">
            <a:ln>
              <a:noFill/>
            </a:ln>
            <a:solidFill>
              <a:srgbClr val="0070C0"/>
            </a:solidFill>
          </a:endParaRPr>
        </a:p>
      </xdr:txBody>
    </xdr:sp>
    <xdr:clientData/>
  </xdr:twoCellAnchor>
  <xdr:twoCellAnchor>
    <xdr:from>
      <xdr:col>5</xdr:col>
      <xdr:colOff>14975</xdr:colOff>
      <xdr:row>673</xdr:row>
      <xdr:rowOff>18032</xdr:rowOff>
    </xdr:from>
    <xdr:to>
      <xdr:col>7</xdr:col>
      <xdr:colOff>216681</xdr:colOff>
      <xdr:row>676</xdr:row>
      <xdr:rowOff>29238</xdr:rowOff>
    </xdr:to>
    <xdr:sp macro="" textlink="">
      <xdr:nvSpPr>
        <xdr:cNvPr id="39" name="Rectangle 38">
          <a:extLst>
            <a:ext uri="{FF2B5EF4-FFF2-40B4-BE49-F238E27FC236}">
              <a16:creationId xmlns:a16="http://schemas.microsoft.com/office/drawing/2014/main" id="{00000000-0008-0000-0000-000027000000}"/>
            </a:ext>
          </a:extLst>
        </xdr:cNvPr>
        <xdr:cNvSpPr/>
      </xdr:nvSpPr>
      <xdr:spPr>
        <a:xfrm rot="19686066">
          <a:off x="4110725" y="128094646"/>
          <a:ext cx="1691070" cy="608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ln>
                <a:noFill/>
              </a:ln>
              <a:solidFill>
                <a:srgbClr val="7030A0"/>
              </a:solidFill>
            </a:rPr>
            <a:t>Bldg</a:t>
          </a:r>
          <a:r>
            <a:rPr lang="en-IN" sz="1800" b="1" baseline="0">
              <a:ln>
                <a:noFill/>
              </a:ln>
              <a:solidFill>
                <a:srgbClr val="7030A0"/>
              </a:solidFill>
            </a:rPr>
            <a:t> No. 3</a:t>
          </a:r>
          <a:endParaRPr lang="en-IN" sz="1800" b="1">
            <a:ln>
              <a:noFill/>
            </a:ln>
            <a:solidFill>
              <a:srgbClr val="7030A0"/>
            </a:solidFill>
          </a:endParaRPr>
        </a:p>
      </xdr:txBody>
    </xdr:sp>
    <xdr:clientData/>
  </xdr:twoCellAnchor>
  <xdr:twoCellAnchor>
    <xdr:from>
      <xdr:col>1</xdr:col>
      <xdr:colOff>217646</xdr:colOff>
      <xdr:row>678</xdr:row>
      <xdr:rowOff>146958</xdr:rowOff>
    </xdr:from>
    <xdr:to>
      <xdr:col>2</xdr:col>
      <xdr:colOff>691957</xdr:colOff>
      <xdr:row>681</xdr:row>
      <xdr:rowOff>158165</xdr:rowOff>
    </xdr:to>
    <xdr:sp macro="" textlink="">
      <xdr:nvSpPr>
        <xdr:cNvPr id="40" name="Rectangle 39">
          <a:extLst>
            <a:ext uri="{FF2B5EF4-FFF2-40B4-BE49-F238E27FC236}">
              <a16:creationId xmlns:a16="http://schemas.microsoft.com/office/drawing/2014/main" id="{00000000-0008-0000-0000-000028000000}"/>
            </a:ext>
          </a:extLst>
        </xdr:cNvPr>
        <xdr:cNvSpPr/>
      </xdr:nvSpPr>
      <xdr:spPr>
        <a:xfrm rot="19676563">
          <a:off x="979646" y="129219367"/>
          <a:ext cx="1270947" cy="608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ln>
                <a:noFill/>
              </a:ln>
              <a:solidFill>
                <a:srgbClr val="BC1498"/>
              </a:solidFill>
            </a:rPr>
            <a:t>Bldg</a:t>
          </a:r>
          <a:r>
            <a:rPr lang="en-IN" sz="1800" b="1" baseline="0">
              <a:ln>
                <a:noFill/>
              </a:ln>
              <a:solidFill>
                <a:srgbClr val="BC1498"/>
              </a:solidFill>
            </a:rPr>
            <a:t> No. 4</a:t>
          </a:r>
          <a:endParaRPr lang="en-IN" sz="1800" b="1">
            <a:ln>
              <a:noFill/>
            </a:ln>
            <a:solidFill>
              <a:srgbClr val="BC1498"/>
            </a:solidFill>
          </a:endParaRPr>
        </a:p>
      </xdr:txBody>
    </xdr:sp>
    <xdr:clientData/>
  </xdr:twoCellAnchor>
  <xdr:twoCellAnchor>
    <xdr:from>
      <xdr:col>4</xdr:col>
      <xdr:colOff>503246</xdr:colOff>
      <xdr:row>668</xdr:row>
      <xdr:rowOff>22921</xdr:rowOff>
    </xdr:from>
    <xdr:to>
      <xdr:col>6</xdr:col>
      <xdr:colOff>312746</xdr:colOff>
      <xdr:row>671</xdr:row>
      <xdr:rowOff>34127</xdr:rowOff>
    </xdr:to>
    <xdr:sp macro="" textlink="">
      <xdr:nvSpPr>
        <xdr:cNvPr id="41" name="Rectangle 40">
          <a:extLst>
            <a:ext uri="{FF2B5EF4-FFF2-40B4-BE49-F238E27FC236}">
              <a16:creationId xmlns:a16="http://schemas.microsoft.com/office/drawing/2014/main" id="{00000000-0008-0000-0000-000029000000}"/>
            </a:ext>
          </a:extLst>
        </xdr:cNvPr>
        <xdr:cNvSpPr/>
      </xdr:nvSpPr>
      <xdr:spPr>
        <a:xfrm rot="19914252">
          <a:off x="3767723" y="127103739"/>
          <a:ext cx="1524000" cy="608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ln>
                <a:noFill/>
              </a:ln>
              <a:solidFill>
                <a:srgbClr val="C5330B"/>
              </a:solidFill>
            </a:rPr>
            <a:t>Bldg</a:t>
          </a:r>
          <a:r>
            <a:rPr lang="en-IN" sz="1800" b="1" baseline="0">
              <a:ln>
                <a:noFill/>
              </a:ln>
              <a:solidFill>
                <a:srgbClr val="C5330B"/>
              </a:solidFill>
            </a:rPr>
            <a:t> No. 5</a:t>
          </a:r>
          <a:endParaRPr lang="en-IN" sz="1800" b="1">
            <a:ln>
              <a:noFill/>
            </a:ln>
            <a:solidFill>
              <a:srgbClr val="C5330B"/>
            </a:solidFill>
          </a:endParaRPr>
        </a:p>
      </xdr:txBody>
    </xdr:sp>
    <xdr:clientData/>
  </xdr:twoCellAnchor>
  <xdr:twoCellAnchor editAs="oneCell">
    <xdr:from>
      <xdr:col>1</xdr:col>
      <xdr:colOff>401888</xdr:colOff>
      <xdr:row>762</xdr:row>
      <xdr:rowOff>197122</xdr:rowOff>
    </xdr:from>
    <xdr:to>
      <xdr:col>6</xdr:col>
      <xdr:colOff>254179</xdr:colOff>
      <xdr:row>787</xdr:row>
      <xdr:rowOff>194475</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1163888" y="135426145"/>
          <a:ext cx="4069268" cy="4976330"/>
        </a:xfrm>
        <a:prstGeom prst="rect">
          <a:avLst/>
        </a:prstGeom>
        <a:ln>
          <a:solidFill>
            <a:schemeClr val="tx1"/>
          </a:solidFill>
        </a:ln>
      </xdr:spPr>
    </xdr:pic>
    <xdr:clientData/>
  </xdr:twoCellAnchor>
  <xdr:twoCellAnchor editAs="oneCell">
    <xdr:from>
      <xdr:col>8</xdr:col>
      <xdr:colOff>173182</xdr:colOff>
      <xdr:row>12</xdr:row>
      <xdr:rowOff>155862</xdr:rowOff>
    </xdr:from>
    <xdr:to>
      <xdr:col>16</xdr:col>
      <xdr:colOff>154196</xdr:colOff>
      <xdr:row>16</xdr:row>
      <xdr:rowOff>37987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6520296" y="3411680"/>
          <a:ext cx="5028571" cy="895238"/>
        </a:xfrm>
        <a:prstGeom prst="rect">
          <a:avLst/>
        </a:prstGeom>
      </xdr:spPr>
    </xdr:pic>
    <xdr:clientData/>
  </xdr:twoCellAnchor>
  <xdr:oneCellAnchor>
    <xdr:from>
      <xdr:col>1</xdr:col>
      <xdr:colOff>392207</xdr:colOff>
      <xdr:row>632</xdr:row>
      <xdr:rowOff>43992</xdr:rowOff>
    </xdr:from>
    <xdr:ext cx="184731" cy="468013"/>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1154207" y="128994633"/>
          <a:ext cx="184731"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sz="2400" b="1"/>
        </a:p>
      </xdr:txBody>
    </xdr:sp>
    <xdr:clientData/>
  </xdr:oneCellAnchor>
  <xdr:twoCellAnchor>
    <xdr:from>
      <xdr:col>15</xdr:col>
      <xdr:colOff>252871</xdr:colOff>
      <xdr:row>625</xdr:row>
      <xdr:rowOff>59934</xdr:rowOff>
    </xdr:from>
    <xdr:to>
      <xdr:col>15</xdr:col>
      <xdr:colOff>546644</xdr:colOff>
      <xdr:row>626</xdr:row>
      <xdr:rowOff>127644</xdr:rowOff>
    </xdr:to>
    <xdr:sp macro="" textlink="">
      <xdr:nvSpPr>
        <xdr:cNvPr id="54" name="Rectangle 53">
          <a:extLst>
            <a:ext uri="{FF2B5EF4-FFF2-40B4-BE49-F238E27FC236}">
              <a16:creationId xmlns:a16="http://schemas.microsoft.com/office/drawing/2014/main" id="{00000000-0008-0000-0000-000036000000}"/>
            </a:ext>
          </a:extLst>
        </xdr:cNvPr>
        <xdr:cNvSpPr/>
      </xdr:nvSpPr>
      <xdr:spPr>
        <a:xfrm>
          <a:off x="10987546" y="125589909"/>
          <a:ext cx="293773" cy="267735"/>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1B</a:t>
          </a:r>
        </a:p>
      </xdr:txBody>
    </xdr:sp>
    <xdr:clientData/>
  </xdr:twoCellAnchor>
  <xdr:twoCellAnchor>
    <xdr:from>
      <xdr:col>13</xdr:col>
      <xdr:colOff>321368</xdr:colOff>
      <xdr:row>622</xdr:row>
      <xdr:rowOff>171450</xdr:rowOff>
    </xdr:from>
    <xdr:to>
      <xdr:col>14</xdr:col>
      <xdr:colOff>353118</xdr:colOff>
      <xdr:row>624</xdr:row>
      <xdr:rowOff>42310</xdr:rowOff>
    </xdr:to>
    <xdr:sp macro="" textlink="">
      <xdr:nvSpPr>
        <xdr:cNvPr id="59" name="Rectangle 58">
          <a:extLst>
            <a:ext uri="{FF2B5EF4-FFF2-40B4-BE49-F238E27FC236}">
              <a16:creationId xmlns:a16="http://schemas.microsoft.com/office/drawing/2014/main" id="{00000000-0008-0000-0000-00003B000000}"/>
            </a:ext>
          </a:extLst>
        </xdr:cNvPr>
        <xdr:cNvSpPr/>
      </xdr:nvSpPr>
      <xdr:spPr>
        <a:xfrm>
          <a:off x="10484543" y="125101350"/>
          <a:ext cx="641350" cy="270910"/>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Wing J</a:t>
          </a:r>
        </a:p>
      </xdr:txBody>
    </xdr:sp>
    <xdr:clientData/>
  </xdr:twoCellAnchor>
  <xdr:twoCellAnchor>
    <xdr:from>
      <xdr:col>16</xdr:col>
      <xdr:colOff>606425</xdr:colOff>
      <xdr:row>625</xdr:row>
      <xdr:rowOff>130175</xdr:rowOff>
    </xdr:from>
    <xdr:to>
      <xdr:col>17</xdr:col>
      <xdr:colOff>638175</xdr:colOff>
      <xdr:row>627</xdr:row>
      <xdr:rowOff>1035</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13185775" y="124266325"/>
          <a:ext cx="673100" cy="264560"/>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Wing I</a:t>
          </a:r>
        </a:p>
      </xdr:txBody>
    </xdr:sp>
    <xdr:clientData/>
  </xdr:twoCellAnchor>
  <xdr:twoCellAnchor>
    <xdr:from>
      <xdr:col>14</xdr:col>
      <xdr:colOff>73025</xdr:colOff>
      <xdr:row>625</xdr:row>
      <xdr:rowOff>184150</xdr:rowOff>
    </xdr:from>
    <xdr:to>
      <xdr:col>15</xdr:col>
      <xdr:colOff>114300</xdr:colOff>
      <xdr:row>627</xdr:row>
      <xdr:rowOff>58185</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a:off x="11369675" y="124320300"/>
          <a:ext cx="682625" cy="267735"/>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Wing H</a:t>
          </a:r>
        </a:p>
      </xdr:txBody>
    </xdr:sp>
    <xdr:clientData/>
  </xdr:twoCellAnchor>
  <xdr:twoCellAnchor>
    <xdr:from>
      <xdr:col>13</xdr:col>
      <xdr:colOff>174625</xdr:colOff>
      <xdr:row>641</xdr:row>
      <xdr:rowOff>47234</xdr:rowOff>
    </xdr:from>
    <xdr:to>
      <xdr:col>14</xdr:col>
      <xdr:colOff>415925</xdr:colOff>
      <xdr:row>642</xdr:row>
      <xdr:rowOff>111769</xdr:rowOff>
    </xdr:to>
    <xdr:sp macro="" textlink="">
      <xdr:nvSpPr>
        <xdr:cNvPr id="47" name="Rectangle 46">
          <a:extLst>
            <a:ext uri="{FF2B5EF4-FFF2-40B4-BE49-F238E27FC236}">
              <a16:creationId xmlns:a16="http://schemas.microsoft.com/office/drawing/2014/main" id="{00000000-0008-0000-0000-00002F000000}"/>
            </a:ext>
          </a:extLst>
        </xdr:cNvPr>
        <xdr:cNvSpPr/>
      </xdr:nvSpPr>
      <xdr:spPr>
        <a:xfrm>
          <a:off x="10829925" y="127332984"/>
          <a:ext cx="882650" cy="261385"/>
        </a:xfrm>
        <a:prstGeom prst="rect">
          <a:avLst/>
        </a:prstGeom>
        <a:noFill/>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a:t>Gardenia</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376533</xdr:colOff>
      <xdr:row>614</xdr:row>
      <xdr:rowOff>63108</xdr:rowOff>
    </xdr:from>
    <xdr:to>
      <xdr:col>11</xdr:col>
      <xdr:colOff>6351</xdr:colOff>
      <xdr:row>615</xdr:row>
      <xdr:rowOff>133993</xdr:rowOff>
    </xdr:to>
    <xdr:sp macro="" textlink="">
      <xdr:nvSpPr>
        <xdr:cNvPr id="50" name="Rectangle 49">
          <a:extLst>
            <a:ext uri="{FF2B5EF4-FFF2-40B4-BE49-F238E27FC236}">
              <a16:creationId xmlns:a16="http://schemas.microsoft.com/office/drawing/2014/main" id="{00000000-0008-0000-0000-000032000000}"/>
            </a:ext>
          </a:extLst>
        </xdr:cNvPr>
        <xdr:cNvSpPr/>
      </xdr:nvSpPr>
      <xdr:spPr>
        <a:xfrm>
          <a:off x="8695033" y="122040258"/>
          <a:ext cx="271168" cy="261385"/>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A</a:t>
          </a:r>
        </a:p>
      </xdr:txBody>
    </xdr:sp>
    <xdr:clientData/>
  </xdr:twoCellAnchor>
  <xdr:twoCellAnchor>
    <xdr:from>
      <xdr:col>11</xdr:col>
      <xdr:colOff>596900</xdr:colOff>
      <xdr:row>614</xdr:row>
      <xdr:rowOff>0</xdr:rowOff>
    </xdr:from>
    <xdr:to>
      <xdr:col>11</xdr:col>
      <xdr:colOff>868068</xdr:colOff>
      <xdr:row>615</xdr:row>
      <xdr:rowOff>70885</xdr:rowOff>
    </xdr:to>
    <xdr:sp macro="" textlink="">
      <xdr:nvSpPr>
        <xdr:cNvPr id="52" name="Rectangle 51">
          <a:extLst>
            <a:ext uri="{FF2B5EF4-FFF2-40B4-BE49-F238E27FC236}">
              <a16:creationId xmlns:a16="http://schemas.microsoft.com/office/drawing/2014/main" id="{00000000-0008-0000-0000-000034000000}"/>
            </a:ext>
          </a:extLst>
        </xdr:cNvPr>
        <xdr:cNvSpPr/>
      </xdr:nvSpPr>
      <xdr:spPr>
        <a:xfrm>
          <a:off x="9556750" y="121977150"/>
          <a:ext cx="271168" cy="261385"/>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a:t>
          </a:r>
        </a:p>
      </xdr:txBody>
    </xdr:sp>
    <xdr:clientData/>
  </xdr:twoCellAnchor>
  <xdr:twoCellAnchor>
    <xdr:from>
      <xdr:col>16</xdr:col>
      <xdr:colOff>606425</xdr:colOff>
      <xdr:row>614</xdr:row>
      <xdr:rowOff>9525</xdr:rowOff>
    </xdr:from>
    <xdr:to>
      <xdr:col>17</xdr:col>
      <xdr:colOff>267993</xdr:colOff>
      <xdr:row>615</xdr:row>
      <xdr:rowOff>80410</xdr:rowOff>
    </xdr:to>
    <xdr:sp macro="" textlink="">
      <xdr:nvSpPr>
        <xdr:cNvPr id="77" name="Rectangle 76">
          <a:extLst>
            <a:ext uri="{FF2B5EF4-FFF2-40B4-BE49-F238E27FC236}">
              <a16:creationId xmlns:a16="http://schemas.microsoft.com/office/drawing/2014/main" id="{00000000-0008-0000-0000-00004D000000}"/>
            </a:ext>
          </a:extLst>
        </xdr:cNvPr>
        <xdr:cNvSpPr/>
      </xdr:nvSpPr>
      <xdr:spPr>
        <a:xfrm>
          <a:off x="13185775" y="121986675"/>
          <a:ext cx="302918" cy="261385"/>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C</a:t>
          </a:r>
        </a:p>
      </xdr:txBody>
    </xdr:sp>
    <xdr:clientData/>
  </xdr:twoCellAnchor>
  <xdr:twoCellAnchor>
    <xdr:from>
      <xdr:col>16</xdr:col>
      <xdr:colOff>69850</xdr:colOff>
      <xdr:row>614</xdr:row>
      <xdr:rowOff>19050</xdr:rowOff>
    </xdr:from>
    <xdr:to>
      <xdr:col>16</xdr:col>
      <xdr:colOff>382293</xdr:colOff>
      <xdr:row>615</xdr:row>
      <xdr:rowOff>89935</xdr:rowOff>
    </xdr:to>
    <xdr:sp macro="" textlink="">
      <xdr:nvSpPr>
        <xdr:cNvPr id="78" name="Rectangle 77">
          <a:extLst>
            <a:ext uri="{FF2B5EF4-FFF2-40B4-BE49-F238E27FC236}">
              <a16:creationId xmlns:a16="http://schemas.microsoft.com/office/drawing/2014/main" id="{00000000-0008-0000-0000-00004E000000}"/>
            </a:ext>
          </a:extLst>
        </xdr:cNvPr>
        <xdr:cNvSpPr/>
      </xdr:nvSpPr>
      <xdr:spPr>
        <a:xfrm>
          <a:off x="12649200" y="121996200"/>
          <a:ext cx="312443" cy="261385"/>
        </a:xfrm>
        <a:prstGeom prst="rect">
          <a:avLst/>
        </a:prstGeom>
      </xdr:spPr>
      <xdr:style>
        <a:lnRef idx="2">
          <a:schemeClr val="dk1"/>
        </a:lnRef>
        <a:fillRef idx="1">
          <a:schemeClr val="lt1"/>
        </a:fillRef>
        <a:effectRef idx="0">
          <a:schemeClr val="dk1"/>
        </a:effectRef>
        <a:fontRef idx="minor">
          <a:schemeClr val="dk1"/>
        </a:fontRef>
      </xdr:style>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D</a:t>
          </a:r>
        </a:p>
      </xdr:txBody>
    </xdr:sp>
    <xdr:clientData/>
  </xdr:twoCellAnchor>
  <xdr:twoCellAnchor>
    <xdr:from>
      <xdr:col>9</xdr:col>
      <xdr:colOff>185568</xdr:colOff>
      <xdr:row>613</xdr:row>
      <xdr:rowOff>246554</xdr:rowOff>
    </xdr:from>
    <xdr:to>
      <xdr:col>19</xdr:col>
      <xdr:colOff>426720</xdr:colOff>
      <xdr:row>654</xdr:row>
      <xdr:rowOff>191395</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7767468" y="123395279"/>
          <a:ext cx="6546702" cy="8307791"/>
          <a:chOff x="246528" y="122857324"/>
          <a:chExt cx="6495515" cy="8261242"/>
        </a:xfrm>
      </xdr:grpSpPr>
      <xdr:pic>
        <xdr:nvPicPr>
          <xdr:cNvPr id="53" name="Picture 52" descr="https://vsjcllp.vsjadon.com/upload/insp-220694-1525.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5634814" y="129633560"/>
            <a:ext cx="1107229" cy="14776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20694-845.jpg">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246528" y="129632089"/>
            <a:ext cx="2013648" cy="14864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https://vsjcllp.vsjadon.com/upload/insp-220694-847.jpg">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4415292" y="129636647"/>
            <a:ext cx="1107641" cy="14704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https://vsjcllp.vsjadon.com/upload/insp-220694-849.jpg">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361031" y="129641240"/>
            <a:ext cx="1965968" cy="14730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6" name="Group 5">
            <a:extLst>
              <a:ext uri="{FF2B5EF4-FFF2-40B4-BE49-F238E27FC236}">
                <a16:creationId xmlns:a16="http://schemas.microsoft.com/office/drawing/2014/main" id="{00000000-0008-0000-0000-000006000000}"/>
              </a:ext>
            </a:extLst>
          </xdr:cNvPr>
          <xdr:cNvGrpSpPr/>
        </xdr:nvGrpSpPr>
        <xdr:grpSpPr>
          <a:xfrm>
            <a:off x="491870" y="122857324"/>
            <a:ext cx="1906389" cy="2552047"/>
            <a:chOff x="491870" y="122414204"/>
            <a:chExt cx="1901611" cy="2541535"/>
          </a:xfrm>
        </xdr:grpSpPr>
        <xdr:pic>
          <xdr:nvPicPr>
            <xdr:cNvPr id="83" name="Picture 82" descr="https://vsjcllp.vsjadon.com/upload/insp-220694-860.jpg">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491870" y="122414204"/>
              <a:ext cx="1901611" cy="25415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2" name="Rectangle 91">
              <a:extLst>
                <a:ext uri="{FF2B5EF4-FFF2-40B4-BE49-F238E27FC236}">
                  <a16:creationId xmlns:a16="http://schemas.microsoft.com/office/drawing/2014/main" id="{00000000-0008-0000-0000-00005C000000}"/>
                </a:ext>
              </a:extLst>
            </xdr:cNvPr>
            <xdr:cNvSpPr/>
          </xdr:nvSpPr>
          <xdr:spPr>
            <a:xfrm>
              <a:off x="1455577" y="122425409"/>
              <a:ext cx="822235" cy="28072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cap="none" spc="0">
                  <a:ln w="0"/>
                  <a:solidFill>
                    <a:schemeClr val="tx1"/>
                  </a:solidFill>
                  <a:effectLst>
                    <a:outerShdw blurRad="38100" dist="19050" dir="2700000" algn="tl" rotWithShape="0">
                      <a:schemeClr val="dk1">
                        <a:alpha val="40000"/>
                      </a:schemeClr>
                    </a:outerShdw>
                  </a:effectLst>
                </a:rPr>
                <a:t>Wing H</a:t>
              </a:r>
            </a:p>
          </xdr:txBody>
        </xdr:sp>
      </xdr:grpSp>
      <xdr:grpSp>
        <xdr:nvGrpSpPr>
          <xdr:cNvPr id="5" name="Group 4">
            <a:extLst>
              <a:ext uri="{FF2B5EF4-FFF2-40B4-BE49-F238E27FC236}">
                <a16:creationId xmlns:a16="http://schemas.microsoft.com/office/drawing/2014/main" id="{00000000-0008-0000-0000-000005000000}"/>
              </a:ext>
            </a:extLst>
          </xdr:cNvPr>
          <xdr:cNvGrpSpPr/>
        </xdr:nvGrpSpPr>
        <xdr:grpSpPr>
          <a:xfrm>
            <a:off x="2495970" y="122860469"/>
            <a:ext cx="1927669" cy="2548587"/>
            <a:chOff x="2496289" y="122417349"/>
            <a:chExt cx="1923209" cy="2538075"/>
          </a:xfrm>
        </xdr:grpSpPr>
        <xdr:pic>
          <xdr:nvPicPr>
            <xdr:cNvPr id="84" name="Picture 83" descr="https://vsjcllp.vsjadon.com/upload/insp-220694-871.jpg">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496289" y="122417349"/>
              <a:ext cx="1923209" cy="2538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3" name="Rectangle 92">
              <a:extLst>
                <a:ext uri="{FF2B5EF4-FFF2-40B4-BE49-F238E27FC236}">
                  <a16:creationId xmlns:a16="http://schemas.microsoft.com/office/drawing/2014/main" id="{00000000-0008-0000-0000-00005D000000}"/>
                </a:ext>
              </a:extLst>
            </xdr:cNvPr>
            <xdr:cNvSpPr/>
          </xdr:nvSpPr>
          <xdr:spPr>
            <a:xfrm>
              <a:off x="2496289" y="122417349"/>
              <a:ext cx="813615" cy="28072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cap="none" spc="0">
                  <a:ln w="0"/>
                  <a:solidFill>
                    <a:schemeClr val="tx1"/>
                  </a:solidFill>
                  <a:effectLst>
                    <a:outerShdw blurRad="38100" dist="19050" dir="2700000" algn="tl" rotWithShape="0">
                      <a:schemeClr val="dk1">
                        <a:alpha val="40000"/>
                      </a:schemeClr>
                    </a:outerShdw>
                  </a:effectLst>
                </a:rPr>
                <a:t>Wing I</a:t>
              </a:r>
            </a:p>
          </xdr:txBody>
        </xdr:sp>
      </xdr:grpSp>
      <xdr:grpSp>
        <xdr:nvGrpSpPr>
          <xdr:cNvPr id="4" name="Group 3">
            <a:extLst>
              <a:ext uri="{FF2B5EF4-FFF2-40B4-BE49-F238E27FC236}">
                <a16:creationId xmlns:a16="http://schemas.microsoft.com/office/drawing/2014/main" id="{00000000-0008-0000-0000-000004000000}"/>
              </a:ext>
            </a:extLst>
          </xdr:cNvPr>
          <xdr:cNvGrpSpPr/>
        </xdr:nvGrpSpPr>
        <xdr:grpSpPr>
          <a:xfrm>
            <a:off x="4529483" y="122857638"/>
            <a:ext cx="1916772" cy="2541058"/>
            <a:chOff x="4525342" y="122414518"/>
            <a:chExt cx="1912312" cy="2531501"/>
          </a:xfrm>
        </xdr:grpSpPr>
        <xdr:pic>
          <xdr:nvPicPr>
            <xdr:cNvPr id="82" name="Picture 81" descr="https://vsjcllp.vsjadon.com/upload/insp-220694-862.jpg">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4525342" y="122414518"/>
              <a:ext cx="1912312" cy="25315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7" name="Rectangle 96">
              <a:extLst>
                <a:ext uri="{FF2B5EF4-FFF2-40B4-BE49-F238E27FC236}">
                  <a16:creationId xmlns:a16="http://schemas.microsoft.com/office/drawing/2014/main" id="{00000000-0008-0000-0000-000061000000}"/>
                </a:ext>
              </a:extLst>
            </xdr:cNvPr>
            <xdr:cNvSpPr/>
          </xdr:nvSpPr>
          <xdr:spPr>
            <a:xfrm>
              <a:off x="4525342" y="122414518"/>
              <a:ext cx="820511" cy="28072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cap="none" spc="0">
                  <a:ln w="0"/>
                  <a:solidFill>
                    <a:schemeClr val="tx1"/>
                  </a:solidFill>
                  <a:effectLst>
                    <a:outerShdw blurRad="38100" dist="19050" dir="2700000" algn="tl" rotWithShape="0">
                      <a:schemeClr val="dk1">
                        <a:alpha val="40000"/>
                      </a:schemeClr>
                    </a:outerShdw>
                  </a:effectLst>
                </a:rPr>
                <a:t>Wing J</a:t>
              </a:r>
            </a:p>
          </xdr:txBody>
        </xdr:sp>
      </xdr:grpSp>
      <xdr:grpSp>
        <xdr:nvGrpSpPr>
          <xdr:cNvPr id="7" name="Group 6">
            <a:extLst>
              <a:ext uri="{FF2B5EF4-FFF2-40B4-BE49-F238E27FC236}">
                <a16:creationId xmlns:a16="http://schemas.microsoft.com/office/drawing/2014/main" id="{00000000-0008-0000-0000-000007000000}"/>
              </a:ext>
            </a:extLst>
          </xdr:cNvPr>
          <xdr:cNvGrpSpPr/>
        </xdr:nvGrpSpPr>
        <xdr:grpSpPr>
          <a:xfrm>
            <a:off x="1300830" y="125500145"/>
            <a:ext cx="1531839" cy="2036824"/>
            <a:chOff x="1300830" y="125046513"/>
            <a:chExt cx="1532158" cy="2027267"/>
          </a:xfrm>
        </xdr:grpSpPr>
        <xdr:pic>
          <xdr:nvPicPr>
            <xdr:cNvPr id="58" name="Picture 57" descr="https://vsjcllp.vsjadon.com/upload/insp-220694-844.jpg">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300830" y="125046513"/>
              <a:ext cx="1532158" cy="20272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8" name="Rectangle 97">
              <a:extLst>
                <a:ext uri="{FF2B5EF4-FFF2-40B4-BE49-F238E27FC236}">
                  <a16:creationId xmlns:a16="http://schemas.microsoft.com/office/drawing/2014/main" id="{00000000-0008-0000-0000-000062000000}"/>
                </a:ext>
              </a:extLst>
            </xdr:cNvPr>
            <xdr:cNvSpPr/>
          </xdr:nvSpPr>
          <xdr:spPr>
            <a:xfrm>
              <a:off x="1300830" y="125046513"/>
              <a:ext cx="1204978" cy="28072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cap="none" spc="0">
                  <a:ln w="0"/>
                  <a:solidFill>
                    <a:schemeClr val="tx1"/>
                  </a:solidFill>
                  <a:effectLst>
                    <a:outerShdw blurRad="38100" dist="19050" dir="2700000" algn="tl" rotWithShape="0">
                      <a:schemeClr val="dk1">
                        <a:alpha val="40000"/>
                      </a:schemeClr>
                    </a:outerShdw>
                  </a:effectLst>
                </a:rPr>
                <a:t>Wing E,</a:t>
              </a:r>
              <a:r>
                <a:rPr lang="en-IN" sz="1400" b="1" cap="none" spc="0" baseline="0">
                  <a:ln w="0"/>
                  <a:solidFill>
                    <a:schemeClr val="tx1"/>
                  </a:solidFill>
                  <a:effectLst>
                    <a:outerShdw blurRad="38100" dist="19050" dir="2700000" algn="tl" rotWithShape="0">
                      <a:schemeClr val="dk1">
                        <a:alpha val="40000"/>
                      </a:schemeClr>
                    </a:outerShdw>
                  </a:effectLst>
                </a:rPr>
                <a:t> F &amp; G</a:t>
              </a:r>
              <a:endParaRPr lang="en-IN" sz="1400" b="1" cap="none" spc="0">
                <a:ln w="0"/>
                <a:solidFill>
                  <a:schemeClr val="tx1"/>
                </a:solidFill>
                <a:effectLst>
                  <a:outerShdw blurRad="38100" dist="19050" dir="2700000" algn="tl" rotWithShape="0">
                    <a:schemeClr val="dk1">
                      <a:alpha val="40000"/>
                    </a:schemeClr>
                  </a:outerShdw>
                </a:effectLst>
              </a:endParaRPr>
            </a:p>
          </xdr:txBody>
        </xdr:sp>
      </xdr:grpSp>
      <xdr:grpSp>
        <xdr:nvGrpSpPr>
          <xdr:cNvPr id="8" name="Group 7">
            <a:extLst>
              <a:ext uri="{FF2B5EF4-FFF2-40B4-BE49-F238E27FC236}">
                <a16:creationId xmlns:a16="http://schemas.microsoft.com/office/drawing/2014/main" id="{00000000-0008-0000-0000-000008000000}"/>
              </a:ext>
            </a:extLst>
          </xdr:cNvPr>
          <xdr:cNvGrpSpPr/>
        </xdr:nvGrpSpPr>
        <xdr:grpSpPr>
          <a:xfrm>
            <a:off x="2939156" y="125496625"/>
            <a:ext cx="2738685" cy="2036824"/>
            <a:chOff x="2939475" y="125042993"/>
            <a:chExt cx="2729765" cy="2027267"/>
          </a:xfrm>
        </xdr:grpSpPr>
        <xdr:pic>
          <xdr:nvPicPr>
            <xdr:cNvPr id="81" name="Picture 80" descr="https://vsjcllp.vsjadon.com/upload/insp-220694-861.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2939475" y="125042993"/>
              <a:ext cx="2729765" cy="20272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9" name="Rectangle 98">
              <a:extLst>
                <a:ext uri="{FF2B5EF4-FFF2-40B4-BE49-F238E27FC236}">
                  <a16:creationId xmlns:a16="http://schemas.microsoft.com/office/drawing/2014/main" id="{00000000-0008-0000-0000-000063000000}"/>
                </a:ext>
              </a:extLst>
            </xdr:cNvPr>
            <xdr:cNvSpPr/>
          </xdr:nvSpPr>
          <xdr:spPr>
            <a:xfrm>
              <a:off x="2939475" y="125042993"/>
              <a:ext cx="1500640" cy="28072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kern="1200">
                  <a:solidFill>
                    <a:schemeClr val="tx1"/>
                  </a:solidFill>
                  <a:effectLst>
                    <a:outerShdw blurRad="38100" dist="19050" dir="2700000" algn="tl" rotWithShape="0">
                      <a:schemeClr val="dk1">
                        <a:alpha val="40000"/>
                      </a:schemeClr>
                    </a:outerShdw>
                  </a:effectLst>
                  <a:latin typeface="+mn-lt"/>
                  <a:ea typeface="+mn-ea"/>
                  <a:cs typeface="+mn-cs"/>
                </a:rPr>
                <a:t>Wing E,</a:t>
              </a:r>
              <a:r>
                <a:rPr lang="en-IN" sz="1800" b="1" kern="1200" baseline="0">
                  <a:solidFill>
                    <a:schemeClr val="tx1"/>
                  </a:solidFill>
                  <a:effectLst>
                    <a:outerShdw blurRad="38100" dist="19050" dir="2700000" algn="tl" rotWithShape="0">
                      <a:schemeClr val="dk1">
                        <a:alpha val="40000"/>
                      </a:schemeClr>
                    </a:outerShdw>
                  </a:effectLst>
                  <a:latin typeface="+mn-lt"/>
                  <a:ea typeface="+mn-ea"/>
                  <a:cs typeface="+mn-cs"/>
                </a:rPr>
                <a:t> F &amp; G</a:t>
              </a:r>
              <a:endParaRPr lang="en-IN" sz="1400">
                <a:effectLst/>
              </a:endParaRPr>
            </a:p>
          </xdr:txBody>
        </xdr:sp>
      </xdr:grpSp>
      <xdr:grpSp>
        <xdr:nvGrpSpPr>
          <xdr:cNvPr id="9" name="Group 8">
            <a:extLst>
              <a:ext uri="{FF2B5EF4-FFF2-40B4-BE49-F238E27FC236}">
                <a16:creationId xmlns:a16="http://schemas.microsoft.com/office/drawing/2014/main" id="{00000000-0008-0000-0000-000009000000}"/>
              </a:ext>
            </a:extLst>
          </xdr:cNvPr>
          <xdr:cNvGrpSpPr/>
        </xdr:nvGrpSpPr>
        <xdr:grpSpPr>
          <a:xfrm>
            <a:off x="1249148" y="127649015"/>
            <a:ext cx="1428232" cy="1890498"/>
            <a:chOff x="1249148" y="127184870"/>
            <a:chExt cx="1428551" cy="1881898"/>
          </a:xfrm>
        </xdr:grpSpPr>
        <xdr:pic>
          <xdr:nvPicPr>
            <xdr:cNvPr id="55" name="Picture 54" descr="https://vsjcllp.vsjadon.com/upload/insp-220694-843.jpg">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1249148" y="127184870"/>
              <a:ext cx="1428551" cy="18818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00" name="Rectangle 99">
              <a:extLst>
                <a:ext uri="{FF2B5EF4-FFF2-40B4-BE49-F238E27FC236}">
                  <a16:creationId xmlns:a16="http://schemas.microsoft.com/office/drawing/2014/main" id="{00000000-0008-0000-0000-000064000000}"/>
                </a:ext>
              </a:extLst>
            </xdr:cNvPr>
            <xdr:cNvSpPr/>
          </xdr:nvSpPr>
          <xdr:spPr>
            <a:xfrm>
              <a:off x="1249148" y="127184870"/>
              <a:ext cx="1242006" cy="28072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cap="none" spc="0">
                  <a:ln w="0"/>
                  <a:solidFill>
                    <a:schemeClr val="tx1"/>
                  </a:solidFill>
                  <a:effectLst>
                    <a:outerShdw blurRad="38100" dist="19050" dir="2700000" algn="tl" rotWithShape="0">
                      <a:schemeClr val="dk1">
                        <a:alpha val="40000"/>
                      </a:schemeClr>
                    </a:outerShdw>
                  </a:effectLst>
                </a:rPr>
                <a:t>Building</a:t>
              </a:r>
              <a:r>
                <a:rPr lang="en-IN" sz="1400" b="1" cap="none" spc="0" baseline="0">
                  <a:ln w="0"/>
                  <a:solidFill>
                    <a:schemeClr val="tx1"/>
                  </a:solidFill>
                  <a:effectLst>
                    <a:outerShdw blurRad="38100" dist="19050" dir="2700000" algn="tl" rotWithShape="0">
                      <a:schemeClr val="dk1">
                        <a:alpha val="40000"/>
                      </a:schemeClr>
                    </a:outerShdw>
                  </a:effectLst>
                </a:rPr>
                <a:t> No. 5</a:t>
              </a:r>
              <a:endParaRPr lang="en-IN" sz="1400" b="1" cap="none" spc="0">
                <a:ln w="0"/>
                <a:solidFill>
                  <a:schemeClr val="tx1"/>
                </a:solidFill>
                <a:effectLst>
                  <a:outerShdw blurRad="38100" dist="19050" dir="2700000" algn="tl" rotWithShape="0">
                    <a:schemeClr val="dk1">
                      <a:alpha val="40000"/>
                    </a:schemeClr>
                  </a:outerShdw>
                </a:effectLst>
              </a:endParaRPr>
            </a:p>
          </xdr:txBody>
        </xdr:sp>
      </xdr:grpSp>
      <xdr:grpSp>
        <xdr:nvGrpSpPr>
          <xdr:cNvPr id="10" name="Group 9">
            <a:extLst>
              <a:ext uri="{FF2B5EF4-FFF2-40B4-BE49-F238E27FC236}">
                <a16:creationId xmlns:a16="http://schemas.microsoft.com/office/drawing/2014/main" id="{00000000-0008-0000-0000-00000A000000}"/>
              </a:ext>
            </a:extLst>
          </xdr:cNvPr>
          <xdr:cNvGrpSpPr/>
        </xdr:nvGrpSpPr>
        <xdr:grpSpPr>
          <a:xfrm>
            <a:off x="2764233" y="127649782"/>
            <a:ext cx="1411294" cy="1883260"/>
            <a:chOff x="2764552" y="127185637"/>
            <a:chExt cx="1406834" cy="1874660"/>
          </a:xfrm>
        </xdr:grpSpPr>
        <xdr:pic>
          <xdr:nvPicPr>
            <xdr:cNvPr id="87" name="Picture 86" descr="https://vsjcllp.vsjadon.com/upload/insp-220694-883.jpg">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764552" y="127185637"/>
              <a:ext cx="1406834" cy="18746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01" name="Rectangle 100">
              <a:extLst>
                <a:ext uri="{FF2B5EF4-FFF2-40B4-BE49-F238E27FC236}">
                  <a16:creationId xmlns:a16="http://schemas.microsoft.com/office/drawing/2014/main" id="{00000000-0008-0000-0000-000065000000}"/>
                </a:ext>
              </a:extLst>
            </xdr:cNvPr>
            <xdr:cNvSpPr/>
          </xdr:nvSpPr>
          <xdr:spPr>
            <a:xfrm>
              <a:off x="2764552" y="127185637"/>
              <a:ext cx="813615" cy="28072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cap="none" spc="0">
                  <a:ln w="0"/>
                  <a:solidFill>
                    <a:schemeClr val="tx1"/>
                  </a:solidFill>
                  <a:effectLst>
                    <a:outerShdw blurRad="38100" dist="19050" dir="2700000" algn="tl" rotWithShape="0">
                      <a:schemeClr val="dk1">
                        <a:alpha val="40000"/>
                      </a:schemeClr>
                    </a:outerShdw>
                  </a:effectLst>
                </a:rPr>
                <a:t>Wing A</a:t>
              </a:r>
            </a:p>
          </xdr:txBody>
        </xdr:sp>
      </xdr:grpSp>
      <xdr:grpSp>
        <xdr:nvGrpSpPr>
          <xdr:cNvPr id="11" name="Group 10">
            <a:extLst>
              <a:ext uri="{FF2B5EF4-FFF2-40B4-BE49-F238E27FC236}">
                <a16:creationId xmlns:a16="http://schemas.microsoft.com/office/drawing/2014/main" id="{00000000-0008-0000-0000-00000B000000}"/>
              </a:ext>
            </a:extLst>
          </xdr:cNvPr>
          <xdr:cNvGrpSpPr/>
        </xdr:nvGrpSpPr>
        <xdr:grpSpPr>
          <a:xfrm>
            <a:off x="4282117" y="127638410"/>
            <a:ext cx="1477930" cy="1896556"/>
            <a:chOff x="4277976" y="127174265"/>
            <a:chExt cx="1473470" cy="1887956"/>
          </a:xfrm>
        </xdr:grpSpPr>
        <xdr:pic>
          <xdr:nvPicPr>
            <xdr:cNvPr id="86" name="Picture 85" descr="https://vsjcllp.vsjadon.com/upload/insp-220694-880.jpg">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4277976" y="127185471"/>
              <a:ext cx="1430378" cy="1876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02" name="Rectangle 101">
              <a:extLst>
                <a:ext uri="{FF2B5EF4-FFF2-40B4-BE49-F238E27FC236}">
                  <a16:creationId xmlns:a16="http://schemas.microsoft.com/office/drawing/2014/main" id="{00000000-0008-0000-0000-000066000000}"/>
                </a:ext>
              </a:extLst>
            </xdr:cNvPr>
            <xdr:cNvSpPr/>
          </xdr:nvSpPr>
          <xdr:spPr>
            <a:xfrm>
              <a:off x="4927918" y="127174265"/>
              <a:ext cx="823528" cy="28072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cap="none" spc="0">
                  <a:ln w="0"/>
                  <a:solidFill>
                    <a:schemeClr val="tx1"/>
                  </a:solidFill>
                  <a:effectLst>
                    <a:outerShdw blurRad="38100" dist="19050" dir="2700000" algn="tl" rotWithShape="0">
                      <a:schemeClr val="dk1">
                        <a:alpha val="40000"/>
                      </a:schemeClr>
                    </a:outerShdw>
                  </a:effectLst>
                </a:rPr>
                <a:t>Wing B</a:t>
              </a:r>
            </a:p>
          </xdr:txBody>
        </xdr:sp>
      </xdr:grpSp>
    </xdr:grpSp>
    <xdr:clientData/>
  </xdr:twoCellAnchor>
  <xdr:twoCellAnchor>
    <xdr:from>
      <xdr:col>10</xdr:col>
      <xdr:colOff>49530</xdr:colOff>
      <xdr:row>614</xdr:row>
      <xdr:rowOff>57150</xdr:rowOff>
    </xdr:from>
    <xdr:to>
      <xdr:col>20</xdr:col>
      <xdr:colOff>60960</xdr:colOff>
      <xdr:row>648</xdr:row>
      <xdr:rowOff>97155</xdr:rowOff>
    </xdr:to>
    <xdr:grpSp>
      <xdr:nvGrpSpPr>
        <xdr:cNvPr id="14" name="Group 13">
          <a:extLst>
            <a:ext uri="{FF2B5EF4-FFF2-40B4-BE49-F238E27FC236}">
              <a16:creationId xmlns:a16="http://schemas.microsoft.com/office/drawing/2014/main" id="{CDBA6B5B-EB1C-3A1B-55B2-D55C2FE28EF1}"/>
            </a:ext>
          </a:extLst>
        </xdr:cNvPr>
        <xdr:cNvGrpSpPr/>
      </xdr:nvGrpSpPr>
      <xdr:grpSpPr>
        <a:xfrm>
          <a:off x="7983855" y="123596400"/>
          <a:ext cx="6574155" cy="6812280"/>
          <a:chOff x="374969" y="133411"/>
          <a:chExt cx="6108062" cy="6212249"/>
        </a:xfrm>
      </xdr:grpSpPr>
      <xdr:grpSp>
        <xdr:nvGrpSpPr>
          <xdr:cNvPr id="15" name="Group 14">
            <a:extLst>
              <a:ext uri="{FF2B5EF4-FFF2-40B4-BE49-F238E27FC236}">
                <a16:creationId xmlns:a16="http://schemas.microsoft.com/office/drawing/2014/main" id="{69146323-27B2-A54F-DB92-F75257DF87E3}"/>
              </a:ext>
            </a:extLst>
          </xdr:cNvPr>
          <xdr:cNvGrpSpPr/>
        </xdr:nvGrpSpPr>
        <xdr:grpSpPr>
          <a:xfrm>
            <a:off x="1105214" y="4676865"/>
            <a:ext cx="4512507" cy="1668795"/>
            <a:chOff x="1063607" y="5612729"/>
            <a:chExt cx="5831463" cy="1994571"/>
          </a:xfrm>
        </xdr:grpSpPr>
        <xdr:pic>
          <xdr:nvPicPr>
            <xdr:cNvPr id="46" name="Picture 45">
              <a:extLst>
                <a:ext uri="{FF2B5EF4-FFF2-40B4-BE49-F238E27FC236}">
                  <a16:creationId xmlns:a16="http://schemas.microsoft.com/office/drawing/2014/main" id="{A417C796-A8B6-E072-CF06-A810DAF79F47}"/>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5412132" y="5612729"/>
              <a:ext cx="1482938" cy="1980000"/>
            </a:xfrm>
            <a:prstGeom prst="rect">
              <a:avLst/>
            </a:prstGeom>
            <a:ln>
              <a:solidFill>
                <a:schemeClr val="tx1"/>
              </a:solidFill>
            </a:ln>
          </xdr:spPr>
        </xdr:pic>
        <xdr:pic>
          <xdr:nvPicPr>
            <xdr:cNvPr id="85" name="Picture 84">
              <a:extLst>
                <a:ext uri="{FF2B5EF4-FFF2-40B4-BE49-F238E27FC236}">
                  <a16:creationId xmlns:a16="http://schemas.microsoft.com/office/drawing/2014/main" id="{E2D06BE1-8580-6068-966C-88A0B2D2EE8C}"/>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814567" y="5627300"/>
              <a:ext cx="1482938" cy="1980000"/>
            </a:xfrm>
            <a:prstGeom prst="rect">
              <a:avLst/>
            </a:prstGeom>
            <a:ln>
              <a:solidFill>
                <a:schemeClr val="tx1"/>
              </a:solidFill>
            </a:ln>
          </xdr:spPr>
        </xdr:pic>
        <xdr:pic>
          <xdr:nvPicPr>
            <xdr:cNvPr id="88" name="Picture 87">
              <a:extLst>
                <a:ext uri="{FF2B5EF4-FFF2-40B4-BE49-F238E27FC236}">
                  <a16:creationId xmlns:a16="http://schemas.microsoft.com/office/drawing/2014/main" id="{C3373B6B-B241-7C95-E25B-5F28D64FAB48}"/>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063607" y="5612729"/>
              <a:ext cx="2636333" cy="1980000"/>
            </a:xfrm>
            <a:prstGeom prst="rect">
              <a:avLst/>
            </a:prstGeom>
            <a:ln>
              <a:solidFill>
                <a:schemeClr val="tx1"/>
              </a:solidFill>
            </a:ln>
          </xdr:spPr>
        </xdr:pic>
      </xdr:grpSp>
      <xdr:grpSp>
        <xdr:nvGrpSpPr>
          <xdr:cNvPr id="16" name="Group 15">
            <a:extLst>
              <a:ext uri="{FF2B5EF4-FFF2-40B4-BE49-F238E27FC236}">
                <a16:creationId xmlns:a16="http://schemas.microsoft.com/office/drawing/2014/main" id="{1A8A780B-71C5-3E8D-4A6E-2DE32B9BC30A}"/>
              </a:ext>
            </a:extLst>
          </xdr:cNvPr>
          <xdr:cNvGrpSpPr/>
        </xdr:nvGrpSpPr>
        <xdr:grpSpPr>
          <a:xfrm>
            <a:off x="374969" y="2411233"/>
            <a:ext cx="6108062" cy="2108405"/>
            <a:chOff x="374969" y="432487"/>
            <a:chExt cx="6108062" cy="2108405"/>
          </a:xfrm>
        </xdr:grpSpPr>
        <xdr:pic>
          <xdr:nvPicPr>
            <xdr:cNvPr id="28" name="Picture 27">
              <a:extLst>
                <a:ext uri="{FF2B5EF4-FFF2-40B4-BE49-F238E27FC236}">
                  <a16:creationId xmlns:a16="http://schemas.microsoft.com/office/drawing/2014/main" id="{69A7A6D3-739B-62A3-59D8-CC2EE68123CC}"/>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473350" y="432487"/>
              <a:ext cx="1460490" cy="2108405"/>
            </a:xfrm>
            <a:prstGeom prst="rect">
              <a:avLst/>
            </a:prstGeom>
            <a:ln>
              <a:solidFill>
                <a:schemeClr val="tx1"/>
              </a:solidFill>
            </a:ln>
          </xdr:spPr>
        </xdr:pic>
        <xdr:pic>
          <xdr:nvPicPr>
            <xdr:cNvPr id="29" name="Picture 28">
              <a:extLst>
                <a:ext uri="{FF2B5EF4-FFF2-40B4-BE49-F238E27FC236}">
                  <a16:creationId xmlns:a16="http://schemas.microsoft.com/office/drawing/2014/main" id="{DAC5F0D1-AA44-EE44-05D3-62A8C4156EC3}"/>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924160" y="432487"/>
              <a:ext cx="1460490" cy="2108405"/>
            </a:xfrm>
            <a:prstGeom prst="rect">
              <a:avLst/>
            </a:prstGeom>
            <a:ln>
              <a:solidFill>
                <a:schemeClr val="tx1"/>
              </a:solidFill>
            </a:ln>
          </xdr:spPr>
        </xdr:pic>
        <xdr:pic>
          <xdr:nvPicPr>
            <xdr:cNvPr id="30" name="Picture 29">
              <a:extLst>
                <a:ext uri="{FF2B5EF4-FFF2-40B4-BE49-F238E27FC236}">
                  <a16:creationId xmlns:a16="http://schemas.microsoft.com/office/drawing/2014/main" id="{D6C77729-524E-2DCB-5B58-80C461E137BE}"/>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74969" y="432487"/>
              <a:ext cx="1460490" cy="2108405"/>
            </a:xfrm>
            <a:prstGeom prst="rect">
              <a:avLst/>
            </a:prstGeom>
            <a:ln>
              <a:solidFill>
                <a:schemeClr val="tx1"/>
              </a:solidFill>
            </a:ln>
          </xdr:spPr>
        </xdr:pic>
        <xdr:pic>
          <xdr:nvPicPr>
            <xdr:cNvPr id="31" name="Picture 30">
              <a:extLst>
                <a:ext uri="{FF2B5EF4-FFF2-40B4-BE49-F238E27FC236}">
                  <a16:creationId xmlns:a16="http://schemas.microsoft.com/office/drawing/2014/main" id="{6D201F84-8D56-AF01-2C4E-CAC0F56AA3A1}"/>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5022541" y="432487"/>
              <a:ext cx="1460490" cy="2108405"/>
            </a:xfrm>
            <a:prstGeom prst="rect">
              <a:avLst/>
            </a:prstGeom>
            <a:ln>
              <a:solidFill>
                <a:schemeClr val="tx1"/>
              </a:solidFill>
            </a:ln>
          </xdr:spPr>
        </xdr:pic>
        <xdr:sp macro="" textlink="">
          <xdr:nvSpPr>
            <xdr:cNvPr id="32" name="TextBox 55">
              <a:extLst>
                <a:ext uri="{FF2B5EF4-FFF2-40B4-BE49-F238E27FC236}">
                  <a16:creationId xmlns:a16="http://schemas.microsoft.com/office/drawing/2014/main" id="{58652D0D-478A-9670-B6E5-1E27886AE5F3}"/>
                </a:ext>
              </a:extLst>
            </xdr:cNvPr>
            <xdr:cNvSpPr txBox="1"/>
          </xdr:nvSpPr>
          <xdr:spPr>
            <a:xfrm>
              <a:off x="619760" y="543560"/>
              <a:ext cx="29367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A</a:t>
              </a:r>
              <a:endParaRPr lang="en-IN" sz="1400" b="1"/>
            </a:p>
          </xdr:txBody>
        </xdr:sp>
        <xdr:sp macro="" textlink="">
          <xdr:nvSpPr>
            <xdr:cNvPr id="33" name="TextBox 57">
              <a:extLst>
                <a:ext uri="{FF2B5EF4-FFF2-40B4-BE49-F238E27FC236}">
                  <a16:creationId xmlns:a16="http://schemas.microsoft.com/office/drawing/2014/main" id="{BBCCA3D4-9055-67A4-5E3A-B2139D6E678A}"/>
                </a:ext>
              </a:extLst>
            </xdr:cNvPr>
            <xdr:cNvSpPr txBox="1"/>
          </xdr:nvSpPr>
          <xdr:spPr>
            <a:xfrm>
              <a:off x="2834498" y="432487"/>
              <a:ext cx="29367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B</a:t>
              </a:r>
              <a:endParaRPr lang="en-IN" sz="1400" b="1"/>
            </a:p>
          </xdr:txBody>
        </xdr:sp>
        <xdr:sp macro="" textlink="">
          <xdr:nvSpPr>
            <xdr:cNvPr id="34" name="TextBox 58">
              <a:extLst>
                <a:ext uri="{FF2B5EF4-FFF2-40B4-BE49-F238E27FC236}">
                  <a16:creationId xmlns:a16="http://schemas.microsoft.com/office/drawing/2014/main" id="{9FF83798-3767-0CF3-AD5C-5499AF7EBD9F}"/>
                </a:ext>
              </a:extLst>
            </xdr:cNvPr>
            <xdr:cNvSpPr txBox="1"/>
          </xdr:nvSpPr>
          <xdr:spPr>
            <a:xfrm>
              <a:off x="4119058" y="432487"/>
              <a:ext cx="29848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D</a:t>
              </a:r>
              <a:endParaRPr lang="en-IN" sz="1400" b="1"/>
            </a:p>
          </xdr:txBody>
        </xdr:sp>
        <xdr:sp macro="" textlink="">
          <xdr:nvSpPr>
            <xdr:cNvPr id="43" name="TextBox 59">
              <a:extLst>
                <a:ext uri="{FF2B5EF4-FFF2-40B4-BE49-F238E27FC236}">
                  <a16:creationId xmlns:a16="http://schemas.microsoft.com/office/drawing/2014/main" id="{BC35E797-A243-A7C7-FC87-E18B6D9A1FF3}"/>
                </a:ext>
              </a:extLst>
            </xdr:cNvPr>
            <xdr:cNvSpPr txBox="1"/>
          </xdr:nvSpPr>
          <xdr:spPr>
            <a:xfrm>
              <a:off x="5445760" y="740264"/>
              <a:ext cx="863763"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Gardenia</a:t>
              </a:r>
              <a:endParaRPr lang="en-IN" sz="1400" b="1"/>
            </a:p>
          </xdr:txBody>
        </xdr:sp>
      </xdr:grpSp>
      <xdr:grpSp>
        <xdr:nvGrpSpPr>
          <xdr:cNvPr id="17" name="Group 16">
            <a:extLst>
              <a:ext uri="{FF2B5EF4-FFF2-40B4-BE49-F238E27FC236}">
                <a16:creationId xmlns:a16="http://schemas.microsoft.com/office/drawing/2014/main" id="{EB92261C-8A68-8995-955A-EFA49267B890}"/>
              </a:ext>
            </a:extLst>
          </xdr:cNvPr>
          <xdr:cNvGrpSpPr/>
        </xdr:nvGrpSpPr>
        <xdr:grpSpPr>
          <a:xfrm>
            <a:off x="374969" y="133411"/>
            <a:ext cx="6108062" cy="2120595"/>
            <a:chOff x="374969" y="2716023"/>
            <a:chExt cx="6108062" cy="2120595"/>
          </a:xfrm>
        </xdr:grpSpPr>
        <xdr:pic>
          <xdr:nvPicPr>
            <xdr:cNvPr id="18" name="Picture 17">
              <a:extLst>
                <a:ext uri="{FF2B5EF4-FFF2-40B4-BE49-F238E27FC236}">
                  <a16:creationId xmlns:a16="http://schemas.microsoft.com/office/drawing/2014/main" id="{C3A0A4D7-DBE5-3EA6-30B6-61F2B1C2EF51}"/>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473350" y="2728213"/>
              <a:ext cx="1460490" cy="2108405"/>
            </a:xfrm>
            <a:prstGeom prst="rect">
              <a:avLst/>
            </a:prstGeom>
            <a:ln>
              <a:solidFill>
                <a:schemeClr val="tx1"/>
              </a:solidFill>
            </a:ln>
          </xdr:spPr>
        </xdr:pic>
        <xdr:pic>
          <xdr:nvPicPr>
            <xdr:cNvPr id="19" name="Picture 18">
              <a:extLst>
                <a:ext uri="{FF2B5EF4-FFF2-40B4-BE49-F238E27FC236}">
                  <a16:creationId xmlns:a16="http://schemas.microsoft.com/office/drawing/2014/main" id="{13086C21-FC89-4A08-1400-B612C1A174F9}"/>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74969" y="2728213"/>
              <a:ext cx="1460490" cy="2108405"/>
            </a:xfrm>
            <a:prstGeom prst="rect">
              <a:avLst/>
            </a:prstGeom>
            <a:ln>
              <a:solidFill>
                <a:schemeClr val="tx1"/>
              </a:solidFill>
            </a:ln>
          </xdr:spPr>
        </xdr:pic>
        <xdr:pic>
          <xdr:nvPicPr>
            <xdr:cNvPr id="20" name="Picture 19">
              <a:extLst>
                <a:ext uri="{FF2B5EF4-FFF2-40B4-BE49-F238E27FC236}">
                  <a16:creationId xmlns:a16="http://schemas.microsoft.com/office/drawing/2014/main" id="{4A790809-A376-C3F2-A408-91F8327967E3}"/>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924160" y="2728213"/>
              <a:ext cx="1460490" cy="2108405"/>
            </a:xfrm>
            <a:prstGeom prst="rect">
              <a:avLst/>
            </a:prstGeom>
            <a:ln>
              <a:solidFill>
                <a:schemeClr val="tx1"/>
              </a:solidFill>
            </a:ln>
          </xdr:spPr>
        </xdr:pic>
        <xdr:pic>
          <xdr:nvPicPr>
            <xdr:cNvPr id="21" name="Picture 20">
              <a:extLst>
                <a:ext uri="{FF2B5EF4-FFF2-40B4-BE49-F238E27FC236}">
                  <a16:creationId xmlns:a16="http://schemas.microsoft.com/office/drawing/2014/main" id="{E8C5893A-C1D9-F063-64A9-4065FEBD68C1}"/>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5022541" y="2728213"/>
              <a:ext cx="1460490" cy="2108405"/>
            </a:xfrm>
            <a:prstGeom prst="rect">
              <a:avLst/>
            </a:prstGeom>
            <a:ln>
              <a:solidFill>
                <a:schemeClr val="tx1"/>
              </a:solidFill>
            </a:ln>
          </xdr:spPr>
        </xdr:pic>
        <xdr:sp macro="" textlink="">
          <xdr:nvSpPr>
            <xdr:cNvPr id="23" name="TextBox 60">
              <a:extLst>
                <a:ext uri="{FF2B5EF4-FFF2-40B4-BE49-F238E27FC236}">
                  <a16:creationId xmlns:a16="http://schemas.microsoft.com/office/drawing/2014/main" id="{BE57C64C-2239-069D-AE77-117CFB06A1C1}"/>
                </a:ext>
              </a:extLst>
            </xdr:cNvPr>
            <xdr:cNvSpPr txBox="1"/>
          </xdr:nvSpPr>
          <xdr:spPr>
            <a:xfrm>
              <a:off x="1066800" y="2716023"/>
              <a:ext cx="29848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H</a:t>
              </a:r>
              <a:endParaRPr lang="en-IN" sz="1400" b="1"/>
            </a:p>
          </xdr:txBody>
        </xdr:sp>
        <xdr:sp macro="" textlink="">
          <xdr:nvSpPr>
            <xdr:cNvPr id="24" name="TextBox 61">
              <a:extLst>
                <a:ext uri="{FF2B5EF4-FFF2-40B4-BE49-F238E27FC236}">
                  <a16:creationId xmlns:a16="http://schemas.microsoft.com/office/drawing/2014/main" id="{BEAE93FB-B016-8732-75F1-C52C59FD6B27}"/>
                </a:ext>
              </a:extLst>
            </xdr:cNvPr>
            <xdr:cNvSpPr txBox="1"/>
          </xdr:nvSpPr>
          <xdr:spPr>
            <a:xfrm>
              <a:off x="2507570" y="2926080"/>
              <a:ext cx="23275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I</a:t>
              </a:r>
              <a:endParaRPr lang="en-IN" sz="1400" b="1"/>
            </a:p>
          </xdr:txBody>
        </xdr:sp>
        <xdr:sp macro="" textlink="">
          <xdr:nvSpPr>
            <xdr:cNvPr id="25" name="TextBox 62">
              <a:extLst>
                <a:ext uri="{FF2B5EF4-FFF2-40B4-BE49-F238E27FC236}">
                  <a16:creationId xmlns:a16="http://schemas.microsoft.com/office/drawing/2014/main" id="{3B32142D-76E0-AC7F-91FA-05509917BC79}"/>
                </a:ext>
              </a:extLst>
            </xdr:cNvPr>
            <xdr:cNvSpPr txBox="1"/>
          </xdr:nvSpPr>
          <xdr:spPr>
            <a:xfrm>
              <a:off x="3909925" y="2728213"/>
              <a:ext cx="24397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J</a:t>
              </a:r>
              <a:endParaRPr lang="en-IN" sz="1400" b="1"/>
            </a:p>
          </xdr:txBody>
        </xdr:sp>
        <xdr:sp macro="" textlink="">
          <xdr:nvSpPr>
            <xdr:cNvPr id="27" name="TextBox 63">
              <a:extLst>
                <a:ext uri="{FF2B5EF4-FFF2-40B4-BE49-F238E27FC236}">
                  <a16:creationId xmlns:a16="http://schemas.microsoft.com/office/drawing/2014/main" id="{8E33A7F0-2A2E-4126-CFFA-43EE050002DD}"/>
                </a:ext>
              </a:extLst>
            </xdr:cNvPr>
            <xdr:cNvSpPr txBox="1"/>
          </xdr:nvSpPr>
          <xdr:spPr>
            <a:xfrm>
              <a:off x="5497439" y="2772191"/>
              <a:ext cx="76174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E, F &amp; G</a:t>
              </a:r>
              <a:endParaRPr lang="en-IN" sz="1400" b="1"/>
            </a:p>
          </xdr:txBody>
        </xdr:sp>
      </xdr:grpSp>
    </xdr:grpSp>
    <xdr:clientData/>
  </xdr:twoCellAnchor>
  <xdr:twoCellAnchor>
    <xdr:from>
      <xdr:col>1</xdr:col>
      <xdr:colOff>815340</xdr:colOff>
      <xdr:row>699</xdr:row>
      <xdr:rowOff>190501</xdr:rowOff>
    </xdr:from>
    <xdr:to>
      <xdr:col>7</xdr:col>
      <xdr:colOff>342900</xdr:colOff>
      <xdr:row>728</xdr:row>
      <xdr:rowOff>114301</xdr:rowOff>
    </xdr:to>
    <xdr:grpSp>
      <xdr:nvGrpSpPr>
        <xdr:cNvPr id="2" name="Group 1">
          <a:extLst>
            <a:ext uri="{FF2B5EF4-FFF2-40B4-BE49-F238E27FC236}">
              <a16:creationId xmlns:a16="http://schemas.microsoft.com/office/drawing/2014/main" id="{9676E449-B0F5-ADE1-FB39-2D86E50FD1C8}"/>
            </a:ext>
          </a:extLst>
        </xdr:cNvPr>
        <xdr:cNvGrpSpPr/>
      </xdr:nvGrpSpPr>
      <xdr:grpSpPr>
        <a:xfrm>
          <a:off x="1558290" y="139703176"/>
          <a:ext cx="4375785" cy="5724525"/>
          <a:chOff x="549000" y="178180"/>
          <a:chExt cx="5760000" cy="8327929"/>
        </a:xfrm>
      </xdr:grpSpPr>
      <xdr:pic>
        <xdr:nvPicPr>
          <xdr:cNvPr id="48" name="Picture 47">
            <a:extLst>
              <a:ext uri="{FF2B5EF4-FFF2-40B4-BE49-F238E27FC236}">
                <a16:creationId xmlns:a16="http://schemas.microsoft.com/office/drawing/2014/main" id="{6C7DC2DE-9C72-F081-37CA-E68A4B457B8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549000" y="178180"/>
            <a:ext cx="5760000" cy="4072545"/>
          </a:xfrm>
          <a:prstGeom prst="rect">
            <a:avLst/>
          </a:prstGeom>
          <a:ln>
            <a:solidFill>
              <a:schemeClr val="tx1"/>
            </a:solidFill>
          </a:ln>
        </xdr:spPr>
      </xdr:pic>
      <xdr:pic>
        <xdr:nvPicPr>
          <xdr:cNvPr id="51" name="Picture 50">
            <a:extLst>
              <a:ext uri="{FF2B5EF4-FFF2-40B4-BE49-F238E27FC236}">
                <a16:creationId xmlns:a16="http://schemas.microsoft.com/office/drawing/2014/main" id="{2A4D14A4-0D83-5AD2-2E26-E23F19847BA6}"/>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549000" y="4433564"/>
            <a:ext cx="5760000" cy="4072545"/>
          </a:xfrm>
          <a:prstGeom prst="rect">
            <a:avLst/>
          </a:prstGeom>
          <a:ln>
            <a:solidFill>
              <a:schemeClr val="tx1"/>
            </a:solidFill>
          </a:ln>
        </xdr:spPr>
      </xdr:pic>
    </xdr:grpSp>
    <xdr:clientData/>
  </xdr:twoCellAnchor>
  <xdr:twoCellAnchor editAs="oneCell">
    <xdr:from>
      <xdr:col>1</xdr:col>
      <xdr:colOff>784860</xdr:colOff>
      <xdr:row>731</xdr:row>
      <xdr:rowOff>160020</xdr:rowOff>
    </xdr:from>
    <xdr:to>
      <xdr:col>6</xdr:col>
      <xdr:colOff>607047</xdr:colOff>
      <xdr:row>759</xdr:row>
      <xdr:rowOff>138454</xdr:rowOff>
    </xdr:to>
    <xdr:pic>
      <xdr:nvPicPr>
        <xdr:cNvPr id="63" name="Picture 62">
          <a:extLst>
            <a:ext uri="{FF2B5EF4-FFF2-40B4-BE49-F238E27FC236}">
              <a16:creationId xmlns:a16="http://schemas.microsoft.com/office/drawing/2014/main" id="{A1795654-C664-4D00-9C5F-BB9FC32D4339}"/>
            </a:ext>
          </a:extLst>
        </xdr:cNvPr>
        <xdr:cNvPicPr>
          <a:picLocks noChangeAspect="1"/>
        </xdr:cNvPicPr>
      </xdr:nvPicPr>
      <xdr:blipFill>
        <a:blip xmlns:r="http://schemas.openxmlformats.org/officeDocument/2006/relationships" r:embed="rId30"/>
        <a:stretch>
          <a:fillRect/>
        </a:stretch>
      </xdr:blipFill>
      <xdr:spPr>
        <a:xfrm>
          <a:off x="1569720" y="145336260"/>
          <a:ext cx="4165587" cy="5525794"/>
        </a:xfrm>
        <a:prstGeom prst="rect">
          <a:avLst/>
        </a:prstGeom>
        <a:ln>
          <a:solidFill>
            <a:schemeClr val="tx1"/>
          </a:solidFill>
        </a:ln>
      </xdr:spPr>
    </xdr:pic>
    <xdr:clientData/>
  </xdr:twoCellAnchor>
  <xdr:twoCellAnchor>
    <xdr:from>
      <xdr:col>0</xdr:col>
      <xdr:colOff>257175</xdr:colOff>
      <xdr:row>615</xdr:row>
      <xdr:rowOff>152401</xdr:rowOff>
    </xdr:from>
    <xdr:to>
      <xdr:col>7</xdr:col>
      <xdr:colOff>1145247</xdr:colOff>
      <xdr:row>656</xdr:row>
      <xdr:rowOff>104776</xdr:rowOff>
    </xdr:to>
    <xdr:grpSp>
      <xdr:nvGrpSpPr>
        <xdr:cNvPr id="89" name="Group 88">
          <a:extLst>
            <a:ext uri="{FF2B5EF4-FFF2-40B4-BE49-F238E27FC236}">
              <a16:creationId xmlns:a16="http://schemas.microsoft.com/office/drawing/2014/main" id="{BA4235A0-F3E6-4DAE-A087-0BF32F662655}"/>
            </a:ext>
          </a:extLst>
        </xdr:cNvPr>
        <xdr:cNvGrpSpPr/>
      </xdr:nvGrpSpPr>
      <xdr:grpSpPr>
        <a:xfrm>
          <a:off x="257175" y="123882151"/>
          <a:ext cx="6479247" cy="8134350"/>
          <a:chOff x="378753" y="325410"/>
          <a:chExt cx="6479247" cy="8493179"/>
        </a:xfrm>
      </xdr:grpSpPr>
      <xdr:grpSp>
        <xdr:nvGrpSpPr>
          <xdr:cNvPr id="90" name="Group 89">
            <a:extLst>
              <a:ext uri="{FF2B5EF4-FFF2-40B4-BE49-F238E27FC236}">
                <a16:creationId xmlns:a16="http://schemas.microsoft.com/office/drawing/2014/main" id="{BAD86298-6855-49DC-8EDA-C7F6E4312DBA}"/>
              </a:ext>
            </a:extLst>
          </xdr:cNvPr>
          <xdr:cNvGrpSpPr/>
        </xdr:nvGrpSpPr>
        <xdr:grpSpPr>
          <a:xfrm>
            <a:off x="392914" y="325410"/>
            <a:ext cx="6465086" cy="8493179"/>
            <a:chOff x="231101" y="573741"/>
            <a:chExt cx="6465086" cy="8493179"/>
          </a:xfrm>
        </xdr:grpSpPr>
        <xdr:pic>
          <xdr:nvPicPr>
            <xdr:cNvPr id="107" name="Picture 106">
              <a:extLst>
                <a:ext uri="{FF2B5EF4-FFF2-40B4-BE49-F238E27FC236}">
                  <a16:creationId xmlns:a16="http://schemas.microsoft.com/office/drawing/2014/main" id="{E4307AD7-B534-41BA-B836-2E9BA28E274E}"/>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385748" y="573741"/>
              <a:ext cx="1887375" cy="2520000"/>
            </a:xfrm>
            <a:prstGeom prst="rect">
              <a:avLst/>
            </a:prstGeom>
            <a:ln>
              <a:solidFill>
                <a:schemeClr val="tx1"/>
              </a:solidFill>
            </a:ln>
          </xdr:spPr>
        </xdr:pic>
        <xdr:pic>
          <xdr:nvPicPr>
            <xdr:cNvPr id="108" name="Picture 107">
              <a:extLst>
                <a:ext uri="{FF2B5EF4-FFF2-40B4-BE49-F238E27FC236}">
                  <a16:creationId xmlns:a16="http://schemas.microsoft.com/office/drawing/2014/main" id="{94174AAB-F5E2-4763-853E-EA99BCD3395E}"/>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2443161" y="573741"/>
              <a:ext cx="1887375" cy="2520000"/>
            </a:xfrm>
            <a:prstGeom prst="rect">
              <a:avLst/>
            </a:prstGeom>
            <a:ln>
              <a:solidFill>
                <a:schemeClr val="tx1"/>
              </a:solidFill>
            </a:ln>
          </xdr:spPr>
        </xdr:pic>
        <xdr:pic>
          <xdr:nvPicPr>
            <xdr:cNvPr id="109" name="Picture 108">
              <a:extLst>
                <a:ext uri="{FF2B5EF4-FFF2-40B4-BE49-F238E27FC236}">
                  <a16:creationId xmlns:a16="http://schemas.microsoft.com/office/drawing/2014/main" id="{8BC0D6DB-EF73-4ABA-A395-06D78C2F4577}"/>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4500574" y="573741"/>
              <a:ext cx="1887375" cy="2520000"/>
            </a:xfrm>
            <a:prstGeom prst="rect">
              <a:avLst/>
            </a:prstGeom>
            <a:ln>
              <a:solidFill>
                <a:schemeClr val="tx1"/>
              </a:solidFill>
            </a:ln>
          </xdr:spPr>
        </xdr:pic>
        <xdr:pic>
          <xdr:nvPicPr>
            <xdr:cNvPr id="110" name="Picture 109">
              <a:extLst>
                <a:ext uri="{FF2B5EF4-FFF2-40B4-BE49-F238E27FC236}">
                  <a16:creationId xmlns:a16="http://schemas.microsoft.com/office/drawing/2014/main" id="{345F6BE8-04EE-43D3-8C44-4DAC82929A46}"/>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468022" y="3284330"/>
              <a:ext cx="2636333" cy="1980000"/>
            </a:xfrm>
            <a:prstGeom prst="rect">
              <a:avLst/>
            </a:prstGeom>
            <a:ln>
              <a:solidFill>
                <a:schemeClr val="tx1"/>
              </a:solidFill>
            </a:ln>
          </xdr:spPr>
        </xdr:pic>
        <xdr:pic>
          <xdr:nvPicPr>
            <xdr:cNvPr id="111" name="Picture 110">
              <a:extLst>
                <a:ext uri="{FF2B5EF4-FFF2-40B4-BE49-F238E27FC236}">
                  <a16:creationId xmlns:a16="http://schemas.microsoft.com/office/drawing/2014/main" id="{59C6127D-750A-48BE-8F18-9C9C81046072}"/>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3284264" y="3284330"/>
              <a:ext cx="1482938" cy="1980000"/>
            </a:xfrm>
            <a:prstGeom prst="rect">
              <a:avLst/>
            </a:prstGeom>
            <a:ln>
              <a:solidFill>
                <a:schemeClr val="tx1"/>
              </a:solidFill>
            </a:ln>
          </xdr:spPr>
        </xdr:pic>
        <xdr:pic>
          <xdr:nvPicPr>
            <xdr:cNvPr id="112" name="Picture 111">
              <a:extLst>
                <a:ext uri="{FF2B5EF4-FFF2-40B4-BE49-F238E27FC236}">
                  <a16:creationId xmlns:a16="http://schemas.microsoft.com/office/drawing/2014/main" id="{2960CE7B-7640-4C3A-9DA4-1442CC0B0652}"/>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4917745" y="3284330"/>
              <a:ext cx="1482938" cy="1980000"/>
            </a:xfrm>
            <a:prstGeom prst="rect">
              <a:avLst/>
            </a:prstGeom>
            <a:ln>
              <a:solidFill>
                <a:schemeClr val="tx1"/>
              </a:solidFill>
            </a:ln>
          </xdr:spPr>
        </xdr:pic>
        <xdr:pic>
          <xdr:nvPicPr>
            <xdr:cNvPr id="113" name="Picture 112">
              <a:extLst>
                <a:ext uri="{FF2B5EF4-FFF2-40B4-BE49-F238E27FC236}">
                  <a16:creationId xmlns:a16="http://schemas.microsoft.com/office/drawing/2014/main" id="{FEAE48AC-B1AE-45DC-9D89-BBFBC89CA89A}"/>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231101" y="5455625"/>
              <a:ext cx="1348125" cy="1800000"/>
            </a:xfrm>
            <a:prstGeom prst="rect">
              <a:avLst/>
            </a:prstGeom>
            <a:ln>
              <a:solidFill>
                <a:schemeClr val="tx1"/>
              </a:solidFill>
            </a:ln>
          </xdr:spPr>
        </xdr:pic>
        <xdr:pic>
          <xdr:nvPicPr>
            <xdr:cNvPr id="114" name="Picture 113">
              <a:extLst>
                <a:ext uri="{FF2B5EF4-FFF2-40B4-BE49-F238E27FC236}">
                  <a16:creationId xmlns:a16="http://schemas.microsoft.com/office/drawing/2014/main" id="{964EA148-FB29-4191-BD5E-CA37D5E8E05C}"/>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741040" y="5455625"/>
              <a:ext cx="2396666" cy="1800000"/>
            </a:xfrm>
            <a:prstGeom prst="rect">
              <a:avLst/>
            </a:prstGeom>
            <a:ln>
              <a:solidFill>
                <a:schemeClr val="tx1"/>
              </a:solidFill>
            </a:ln>
          </xdr:spPr>
        </xdr:pic>
        <xdr:pic>
          <xdr:nvPicPr>
            <xdr:cNvPr id="115" name="Picture 114">
              <a:extLst>
                <a:ext uri="{FF2B5EF4-FFF2-40B4-BE49-F238E27FC236}">
                  <a16:creationId xmlns:a16="http://schemas.microsoft.com/office/drawing/2014/main" id="{06C6F20A-8DFD-4DE0-BBD3-A1620051B536}"/>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4299520" y="5455625"/>
              <a:ext cx="2396667" cy="1800000"/>
            </a:xfrm>
            <a:prstGeom prst="rect">
              <a:avLst/>
            </a:prstGeom>
            <a:ln>
              <a:solidFill>
                <a:schemeClr val="tx1"/>
              </a:solidFill>
            </a:ln>
          </xdr:spPr>
        </xdr:pic>
        <xdr:pic>
          <xdr:nvPicPr>
            <xdr:cNvPr id="116" name="Picture 115">
              <a:extLst>
                <a:ext uri="{FF2B5EF4-FFF2-40B4-BE49-F238E27FC236}">
                  <a16:creationId xmlns:a16="http://schemas.microsoft.com/office/drawing/2014/main" id="{E0222D60-33C4-4E38-92D6-F4FD1690B901}"/>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2250241" y="7446920"/>
              <a:ext cx="1213313" cy="1620000"/>
            </a:xfrm>
            <a:prstGeom prst="rect">
              <a:avLst/>
            </a:prstGeom>
            <a:ln>
              <a:solidFill>
                <a:schemeClr val="tx1"/>
              </a:solidFill>
            </a:ln>
          </xdr:spPr>
        </xdr:pic>
        <xdr:pic>
          <xdr:nvPicPr>
            <xdr:cNvPr id="117" name="Picture 116">
              <a:extLst>
                <a:ext uri="{FF2B5EF4-FFF2-40B4-BE49-F238E27FC236}">
                  <a16:creationId xmlns:a16="http://schemas.microsoft.com/office/drawing/2014/main" id="{2B3DBEE8-6573-4BC7-A7CF-E8B981777A33}"/>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3608290" y="7446920"/>
              <a:ext cx="1213313" cy="1620000"/>
            </a:xfrm>
            <a:prstGeom prst="rect">
              <a:avLst/>
            </a:prstGeom>
            <a:ln>
              <a:solidFill>
                <a:schemeClr val="tx1"/>
              </a:solidFill>
            </a:ln>
          </xdr:spPr>
        </xdr:pic>
      </xdr:grpSp>
      <xdr:sp macro="" textlink="">
        <xdr:nvSpPr>
          <xdr:cNvPr id="91" name="TextBox 136">
            <a:extLst>
              <a:ext uri="{FF2B5EF4-FFF2-40B4-BE49-F238E27FC236}">
                <a16:creationId xmlns:a16="http://schemas.microsoft.com/office/drawing/2014/main" id="{675085A9-C2E8-4D66-8F76-12244A030582}"/>
              </a:ext>
            </a:extLst>
          </xdr:cNvPr>
          <xdr:cNvSpPr txBox="1"/>
        </xdr:nvSpPr>
        <xdr:spPr>
          <a:xfrm>
            <a:off x="1528479" y="325410"/>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H</a:t>
            </a:r>
            <a:endParaRPr lang="en-IN" b="1">
              <a:solidFill>
                <a:srgbClr val="FF0000"/>
              </a:solidFill>
            </a:endParaRPr>
          </a:p>
        </xdr:txBody>
      </xdr:sp>
      <xdr:sp macro="" textlink="">
        <xdr:nvSpPr>
          <xdr:cNvPr id="94" name="TextBox 137">
            <a:extLst>
              <a:ext uri="{FF2B5EF4-FFF2-40B4-BE49-F238E27FC236}">
                <a16:creationId xmlns:a16="http://schemas.microsoft.com/office/drawing/2014/main" id="{310A2E81-B8D3-410F-90AF-E4516E154B8A}"/>
              </a:ext>
            </a:extLst>
          </xdr:cNvPr>
          <xdr:cNvSpPr txBox="1"/>
        </xdr:nvSpPr>
        <xdr:spPr>
          <a:xfrm>
            <a:off x="2888130" y="325410"/>
            <a:ext cx="79701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I</a:t>
            </a:r>
            <a:endParaRPr lang="en-IN" b="1">
              <a:solidFill>
                <a:srgbClr val="FF0000"/>
              </a:solidFill>
            </a:endParaRPr>
          </a:p>
        </xdr:txBody>
      </xdr:sp>
      <xdr:sp macro="" textlink="">
        <xdr:nvSpPr>
          <xdr:cNvPr id="95" name="TextBox 138">
            <a:extLst>
              <a:ext uri="{FF2B5EF4-FFF2-40B4-BE49-F238E27FC236}">
                <a16:creationId xmlns:a16="http://schemas.microsoft.com/office/drawing/2014/main" id="{6E83D600-4044-4459-8735-0EFEE9353920}"/>
              </a:ext>
            </a:extLst>
          </xdr:cNvPr>
          <xdr:cNvSpPr txBox="1"/>
        </xdr:nvSpPr>
        <xdr:spPr>
          <a:xfrm>
            <a:off x="5606074" y="325410"/>
            <a:ext cx="8130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J</a:t>
            </a:r>
            <a:endParaRPr lang="en-IN" b="1">
              <a:solidFill>
                <a:srgbClr val="FF0000"/>
              </a:solidFill>
            </a:endParaRPr>
          </a:p>
        </xdr:txBody>
      </xdr:sp>
      <xdr:sp macro="" textlink="">
        <xdr:nvSpPr>
          <xdr:cNvPr id="96" name="TextBox 139">
            <a:extLst>
              <a:ext uri="{FF2B5EF4-FFF2-40B4-BE49-F238E27FC236}">
                <a16:creationId xmlns:a16="http://schemas.microsoft.com/office/drawing/2014/main" id="{96A58551-C858-4FF2-B9C5-3665B366BDC9}"/>
              </a:ext>
            </a:extLst>
          </xdr:cNvPr>
          <xdr:cNvSpPr txBox="1"/>
        </xdr:nvSpPr>
        <xdr:spPr>
          <a:xfrm>
            <a:off x="547561" y="3056626"/>
            <a:ext cx="148149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 F &amp; G</a:t>
            </a:r>
            <a:endParaRPr lang="en-IN" b="1">
              <a:solidFill>
                <a:srgbClr val="FF0000"/>
              </a:solidFill>
            </a:endParaRPr>
          </a:p>
        </xdr:txBody>
      </xdr:sp>
      <xdr:sp macro="" textlink="">
        <xdr:nvSpPr>
          <xdr:cNvPr id="103" name="TextBox 140">
            <a:extLst>
              <a:ext uri="{FF2B5EF4-FFF2-40B4-BE49-F238E27FC236}">
                <a16:creationId xmlns:a16="http://schemas.microsoft.com/office/drawing/2014/main" id="{A3E56C42-CAD4-4C8F-B1A8-30B2A0F92C7A}"/>
              </a:ext>
            </a:extLst>
          </xdr:cNvPr>
          <xdr:cNvSpPr txBox="1"/>
        </xdr:nvSpPr>
        <xdr:spPr>
          <a:xfrm>
            <a:off x="3858532" y="2950274"/>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sp macro="" textlink="">
        <xdr:nvSpPr>
          <xdr:cNvPr id="104" name="TextBox 141">
            <a:extLst>
              <a:ext uri="{FF2B5EF4-FFF2-40B4-BE49-F238E27FC236}">
                <a16:creationId xmlns:a16="http://schemas.microsoft.com/office/drawing/2014/main" id="{7E6A7221-FD99-46CC-9537-1A158EDF0AB2}"/>
              </a:ext>
            </a:extLst>
          </xdr:cNvPr>
          <xdr:cNvSpPr txBox="1"/>
        </xdr:nvSpPr>
        <xdr:spPr>
          <a:xfrm>
            <a:off x="5521379" y="3006525"/>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105" name="TextBox 142">
            <a:extLst>
              <a:ext uri="{FF2B5EF4-FFF2-40B4-BE49-F238E27FC236}">
                <a16:creationId xmlns:a16="http://schemas.microsoft.com/office/drawing/2014/main" id="{29ED45A5-3298-4F6A-836E-378D355655E8}"/>
              </a:ext>
            </a:extLst>
          </xdr:cNvPr>
          <xdr:cNvSpPr txBox="1"/>
        </xdr:nvSpPr>
        <xdr:spPr>
          <a:xfrm>
            <a:off x="378753" y="517922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106" name="TextBox 143">
            <a:extLst>
              <a:ext uri="{FF2B5EF4-FFF2-40B4-BE49-F238E27FC236}">
                <a16:creationId xmlns:a16="http://schemas.microsoft.com/office/drawing/2014/main" id="{3BEE5E4F-8B8D-401C-A0C4-D4BA5D79EB0C}"/>
              </a:ext>
            </a:extLst>
          </xdr:cNvPr>
          <xdr:cNvSpPr txBox="1"/>
        </xdr:nvSpPr>
        <xdr:spPr>
          <a:xfrm>
            <a:off x="4983416" y="5222779"/>
            <a:ext cx="159037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I 1</a:t>
            </a:r>
            <a:r>
              <a:rPr lang="en-US" b="1" baseline="30000">
                <a:solidFill>
                  <a:srgbClr val="FF0000"/>
                </a:solidFill>
              </a:rPr>
              <a:t>st</a:t>
            </a:r>
            <a:r>
              <a:rPr lang="en-US" b="1">
                <a:solidFill>
                  <a:srgbClr val="FF0000"/>
                </a:solidFill>
              </a:rPr>
              <a:t> floor</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4756</xdr:colOff>
      <xdr:row>11</xdr:row>
      <xdr:rowOff>0</xdr:rowOff>
    </xdr:from>
    <xdr:to>
      <xdr:col>6</xdr:col>
      <xdr:colOff>361142</xdr:colOff>
      <xdr:row>29</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87462" y="2106706"/>
          <a:ext cx="6754945" cy="3600000"/>
        </a:xfrm>
        <a:prstGeom prst="rect">
          <a:avLst/>
        </a:prstGeom>
        <a:ln>
          <a:solidFill>
            <a:schemeClr val="tx1"/>
          </a:solidFill>
        </a:ln>
      </xdr:spPr>
    </xdr:pic>
    <xdr:clientData/>
  </xdr:twoCellAnchor>
  <xdr:twoCellAnchor editAs="oneCell">
    <xdr:from>
      <xdr:col>1</xdr:col>
      <xdr:colOff>0</xdr:colOff>
      <xdr:row>30</xdr:row>
      <xdr:rowOff>156923</xdr:rowOff>
    </xdr:from>
    <xdr:to>
      <xdr:col>6</xdr:col>
      <xdr:colOff>356386</xdr:colOff>
      <xdr:row>49</xdr:row>
      <xdr:rowOff>137423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82706" y="5883129"/>
          <a:ext cx="6754945" cy="3600000"/>
        </a:xfrm>
        <a:prstGeom prst="rect">
          <a:avLst/>
        </a:prstGeom>
        <a:ln>
          <a:solidFill>
            <a:schemeClr val="tx1"/>
          </a:solidFill>
        </a:ln>
      </xdr:spPr>
    </xdr:pic>
    <xdr:clientData/>
  </xdr:twoCellAnchor>
  <xdr:twoCellAnchor editAs="oneCell">
    <xdr:from>
      <xdr:col>6</xdr:col>
      <xdr:colOff>646599</xdr:colOff>
      <xdr:row>11</xdr:row>
      <xdr:rowOff>0</xdr:rowOff>
    </xdr:from>
    <xdr:to>
      <xdr:col>16</xdr:col>
      <xdr:colOff>308221</xdr:colOff>
      <xdr:row>29</xdr:row>
      <xdr:rowOff>171000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627864" y="2106706"/>
          <a:ext cx="6754945" cy="3600000"/>
        </a:xfrm>
        <a:prstGeom prst="rect">
          <a:avLst/>
        </a:prstGeom>
        <a:ln>
          <a:solidFill>
            <a:schemeClr val="tx1"/>
          </a:solidFill>
        </a:ln>
      </xdr:spPr>
    </xdr:pic>
    <xdr:clientData/>
  </xdr:twoCellAnchor>
  <xdr:twoCellAnchor editAs="oneCell">
    <xdr:from>
      <xdr:col>6</xdr:col>
      <xdr:colOff>633318</xdr:colOff>
      <xdr:row>30</xdr:row>
      <xdr:rowOff>166905</xdr:rowOff>
    </xdr:from>
    <xdr:to>
      <xdr:col>16</xdr:col>
      <xdr:colOff>294940</xdr:colOff>
      <xdr:row>49</xdr:row>
      <xdr:rowOff>147405</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7614583" y="5893111"/>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ousing.com/in/buy/projects/page/236336-vrindavan-flora-by-thalia-labh-group-in-rasayani?gclid=CjwKCAjw5pShBhB_EiwAvmnNVzNGN4KKkLz7G5_vGs6YL2TE7SWhFesZqQ4dcz5jrOBXyrs9OIyrqhoCca4QAvD_BwE" TargetMode="External"/><Relationship Id="rId2" Type="http://schemas.openxmlformats.org/officeDocument/2006/relationships/hyperlink" Target="https://www.magicbricks.com/vrindavan-flora-rasayani-navi-mumbai-pdpid-4d4235303939323931" TargetMode="External"/><Relationship Id="rId1" Type="http://schemas.openxmlformats.org/officeDocument/2006/relationships/hyperlink" Target="https://goo.gl/maps/1oKa6gAzGuKoaskd8"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63"/>
  <sheetViews>
    <sheetView tabSelected="1" view="pageBreakPreview" zoomScaleNormal="100" zoomScaleSheetLayoutView="100" zoomScalePageLayoutView="85" workbookViewId="0">
      <selection activeCell="L6" sqref="L6"/>
    </sheetView>
  </sheetViews>
  <sheetFormatPr defaultColWidth="9.140625" defaultRowHeight="15.75" x14ac:dyDescent="0.25"/>
  <cols>
    <col min="1" max="1" width="11.42578125" style="19" customWidth="1"/>
    <col min="2" max="2" width="12" style="19" customWidth="1"/>
    <col min="3" max="3" width="12.7109375" style="19" customWidth="1"/>
    <col min="4" max="4" width="12.85546875" style="19" customWidth="1"/>
    <col min="5" max="5" width="12.42578125" style="19" customWidth="1"/>
    <col min="6" max="6" width="13.28515625" style="19" customWidth="1"/>
    <col min="7" max="7" width="9.140625" style="19" customWidth="1"/>
    <col min="8" max="8" width="21.140625" style="19" customWidth="1"/>
    <col min="9" max="9" width="8.7109375" style="8" customWidth="1"/>
    <col min="10" max="10" width="5.28515625" style="8" customWidth="1"/>
    <col min="11" max="11" width="10.140625" style="8" bestFit="1" customWidth="1"/>
    <col min="12" max="12" width="13.42578125" style="8" bestFit="1" customWidth="1"/>
    <col min="13" max="13" width="10.85546875" style="8" customWidth="1"/>
    <col min="14" max="251" width="9.140625" style="8"/>
    <col min="252" max="252" width="8.7109375" style="8" customWidth="1"/>
    <col min="253" max="253" width="9.85546875" style="8" customWidth="1"/>
    <col min="254" max="254" width="14.42578125" style="8" customWidth="1"/>
    <col min="255" max="255" width="7.28515625" style="8" customWidth="1"/>
    <col min="256" max="256" width="5.5703125" style="8" customWidth="1"/>
    <col min="257" max="257" width="9" style="8" customWidth="1"/>
    <col min="258" max="259" width="9.85546875" style="8" customWidth="1"/>
    <col min="260" max="260" width="11.140625" style="8" customWidth="1"/>
    <col min="261" max="261" width="2.85546875" style="8" customWidth="1"/>
    <col min="262" max="262" width="3.5703125" style="8" customWidth="1"/>
    <col min="263" max="507" width="9.140625" style="8"/>
    <col min="508" max="508" width="8.7109375" style="8" customWidth="1"/>
    <col min="509" max="509" width="9.85546875" style="8" customWidth="1"/>
    <col min="510" max="510" width="14.42578125" style="8" customWidth="1"/>
    <col min="511" max="511" width="7.28515625" style="8" customWidth="1"/>
    <col min="512" max="512" width="5.5703125" style="8" customWidth="1"/>
    <col min="513" max="513" width="9" style="8" customWidth="1"/>
    <col min="514" max="515" width="9.85546875" style="8" customWidth="1"/>
    <col min="516" max="516" width="11.140625" style="8" customWidth="1"/>
    <col min="517" max="517" width="2.85546875" style="8" customWidth="1"/>
    <col min="518" max="518" width="3.5703125" style="8" customWidth="1"/>
    <col min="519" max="763" width="9.140625" style="8"/>
    <col min="764" max="764" width="8.7109375" style="8" customWidth="1"/>
    <col min="765" max="765" width="9.85546875" style="8" customWidth="1"/>
    <col min="766" max="766" width="14.42578125" style="8" customWidth="1"/>
    <col min="767" max="767" width="7.28515625" style="8" customWidth="1"/>
    <col min="768" max="768" width="5.5703125" style="8" customWidth="1"/>
    <col min="769" max="769" width="9" style="8" customWidth="1"/>
    <col min="770" max="771" width="9.85546875" style="8" customWidth="1"/>
    <col min="772" max="772" width="11.140625" style="8" customWidth="1"/>
    <col min="773" max="773" width="2.85546875" style="8" customWidth="1"/>
    <col min="774" max="774" width="3.5703125" style="8" customWidth="1"/>
    <col min="775" max="1019" width="9.140625" style="8"/>
    <col min="1020" max="1020" width="8.7109375" style="8" customWidth="1"/>
    <col min="1021" max="1021" width="9.85546875" style="8" customWidth="1"/>
    <col min="1022" max="1022" width="14.42578125" style="8" customWidth="1"/>
    <col min="1023" max="1023" width="7.28515625" style="8" customWidth="1"/>
    <col min="1024" max="1024" width="5.5703125" style="8" customWidth="1"/>
    <col min="1025" max="1025" width="9" style="8" customWidth="1"/>
    <col min="1026" max="1027" width="9.85546875" style="8" customWidth="1"/>
    <col min="1028" max="1028" width="11.140625" style="8" customWidth="1"/>
    <col min="1029" max="1029" width="2.85546875" style="8" customWidth="1"/>
    <col min="1030" max="1030" width="3.5703125" style="8" customWidth="1"/>
    <col min="1031" max="1275" width="9.140625" style="8"/>
    <col min="1276" max="1276" width="8.7109375" style="8" customWidth="1"/>
    <col min="1277" max="1277" width="9.85546875" style="8" customWidth="1"/>
    <col min="1278" max="1278" width="14.42578125" style="8" customWidth="1"/>
    <col min="1279" max="1279" width="7.28515625" style="8" customWidth="1"/>
    <col min="1280" max="1280" width="5.5703125" style="8" customWidth="1"/>
    <col min="1281" max="1281" width="9" style="8" customWidth="1"/>
    <col min="1282" max="1283" width="9.85546875" style="8" customWidth="1"/>
    <col min="1284" max="1284" width="11.140625" style="8" customWidth="1"/>
    <col min="1285" max="1285" width="2.85546875" style="8" customWidth="1"/>
    <col min="1286" max="1286" width="3.5703125" style="8" customWidth="1"/>
    <col min="1287" max="1531" width="9.140625" style="8"/>
    <col min="1532" max="1532" width="8.7109375" style="8" customWidth="1"/>
    <col min="1533" max="1533" width="9.85546875" style="8" customWidth="1"/>
    <col min="1534" max="1534" width="14.42578125" style="8" customWidth="1"/>
    <col min="1535" max="1535" width="7.28515625" style="8" customWidth="1"/>
    <col min="1536" max="1536" width="5.5703125" style="8" customWidth="1"/>
    <col min="1537" max="1537" width="9" style="8" customWidth="1"/>
    <col min="1538" max="1539" width="9.85546875" style="8" customWidth="1"/>
    <col min="1540" max="1540" width="11.140625" style="8" customWidth="1"/>
    <col min="1541" max="1541" width="2.85546875" style="8" customWidth="1"/>
    <col min="1542" max="1542" width="3.5703125" style="8" customWidth="1"/>
    <col min="1543" max="1787" width="9.140625" style="8"/>
    <col min="1788" max="1788" width="8.7109375" style="8" customWidth="1"/>
    <col min="1789" max="1789" width="9.85546875" style="8" customWidth="1"/>
    <col min="1790" max="1790" width="14.42578125" style="8" customWidth="1"/>
    <col min="1791" max="1791" width="7.28515625" style="8" customWidth="1"/>
    <col min="1792" max="1792" width="5.5703125" style="8" customWidth="1"/>
    <col min="1793" max="1793" width="9" style="8" customWidth="1"/>
    <col min="1794" max="1795" width="9.85546875" style="8" customWidth="1"/>
    <col min="1796" max="1796" width="11.140625" style="8" customWidth="1"/>
    <col min="1797" max="1797" width="2.85546875" style="8" customWidth="1"/>
    <col min="1798" max="1798" width="3.5703125" style="8" customWidth="1"/>
    <col min="1799" max="2043" width="9.140625" style="8"/>
    <col min="2044" max="2044" width="8.7109375" style="8" customWidth="1"/>
    <col min="2045" max="2045" width="9.85546875" style="8" customWidth="1"/>
    <col min="2046" max="2046" width="14.42578125" style="8" customWidth="1"/>
    <col min="2047" max="2047" width="7.28515625" style="8" customWidth="1"/>
    <col min="2048" max="2048" width="5.5703125" style="8" customWidth="1"/>
    <col min="2049" max="2049" width="9" style="8" customWidth="1"/>
    <col min="2050" max="2051" width="9.85546875" style="8" customWidth="1"/>
    <col min="2052" max="2052" width="11.140625" style="8" customWidth="1"/>
    <col min="2053" max="2053" width="2.85546875" style="8" customWidth="1"/>
    <col min="2054" max="2054" width="3.5703125" style="8" customWidth="1"/>
    <col min="2055" max="2299" width="9.140625" style="8"/>
    <col min="2300" max="2300" width="8.7109375" style="8" customWidth="1"/>
    <col min="2301" max="2301" width="9.85546875" style="8" customWidth="1"/>
    <col min="2302" max="2302" width="14.42578125" style="8" customWidth="1"/>
    <col min="2303" max="2303" width="7.28515625" style="8" customWidth="1"/>
    <col min="2304" max="2304" width="5.5703125" style="8" customWidth="1"/>
    <col min="2305" max="2305" width="9" style="8" customWidth="1"/>
    <col min="2306" max="2307" width="9.85546875" style="8" customWidth="1"/>
    <col min="2308" max="2308" width="11.140625" style="8" customWidth="1"/>
    <col min="2309" max="2309" width="2.85546875" style="8" customWidth="1"/>
    <col min="2310" max="2310" width="3.5703125" style="8" customWidth="1"/>
    <col min="2311" max="2555" width="9.140625" style="8"/>
    <col min="2556" max="2556" width="8.7109375" style="8" customWidth="1"/>
    <col min="2557" max="2557" width="9.85546875" style="8" customWidth="1"/>
    <col min="2558" max="2558" width="14.42578125" style="8" customWidth="1"/>
    <col min="2559" max="2559" width="7.28515625" style="8" customWidth="1"/>
    <col min="2560" max="2560" width="5.5703125" style="8" customWidth="1"/>
    <col min="2561" max="2561" width="9" style="8" customWidth="1"/>
    <col min="2562" max="2563" width="9.85546875" style="8" customWidth="1"/>
    <col min="2564" max="2564" width="11.140625" style="8" customWidth="1"/>
    <col min="2565" max="2565" width="2.85546875" style="8" customWidth="1"/>
    <col min="2566" max="2566" width="3.5703125" style="8" customWidth="1"/>
    <col min="2567" max="2811" width="9.140625" style="8"/>
    <col min="2812" max="2812" width="8.7109375" style="8" customWidth="1"/>
    <col min="2813" max="2813" width="9.85546875" style="8" customWidth="1"/>
    <col min="2814" max="2814" width="14.42578125" style="8" customWidth="1"/>
    <col min="2815" max="2815" width="7.28515625" style="8" customWidth="1"/>
    <col min="2816" max="2816" width="5.5703125" style="8" customWidth="1"/>
    <col min="2817" max="2817" width="9" style="8" customWidth="1"/>
    <col min="2818" max="2819" width="9.85546875" style="8" customWidth="1"/>
    <col min="2820" max="2820" width="11.140625" style="8" customWidth="1"/>
    <col min="2821" max="2821" width="2.85546875" style="8" customWidth="1"/>
    <col min="2822" max="2822" width="3.5703125" style="8" customWidth="1"/>
    <col min="2823" max="3067" width="9.140625" style="8"/>
    <col min="3068" max="3068" width="8.7109375" style="8" customWidth="1"/>
    <col min="3069" max="3069" width="9.85546875" style="8" customWidth="1"/>
    <col min="3070" max="3070" width="14.42578125" style="8" customWidth="1"/>
    <col min="3071" max="3071" width="7.28515625" style="8" customWidth="1"/>
    <col min="3072" max="3072" width="5.5703125" style="8" customWidth="1"/>
    <col min="3073" max="3073" width="9" style="8" customWidth="1"/>
    <col min="3074" max="3075" width="9.85546875" style="8" customWidth="1"/>
    <col min="3076" max="3076" width="11.140625" style="8" customWidth="1"/>
    <col min="3077" max="3077" width="2.85546875" style="8" customWidth="1"/>
    <col min="3078" max="3078" width="3.5703125" style="8" customWidth="1"/>
    <col min="3079" max="3323" width="9.140625" style="8"/>
    <col min="3324" max="3324" width="8.7109375" style="8" customWidth="1"/>
    <col min="3325" max="3325" width="9.85546875" style="8" customWidth="1"/>
    <col min="3326" max="3326" width="14.42578125" style="8" customWidth="1"/>
    <col min="3327" max="3327" width="7.28515625" style="8" customWidth="1"/>
    <col min="3328" max="3328" width="5.5703125" style="8" customWidth="1"/>
    <col min="3329" max="3329" width="9" style="8" customWidth="1"/>
    <col min="3330" max="3331" width="9.85546875" style="8" customWidth="1"/>
    <col min="3332" max="3332" width="11.140625" style="8" customWidth="1"/>
    <col min="3333" max="3333" width="2.85546875" style="8" customWidth="1"/>
    <col min="3334" max="3334" width="3.5703125" style="8" customWidth="1"/>
    <col min="3335" max="3579" width="9.140625" style="8"/>
    <col min="3580" max="3580" width="8.7109375" style="8" customWidth="1"/>
    <col min="3581" max="3581" width="9.85546875" style="8" customWidth="1"/>
    <col min="3582" max="3582" width="14.42578125" style="8" customWidth="1"/>
    <col min="3583" max="3583" width="7.28515625" style="8" customWidth="1"/>
    <col min="3584" max="3584" width="5.5703125" style="8" customWidth="1"/>
    <col min="3585" max="3585" width="9" style="8" customWidth="1"/>
    <col min="3586" max="3587" width="9.85546875" style="8" customWidth="1"/>
    <col min="3588" max="3588" width="11.140625" style="8" customWidth="1"/>
    <col min="3589" max="3589" width="2.85546875" style="8" customWidth="1"/>
    <col min="3590" max="3590" width="3.5703125" style="8" customWidth="1"/>
    <col min="3591" max="3835" width="9.140625" style="8"/>
    <col min="3836" max="3836" width="8.7109375" style="8" customWidth="1"/>
    <col min="3837" max="3837" width="9.85546875" style="8" customWidth="1"/>
    <col min="3838" max="3838" width="14.42578125" style="8" customWidth="1"/>
    <col min="3839" max="3839" width="7.28515625" style="8" customWidth="1"/>
    <col min="3840" max="3840" width="5.5703125" style="8" customWidth="1"/>
    <col min="3841" max="3841" width="9" style="8" customWidth="1"/>
    <col min="3842" max="3843" width="9.85546875" style="8" customWidth="1"/>
    <col min="3844" max="3844" width="11.140625" style="8" customWidth="1"/>
    <col min="3845" max="3845" width="2.85546875" style="8" customWidth="1"/>
    <col min="3846" max="3846" width="3.5703125" style="8" customWidth="1"/>
    <col min="3847" max="4091" width="9.140625" style="8"/>
    <col min="4092" max="4092" width="8.7109375" style="8" customWidth="1"/>
    <col min="4093" max="4093" width="9.85546875" style="8" customWidth="1"/>
    <col min="4094" max="4094" width="14.42578125" style="8" customWidth="1"/>
    <col min="4095" max="4095" width="7.28515625" style="8" customWidth="1"/>
    <col min="4096" max="4096" width="5.5703125" style="8" customWidth="1"/>
    <col min="4097" max="4097" width="9" style="8" customWidth="1"/>
    <col min="4098" max="4099" width="9.85546875" style="8" customWidth="1"/>
    <col min="4100" max="4100" width="11.140625" style="8" customWidth="1"/>
    <col min="4101" max="4101" width="2.85546875" style="8" customWidth="1"/>
    <col min="4102" max="4102" width="3.5703125" style="8" customWidth="1"/>
    <col min="4103" max="4347" width="9.140625" style="8"/>
    <col min="4348" max="4348" width="8.7109375" style="8" customWidth="1"/>
    <col min="4349" max="4349" width="9.85546875" style="8" customWidth="1"/>
    <col min="4350" max="4350" width="14.42578125" style="8" customWidth="1"/>
    <col min="4351" max="4351" width="7.28515625" style="8" customWidth="1"/>
    <col min="4352" max="4352" width="5.5703125" style="8" customWidth="1"/>
    <col min="4353" max="4353" width="9" style="8" customWidth="1"/>
    <col min="4354" max="4355" width="9.85546875" style="8" customWidth="1"/>
    <col min="4356" max="4356" width="11.140625" style="8" customWidth="1"/>
    <col min="4357" max="4357" width="2.85546875" style="8" customWidth="1"/>
    <col min="4358" max="4358" width="3.5703125" style="8" customWidth="1"/>
    <col min="4359" max="4603" width="9.140625" style="8"/>
    <col min="4604" max="4604" width="8.7109375" style="8" customWidth="1"/>
    <col min="4605" max="4605" width="9.85546875" style="8" customWidth="1"/>
    <col min="4606" max="4606" width="14.42578125" style="8" customWidth="1"/>
    <col min="4607" max="4607" width="7.28515625" style="8" customWidth="1"/>
    <col min="4608" max="4608" width="5.5703125" style="8" customWidth="1"/>
    <col min="4609" max="4609" width="9" style="8" customWidth="1"/>
    <col min="4610" max="4611" width="9.85546875" style="8" customWidth="1"/>
    <col min="4612" max="4612" width="11.140625" style="8" customWidth="1"/>
    <col min="4613" max="4613" width="2.85546875" style="8" customWidth="1"/>
    <col min="4614" max="4614" width="3.5703125" style="8" customWidth="1"/>
    <col min="4615" max="4859" width="9.140625" style="8"/>
    <col min="4860" max="4860" width="8.7109375" style="8" customWidth="1"/>
    <col min="4861" max="4861" width="9.85546875" style="8" customWidth="1"/>
    <col min="4862" max="4862" width="14.42578125" style="8" customWidth="1"/>
    <col min="4863" max="4863" width="7.28515625" style="8" customWidth="1"/>
    <col min="4864" max="4864" width="5.5703125" style="8" customWidth="1"/>
    <col min="4865" max="4865" width="9" style="8" customWidth="1"/>
    <col min="4866" max="4867" width="9.85546875" style="8" customWidth="1"/>
    <col min="4868" max="4868" width="11.140625" style="8" customWidth="1"/>
    <col min="4869" max="4869" width="2.85546875" style="8" customWidth="1"/>
    <col min="4870" max="4870" width="3.5703125" style="8" customWidth="1"/>
    <col min="4871" max="5115" width="9.140625" style="8"/>
    <col min="5116" max="5116" width="8.7109375" style="8" customWidth="1"/>
    <col min="5117" max="5117" width="9.85546875" style="8" customWidth="1"/>
    <col min="5118" max="5118" width="14.42578125" style="8" customWidth="1"/>
    <col min="5119" max="5119" width="7.28515625" style="8" customWidth="1"/>
    <col min="5120" max="5120" width="5.5703125" style="8" customWidth="1"/>
    <col min="5121" max="5121" width="9" style="8" customWidth="1"/>
    <col min="5122" max="5123" width="9.85546875" style="8" customWidth="1"/>
    <col min="5124" max="5124" width="11.140625" style="8" customWidth="1"/>
    <col min="5125" max="5125" width="2.85546875" style="8" customWidth="1"/>
    <col min="5126" max="5126" width="3.5703125" style="8" customWidth="1"/>
    <col min="5127" max="5371" width="9.140625" style="8"/>
    <col min="5372" max="5372" width="8.7109375" style="8" customWidth="1"/>
    <col min="5373" max="5373" width="9.85546875" style="8" customWidth="1"/>
    <col min="5374" max="5374" width="14.42578125" style="8" customWidth="1"/>
    <col min="5375" max="5375" width="7.28515625" style="8" customWidth="1"/>
    <col min="5376" max="5376" width="5.5703125" style="8" customWidth="1"/>
    <col min="5377" max="5377" width="9" style="8" customWidth="1"/>
    <col min="5378" max="5379" width="9.85546875" style="8" customWidth="1"/>
    <col min="5380" max="5380" width="11.140625" style="8" customWidth="1"/>
    <col min="5381" max="5381" width="2.85546875" style="8" customWidth="1"/>
    <col min="5382" max="5382" width="3.5703125" style="8" customWidth="1"/>
    <col min="5383" max="5627" width="9.140625" style="8"/>
    <col min="5628" max="5628" width="8.7109375" style="8" customWidth="1"/>
    <col min="5629" max="5629" width="9.85546875" style="8" customWidth="1"/>
    <col min="5630" max="5630" width="14.42578125" style="8" customWidth="1"/>
    <col min="5631" max="5631" width="7.28515625" style="8" customWidth="1"/>
    <col min="5632" max="5632" width="5.5703125" style="8" customWidth="1"/>
    <col min="5633" max="5633" width="9" style="8" customWidth="1"/>
    <col min="5634" max="5635" width="9.85546875" style="8" customWidth="1"/>
    <col min="5636" max="5636" width="11.140625" style="8" customWidth="1"/>
    <col min="5637" max="5637" width="2.85546875" style="8" customWidth="1"/>
    <col min="5638" max="5638" width="3.5703125" style="8" customWidth="1"/>
    <col min="5639" max="5883" width="9.140625" style="8"/>
    <col min="5884" max="5884" width="8.7109375" style="8" customWidth="1"/>
    <col min="5885" max="5885" width="9.85546875" style="8" customWidth="1"/>
    <col min="5886" max="5886" width="14.42578125" style="8" customWidth="1"/>
    <col min="5887" max="5887" width="7.28515625" style="8" customWidth="1"/>
    <col min="5888" max="5888" width="5.5703125" style="8" customWidth="1"/>
    <col min="5889" max="5889" width="9" style="8" customWidth="1"/>
    <col min="5890" max="5891" width="9.85546875" style="8" customWidth="1"/>
    <col min="5892" max="5892" width="11.140625" style="8" customWidth="1"/>
    <col min="5893" max="5893" width="2.85546875" style="8" customWidth="1"/>
    <col min="5894" max="5894" width="3.5703125" style="8" customWidth="1"/>
    <col min="5895" max="6139" width="9.140625" style="8"/>
    <col min="6140" max="6140" width="8.7109375" style="8" customWidth="1"/>
    <col min="6141" max="6141" width="9.85546875" style="8" customWidth="1"/>
    <col min="6142" max="6142" width="14.42578125" style="8" customWidth="1"/>
    <col min="6143" max="6143" width="7.28515625" style="8" customWidth="1"/>
    <col min="6144" max="6144" width="5.5703125" style="8" customWidth="1"/>
    <col min="6145" max="6145" width="9" style="8" customWidth="1"/>
    <col min="6146" max="6147" width="9.85546875" style="8" customWidth="1"/>
    <col min="6148" max="6148" width="11.140625" style="8" customWidth="1"/>
    <col min="6149" max="6149" width="2.85546875" style="8" customWidth="1"/>
    <col min="6150" max="6150" width="3.5703125" style="8" customWidth="1"/>
    <col min="6151" max="6395" width="9.140625" style="8"/>
    <col min="6396" max="6396" width="8.7109375" style="8" customWidth="1"/>
    <col min="6397" max="6397" width="9.85546875" style="8" customWidth="1"/>
    <col min="6398" max="6398" width="14.42578125" style="8" customWidth="1"/>
    <col min="6399" max="6399" width="7.28515625" style="8" customWidth="1"/>
    <col min="6400" max="6400" width="5.5703125" style="8" customWidth="1"/>
    <col min="6401" max="6401" width="9" style="8" customWidth="1"/>
    <col min="6402" max="6403" width="9.85546875" style="8" customWidth="1"/>
    <col min="6404" max="6404" width="11.140625" style="8" customWidth="1"/>
    <col min="6405" max="6405" width="2.85546875" style="8" customWidth="1"/>
    <col min="6406" max="6406" width="3.5703125" style="8" customWidth="1"/>
    <col min="6407" max="6651" width="9.140625" style="8"/>
    <col min="6652" max="6652" width="8.7109375" style="8" customWidth="1"/>
    <col min="6653" max="6653" width="9.85546875" style="8" customWidth="1"/>
    <col min="6654" max="6654" width="14.42578125" style="8" customWidth="1"/>
    <col min="6655" max="6655" width="7.28515625" style="8" customWidth="1"/>
    <col min="6656" max="6656" width="5.5703125" style="8" customWidth="1"/>
    <col min="6657" max="6657" width="9" style="8" customWidth="1"/>
    <col min="6658" max="6659" width="9.85546875" style="8" customWidth="1"/>
    <col min="6660" max="6660" width="11.140625" style="8" customWidth="1"/>
    <col min="6661" max="6661" width="2.85546875" style="8" customWidth="1"/>
    <col min="6662" max="6662" width="3.5703125" style="8" customWidth="1"/>
    <col min="6663" max="6907" width="9.140625" style="8"/>
    <col min="6908" max="6908" width="8.7109375" style="8" customWidth="1"/>
    <col min="6909" max="6909" width="9.85546875" style="8" customWidth="1"/>
    <col min="6910" max="6910" width="14.42578125" style="8" customWidth="1"/>
    <col min="6911" max="6911" width="7.28515625" style="8" customWidth="1"/>
    <col min="6912" max="6912" width="5.5703125" style="8" customWidth="1"/>
    <col min="6913" max="6913" width="9" style="8" customWidth="1"/>
    <col min="6914" max="6915" width="9.85546875" style="8" customWidth="1"/>
    <col min="6916" max="6916" width="11.140625" style="8" customWidth="1"/>
    <col min="6917" max="6917" width="2.85546875" style="8" customWidth="1"/>
    <col min="6918" max="6918" width="3.5703125" style="8" customWidth="1"/>
    <col min="6919" max="7163" width="9.140625" style="8"/>
    <col min="7164" max="7164" width="8.7109375" style="8" customWidth="1"/>
    <col min="7165" max="7165" width="9.85546875" style="8" customWidth="1"/>
    <col min="7166" max="7166" width="14.42578125" style="8" customWidth="1"/>
    <col min="7167" max="7167" width="7.28515625" style="8" customWidth="1"/>
    <col min="7168" max="7168" width="5.5703125" style="8" customWidth="1"/>
    <col min="7169" max="7169" width="9" style="8" customWidth="1"/>
    <col min="7170" max="7171" width="9.85546875" style="8" customWidth="1"/>
    <col min="7172" max="7172" width="11.140625" style="8" customWidth="1"/>
    <col min="7173" max="7173" width="2.85546875" style="8" customWidth="1"/>
    <col min="7174" max="7174" width="3.5703125" style="8" customWidth="1"/>
    <col min="7175" max="7419" width="9.140625" style="8"/>
    <col min="7420" max="7420" width="8.7109375" style="8" customWidth="1"/>
    <col min="7421" max="7421" width="9.85546875" style="8" customWidth="1"/>
    <col min="7422" max="7422" width="14.42578125" style="8" customWidth="1"/>
    <col min="7423" max="7423" width="7.28515625" style="8" customWidth="1"/>
    <col min="7424" max="7424" width="5.5703125" style="8" customWidth="1"/>
    <col min="7425" max="7425" width="9" style="8" customWidth="1"/>
    <col min="7426" max="7427" width="9.85546875" style="8" customWidth="1"/>
    <col min="7428" max="7428" width="11.140625" style="8" customWidth="1"/>
    <col min="7429" max="7429" width="2.85546875" style="8" customWidth="1"/>
    <col min="7430" max="7430" width="3.5703125" style="8" customWidth="1"/>
    <col min="7431" max="7675" width="9.140625" style="8"/>
    <col min="7676" max="7676" width="8.7109375" style="8" customWidth="1"/>
    <col min="7677" max="7677" width="9.85546875" style="8" customWidth="1"/>
    <col min="7678" max="7678" width="14.42578125" style="8" customWidth="1"/>
    <col min="7679" max="7679" width="7.28515625" style="8" customWidth="1"/>
    <col min="7680" max="7680" width="5.5703125" style="8" customWidth="1"/>
    <col min="7681" max="7681" width="9" style="8" customWidth="1"/>
    <col min="7682" max="7683" width="9.85546875" style="8" customWidth="1"/>
    <col min="7684" max="7684" width="11.140625" style="8" customWidth="1"/>
    <col min="7685" max="7685" width="2.85546875" style="8" customWidth="1"/>
    <col min="7686" max="7686" width="3.5703125" style="8" customWidth="1"/>
    <col min="7687" max="7931" width="9.140625" style="8"/>
    <col min="7932" max="7932" width="8.7109375" style="8" customWidth="1"/>
    <col min="7933" max="7933" width="9.85546875" style="8" customWidth="1"/>
    <col min="7934" max="7934" width="14.42578125" style="8" customWidth="1"/>
    <col min="7935" max="7935" width="7.28515625" style="8" customWidth="1"/>
    <col min="7936" max="7936" width="5.5703125" style="8" customWidth="1"/>
    <col min="7937" max="7937" width="9" style="8" customWidth="1"/>
    <col min="7938" max="7939" width="9.85546875" style="8" customWidth="1"/>
    <col min="7940" max="7940" width="11.140625" style="8" customWidth="1"/>
    <col min="7941" max="7941" width="2.85546875" style="8" customWidth="1"/>
    <col min="7942" max="7942" width="3.5703125" style="8" customWidth="1"/>
    <col min="7943" max="8187" width="9.140625" style="8"/>
    <col min="8188" max="8188" width="8.7109375" style="8" customWidth="1"/>
    <col min="8189" max="8189" width="9.85546875" style="8" customWidth="1"/>
    <col min="8190" max="8190" width="14.42578125" style="8" customWidth="1"/>
    <col min="8191" max="8191" width="7.28515625" style="8" customWidth="1"/>
    <col min="8192" max="8192" width="5.5703125" style="8" customWidth="1"/>
    <col min="8193" max="8193" width="9" style="8" customWidth="1"/>
    <col min="8194" max="8195" width="9.85546875" style="8" customWidth="1"/>
    <col min="8196" max="8196" width="11.140625" style="8" customWidth="1"/>
    <col min="8197" max="8197" width="2.85546875" style="8" customWidth="1"/>
    <col min="8198" max="8198" width="3.5703125" style="8" customWidth="1"/>
    <col min="8199" max="8443" width="9.140625" style="8"/>
    <col min="8444" max="8444" width="8.7109375" style="8" customWidth="1"/>
    <col min="8445" max="8445" width="9.85546875" style="8" customWidth="1"/>
    <col min="8446" max="8446" width="14.42578125" style="8" customWidth="1"/>
    <col min="8447" max="8447" width="7.28515625" style="8" customWidth="1"/>
    <col min="8448" max="8448" width="5.5703125" style="8" customWidth="1"/>
    <col min="8449" max="8449" width="9" style="8" customWidth="1"/>
    <col min="8450" max="8451" width="9.85546875" style="8" customWidth="1"/>
    <col min="8452" max="8452" width="11.140625" style="8" customWidth="1"/>
    <col min="8453" max="8453" width="2.85546875" style="8" customWidth="1"/>
    <col min="8454" max="8454" width="3.5703125" style="8" customWidth="1"/>
    <col min="8455" max="8699" width="9.140625" style="8"/>
    <col min="8700" max="8700" width="8.7109375" style="8" customWidth="1"/>
    <col min="8701" max="8701" width="9.85546875" style="8" customWidth="1"/>
    <col min="8702" max="8702" width="14.42578125" style="8" customWidth="1"/>
    <col min="8703" max="8703" width="7.28515625" style="8" customWidth="1"/>
    <col min="8704" max="8704" width="5.5703125" style="8" customWidth="1"/>
    <col min="8705" max="8705" width="9" style="8" customWidth="1"/>
    <col min="8706" max="8707" width="9.85546875" style="8" customWidth="1"/>
    <col min="8708" max="8708" width="11.140625" style="8" customWidth="1"/>
    <col min="8709" max="8709" width="2.85546875" style="8" customWidth="1"/>
    <col min="8710" max="8710" width="3.5703125" style="8" customWidth="1"/>
    <col min="8711" max="8955" width="9.140625" style="8"/>
    <col min="8956" max="8956" width="8.7109375" style="8" customWidth="1"/>
    <col min="8957" max="8957" width="9.85546875" style="8" customWidth="1"/>
    <col min="8958" max="8958" width="14.42578125" style="8" customWidth="1"/>
    <col min="8959" max="8959" width="7.28515625" style="8" customWidth="1"/>
    <col min="8960" max="8960" width="5.5703125" style="8" customWidth="1"/>
    <col min="8961" max="8961" width="9" style="8" customWidth="1"/>
    <col min="8962" max="8963" width="9.85546875" style="8" customWidth="1"/>
    <col min="8964" max="8964" width="11.140625" style="8" customWidth="1"/>
    <col min="8965" max="8965" width="2.85546875" style="8" customWidth="1"/>
    <col min="8966" max="8966" width="3.5703125" style="8" customWidth="1"/>
    <col min="8967" max="9211" width="9.140625" style="8"/>
    <col min="9212" max="9212" width="8.7109375" style="8" customWidth="1"/>
    <col min="9213" max="9213" width="9.85546875" style="8" customWidth="1"/>
    <col min="9214" max="9214" width="14.42578125" style="8" customWidth="1"/>
    <col min="9215" max="9215" width="7.28515625" style="8" customWidth="1"/>
    <col min="9216" max="9216" width="5.5703125" style="8" customWidth="1"/>
    <col min="9217" max="9217" width="9" style="8" customWidth="1"/>
    <col min="9218" max="9219" width="9.85546875" style="8" customWidth="1"/>
    <col min="9220" max="9220" width="11.140625" style="8" customWidth="1"/>
    <col min="9221" max="9221" width="2.85546875" style="8" customWidth="1"/>
    <col min="9222" max="9222" width="3.5703125" style="8" customWidth="1"/>
    <col min="9223" max="9467" width="9.140625" style="8"/>
    <col min="9468" max="9468" width="8.7109375" style="8" customWidth="1"/>
    <col min="9469" max="9469" width="9.85546875" style="8" customWidth="1"/>
    <col min="9470" max="9470" width="14.42578125" style="8" customWidth="1"/>
    <col min="9471" max="9471" width="7.28515625" style="8" customWidth="1"/>
    <col min="9472" max="9472" width="5.5703125" style="8" customWidth="1"/>
    <col min="9473" max="9473" width="9" style="8" customWidth="1"/>
    <col min="9474" max="9475" width="9.85546875" style="8" customWidth="1"/>
    <col min="9476" max="9476" width="11.140625" style="8" customWidth="1"/>
    <col min="9477" max="9477" width="2.85546875" style="8" customWidth="1"/>
    <col min="9478" max="9478" width="3.5703125" style="8" customWidth="1"/>
    <col min="9479" max="9723" width="9.140625" style="8"/>
    <col min="9724" max="9724" width="8.7109375" style="8" customWidth="1"/>
    <col min="9725" max="9725" width="9.85546875" style="8" customWidth="1"/>
    <col min="9726" max="9726" width="14.42578125" style="8" customWidth="1"/>
    <col min="9727" max="9727" width="7.28515625" style="8" customWidth="1"/>
    <col min="9728" max="9728" width="5.5703125" style="8" customWidth="1"/>
    <col min="9729" max="9729" width="9" style="8" customWidth="1"/>
    <col min="9730" max="9731" width="9.85546875" style="8" customWidth="1"/>
    <col min="9732" max="9732" width="11.140625" style="8" customWidth="1"/>
    <col min="9733" max="9733" width="2.85546875" style="8" customWidth="1"/>
    <col min="9734" max="9734" width="3.5703125" style="8" customWidth="1"/>
    <col min="9735" max="9979" width="9.140625" style="8"/>
    <col min="9980" max="9980" width="8.7109375" style="8" customWidth="1"/>
    <col min="9981" max="9981" width="9.85546875" style="8" customWidth="1"/>
    <col min="9982" max="9982" width="14.42578125" style="8" customWidth="1"/>
    <col min="9983" max="9983" width="7.28515625" style="8" customWidth="1"/>
    <col min="9984" max="9984" width="5.5703125" style="8" customWidth="1"/>
    <col min="9985" max="9985" width="9" style="8" customWidth="1"/>
    <col min="9986" max="9987" width="9.85546875" style="8" customWidth="1"/>
    <col min="9988" max="9988" width="11.140625" style="8" customWidth="1"/>
    <col min="9989" max="9989" width="2.85546875" style="8" customWidth="1"/>
    <col min="9990" max="9990" width="3.5703125" style="8" customWidth="1"/>
    <col min="9991" max="10235" width="9.140625" style="8"/>
    <col min="10236" max="10236" width="8.7109375" style="8" customWidth="1"/>
    <col min="10237" max="10237" width="9.85546875" style="8" customWidth="1"/>
    <col min="10238" max="10238" width="14.42578125" style="8" customWidth="1"/>
    <col min="10239" max="10239" width="7.28515625" style="8" customWidth="1"/>
    <col min="10240" max="10240" width="5.5703125" style="8" customWidth="1"/>
    <col min="10241" max="10241" width="9" style="8" customWidth="1"/>
    <col min="10242" max="10243" width="9.85546875" style="8" customWidth="1"/>
    <col min="10244" max="10244" width="11.140625" style="8" customWidth="1"/>
    <col min="10245" max="10245" width="2.85546875" style="8" customWidth="1"/>
    <col min="10246" max="10246" width="3.5703125" style="8" customWidth="1"/>
    <col min="10247" max="10491" width="9.140625" style="8"/>
    <col min="10492" max="10492" width="8.7109375" style="8" customWidth="1"/>
    <col min="10493" max="10493" width="9.85546875" style="8" customWidth="1"/>
    <col min="10494" max="10494" width="14.42578125" style="8" customWidth="1"/>
    <col min="10495" max="10495" width="7.28515625" style="8" customWidth="1"/>
    <col min="10496" max="10496" width="5.5703125" style="8" customWidth="1"/>
    <col min="10497" max="10497" width="9" style="8" customWidth="1"/>
    <col min="10498" max="10499" width="9.85546875" style="8" customWidth="1"/>
    <col min="10500" max="10500" width="11.140625" style="8" customWidth="1"/>
    <col min="10501" max="10501" width="2.85546875" style="8" customWidth="1"/>
    <col min="10502" max="10502" width="3.5703125" style="8" customWidth="1"/>
    <col min="10503" max="10747" width="9.140625" style="8"/>
    <col min="10748" max="10748" width="8.7109375" style="8" customWidth="1"/>
    <col min="10749" max="10749" width="9.85546875" style="8" customWidth="1"/>
    <col min="10750" max="10750" width="14.42578125" style="8" customWidth="1"/>
    <col min="10751" max="10751" width="7.28515625" style="8" customWidth="1"/>
    <col min="10752" max="10752" width="5.5703125" style="8" customWidth="1"/>
    <col min="10753" max="10753" width="9" style="8" customWidth="1"/>
    <col min="10754" max="10755" width="9.85546875" style="8" customWidth="1"/>
    <col min="10756" max="10756" width="11.140625" style="8" customWidth="1"/>
    <col min="10757" max="10757" width="2.85546875" style="8" customWidth="1"/>
    <col min="10758" max="10758" width="3.5703125" style="8" customWidth="1"/>
    <col min="10759" max="11003" width="9.140625" style="8"/>
    <col min="11004" max="11004" width="8.7109375" style="8" customWidth="1"/>
    <col min="11005" max="11005" width="9.85546875" style="8" customWidth="1"/>
    <col min="11006" max="11006" width="14.42578125" style="8" customWidth="1"/>
    <col min="11007" max="11007" width="7.28515625" style="8" customWidth="1"/>
    <col min="11008" max="11008" width="5.5703125" style="8" customWidth="1"/>
    <col min="11009" max="11009" width="9" style="8" customWidth="1"/>
    <col min="11010" max="11011" width="9.85546875" style="8" customWidth="1"/>
    <col min="11012" max="11012" width="11.140625" style="8" customWidth="1"/>
    <col min="11013" max="11013" width="2.85546875" style="8" customWidth="1"/>
    <col min="11014" max="11014" width="3.5703125" style="8" customWidth="1"/>
    <col min="11015" max="11259" width="9.140625" style="8"/>
    <col min="11260" max="11260" width="8.7109375" style="8" customWidth="1"/>
    <col min="11261" max="11261" width="9.85546875" style="8" customWidth="1"/>
    <col min="11262" max="11262" width="14.42578125" style="8" customWidth="1"/>
    <col min="11263" max="11263" width="7.28515625" style="8" customWidth="1"/>
    <col min="11264" max="11264" width="5.5703125" style="8" customWidth="1"/>
    <col min="11265" max="11265" width="9" style="8" customWidth="1"/>
    <col min="11266" max="11267" width="9.85546875" style="8" customWidth="1"/>
    <col min="11268" max="11268" width="11.140625" style="8" customWidth="1"/>
    <col min="11269" max="11269" width="2.85546875" style="8" customWidth="1"/>
    <col min="11270" max="11270" width="3.5703125" style="8" customWidth="1"/>
    <col min="11271" max="11515" width="9.140625" style="8"/>
    <col min="11516" max="11516" width="8.7109375" style="8" customWidth="1"/>
    <col min="11517" max="11517" width="9.85546875" style="8" customWidth="1"/>
    <col min="11518" max="11518" width="14.42578125" style="8" customWidth="1"/>
    <col min="11519" max="11519" width="7.28515625" style="8" customWidth="1"/>
    <col min="11520" max="11520" width="5.5703125" style="8" customWidth="1"/>
    <col min="11521" max="11521" width="9" style="8" customWidth="1"/>
    <col min="11522" max="11523" width="9.85546875" style="8" customWidth="1"/>
    <col min="11524" max="11524" width="11.140625" style="8" customWidth="1"/>
    <col min="11525" max="11525" width="2.85546875" style="8" customWidth="1"/>
    <col min="11526" max="11526" width="3.5703125" style="8" customWidth="1"/>
    <col min="11527" max="11771" width="9.140625" style="8"/>
    <col min="11772" max="11772" width="8.7109375" style="8" customWidth="1"/>
    <col min="11773" max="11773" width="9.85546875" style="8" customWidth="1"/>
    <col min="11774" max="11774" width="14.42578125" style="8" customWidth="1"/>
    <col min="11775" max="11775" width="7.28515625" style="8" customWidth="1"/>
    <col min="11776" max="11776" width="5.5703125" style="8" customWidth="1"/>
    <col min="11777" max="11777" width="9" style="8" customWidth="1"/>
    <col min="11778" max="11779" width="9.85546875" style="8" customWidth="1"/>
    <col min="11780" max="11780" width="11.140625" style="8" customWidth="1"/>
    <col min="11781" max="11781" width="2.85546875" style="8" customWidth="1"/>
    <col min="11782" max="11782" width="3.5703125" style="8" customWidth="1"/>
    <col min="11783" max="12027" width="9.140625" style="8"/>
    <col min="12028" max="12028" width="8.7109375" style="8" customWidth="1"/>
    <col min="12029" max="12029" width="9.85546875" style="8" customWidth="1"/>
    <col min="12030" max="12030" width="14.42578125" style="8" customWidth="1"/>
    <col min="12031" max="12031" width="7.28515625" style="8" customWidth="1"/>
    <col min="12032" max="12032" width="5.5703125" style="8" customWidth="1"/>
    <col min="12033" max="12033" width="9" style="8" customWidth="1"/>
    <col min="12034" max="12035" width="9.85546875" style="8" customWidth="1"/>
    <col min="12036" max="12036" width="11.140625" style="8" customWidth="1"/>
    <col min="12037" max="12037" width="2.85546875" style="8" customWidth="1"/>
    <col min="12038" max="12038" width="3.5703125" style="8" customWidth="1"/>
    <col min="12039" max="12283" width="9.140625" style="8"/>
    <col min="12284" max="12284" width="8.7109375" style="8" customWidth="1"/>
    <col min="12285" max="12285" width="9.85546875" style="8" customWidth="1"/>
    <col min="12286" max="12286" width="14.42578125" style="8" customWidth="1"/>
    <col min="12287" max="12287" width="7.28515625" style="8" customWidth="1"/>
    <col min="12288" max="12288" width="5.5703125" style="8" customWidth="1"/>
    <col min="12289" max="12289" width="9" style="8" customWidth="1"/>
    <col min="12290" max="12291" width="9.85546875" style="8" customWidth="1"/>
    <col min="12292" max="12292" width="11.140625" style="8" customWidth="1"/>
    <col min="12293" max="12293" width="2.85546875" style="8" customWidth="1"/>
    <col min="12294" max="12294" width="3.5703125" style="8" customWidth="1"/>
    <col min="12295" max="12539" width="9.140625" style="8"/>
    <col min="12540" max="12540" width="8.7109375" style="8" customWidth="1"/>
    <col min="12541" max="12541" width="9.85546875" style="8" customWidth="1"/>
    <col min="12542" max="12542" width="14.42578125" style="8" customWidth="1"/>
    <col min="12543" max="12543" width="7.28515625" style="8" customWidth="1"/>
    <col min="12544" max="12544" width="5.5703125" style="8" customWidth="1"/>
    <col min="12545" max="12545" width="9" style="8" customWidth="1"/>
    <col min="12546" max="12547" width="9.85546875" style="8" customWidth="1"/>
    <col min="12548" max="12548" width="11.140625" style="8" customWidth="1"/>
    <col min="12549" max="12549" width="2.85546875" style="8" customWidth="1"/>
    <col min="12550" max="12550" width="3.5703125" style="8" customWidth="1"/>
    <col min="12551" max="12795" width="9.140625" style="8"/>
    <col min="12796" max="12796" width="8.7109375" style="8" customWidth="1"/>
    <col min="12797" max="12797" width="9.85546875" style="8" customWidth="1"/>
    <col min="12798" max="12798" width="14.42578125" style="8" customWidth="1"/>
    <col min="12799" max="12799" width="7.28515625" style="8" customWidth="1"/>
    <col min="12800" max="12800" width="5.5703125" style="8" customWidth="1"/>
    <col min="12801" max="12801" width="9" style="8" customWidth="1"/>
    <col min="12802" max="12803" width="9.85546875" style="8" customWidth="1"/>
    <col min="12804" max="12804" width="11.140625" style="8" customWidth="1"/>
    <col min="12805" max="12805" width="2.85546875" style="8" customWidth="1"/>
    <col min="12806" max="12806" width="3.5703125" style="8" customWidth="1"/>
    <col min="12807" max="13051" width="9.140625" style="8"/>
    <col min="13052" max="13052" width="8.7109375" style="8" customWidth="1"/>
    <col min="13053" max="13053" width="9.85546875" style="8" customWidth="1"/>
    <col min="13054" max="13054" width="14.42578125" style="8" customWidth="1"/>
    <col min="13055" max="13055" width="7.28515625" style="8" customWidth="1"/>
    <col min="13056" max="13056" width="5.5703125" style="8" customWidth="1"/>
    <col min="13057" max="13057" width="9" style="8" customWidth="1"/>
    <col min="13058" max="13059" width="9.85546875" style="8" customWidth="1"/>
    <col min="13060" max="13060" width="11.140625" style="8" customWidth="1"/>
    <col min="13061" max="13061" width="2.85546875" style="8" customWidth="1"/>
    <col min="13062" max="13062" width="3.5703125" style="8" customWidth="1"/>
    <col min="13063" max="13307" width="9.140625" style="8"/>
    <col min="13308" max="13308" width="8.7109375" style="8" customWidth="1"/>
    <col min="13309" max="13309" width="9.85546875" style="8" customWidth="1"/>
    <col min="13310" max="13310" width="14.42578125" style="8" customWidth="1"/>
    <col min="13311" max="13311" width="7.28515625" style="8" customWidth="1"/>
    <col min="13312" max="13312" width="5.5703125" style="8" customWidth="1"/>
    <col min="13313" max="13313" width="9" style="8" customWidth="1"/>
    <col min="13314" max="13315" width="9.85546875" style="8" customWidth="1"/>
    <col min="13316" max="13316" width="11.140625" style="8" customWidth="1"/>
    <col min="13317" max="13317" width="2.85546875" style="8" customWidth="1"/>
    <col min="13318" max="13318" width="3.5703125" style="8" customWidth="1"/>
    <col min="13319" max="13563" width="9.140625" style="8"/>
    <col min="13564" max="13564" width="8.7109375" style="8" customWidth="1"/>
    <col min="13565" max="13565" width="9.85546875" style="8" customWidth="1"/>
    <col min="13566" max="13566" width="14.42578125" style="8" customWidth="1"/>
    <col min="13567" max="13567" width="7.28515625" style="8" customWidth="1"/>
    <col min="13568" max="13568" width="5.5703125" style="8" customWidth="1"/>
    <col min="13569" max="13569" width="9" style="8" customWidth="1"/>
    <col min="13570" max="13571" width="9.85546875" style="8" customWidth="1"/>
    <col min="13572" max="13572" width="11.140625" style="8" customWidth="1"/>
    <col min="13573" max="13573" width="2.85546875" style="8" customWidth="1"/>
    <col min="13574" max="13574" width="3.5703125" style="8" customWidth="1"/>
    <col min="13575" max="13819" width="9.140625" style="8"/>
    <col min="13820" max="13820" width="8.7109375" style="8" customWidth="1"/>
    <col min="13821" max="13821" width="9.85546875" style="8" customWidth="1"/>
    <col min="13822" max="13822" width="14.42578125" style="8" customWidth="1"/>
    <col min="13823" max="13823" width="7.28515625" style="8" customWidth="1"/>
    <col min="13824" max="13824" width="5.5703125" style="8" customWidth="1"/>
    <col min="13825" max="13825" width="9" style="8" customWidth="1"/>
    <col min="13826" max="13827" width="9.85546875" style="8" customWidth="1"/>
    <col min="13828" max="13828" width="11.140625" style="8" customWidth="1"/>
    <col min="13829" max="13829" width="2.85546875" style="8" customWidth="1"/>
    <col min="13830" max="13830" width="3.5703125" style="8" customWidth="1"/>
    <col min="13831" max="14075" width="9.140625" style="8"/>
    <col min="14076" max="14076" width="8.7109375" style="8" customWidth="1"/>
    <col min="14077" max="14077" width="9.85546875" style="8" customWidth="1"/>
    <col min="14078" max="14078" width="14.42578125" style="8" customWidth="1"/>
    <col min="14079" max="14079" width="7.28515625" style="8" customWidth="1"/>
    <col min="14080" max="14080" width="5.5703125" style="8" customWidth="1"/>
    <col min="14081" max="14081" width="9" style="8" customWidth="1"/>
    <col min="14082" max="14083" width="9.85546875" style="8" customWidth="1"/>
    <col min="14084" max="14084" width="11.140625" style="8" customWidth="1"/>
    <col min="14085" max="14085" width="2.85546875" style="8" customWidth="1"/>
    <col min="14086" max="14086" width="3.5703125" style="8" customWidth="1"/>
    <col min="14087" max="14331" width="9.140625" style="8"/>
    <col min="14332" max="14332" width="8.7109375" style="8" customWidth="1"/>
    <col min="14333" max="14333" width="9.85546875" style="8" customWidth="1"/>
    <col min="14334" max="14334" width="14.42578125" style="8" customWidth="1"/>
    <col min="14335" max="14335" width="7.28515625" style="8" customWidth="1"/>
    <col min="14336" max="14336" width="5.5703125" style="8" customWidth="1"/>
    <col min="14337" max="14337" width="9" style="8" customWidth="1"/>
    <col min="14338" max="14339" width="9.85546875" style="8" customWidth="1"/>
    <col min="14340" max="14340" width="11.140625" style="8" customWidth="1"/>
    <col min="14341" max="14341" width="2.85546875" style="8" customWidth="1"/>
    <col min="14342" max="14342" width="3.5703125" style="8" customWidth="1"/>
    <col min="14343" max="14587" width="9.140625" style="8"/>
    <col min="14588" max="14588" width="8.7109375" style="8" customWidth="1"/>
    <col min="14589" max="14589" width="9.85546875" style="8" customWidth="1"/>
    <col min="14590" max="14590" width="14.42578125" style="8" customWidth="1"/>
    <col min="14591" max="14591" width="7.28515625" style="8" customWidth="1"/>
    <col min="14592" max="14592" width="5.5703125" style="8" customWidth="1"/>
    <col min="14593" max="14593" width="9" style="8" customWidth="1"/>
    <col min="14594" max="14595" width="9.85546875" style="8" customWidth="1"/>
    <col min="14596" max="14596" width="11.140625" style="8" customWidth="1"/>
    <col min="14597" max="14597" width="2.85546875" style="8" customWidth="1"/>
    <col min="14598" max="14598" width="3.5703125" style="8" customWidth="1"/>
    <col min="14599" max="14843" width="9.140625" style="8"/>
    <col min="14844" max="14844" width="8.7109375" style="8" customWidth="1"/>
    <col min="14845" max="14845" width="9.85546875" style="8" customWidth="1"/>
    <col min="14846" max="14846" width="14.42578125" style="8" customWidth="1"/>
    <col min="14847" max="14847" width="7.28515625" style="8" customWidth="1"/>
    <col min="14848" max="14848" width="5.5703125" style="8" customWidth="1"/>
    <col min="14849" max="14849" width="9" style="8" customWidth="1"/>
    <col min="14850" max="14851" width="9.85546875" style="8" customWidth="1"/>
    <col min="14852" max="14852" width="11.140625" style="8" customWidth="1"/>
    <col min="14853" max="14853" width="2.85546875" style="8" customWidth="1"/>
    <col min="14854" max="14854" width="3.5703125" style="8" customWidth="1"/>
    <col min="14855" max="15099" width="9.140625" style="8"/>
    <col min="15100" max="15100" width="8.7109375" style="8" customWidth="1"/>
    <col min="15101" max="15101" width="9.85546875" style="8" customWidth="1"/>
    <col min="15102" max="15102" width="14.42578125" style="8" customWidth="1"/>
    <col min="15103" max="15103" width="7.28515625" style="8" customWidth="1"/>
    <col min="15104" max="15104" width="5.5703125" style="8" customWidth="1"/>
    <col min="15105" max="15105" width="9" style="8" customWidth="1"/>
    <col min="15106" max="15107" width="9.85546875" style="8" customWidth="1"/>
    <col min="15108" max="15108" width="11.140625" style="8" customWidth="1"/>
    <col min="15109" max="15109" width="2.85546875" style="8" customWidth="1"/>
    <col min="15110" max="15110" width="3.5703125" style="8" customWidth="1"/>
    <col min="15111" max="15355" width="9.140625" style="8"/>
    <col min="15356" max="15356" width="8.7109375" style="8" customWidth="1"/>
    <col min="15357" max="15357" width="9.85546875" style="8" customWidth="1"/>
    <col min="15358" max="15358" width="14.42578125" style="8" customWidth="1"/>
    <col min="15359" max="15359" width="7.28515625" style="8" customWidth="1"/>
    <col min="15360" max="15360" width="5.5703125" style="8" customWidth="1"/>
    <col min="15361" max="15361" width="9" style="8" customWidth="1"/>
    <col min="15362" max="15363" width="9.85546875" style="8" customWidth="1"/>
    <col min="15364" max="15364" width="11.140625" style="8" customWidth="1"/>
    <col min="15365" max="15365" width="2.85546875" style="8" customWidth="1"/>
    <col min="15366" max="15366" width="3.5703125" style="8" customWidth="1"/>
    <col min="15367" max="15611" width="9.140625" style="8"/>
    <col min="15612" max="15612" width="8.7109375" style="8" customWidth="1"/>
    <col min="15613" max="15613" width="9.85546875" style="8" customWidth="1"/>
    <col min="15614" max="15614" width="14.42578125" style="8" customWidth="1"/>
    <col min="15615" max="15615" width="7.28515625" style="8" customWidth="1"/>
    <col min="15616" max="15616" width="5.5703125" style="8" customWidth="1"/>
    <col min="15617" max="15617" width="9" style="8" customWidth="1"/>
    <col min="15618" max="15619" width="9.85546875" style="8" customWidth="1"/>
    <col min="15620" max="15620" width="11.140625" style="8" customWidth="1"/>
    <col min="15621" max="15621" width="2.85546875" style="8" customWidth="1"/>
    <col min="15622" max="15622" width="3.5703125" style="8" customWidth="1"/>
    <col min="15623" max="15867" width="9.140625" style="8"/>
    <col min="15868" max="15868" width="8.7109375" style="8" customWidth="1"/>
    <col min="15869" max="15869" width="9.85546875" style="8" customWidth="1"/>
    <col min="15870" max="15870" width="14.42578125" style="8" customWidth="1"/>
    <col min="15871" max="15871" width="7.28515625" style="8" customWidth="1"/>
    <col min="15872" max="15872" width="5.5703125" style="8" customWidth="1"/>
    <col min="15873" max="15873" width="9" style="8" customWidth="1"/>
    <col min="15874" max="15875" width="9.85546875" style="8" customWidth="1"/>
    <col min="15876" max="15876" width="11.140625" style="8" customWidth="1"/>
    <col min="15877" max="15877" width="2.85546875" style="8" customWidth="1"/>
    <col min="15878" max="15878" width="3.5703125" style="8" customWidth="1"/>
    <col min="15879" max="16123" width="9.140625" style="8"/>
    <col min="16124" max="16124" width="8.7109375" style="8" customWidth="1"/>
    <col min="16125" max="16125" width="9.85546875" style="8" customWidth="1"/>
    <col min="16126" max="16126" width="14.42578125" style="8" customWidth="1"/>
    <col min="16127" max="16127" width="7.28515625" style="8" customWidth="1"/>
    <col min="16128" max="16128" width="5.5703125" style="8" customWidth="1"/>
    <col min="16129" max="16129" width="9" style="8" customWidth="1"/>
    <col min="16130" max="16131" width="9.85546875" style="8" customWidth="1"/>
    <col min="16132" max="16132" width="11.140625" style="8" customWidth="1"/>
    <col min="16133" max="16133" width="2.85546875" style="8" customWidth="1"/>
    <col min="16134" max="16134" width="3.5703125" style="8" customWidth="1"/>
    <col min="16135" max="16384" width="9.140625" style="8"/>
  </cols>
  <sheetData>
    <row r="1" spans="1:12" ht="46.5" customHeight="1" x14ac:dyDescent="0.25">
      <c r="A1" s="137" t="s">
        <v>280</v>
      </c>
      <c r="B1" s="137"/>
      <c r="C1" s="137"/>
      <c r="D1" s="137"/>
      <c r="E1" s="137"/>
      <c r="F1" s="137"/>
      <c r="G1" s="137"/>
      <c r="H1" s="137"/>
    </row>
    <row r="2" spans="1:12" ht="16.5" customHeight="1" x14ac:dyDescent="0.25">
      <c r="A2" s="138" t="s">
        <v>0</v>
      </c>
      <c r="B2" s="138"/>
      <c r="C2" s="138"/>
      <c r="D2" s="138"/>
      <c r="E2" s="138"/>
      <c r="F2" s="138"/>
      <c r="G2" s="138"/>
      <c r="H2" s="138"/>
    </row>
    <row r="3" spans="1:12" x14ac:dyDescent="0.25">
      <c r="A3" s="80" t="s">
        <v>1</v>
      </c>
      <c r="B3" s="80"/>
      <c r="C3" s="80"/>
      <c r="D3" s="80"/>
      <c r="E3" s="135" t="str">
        <f ca="1">TEXT(TODAY(),"DD/MM/YYYY")</f>
        <v>13/09/2025</v>
      </c>
      <c r="F3" s="135"/>
      <c r="G3" s="135"/>
      <c r="H3" s="135"/>
    </row>
    <row r="4" spans="1:12" ht="15" customHeight="1" x14ac:dyDescent="0.25">
      <c r="A4" s="80" t="s">
        <v>2</v>
      </c>
      <c r="B4" s="80"/>
      <c r="C4" s="80"/>
      <c r="D4" s="80"/>
      <c r="E4" s="139" t="s">
        <v>152</v>
      </c>
      <c r="F4" s="139"/>
      <c r="G4" s="139"/>
      <c r="H4" s="139"/>
    </row>
    <row r="5" spans="1:12" x14ac:dyDescent="0.25">
      <c r="A5" s="80" t="s">
        <v>3</v>
      </c>
      <c r="B5" s="80"/>
      <c r="C5" s="80"/>
      <c r="D5" s="80"/>
      <c r="E5" s="135">
        <v>45907</v>
      </c>
      <c r="F5" s="135"/>
      <c r="G5" s="135"/>
      <c r="H5" s="135"/>
    </row>
    <row r="6" spans="1:12" x14ac:dyDescent="0.25">
      <c r="A6" s="80" t="s">
        <v>4</v>
      </c>
      <c r="B6" s="80"/>
      <c r="C6" s="80"/>
      <c r="D6" s="80"/>
      <c r="E6" s="136" t="s">
        <v>179</v>
      </c>
      <c r="F6" s="136"/>
      <c r="G6" s="136"/>
      <c r="H6" s="136"/>
    </row>
    <row r="7" spans="1:12" x14ac:dyDescent="0.25">
      <c r="A7" s="80" t="s">
        <v>5</v>
      </c>
      <c r="B7" s="80"/>
      <c r="C7" s="80"/>
      <c r="D7" s="80"/>
      <c r="E7" s="136" t="str">
        <f>E6</f>
        <v>Thalia Vastu Infra Projects</v>
      </c>
      <c r="F7" s="136"/>
      <c r="G7" s="136"/>
      <c r="H7" s="136"/>
    </row>
    <row r="8" spans="1:12" x14ac:dyDescent="0.25">
      <c r="A8" s="80" t="s">
        <v>6</v>
      </c>
      <c r="B8" s="80"/>
      <c r="C8" s="80"/>
      <c r="D8" s="80"/>
      <c r="E8" s="133" t="s">
        <v>182</v>
      </c>
      <c r="F8" s="133"/>
      <c r="G8" s="133"/>
      <c r="H8" s="133"/>
    </row>
    <row r="9" spans="1:12" x14ac:dyDescent="0.25">
      <c r="A9" s="80" t="s">
        <v>279</v>
      </c>
      <c r="B9" s="80"/>
      <c r="C9" s="80"/>
      <c r="D9" s="80"/>
      <c r="E9" s="80" t="s">
        <v>178</v>
      </c>
      <c r="F9" s="80"/>
      <c r="G9" s="80"/>
      <c r="H9" s="80"/>
    </row>
    <row r="10" spans="1:12" x14ac:dyDescent="0.25">
      <c r="A10" s="80" t="s">
        <v>281</v>
      </c>
      <c r="B10" s="80"/>
      <c r="C10" s="80"/>
      <c r="D10" s="80"/>
      <c r="E10" s="80" t="s">
        <v>31</v>
      </c>
      <c r="F10" s="80"/>
      <c r="G10" s="80"/>
      <c r="H10" s="80"/>
      <c r="I10" s="80" t="s">
        <v>284</v>
      </c>
      <c r="J10" s="80"/>
      <c r="K10" s="80"/>
      <c r="L10" s="80"/>
    </row>
    <row r="11" spans="1:12" ht="65.25" customHeight="1" x14ac:dyDescent="0.25">
      <c r="A11" s="140" t="s">
        <v>7</v>
      </c>
      <c r="B11" s="140"/>
      <c r="C11" s="140"/>
      <c r="D11" s="140"/>
      <c r="E11" s="141" t="s">
        <v>258</v>
      </c>
      <c r="F11" s="140"/>
      <c r="G11" s="140"/>
      <c r="H11" s="140"/>
    </row>
    <row r="12" spans="1:12" x14ac:dyDescent="0.25">
      <c r="A12" s="80" t="s">
        <v>8</v>
      </c>
      <c r="B12" s="80"/>
      <c r="C12" s="80"/>
      <c r="D12" s="80"/>
      <c r="E12" s="141" t="s">
        <v>180</v>
      </c>
      <c r="F12" s="141"/>
      <c r="G12" s="141"/>
      <c r="H12" s="141"/>
    </row>
    <row r="13" spans="1:12" x14ac:dyDescent="0.25">
      <c r="A13" s="80" t="s">
        <v>9</v>
      </c>
      <c r="B13" s="80"/>
      <c r="C13" s="80"/>
      <c r="D13" s="80"/>
      <c r="E13" s="141" t="s">
        <v>246</v>
      </c>
      <c r="F13" s="140"/>
      <c r="G13" s="140"/>
      <c r="H13" s="140"/>
    </row>
    <row r="14" spans="1:12" ht="33" customHeight="1" x14ac:dyDescent="0.25">
      <c r="A14" s="136" t="s">
        <v>10</v>
      </c>
      <c r="B14" s="136"/>
      <c r="C14" s="136" t="str">
        <f>CONCATENATE((IF(OR(E8="",E8="NA"),"",E8)),", ",(IF(OR(A15="",A15="NA"),"",A15)),".",(IF(OR(C15="",C15="NA"),"",C15)),", ",(IF(OR(C16="",C16="NA"),"",C16)),", ",(IF(OR(G16="",G16="NA"),"",G16)),", ",(IF(OR(C17="",C17="NA"),"",C17)),", ",(IF(OR(C18="",C18="NA"),"",C18)),", ",(IF(OR(G17="",G17="NA"),"",G17)),".")</f>
        <v>Vrindavan Flora, Gut No.17/1 B,18/1, 18/2, 19, 20, 21, 22, 24, 25, 26, 27 &amp; 28, Dand Apta Road, Chambharli, Khalapur, Khalapur, Raigad.</v>
      </c>
      <c r="D14" s="136"/>
      <c r="E14" s="136"/>
      <c r="F14" s="136"/>
      <c r="G14" s="136"/>
      <c r="H14" s="136"/>
    </row>
    <row r="15" spans="1:12" ht="15.75" customHeight="1" x14ac:dyDescent="0.25">
      <c r="A15" s="141" t="s">
        <v>177</v>
      </c>
      <c r="B15" s="141"/>
      <c r="C15" s="141" t="s">
        <v>176</v>
      </c>
      <c r="D15" s="141"/>
      <c r="E15" s="141"/>
      <c r="F15" s="141"/>
      <c r="G15" s="141"/>
      <c r="H15" s="141"/>
    </row>
    <row r="16" spans="1:12" ht="15.75" customHeight="1" x14ac:dyDescent="0.25">
      <c r="A16" s="136" t="s">
        <v>11</v>
      </c>
      <c r="B16" s="136"/>
      <c r="C16" s="140" t="s">
        <v>175</v>
      </c>
      <c r="D16" s="140"/>
      <c r="E16" s="136" t="s">
        <v>106</v>
      </c>
      <c r="F16" s="136"/>
      <c r="G16" s="141" t="s">
        <v>160</v>
      </c>
      <c r="H16" s="141"/>
    </row>
    <row r="17" spans="1:8" x14ac:dyDescent="0.25">
      <c r="A17" s="80" t="s">
        <v>13</v>
      </c>
      <c r="B17" s="80"/>
      <c r="C17" s="141" t="s">
        <v>161</v>
      </c>
      <c r="D17" s="141"/>
      <c r="E17" s="136" t="s">
        <v>12</v>
      </c>
      <c r="F17" s="136"/>
      <c r="G17" s="142" t="s">
        <v>155</v>
      </c>
      <c r="H17" s="142"/>
    </row>
    <row r="18" spans="1:8" x14ac:dyDescent="0.25">
      <c r="A18" s="80" t="s">
        <v>107</v>
      </c>
      <c r="B18" s="80"/>
      <c r="C18" s="141" t="s">
        <v>161</v>
      </c>
      <c r="D18" s="141"/>
      <c r="E18" s="136" t="s">
        <v>14</v>
      </c>
      <c r="F18" s="136"/>
      <c r="G18" s="141">
        <v>410202</v>
      </c>
      <c r="H18" s="141"/>
    </row>
    <row r="19" spans="1:8" ht="32.25" customHeight="1" x14ac:dyDescent="0.25">
      <c r="A19" s="80" t="s">
        <v>15</v>
      </c>
      <c r="B19" s="80"/>
      <c r="C19" s="143" t="s">
        <v>156</v>
      </c>
      <c r="D19" s="143"/>
      <c r="E19" s="136" t="s">
        <v>16</v>
      </c>
      <c r="F19" s="136"/>
      <c r="G19" s="141" t="s">
        <v>162</v>
      </c>
      <c r="H19" s="141"/>
    </row>
    <row r="20" spans="1:8" ht="15" customHeight="1" x14ac:dyDescent="0.25">
      <c r="A20" s="136" t="s">
        <v>113</v>
      </c>
      <c r="B20" s="136"/>
      <c r="C20" s="136"/>
      <c r="D20" s="136"/>
      <c r="E20" s="140" t="s">
        <v>17</v>
      </c>
      <c r="F20" s="140"/>
      <c r="G20" s="140"/>
      <c r="H20" s="140"/>
    </row>
    <row r="21" spans="1:8" x14ac:dyDescent="0.25">
      <c r="A21" s="136"/>
      <c r="B21" s="136"/>
      <c r="C21" s="136"/>
      <c r="D21" s="136"/>
      <c r="E21" s="140"/>
      <c r="F21" s="140"/>
      <c r="G21" s="140"/>
      <c r="H21" s="140"/>
    </row>
    <row r="22" spans="1:8" ht="15" customHeight="1" x14ac:dyDescent="0.25">
      <c r="A22" s="136" t="s">
        <v>18</v>
      </c>
      <c r="B22" s="136"/>
      <c r="C22" s="136"/>
      <c r="D22" s="136"/>
      <c r="E22" s="141" t="s">
        <v>19</v>
      </c>
      <c r="F22" s="141"/>
      <c r="G22" s="141"/>
      <c r="H22" s="141"/>
    </row>
    <row r="23" spans="1:8" ht="15" customHeight="1" x14ac:dyDescent="0.25">
      <c r="A23" s="80" t="s">
        <v>20</v>
      </c>
      <c r="B23" s="80"/>
      <c r="C23" s="80"/>
      <c r="D23" s="80"/>
      <c r="E23" s="141" t="s">
        <v>153</v>
      </c>
      <c r="F23" s="141"/>
      <c r="G23" s="141"/>
      <c r="H23" s="141"/>
    </row>
    <row r="24" spans="1:8" x14ac:dyDescent="0.25">
      <c r="A24" s="80" t="s">
        <v>21</v>
      </c>
      <c r="B24" s="80"/>
      <c r="C24" s="80"/>
      <c r="D24" s="80"/>
      <c r="E24" s="141" t="s">
        <v>22</v>
      </c>
      <c r="F24" s="141"/>
      <c r="G24" s="141"/>
      <c r="H24" s="141"/>
    </row>
    <row r="25" spans="1:8" x14ac:dyDescent="0.25">
      <c r="A25" s="80" t="s">
        <v>23</v>
      </c>
      <c r="B25" s="80"/>
      <c r="C25" s="80"/>
      <c r="D25" s="80"/>
      <c r="E25" s="141" t="s">
        <v>154</v>
      </c>
      <c r="F25" s="141"/>
      <c r="G25" s="141"/>
      <c r="H25" s="141"/>
    </row>
    <row r="26" spans="1:8" x14ac:dyDescent="0.25">
      <c r="A26" s="80" t="s">
        <v>24</v>
      </c>
      <c r="B26" s="80"/>
      <c r="C26" s="80"/>
      <c r="D26" s="80"/>
      <c r="E26" s="141" t="s">
        <v>25</v>
      </c>
      <c r="F26" s="141"/>
      <c r="G26" s="141"/>
      <c r="H26" s="141"/>
    </row>
    <row r="27" spans="1:8" x14ac:dyDescent="0.25">
      <c r="A27" s="80" t="s">
        <v>118</v>
      </c>
      <c r="B27" s="80"/>
      <c r="C27" s="80"/>
      <c r="D27" s="80"/>
      <c r="E27" s="141" t="s">
        <v>119</v>
      </c>
      <c r="F27" s="141"/>
      <c r="G27" s="141"/>
      <c r="H27" s="141"/>
    </row>
    <row r="28" spans="1:8" ht="15" customHeight="1" x14ac:dyDescent="0.25">
      <c r="A28" s="136" t="s">
        <v>34</v>
      </c>
      <c r="B28" s="136"/>
      <c r="C28" s="136"/>
      <c r="D28" s="136"/>
      <c r="E28" s="139" t="s">
        <v>163</v>
      </c>
      <c r="F28" s="139"/>
      <c r="G28" s="139"/>
      <c r="H28" s="139"/>
    </row>
    <row r="29" spans="1:8" x14ac:dyDescent="0.25">
      <c r="A29" s="136" t="s">
        <v>131</v>
      </c>
      <c r="B29" s="136"/>
      <c r="C29" s="136"/>
      <c r="D29" s="136"/>
      <c r="E29" s="136" t="s">
        <v>35</v>
      </c>
      <c r="F29" s="136"/>
      <c r="G29" s="136"/>
      <c r="H29" s="136"/>
    </row>
    <row r="30" spans="1:8" s="11" customFormat="1" x14ac:dyDescent="0.25">
      <c r="A30" s="144" t="s">
        <v>132</v>
      </c>
      <c r="B30" s="144"/>
      <c r="C30" s="145" t="s">
        <v>30</v>
      </c>
      <c r="D30" s="145"/>
      <c r="E30" s="145"/>
      <c r="F30" s="145" t="s">
        <v>32</v>
      </c>
      <c r="G30" s="145"/>
      <c r="H30" s="145"/>
    </row>
    <row r="31" spans="1:8" s="11" customFormat="1" x14ac:dyDescent="0.25">
      <c r="A31" s="146" t="s">
        <v>26</v>
      </c>
      <c r="B31" s="146" t="s">
        <v>31</v>
      </c>
      <c r="C31" s="109" t="s">
        <v>31</v>
      </c>
      <c r="D31" s="109"/>
      <c r="E31" s="109"/>
      <c r="F31" s="109" t="s">
        <v>158</v>
      </c>
      <c r="G31" s="109"/>
      <c r="H31" s="109"/>
    </row>
    <row r="32" spans="1:8" x14ac:dyDescent="0.25">
      <c r="A32" s="146" t="s">
        <v>27</v>
      </c>
      <c r="B32" s="146" t="s">
        <v>31</v>
      </c>
      <c r="C32" s="109" t="s">
        <v>31</v>
      </c>
      <c r="D32" s="109"/>
      <c r="E32" s="109"/>
      <c r="F32" s="109" t="s">
        <v>157</v>
      </c>
      <c r="G32" s="109"/>
      <c r="H32" s="109"/>
    </row>
    <row r="33" spans="1:8" s="11" customFormat="1" x14ac:dyDescent="0.25">
      <c r="A33" s="146" t="s">
        <v>29</v>
      </c>
      <c r="B33" s="146" t="s">
        <v>31</v>
      </c>
      <c r="C33" s="109" t="s">
        <v>31</v>
      </c>
      <c r="D33" s="109"/>
      <c r="E33" s="109"/>
      <c r="F33" s="109" t="s">
        <v>157</v>
      </c>
      <c r="G33" s="109"/>
      <c r="H33" s="109"/>
    </row>
    <row r="34" spans="1:8" x14ac:dyDescent="0.25">
      <c r="A34" s="146" t="s">
        <v>28</v>
      </c>
      <c r="B34" s="146" t="s">
        <v>31</v>
      </c>
      <c r="C34" s="109" t="s">
        <v>31</v>
      </c>
      <c r="D34" s="109"/>
      <c r="E34" s="109"/>
      <c r="F34" s="109" t="s">
        <v>159</v>
      </c>
      <c r="G34" s="109"/>
      <c r="H34" s="109"/>
    </row>
    <row r="35" spans="1:8" x14ac:dyDescent="0.25">
      <c r="A35" s="80" t="s">
        <v>33</v>
      </c>
      <c r="B35" s="80"/>
      <c r="C35" s="80"/>
      <c r="D35" s="80"/>
      <c r="E35" s="80"/>
      <c r="F35" s="80"/>
      <c r="G35" s="80"/>
      <c r="H35" s="80"/>
    </row>
    <row r="36" spans="1:8" ht="15.75" customHeight="1" x14ac:dyDescent="0.25">
      <c r="A36" s="138" t="s">
        <v>278</v>
      </c>
      <c r="B36" s="138"/>
      <c r="C36" s="149" t="s">
        <v>276</v>
      </c>
      <c r="D36" s="150"/>
      <c r="E36" s="150"/>
      <c r="F36" s="150"/>
      <c r="G36" s="150"/>
      <c r="H36" s="151"/>
    </row>
    <row r="37" spans="1:8" ht="15.75" customHeight="1" x14ac:dyDescent="0.25">
      <c r="A37" s="138" t="s">
        <v>277</v>
      </c>
      <c r="B37" s="138"/>
      <c r="C37" s="152" t="s">
        <v>203</v>
      </c>
      <c r="D37" s="150"/>
      <c r="E37" s="150"/>
      <c r="F37" s="150"/>
      <c r="G37" s="150"/>
      <c r="H37" s="151"/>
    </row>
    <row r="38" spans="1:8" x14ac:dyDescent="0.25">
      <c r="A38" s="133" t="s">
        <v>36</v>
      </c>
      <c r="B38" s="133"/>
      <c r="C38" s="133"/>
      <c r="D38" s="133"/>
      <c r="E38" s="133"/>
      <c r="F38" s="133"/>
      <c r="G38" s="133"/>
      <c r="H38" s="133"/>
    </row>
    <row r="39" spans="1:8" x14ac:dyDescent="0.25">
      <c r="A39" s="80" t="s">
        <v>37</v>
      </c>
      <c r="B39" s="80"/>
      <c r="C39" s="80"/>
      <c r="D39" s="80"/>
      <c r="E39" s="147">
        <v>38659.870999999999</v>
      </c>
      <c r="F39" s="147"/>
      <c r="G39" s="147"/>
      <c r="H39" s="147"/>
    </row>
    <row r="40" spans="1:8" x14ac:dyDescent="0.25">
      <c r="A40" s="80" t="s">
        <v>38</v>
      </c>
      <c r="B40" s="80"/>
      <c r="C40" s="80"/>
      <c r="D40" s="80"/>
      <c r="E40" s="148">
        <v>2.8279999999999998</v>
      </c>
      <c r="F40" s="148"/>
      <c r="G40" s="148"/>
      <c r="H40" s="148"/>
    </row>
    <row r="41" spans="1:8" x14ac:dyDescent="0.25">
      <c r="A41" s="80" t="s">
        <v>39</v>
      </c>
      <c r="B41" s="80"/>
      <c r="C41" s="80"/>
      <c r="D41" s="80"/>
      <c r="E41" s="148">
        <f>E43/E39-E40</f>
        <v>1.0687599035197337E-4</v>
      </c>
      <c r="F41" s="148"/>
      <c r="G41" s="148"/>
      <c r="H41" s="148"/>
    </row>
    <row r="42" spans="1:8" x14ac:dyDescent="0.25">
      <c r="A42" s="80" t="s">
        <v>40</v>
      </c>
      <c r="B42" s="80"/>
      <c r="C42" s="80"/>
      <c r="D42" s="80"/>
      <c r="E42" s="148">
        <f>E40+E41</f>
        <v>2.8281068759903518</v>
      </c>
      <c r="F42" s="148"/>
      <c r="G42" s="148"/>
      <c r="H42" s="148"/>
    </row>
    <row r="43" spans="1:8" x14ac:dyDescent="0.25">
      <c r="A43" s="80" t="s">
        <v>130</v>
      </c>
      <c r="B43" s="80"/>
      <c r="C43" s="80"/>
      <c r="D43" s="80"/>
      <c r="E43" s="155">
        <v>109334.247</v>
      </c>
      <c r="F43" s="155"/>
      <c r="G43" s="155"/>
      <c r="H43" s="155"/>
    </row>
    <row r="44" spans="1:8" x14ac:dyDescent="0.25">
      <c r="A44" s="140" t="s">
        <v>41</v>
      </c>
      <c r="B44" s="140"/>
      <c r="C44" s="140"/>
      <c r="D44" s="140"/>
      <c r="E44" s="140" t="s">
        <v>248</v>
      </c>
      <c r="F44" s="140"/>
      <c r="G44" s="140"/>
      <c r="H44" s="140"/>
    </row>
    <row r="45" spans="1:8" x14ac:dyDescent="0.25">
      <c r="A45" s="133" t="s">
        <v>42</v>
      </c>
      <c r="B45" s="133"/>
      <c r="C45" s="133"/>
      <c r="D45" s="133"/>
      <c r="E45" s="133"/>
      <c r="F45" s="133"/>
      <c r="G45" s="133"/>
      <c r="H45" s="133"/>
    </row>
    <row r="46" spans="1:8" ht="32.25" customHeight="1" x14ac:dyDescent="0.25">
      <c r="A46" s="141" t="s">
        <v>43</v>
      </c>
      <c r="B46" s="141"/>
      <c r="C46" s="153" t="s">
        <v>240</v>
      </c>
      <c r="D46" s="153"/>
      <c r="E46" s="153"/>
      <c r="F46" s="40" t="s">
        <v>44</v>
      </c>
      <c r="G46" s="154">
        <v>44746</v>
      </c>
      <c r="H46" s="141"/>
    </row>
    <row r="47" spans="1:8" ht="31.5" customHeight="1" x14ac:dyDescent="0.25">
      <c r="A47" s="141" t="s">
        <v>45</v>
      </c>
      <c r="B47" s="141"/>
      <c r="C47" s="153" t="s">
        <v>240</v>
      </c>
      <c r="D47" s="153"/>
      <c r="E47" s="153"/>
      <c r="F47" s="40" t="s">
        <v>44</v>
      </c>
      <c r="G47" s="154">
        <v>44746</v>
      </c>
      <c r="H47" s="154"/>
    </row>
    <row r="48" spans="1:8" s="10" customFormat="1" ht="32.25" customHeight="1" x14ac:dyDescent="0.25">
      <c r="A48" s="141" t="s">
        <v>46</v>
      </c>
      <c r="B48" s="141"/>
      <c r="C48" s="153" t="s">
        <v>241</v>
      </c>
      <c r="D48" s="153"/>
      <c r="E48" s="153"/>
      <c r="F48" s="13" t="s">
        <v>44</v>
      </c>
      <c r="G48" s="157">
        <f>G47</f>
        <v>44746</v>
      </c>
      <c r="H48" s="157"/>
    </row>
    <row r="49" spans="1:10" s="10" customFormat="1" ht="84" customHeight="1" x14ac:dyDescent="0.25">
      <c r="A49" s="141"/>
      <c r="B49" s="141"/>
      <c r="C49" s="158" t="s">
        <v>259</v>
      </c>
      <c r="D49" s="159"/>
      <c r="E49" s="159"/>
      <c r="F49" s="159"/>
      <c r="G49" s="159"/>
      <c r="H49" s="160"/>
    </row>
    <row r="50" spans="1:10" x14ac:dyDescent="0.25">
      <c r="A50" s="99" t="s">
        <v>47</v>
      </c>
      <c r="B50" s="99"/>
      <c r="C50" s="161" t="s">
        <v>141</v>
      </c>
      <c r="D50" s="162"/>
      <c r="E50" s="162" t="s">
        <v>48</v>
      </c>
      <c r="F50" s="41" t="s">
        <v>44</v>
      </c>
      <c r="G50" s="163" t="s">
        <v>31</v>
      </c>
      <c r="H50" s="164"/>
    </row>
    <row r="51" spans="1:10" x14ac:dyDescent="0.25">
      <c r="A51" s="156" t="s">
        <v>50</v>
      </c>
      <c r="B51" s="156"/>
      <c r="C51" s="156"/>
      <c r="D51" s="156"/>
      <c r="E51" s="156"/>
      <c r="F51" s="156"/>
      <c r="G51" s="156"/>
      <c r="H51" s="156"/>
    </row>
    <row r="52" spans="1:10" x14ac:dyDescent="0.25">
      <c r="A52" s="136" t="s">
        <v>129</v>
      </c>
      <c r="B52" s="136"/>
      <c r="C52" s="136"/>
      <c r="D52" s="140">
        <v>86836.956999999995</v>
      </c>
      <c r="E52" s="140"/>
      <c r="F52" s="140"/>
      <c r="G52" s="140"/>
      <c r="H52" s="140"/>
    </row>
    <row r="53" spans="1:10" x14ac:dyDescent="0.25">
      <c r="A53" s="141" t="s">
        <v>51</v>
      </c>
      <c r="B53" s="140"/>
      <c r="C53" s="140"/>
      <c r="D53" s="140" t="s">
        <v>257</v>
      </c>
      <c r="E53" s="140"/>
      <c r="F53" s="140"/>
      <c r="G53" s="140"/>
      <c r="H53" s="140"/>
    </row>
    <row r="54" spans="1:10" ht="66" customHeight="1" x14ac:dyDescent="0.25">
      <c r="A54" s="141" t="s">
        <v>52</v>
      </c>
      <c r="B54" s="140"/>
      <c r="C54" s="140"/>
      <c r="D54" s="141" t="s">
        <v>285</v>
      </c>
      <c r="E54" s="140"/>
      <c r="F54" s="140"/>
      <c r="G54" s="140"/>
      <c r="H54" s="140"/>
    </row>
    <row r="55" spans="1:10" ht="15.75" customHeight="1" x14ac:dyDescent="0.25">
      <c r="A55" s="167" t="s">
        <v>127</v>
      </c>
      <c r="B55" s="168"/>
      <c r="C55" s="169"/>
      <c r="D55" s="141" t="s">
        <v>249</v>
      </c>
      <c r="E55" s="140"/>
      <c r="F55" s="140"/>
      <c r="G55" s="140"/>
      <c r="H55" s="140"/>
    </row>
    <row r="56" spans="1:10" x14ac:dyDescent="0.25">
      <c r="A56" s="170"/>
      <c r="B56" s="171"/>
      <c r="C56" s="172"/>
      <c r="D56" s="141" t="s">
        <v>260</v>
      </c>
      <c r="E56" s="140"/>
      <c r="F56" s="140"/>
      <c r="G56" s="140"/>
      <c r="H56" s="140"/>
    </row>
    <row r="57" spans="1:10" ht="15.75" customHeight="1" x14ac:dyDescent="0.25">
      <c r="A57" s="170"/>
      <c r="B57" s="171"/>
      <c r="C57" s="172"/>
      <c r="D57" s="141" t="s">
        <v>261</v>
      </c>
      <c r="E57" s="140"/>
      <c r="F57" s="140"/>
      <c r="G57" s="140"/>
      <c r="H57" s="140"/>
    </row>
    <row r="58" spans="1:10" ht="15.75" customHeight="1" x14ac:dyDescent="0.25">
      <c r="A58" s="173"/>
      <c r="B58" s="174"/>
      <c r="C58" s="175"/>
      <c r="D58" s="141" t="s">
        <v>250</v>
      </c>
      <c r="E58" s="140"/>
      <c r="F58" s="140"/>
      <c r="G58" s="140"/>
      <c r="H58" s="140"/>
    </row>
    <row r="59" spans="1:10" ht="16.5" customHeight="1" x14ac:dyDescent="0.25">
      <c r="A59" s="80" t="s">
        <v>49</v>
      </c>
      <c r="B59" s="80"/>
      <c r="C59" s="80"/>
      <c r="D59" s="136" t="s">
        <v>242</v>
      </c>
      <c r="E59" s="136"/>
      <c r="F59" s="136"/>
      <c r="G59" s="136"/>
      <c r="H59" s="136"/>
    </row>
    <row r="60" spans="1:10" ht="15.75" customHeight="1" x14ac:dyDescent="0.25">
      <c r="A60" s="80" t="s">
        <v>124</v>
      </c>
      <c r="B60" s="80"/>
      <c r="C60" s="80"/>
      <c r="D60" s="136" t="s">
        <v>125</v>
      </c>
      <c r="E60" s="136"/>
      <c r="F60" s="136"/>
      <c r="G60" s="136"/>
      <c r="H60" s="136"/>
    </row>
    <row r="61" spans="1:10" ht="15.75" customHeight="1" x14ac:dyDescent="0.25">
      <c r="A61" s="80" t="s">
        <v>126</v>
      </c>
      <c r="B61" s="80"/>
      <c r="C61" s="80"/>
      <c r="D61" s="136" t="s">
        <v>25</v>
      </c>
      <c r="E61" s="136"/>
      <c r="F61" s="136"/>
      <c r="G61" s="136"/>
      <c r="H61" s="136"/>
      <c r="J61" s="21"/>
    </row>
    <row r="62" spans="1:10" ht="15.75" customHeight="1" thickBot="1" x14ac:dyDescent="0.3">
      <c r="A62" s="165" t="s">
        <v>123</v>
      </c>
      <c r="B62" s="165"/>
      <c r="C62" s="165"/>
      <c r="D62" s="166" t="s">
        <v>174</v>
      </c>
      <c r="E62" s="166"/>
      <c r="F62" s="166"/>
      <c r="G62" s="166"/>
      <c r="H62" s="166"/>
      <c r="J62" s="21"/>
    </row>
    <row r="63" spans="1:10" ht="15.75" customHeight="1" x14ac:dyDescent="0.25">
      <c r="A63" s="92" t="s">
        <v>184</v>
      </c>
      <c r="B63" s="93"/>
      <c r="C63" s="94" t="str">
        <f>D55</f>
        <v>Building No.1 (Wing A &amp; B) = Gr/St + 1st to 12th Floor</v>
      </c>
      <c r="D63" s="95"/>
      <c r="E63" s="95"/>
      <c r="F63" s="95"/>
      <c r="G63" s="95"/>
      <c r="H63" s="96"/>
      <c r="I63" s="48" t="str">
        <f ca="1">(IF(E69&gt;99%,"All work completed. Please provide OC.",IF(E69&gt;89.8%,"Plinth, RCC, Brick, Plaster, Flooring, Painting work Completed. Finishing work is in process.",IF(E69&lt;94%,(IF(C69=0,"Work not yet Started.",IF(D69=25%,"Piling work in process",IF(D69=50%,"Excavation work in process",IF(D69=100%,"Excavation work Completed. ","0")))&amp;(IF(C70=0%,"",IF(C70=J71,"Footing work is process",IF(C70=J72,"Footing work Completed",IF(C70=J73,"1st Basement Completed",IF(C70=J74,"1st &amp; 2nd Basement Completed",IF(C70=J75,"1st to 3rd Basement Completed",IF(C70=J76,"1st to 4th Basement Completed",IF(C70=J77,"Plinth work is process",IF(C70=J78,"Plinth work completed","0")))))))))))&amp;(IF(C71=(D64+F64+H64),", RCC Slab",IF(C71&gt;0,", RCC upto "&amp;C71&amp;" Slab",""))&amp;(IF(C72=H64,", Brickwork",IF(C72&gt;0,", Brickwork upto "&amp;C72&amp;" Floor",""))&amp;(IF(C73=H64,", Internal Plaster",IF(C73&gt;0,", Internal Plaster upto "&amp;C73&amp;" Floor",""))&amp;(IF(C74=H64,", External Plaster",IF(C74&gt;0,", External Plaster upto "&amp;C74&amp;" Floor",""))&amp;(IF(C75=H64,", Flooring",IF(C75&gt;0,", Flooring upto "&amp;C75&amp;" Floor",""))&amp;(IF(C76=H64,", Painting",IF(C76&gt;0,", Painting upto "&amp;C76&amp;" Floor",""))&amp;(IF(C77&gt;0,", Finishing upto "&amp;C77&amp;" Floor","")&amp;(IF(C71&gt;0.5," Completed",""))))))))))))))</f>
        <v>All work completed. Please provide OC.</v>
      </c>
      <c r="J63" s="22"/>
    </row>
    <row r="64" spans="1:10" s="10" customFormat="1" x14ac:dyDescent="0.25">
      <c r="A64" s="64" t="s">
        <v>103</v>
      </c>
      <c r="B64" s="63">
        <v>0</v>
      </c>
      <c r="C64" s="63" t="s">
        <v>105</v>
      </c>
      <c r="D64" s="63">
        <v>1</v>
      </c>
      <c r="E64" s="63" t="s">
        <v>104</v>
      </c>
      <c r="F64" s="63">
        <v>0</v>
      </c>
      <c r="G64" s="63" t="s">
        <v>117</v>
      </c>
      <c r="H64" s="35">
        <f ca="1">--TRIM(RIGHT(SUBSTITUTE(LEFT(C63,_xlfn.AGGREGATE(16,6,FIND({0,1,2,3,4,5,6,7,8,9},C63,ROW(INDIRECT("1:"&amp;LEN(C63)))),1))," ",REPT(" ",LEN(C63))),LEN(C63)))</f>
        <v>12</v>
      </c>
      <c r="I64" s="21"/>
      <c r="J64" s="23"/>
    </row>
    <row r="65" spans="1:10" x14ac:dyDescent="0.25">
      <c r="A65" s="97" t="s">
        <v>128</v>
      </c>
      <c r="B65" s="98"/>
      <c r="C65" s="99" t="str">
        <f ca="1">I63</f>
        <v>All work completed. Please provide OC.</v>
      </c>
      <c r="D65" s="99"/>
      <c r="E65" s="99"/>
      <c r="F65" s="99"/>
      <c r="G65" s="99"/>
      <c r="H65" s="100"/>
      <c r="I65" s="21" t="s">
        <v>140</v>
      </c>
      <c r="J65" s="23"/>
    </row>
    <row r="66" spans="1:10" x14ac:dyDescent="0.25">
      <c r="A66" s="81" t="s">
        <v>122</v>
      </c>
      <c r="B66" s="82"/>
      <c r="C66" s="85">
        <v>1</v>
      </c>
      <c r="D66" s="86"/>
      <c r="E66" s="89" t="s">
        <v>121</v>
      </c>
      <c r="F66" s="86"/>
      <c r="G66" s="85">
        <v>1</v>
      </c>
      <c r="H66" s="90"/>
      <c r="I66" s="21"/>
      <c r="J66" s="23"/>
    </row>
    <row r="67" spans="1:10" ht="16.5" thickBot="1" x14ac:dyDescent="0.3">
      <c r="A67" s="83"/>
      <c r="B67" s="84"/>
      <c r="C67" s="87"/>
      <c r="D67" s="88"/>
      <c r="E67" s="87"/>
      <c r="F67" s="88"/>
      <c r="G67" s="87"/>
      <c r="H67" s="91"/>
      <c r="I67" s="21"/>
      <c r="J67" s="23"/>
    </row>
    <row r="68" spans="1:10" hidden="1" x14ac:dyDescent="0.25">
      <c r="A68" s="101" t="s">
        <v>53</v>
      </c>
      <c r="B68" s="102"/>
      <c r="C68" s="36" t="s">
        <v>185</v>
      </c>
      <c r="D68" s="72" t="s">
        <v>120</v>
      </c>
      <c r="E68" s="102" t="s">
        <v>122</v>
      </c>
      <c r="F68" s="102"/>
      <c r="G68" s="102" t="s">
        <v>121</v>
      </c>
      <c r="H68" s="103"/>
      <c r="I68" s="49" t="s">
        <v>186</v>
      </c>
      <c r="J68" s="24">
        <f ca="1">H64*25%</f>
        <v>3</v>
      </c>
    </row>
    <row r="69" spans="1:10" hidden="1" x14ac:dyDescent="0.25">
      <c r="A69" s="101" t="s">
        <v>187</v>
      </c>
      <c r="B69" s="102"/>
      <c r="C69" s="37">
        <f ca="1">J70</f>
        <v>12</v>
      </c>
      <c r="D69" s="55">
        <f ca="1">((100/H64)*C69)/100</f>
        <v>1</v>
      </c>
      <c r="E69" s="104">
        <f ca="1">(((C70/H64*10)+(40/(D64+F64+H64)*C71)+(7.5/(H64)*C72)+(7.5/(H64)*C73)+(10/H64*C74)+(10/H64*C75)+(5/H64*C76)+(5/H64*C77)+(5/H64*C78))/100)</f>
        <v>1</v>
      </c>
      <c r="F69" s="104"/>
      <c r="G69" s="104">
        <f ca="1">((((C69/H64)*20)+((C70/H64)*25)+(30/(H64+F64+D64)*C71)+(5/H64*C72)+(5/H64*C73)+(5/H64*C74)+(5/H64*C75)+(0/H64*C76)+(0/H64*C77)+(5/H64*C78))/100)</f>
        <v>1</v>
      </c>
      <c r="H69" s="106"/>
      <c r="I69" s="49" t="s">
        <v>134</v>
      </c>
      <c r="J69" s="50">
        <f ca="1">H64*50%</f>
        <v>6</v>
      </c>
    </row>
    <row r="70" spans="1:10" hidden="1" x14ac:dyDescent="0.25">
      <c r="A70" s="101" t="s">
        <v>54</v>
      </c>
      <c r="B70" s="102"/>
      <c r="C70" s="38">
        <f ca="1">J78</f>
        <v>12</v>
      </c>
      <c r="D70" s="55">
        <f ca="1">((100/H64)*C70)/100</f>
        <v>1</v>
      </c>
      <c r="E70" s="104"/>
      <c r="F70" s="104"/>
      <c r="G70" s="104"/>
      <c r="H70" s="106"/>
      <c r="I70" s="49" t="s">
        <v>135</v>
      </c>
      <c r="J70" s="50">
        <f ca="1">H64</f>
        <v>12</v>
      </c>
    </row>
    <row r="71" spans="1:10" hidden="1" x14ac:dyDescent="0.25">
      <c r="A71" s="108" t="s">
        <v>188</v>
      </c>
      <c r="B71" s="109"/>
      <c r="C71" s="38">
        <f ca="1">D64+H64</f>
        <v>13</v>
      </c>
      <c r="D71" s="55">
        <f ca="1">((100/(D64+F64+H64))*C71)/100</f>
        <v>1</v>
      </c>
      <c r="E71" s="104"/>
      <c r="F71" s="104"/>
      <c r="G71" s="104"/>
      <c r="H71" s="106"/>
      <c r="I71" s="49" t="s">
        <v>136</v>
      </c>
      <c r="J71" s="51">
        <f ca="1">(IF(B64&gt;1,(H64/(B64+2)),H64/4))</f>
        <v>3</v>
      </c>
    </row>
    <row r="72" spans="1:10" hidden="1" x14ac:dyDescent="0.25">
      <c r="A72" s="101" t="s">
        <v>189</v>
      </c>
      <c r="B72" s="102" t="s">
        <v>190</v>
      </c>
      <c r="C72" s="37">
        <v>12</v>
      </c>
      <c r="D72" s="55">
        <f ca="1">((100/H64)*C72)/100</f>
        <v>1</v>
      </c>
      <c r="E72" s="104"/>
      <c r="F72" s="104"/>
      <c r="G72" s="104"/>
      <c r="H72" s="106"/>
      <c r="I72" s="49" t="s">
        <v>137</v>
      </c>
      <c r="J72" s="51">
        <f ca="1">(IF(B64&gt;1,(H64/(B64+2)+J71),H64/4+J71))</f>
        <v>6</v>
      </c>
    </row>
    <row r="73" spans="1:10" hidden="1" x14ac:dyDescent="0.25">
      <c r="A73" s="101" t="s">
        <v>191</v>
      </c>
      <c r="B73" s="102" t="s">
        <v>190</v>
      </c>
      <c r="C73" s="37">
        <v>12</v>
      </c>
      <c r="D73" s="55">
        <f ca="1">((100/H64)*C73)/100</f>
        <v>1</v>
      </c>
      <c r="E73" s="104"/>
      <c r="F73" s="104"/>
      <c r="G73" s="104"/>
      <c r="H73" s="106"/>
      <c r="I73" s="49" t="s">
        <v>192</v>
      </c>
      <c r="J73" s="51">
        <f>(IF(B64&gt;1,(H64/(B64+2)+J72),0))</f>
        <v>0</v>
      </c>
    </row>
    <row r="74" spans="1:10" ht="15" hidden="1" customHeight="1" x14ac:dyDescent="0.25">
      <c r="A74" s="101" t="s">
        <v>193</v>
      </c>
      <c r="B74" s="102" t="s">
        <v>194</v>
      </c>
      <c r="C74" s="37">
        <v>12</v>
      </c>
      <c r="D74" s="55">
        <f ca="1">((100/(H64))*C74)/100</f>
        <v>1</v>
      </c>
      <c r="E74" s="104"/>
      <c r="F74" s="104"/>
      <c r="G74" s="104"/>
      <c r="H74" s="106"/>
      <c r="I74" s="49" t="s">
        <v>195</v>
      </c>
      <c r="J74" s="51">
        <f>(IF(B64&gt;2,(H64/(B64+2)+J73),0))</f>
        <v>0</v>
      </c>
    </row>
    <row r="75" spans="1:10" hidden="1" x14ac:dyDescent="0.25">
      <c r="A75" s="101" t="s">
        <v>196</v>
      </c>
      <c r="B75" s="102" t="s">
        <v>196</v>
      </c>
      <c r="C75" s="37">
        <v>12</v>
      </c>
      <c r="D75" s="55">
        <f ca="1">((100/H64)*C75)/100</f>
        <v>1</v>
      </c>
      <c r="E75" s="104"/>
      <c r="F75" s="104"/>
      <c r="G75" s="104"/>
      <c r="H75" s="106"/>
      <c r="I75" s="49" t="s">
        <v>197</v>
      </c>
      <c r="J75" s="52">
        <f>(IF(B64&gt;3,(H64/(B64+2)+J74),0))</f>
        <v>0</v>
      </c>
    </row>
    <row r="76" spans="1:10" hidden="1" x14ac:dyDescent="0.25">
      <c r="A76" s="101" t="s">
        <v>198</v>
      </c>
      <c r="B76" s="102"/>
      <c r="C76" s="37">
        <v>12</v>
      </c>
      <c r="D76" s="55">
        <f ca="1">((100/H64)*C76)/100</f>
        <v>1</v>
      </c>
      <c r="E76" s="104"/>
      <c r="F76" s="104"/>
      <c r="G76" s="104"/>
      <c r="H76" s="106"/>
      <c r="I76" s="49" t="s">
        <v>199</v>
      </c>
      <c r="J76" s="51">
        <f>(IF(B64&gt;4,(H64/(B64+2)+J75),0))</f>
        <v>0</v>
      </c>
    </row>
    <row r="77" spans="1:10" ht="15" hidden="1" customHeight="1" x14ac:dyDescent="0.25">
      <c r="A77" s="101" t="s">
        <v>200</v>
      </c>
      <c r="B77" s="102" t="s">
        <v>200</v>
      </c>
      <c r="C77" s="37">
        <v>12</v>
      </c>
      <c r="D77" s="55">
        <f ca="1">((100/(H64))*C77)/100</f>
        <v>1</v>
      </c>
      <c r="E77" s="104"/>
      <c r="F77" s="104"/>
      <c r="G77" s="104"/>
      <c r="H77" s="106"/>
      <c r="I77" s="49" t="s">
        <v>138</v>
      </c>
      <c r="J77" s="51">
        <f ca="1">(IF(B64=1,(H64/(B64+3)+J72),IF(B64=0,(H64/4+J72),IF(B64&gt;1,0))))</f>
        <v>9</v>
      </c>
    </row>
    <row r="78" spans="1:10" ht="16.5" hidden="1" thickBot="1" x14ac:dyDescent="0.3">
      <c r="A78" s="110" t="s">
        <v>201</v>
      </c>
      <c r="B78" s="111"/>
      <c r="C78" s="56">
        <v>12</v>
      </c>
      <c r="D78" s="57">
        <f ca="1">((100/(H64))*C78)/100</f>
        <v>1</v>
      </c>
      <c r="E78" s="105"/>
      <c r="F78" s="105"/>
      <c r="G78" s="105"/>
      <c r="H78" s="107"/>
      <c r="I78" s="53" t="s">
        <v>139</v>
      </c>
      <c r="J78" s="54">
        <f ca="1">(IF(B64&gt;1.5,(H64/(B64+2)+J72+MAX(0,J73-J72)+MAX(0,J74-J73)+MAX(0,J75-J74)+MAX(0,J76-J75)+MAX(0,J77-J76)),IF(B64=1,(H64/(B64+3)+J77),IF(B64=0,H64/4+J77))))</f>
        <v>12</v>
      </c>
    </row>
    <row r="79" spans="1:10" ht="15.75" customHeight="1" x14ac:dyDescent="0.25">
      <c r="A79" s="92" t="s">
        <v>184</v>
      </c>
      <c r="B79" s="93"/>
      <c r="C79" s="94" t="str">
        <f>D56</f>
        <v>Building No.3 Lotus (Wing E, F &amp; G) = Gr/St + 1st to 15th Floor</v>
      </c>
      <c r="D79" s="95"/>
      <c r="E79" s="95"/>
      <c r="F79" s="95"/>
      <c r="G79" s="95"/>
      <c r="H79" s="96"/>
      <c r="I79" s="48" t="str">
        <f ca="1">(IF(E83&gt;99%,"All work completed. Please provide OC.",IF(E83&gt;89.8%,"Plinth, RCC, Brick, Plaster, Flooring, Painting work Completed. Finishing work is in process.",IF(E83&lt;94%,(IF(C83=0,"Work not yet Started.",IF(D83=25%,"Piling work in process",IF(D83=50%,"Excavation work in process",IF(D83=100%,"Excavation work Completed. ","0")))&amp;(IF(C84=0%,"",IF(C84=J85,"Footing work is process",IF(C84=J86,"Footing work Completed",IF(C84=J87,"1st Basement Completed",IF(C84=J88,"1st &amp; 2nd Basement Completed",IF(C84=J89,"1st to 3rd Basement Completed",IF(C84=J90,"1st to 4th Basement Completed",IF(C84=J91,"Plinth work is process",IF(C84=J92,"Plinth work completed","0")))))))))))&amp;(IF(C85=(D80+F80+H80),", RCC Slab",IF(C85&gt;0,", RCC upto "&amp;C85&amp;" Slab",""))&amp;(IF(C86=H80,", Brickwork",IF(C86&gt;0,", Brickwork upto "&amp;C86&amp;" Floor",""))&amp;(IF(C87=H80,", Internal Plaster",IF(C87&gt;0,", Internal Plaster upto "&amp;C87&amp;" Floor",""))&amp;(IF(C88=H80,", External Plaster",IF(C88&gt;0,", External Plaster upto "&amp;C88&amp;" Floor",""))&amp;(IF(C89=H80,", Flooring",IF(C89&gt;0,", Flooring upto "&amp;C89&amp;" Floor",""))&amp;(IF(C90=H80,", Painting",IF(C90&gt;0,", Painting upto "&amp;C90&amp;" Floor",""))&amp;(IF(C91&gt;0,", Finishing upto "&amp;C91&amp;" Floor","")&amp;(IF(C85&gt;0.5," Completed",""))))))))))))))</f>
        <v>Excavation work Completed. Plinth work completed, RCC upto 5 Slab, Brickwork upto 2 Floor Completed</v>
      </c>
      <c r="J79" s="22"/>
    </row>
    <row r="80" spans="1:10" s="10" customFormat="1" x14ac:dyDescent="0.25">
      <c r="A80" s="64" t="s">
        <v>103</v>
      </c>
      <c r="B80" s="63">
        <v>0</v>
      </c>
      <c r="C80" s="63" t="s">
        <v>105</v>
      </c>
      <c r="D80" s="63">
        <v>1</v>
      </c>
      <c r="E80" s="63" t="s">
        <v>104</v>
      </c>
      <c r="F80" s="63">
        <v>0</v>
      </c>
      <c r="G80" s="63" t="s">
        <v>117</v>
      </c>
      <c r="H80" s="35">
        <f ca="1">--TRIM(RIGHT(SUBSTITUTE(LEFT(C79,_xlfn.AGGREGATE(16,6,FIND({0,1,2,3,4,5,6,7,8,9},C79,ROW(INDIRECT("1:"&amp;LEN(C79)))),1))," ",REPT(" ",LEN(C79))),LEN(C79)))</f>
        <v>15</v>
      </c>
      <c r="I80" s="21"/>
      <c r="J80" s="23"/>
    </row>
    <row r="81" spans="1:10" ht="33.950000000000003" customHeight="1" x14ac:dyDescent="0.25">
      <c r="A81" s="97" t="s">
        <v>128</v>
      </c>
      <c r="B81" s="98"/>
      <c r="C81" s="99" t="str">
        <f ca="1">I79</f>
        <v>Excavation work Completed. Plinth work completed, RCC upto 5 Slab, Brickwork upto 2 Floor Completed</v>
      </c>
      <c r="D81" s="99"/>
      <c r="E81" s="99"/>
      <c r="F81" s="99"/>
      <c r="G81" s="99"/>
      <c r="H81" s="100"/>
      <c r="I81" s="21" t="s">
        <v>140</v>
      </c>
      <c r="J81" s="23"/>
    </row>
    <row r="82" spans="1:10" x14ac:dyDescent="0.25">
      <c r="A82" s="101" t="s">
        <v>53</v>
      </c>
      <c r="B82" s="102"/>
      <c r="C82" s="36" t="s">
        <v>185</v>
      </c>
      <c r="D82" s="72" t="s">
        <v>120</v>
      </c>
      <c r="E82" s="102" t="s">
        <v>122</v>
      </c>
      <c r="F82" s="102"/>
      <c r="G82" s="102" t="s">
        <v>121</v>
      </c>
      <c r="H82" s="103"/>
      <c r="I82" s="49" t="s">
        <v>186</v>
      </c>
      <c r="J82" s="24">
        <f ca="1">H80*25%</f>
        <v>3.75</v>
      </c>
    </row>
    <row r="83" spans="1:10" x14ac:dyDescent="0.25">
      <c r="A83" s="101" t="s">
        <v>187</v>
      </c>
      <c r="B83" s="102"/>
      <c r="C83" s="37">
        <f ca="1">J84</f>
        <v>15</v>
      </c>
      <c r="D83" s="55">
        <f ca="1">((100/H80)*C83)/100</f>
        <v>1</v>
      </c>
      <c r="E83" s="104">
        <f ca="1">(((C84/H80*10)+(40/(D80+F80+H80)*C85)+(7.5/(H80)*C86)+(7.5/(H80)*C87)+(10/H80*C88)+(10/H80*C89)+(5/H80*C90)+(5/H80*C91)+(5/H80*C92))/100)</f>
        <v>0.23499999999999999</v>
      </c>
      <c r="F83" s="104"/>
      <c r="G83" s="104">
        <f ca="1">((((C83/H80)*20)+((C84/H80)*25)+(30/(H80+F80+D80)*C85)+(5/H80*C86)+(5/H80*C87)+(5/H80*C88)+(5/H80*C89)+(0/H80*C90)+(0/H80*C91)+(5/H80*C92))/100)</f>
        <v>0.55041666666666667</v>
      </c>
      <c r="H83" s="106"/>
      <c r="I83" s="49" t="s">
        <v>134</v>
      </c>
      <c r="J83" s="50">
        <f ca="1">H80*50%</f>
        <v>7.5</v>
      </c>
    </row>
    <row r="84" spans="1:10" x14ac:dyDescent="0.25">
      <c r="A84" s="101" t="s">
        <v>54</v>
      </c>
      <c r="B84" s="102"/>
      <c r="C84" s="38">
        <f ca="1">J92</f>
        <v>15</v>
      </c>
      <c r="D84" s="55">
        <f ca="1">((100/H80)*C84)/100</f>
        <v>1</v>
      </c>
      <c r="E84" s="104"/>
      <c r="F84" s="104"/>
      <c r="G84" s="104"/>
      <c r="H84" s="106"/>
      <c r="I84" s="49" t="s">
        <v>135</v>
      </c>
      <c r="J84" s="50">
        <f ca="1">H80</f>
        <v>15</v>
      </c>
    </row>
    <row r="85" spans="1:10" x14ac:dyDescent="0.25">
      <c r="A85" s="108" t="s">
        <v>188</v>
      </c>
      <c r="B85" s="109"/>
      <c r="C85" s="38">
        <v>5</v>
      </c>
      <c r="D85" s="55">
        <f ca="1">((100/(D80+F80+H80))*C85)/100</f>
        <v>0.3125</v>
      </c>
      <c r="E85" s="104"/>
      <c r="F85" s="104"/>
      <c r="G85" s="104"/>
      <c r="H85" s="106"/>
      <c r="I85" s="49" t="s">
        <v>136</v>
      </c>
      <c r="J85" s="51">
        <f ca="1">(IF(B80&gt;1,(H80/(B80+2)),H80/4))</f>
        <v>3.75</v>
      </c>
    </row>
    <row r="86" spans="1:10" x14ac:dyDescent="0.25">
      <c r="A86" s="101" t="s">
        <v>189</v>
      </c>
      <c r="B86" s="102" t="s">
        <v>190</v>
      </c>
      <c r="C86" s="37">
        <v>2</v>
      </c>
      <c r="D86" s="55">
        <f ca="1">((100/H80)*C86)/100</f>
        <v>0.13333333333333333</v>
      </c>
      <c r="E86" s="104"/>
      <c r="F86" s="104"/>
      <c r="G86" s="104"/>
      <c r="H86" s="106"/>
      <c r="I86" s="49" t="s">
        <v>137</v>
      </c>
      <c r="J86" s="51">
        <f ca="1">(IF(B80&gt;1,(H80/(B80+2)+J85),H80/4+J85))</f>
        <v>7.5</v>
      </c>
    </row>
    <row r="87" spans="1:10" x14ac:dyDescent="0.25">
      <c r="A87" s="101" t="s">
        <v>191</v>
      </c>
      <c r="B87" s="102" t="s">
        <v>190</v>
      </c>
      <c r="C87" s="37">
        <v>0</v>
      </c>
      <c r="D87" s="55">
        <f ca="1">((100/H80)*C87)/100</f>
        <v>0</v>
      </c>
      <c r="E87" s="104"/>
      <c r="F87" s="104"/>
      <c r="G87" s="104"/>
      <c r="H87" s="106"/>
      <c r="I87" s="49" t="s">
        <v>192</v>
      </c>
      <c r="J87" s="51">
        <f>(IF(B80&gt;1,(H80/(B80+2)+J86),0))</f>
        <v>0</v>
      </c>
    </row>
    <row r="88" spans="1:10" ht="15" customHeight="1" x14ac:dyDescent="0.25">
      <c r="A88" s="101" t="s">
        <v>193</v>
      </c>
      <c r="B88" s="102" t="s">
        <v>194</v>
      </c>
      <c r="C88" s="37">
        <v>0</v>
      </c>
      <c r="D88" s="55">
        <f ca="1">((100/(H80))*C88)/100</f>
        <v>0</v>
      </c>
      <c r="E88" s="104"/>
      <c r="F88" s="104"/>
      <c r="G88" s="104"/>
      <c r="H88" s="106"/>
      <c r="I88" s="49" t="s">
        <v>195</v>
      </c>
      <c r="J88" s="51">
        <f>(IF(B80&gt;2,(H80/(B80+2)+J87),0))</f>
        <v>0</v>
      </c>
    </row>
    <row r="89" spans="1:10" x14ac:dyDescent="0.25">
      <c r="A89" s="101" t="s">
        <v>196</v>
      </c>
      <c r="B89" s="102" t="s">
        <v>196</v>
      </c>
      <c r="C89" s="37">
        <v>0</v>
      </c>
      <c r="D89" s="55">
        <f ca="1">((100/H80)*C89)/100</f>
        <v>0</v>
      </c>
      <c r="E89" s="104"/>
      <c r="F89" s="104"/>
      <c r="G89" s="104"/>
      <c r="H89" s="106"/>
      <c r="I89" s="49" t="s">
        <v>197</v>
      </c>
      <c r="J89" s="52">
        <f>(IF(B80&gt;3,(H80/(B80+2)+J88),0))</f>
        <v>0</v>
      </c>
    </row>
    <row r="90" spans="1:10" x14ac:dyDescent="0.25">
      <c r="A90" s="101" t="s">
        <v>198</v>
      </c>
      <c r="B90" s="102"/>
      <c r="C90" s="37">
        <v>0</v>
      </c>
      <c r="D90" s="55">
        <f ca="1">((100/H80)*C90)/100</f>
        <v>0</v>
      </c>
      <c r="E90" s="104"/>
      <c r="F90" s="104"/>
      <c r="G90" s="104"/>
      <c r="H90" s="106"/>
      <c r="I90" s="49" t="s">
        <v>199</v>
      </c>
      <c r="J90" s="51">
        <f>(IF(B80&gt;4,(H80/(B80+2)+J89),0))</f>
        <v>0</v>
      </c>
    </row>
    <row r="91" spans="1:10" ht="15" customHeight="1" x14ac:dyDescent="0.25">
      <c r="A91" s="101" t="s">
        <v>200</v>
      </c>
      <c r="B91" s="102" t="s">
        <v>200</v>
      </c>
      <c r="C91" s="37">
        <v>0</v>
      </c>
      <c r="D91" s="55">
        <f ca="1">((100/(H80))*C91)/100</f>
        <v>0</v>
      </c>
      <c r="E91" s="104"/>
      <c r="F91" s="104"/>
      <c r="G91" s="104"/>
      <c r="H91" s="106"/>
      <c r="I91" s="49" t="s">
        <v>138</v>
      </c>
      <c r="J91" s="51">
        <f ca="1">(IF(B80=1,(H80/(B80+3)+J86),IF(B80=0,(H80/4+J86),IF(B80&gt;1,0))))</f>
        <v>11.25</v>
      </c>
    </row>
    <row r="92" spans="1:10" ht="16.5" thickBot="1" x14ac:dyDescent="0.3">
      <c r="A92" s="110" t="s">
        <v>201</v>
      </c>
      <c r="B92" s="111"/>
      <c r="C92" s="56">
        <v>0</v>
      </c>
      <c r="D92" s="57">
        <f ca="1">((100/(H80))*C92)/100</f>
        <v>0</v>
      </c>
      <c r="E92" s="105"/>
      <c r="F92" s="105"/>
      <c r="G92" s="105"/>
      <c r="H92" s="107"/>
      <c r="I92" s="53" t="s">
        <v>139</v>
      </c>
      <c r="J92" s="54">
        <f ca="1">(IF(B80&gt;1.5,(H80/(B80+2)+J86+MAX(0,J87-J86)+MAX(0,J88-J87)+MAX(0,J89-J88)+MAX(0,J90-J89)+MAX(0,J91-J90)),IF(B80=1,(H80/(B80+3)+J91),IF(B80=0,H80/4+J91))))</f>
        <v>15</v>
      </c>
    </row>
    <row r="93" spans="1:10" ht="15.75" hidden="1" customHeight="1" x14ac:dyDescent="0.25">
      <c r="A93" s="92" t="s">
        <v>184</v>
      </c>
      <c r="B93" s="93"/>
      <c r="C93" s="94" t="s">
        <v>243</v>
      </c>
      <c r="D93" s="95"/>
      <c r="E93" s="95"/>
      <c r="F93" s="95"/>
      <c r="G93" s="95"/>
      <c r="H93" s="96"/>
      <c r="I93" s="48" t="str">
        <f ca="1">(IF(E97&gt;99%,"All work completed. Please provide OC.",IF(E97&gt;89.8%,"Plinth, RCC, Brick, Plaster, Flooring, Painting work Completed. Finishing work is in process.",IF(E97&lt;94%,(IF(C97=0,"Work not yet Started.",IF(D97=25%,"Piling work in process",IF(D97=50%,"Excavation work in process",IF(D97=100%,"Excavation work Completed. ","0")))&amp;(IF(C98=0%,"",IF(C98=J99,"Footing work is process",IF(C98=J100,"Footing work Completed",IF(C98=J101,"1st Basement Completed",IF(C98=J102,"1st &amp; 2nd Basement Completed",IF(C98=J103,"1st to 3rd Basement Completed",IF(C98=J104,"1st to 4th Basement Completed",IF(C98=J105,"Plinth work is process",IF(C98=J106,"Plinth work completed","0")))))))))))&amp;(IF(C99=(D94+F94+H94),", RCC Slab",IF(C99&gt;0,", RCC upto "&amp;C99&amp;" Slab",""))&amp;(IF(C100=H94,", Brickwork",IF(C100&gt;0,", Brickwork upto "&amp;C100&amp;" Floor",""))&amp;(IF(C101=H94,", Internal Plaster",IF(C101&gt;0,", Internal Plaster upto "&amp;C101&amp;" Floor",""))&amp;(IF(C102=H94,", External Plaster",IF(C102&gt;0,", External Plaster upto "&amp;C102&amp;" Floor",""))&amp;(IF(C103=H94,", Flooring",IF(C103&gt;0,", Flooring upto "&amp;C103&amp;" Floor",""))&amp;(IF(C104=H94,", Painting",IF(C104&gt;0,", Painting upto "&amp;C104&amp;" Floor",""))&amp;(IF(C105&gt;0,", Finishing upto "&amp;C105&amp;" Floor","")&amp;(IF(C99&gt;0.5," Completed",""))))))))))))))</f>
        <v>Work not yet Started.</v>
      </c>
      <c r="J93" s="22"/>
    </row>
    <row r="94" spans="1:10" s="10" customFormat="1" hidden="1" x14ac:dyDescent="0.25">
      <c r="A94" s="64" t="s">
        <v>103</v>
      </c>
      <c r="B94" s="63">
        <v>0</v>
      </c>
      <c r="C94" s="63" t="s">
        <v>105</v>
      </c>
      <c r="D94" s="63">
        <v>1</v>
      </c>
      <c r="E94" s="63" t="s">
        <v>104</v>
      </c>
      <c r="F94" s="63">
        <v>0</v>
      </c>
      <c r="G94" s="63" t="s">
        <v>117</v>
      </c>
      <c r="H94" s="35">
        <f ca="1">--TRIM(RIGHT(SUBSTITUTE(LEFT(C93,_xlfn.AGGREGATE(16,6,FIND({0,1,2,3,4,5,6,7,8,9},C93,ROW(INDIRECT("1:"&amp;LEN(C93)))),1))," ",REPT(" ",LEN(C93))),LEN(C93)))</f>
        <v>15</v>
      </c>
      <c r="I94" s="21"/>
      <c r="J94" s="23"/>
    </row>
    <row r="95" spans="1:10" hidden="1" x14ac:dyDescent="0.25">
      <c r="A95" s="97" t="s">
        <v>128</v>
      </c>
      <c r="B95" s="98"/>
      <c r="C95" s="99" t="str">
        <f ca="1">I93</f>
        <v>Work not yet Started.</v>
      </c>
      <c r="D95" s="99"/>
      <c r="E95" s="99"/>
      <c r="F95" s="99"/>
      <c r="G95" s="99"/>
      <c r="H95" s="100"/>
      <c r="I95" s="21" t="s">
        <v>140</v>
      </c>
      <c r="J95" s="23"/>
    </row>
    <row r="96" spans="1:10" hidden="1" x14ac:dyDescent="0.25">
      <c r="A96" s="101" t="s">
        <v>53</v>
      </c>
      <c r="B96" s="102"/>
      <c r="C96" s="36" t="s">
        <v>185</v>
      </c>
      <c r="D96" s="36" t="s">
        <v>120</v>
      </c>
      <c r="E96" s="102" t="s">
        <v>122</v>
      </c>
      <c r="F96" s="102"/>
      <c r="G96" s="102" t="s">
        <v>121</v>
      </c>
      <c r="H96" s="103"/>
      <c r="I96" s="49" t="s">
        <v>186</v>
      </c>
      <c r="J96" s="24">
        <f ca="1">H94*25%</f>
        <v>3.75</v>
      </c>
    </row>
    <row r="97" spans="1:12" hidden="1" x14ac:dyDescent="0.25">
      <c r="A97" s="101" t="s">
        <v>187</v>
      </c>
      <c r="B97" s="102"/>
      <c r="C97" s="37">
        <v>0</v>
      </c>
      <c r="D97" s="55">
        <f ca="1">((100/H94)*C97)/100</f>
        <v>0</v>
      </c>
      <c r="E97" s="104">
        <f ca="1">(((C98/H94*10)+(40/(D94+F94+H94)*C99)+(7.5/(H94)*C100)+(7.5/(H94)*C101)+(10/H94*C102)+(10/H94*C103)+(5/H94*C104)+(5/H94*C105)+(5/H94*C106))/100)</f>
        <v>0</v>
      </c>
      <c r="F97" s="104"/>
      <c r="G97" s="104">
        <f ca="1">((((C97/H94)*20)+((C98/H94)*25)+(30/(H94+F94+D94)*C99)+(5/H94*C100)+(5/H94*C101)+(5/H94*C102)+(5/H94*C103)+(0/H94*C104)+(0/H94*C105)+(5/H94*C106))/100)</f>
        <v>0</v>
      </c>
      <c r="H97" s="106"/>
      <c r="I97" s="49" t="s">
        <v>134</v>
      </c>
      <c r="J97" s="50">
        <f ca="1">H94*50%</f>
        <v>7.5</v>
      </c>
    </row>
    <row r="98" spans="1:12" hidden="1" x14ac:dyDescent="0.25">
      <c r="A98" s="101" t="s">
        <v>54</v>
      </c>
      <c r="B98" s="102"/>
      <c r="C98" s="38">
        <v>0</v>
      </c>
      <c r="D98" s="55">
        <f ca="1">((100/H94)*C98)/100</f>
        <v>0</v>
      </c>
      <c r="E98" s="104"/>
      <c r="F98" s="104"/>
      <c r="G98" s="104"/>
      <c r="H98" s="106"/>
      <c r="I98" s="49" t="s">
        <v>135</v>
      </c>
      <c r="J98" s="50">
        <f ca="1">H94</f>
        <v>15</v>
      </c>
    </row>
    <row r="99" spans="1:12" hidden="1" x14ac:dyDescent="0.25">
      <c r="A99" s="108" t="s">
        <v>188</v>
      </c>
      <c r="B99" s="109"/>
      <c r="C99" s="38">
        <v>0</v>
      </c>
      <c r="D99" s="55">
        <f ca="1">((100/(D94+F94+H94))*C99)/100</f>
        <v>0</v>
      </c>
      <c r="E99" s="104"/>
      <c r="F99" s="104"/>
      <c r="G99" s="104"/>
      <c r="H99" s="106"/>
      <c r="I99" s="49" t="s">
        <v>136</v>
      </c>
      <c r="J99" s="51">
        <f ca="1">(IF(B94&gt;1,(H94/(B94+2)),H94/4))</f>
        <v>3.75</v>
      </c>
    </row>
    <row r="100" spans="1:12" hidden="1" x14ac:dyDescent="0.25">
      <c r="A100" s="101" t="s">
        <v>189</v>
      </c>
      <c r="B100" s="102" t="s">
        <v>190</v>
      </c>
      <c r="C100" s="37">
        <v>0</v>
      </c>
      <c r="D100" s="55">
        <f ca="1">((100/H94)*C100)/100</f>
        <v>0</v>
      </c>
      <c r="E100" s="104"/>
      <c r="F100" s="104"/>
      <c r="G100" s="104"/>
      <c r="H100" s="106"/>
      <c r="I100" s="49" t="s">
        <v>137</v>
      </c>
      <c r="J100" s="51">
        <f ca="1">(IF(B94&gt;1,(H94/(B94+2)+J99),H94/4+J99))</f>
        <v>7.5</v>
      </c>
    </row>
    <row r="101" spans="1:12" hidden="1" x14ac:dyDescent="0.25">
      <c r="A101" s="101" t="s">
        <v>191</v>
      </c>
      <c r="B101" s="102" t="s">
        <v>190</v>
      </c>
      <c r="C101" s="37">
        <v>0</v>
      </c>
      <c r="D101" s="55">
        <f ca="1">((100/H94)*C101)/100</f>
        <v>0</v>
      </c>
      <c r="E101" s="104"/>
      <c r="F101" s="104"/>
      <c r="G101" s="104"/>
      <c r="H101" s="106"/>
      <c r="I101" s="49" t="s">
        <v>192</v>
      </c>
      <c r="J101" s="51">
        <f>(IF(B94&gt;1,(H94/(B94+2)+J100),0))</f>
        <v>0</v>
      </c>
    </row>
    <row r="102" spans="1:12" ht="15" hidden="1" customHeight="1" x14ac:dyDescent="0.25">
      <c r="A102" s="101" t="s">
        <v>193</v>
      </c>
      <c r="B102" s="102" t="s">
        <v>194</v>
      </c>
      <c r="C102" s="37">
        <v>0</v>
      </c>
      <c r="D102" s="55">
        <f ca="1">((100/(H94))*C102)/100</f>
        <v>0</v>
      </c>
      <c r="E102" s="104"/>
      <c r="F102" s="104"/>
      <c r="G102" s="104"/>
      <c r="H102" s="106"/>
      <c r="I102" s="49" t="s">
        <v>195</v>
      </c>
      <c r="J102" s="51">
        <f>(IF(B94&gt;2,(H94/(B94+2)+J101),0))</f>
        <v>0</v>
      </c>
    </row>
    <row r="103" spans="1:12" hidden="1" x14ac:dyDescent="0.25">
      <c r="A103" s="101" t="s">
        <v>196</v>
      </c>
      <c r="B103" s="102" t="s">
        <v>196</v>
      </c>
      <c r="C103" s="37">
        <v>0</v>
      </c>
      <c r="D103" s="55">
        <f ca="1">((100/H94)*C103)/100</f>
        <v>0</v>
      </c>
      <c r="E103" s="104"/>
      <c r="F103" s="104"/>
      <c r="G103" s="104"/>
      <c r="H103" s="106"/>
      <c r="I103" s="49" t="s">
        <v>197</v>
      </c>
      <c r="J103" s="52">
        <f>(IF(B94&gt;3,(H94/(B94+2)+J102),0))</f>
        <v>0</v>
      </c>
    </row>
    <row r="104" spans="1:12" hidden="1" x14ac:dyDescent="0.25">
      <c r="A104" s="101" t="s">
        <v>198</v>
      </c>
      <c r="B104" s="102"/>
      <c r="C104" s="37">
        <v>0</v>
      </c>
      <c r="D104" s="55">
        <f ca="1">((100/H94)*C104)/100</f>
        <v>0</v>
      </c>
      <c r="E104" s="104"/>
      <c r="F104" s="104"/>
      <c r="G104" s="104"/>
      <c r="H104" s="106"/>
      <c r="I104" s="49" t="s">
        <v>199</v>
      </c>
      <c r="J104" s="51">
        <f>(IF(B94&gt;4,(H94/(B94+2)+J103),0))</f>
        <v>0</v>
      </c>
    </row>
    <row r="105" spans="1:12" ht="15" hidden="1" customHeight="1" x14ac:dyDescent="0.25">
      <c r="A105" s="101" t="s">
        <v>200</v>
      </c>
      <c r="B105" s="102" t="s">
        <v>200</v>
      </c>
      <c r="C105" s="37">
        <v>0</v>
      </c>
      <c r="D105" s="55">
        <f ca="1">((100/(H94))*C105)/100</f>
        <v>0</v>
      </c>
      <c r="E105" s="104"/>
      <c r="F105" s="104"/>
      <c r="G105" s="104"/>
      <c r="H105" s="106"/>
      <c r="I105" s="49" t="s">
        <v>138</v>
      </c>
      <c r="J105" s="51">
        <f ca="1">(IF(B94=1,(H94/(B94+3)+J100),IF(B94=0,(H94/4+J100),IF(B94&gt;1,0))))</f>
        <v>11.25</v>
      </c>
    </row>
    <row r="106" spans="1:12" ht="16.5" hidden="1" thickBot="1" x14ac:dyDescent="0.3">
      <c r="A106" s="110" t="s">
        <v>201</v>
      </c>
      <c r="B106" s="111"/>
      <c r="C106" s="56">
        <v>0</v>
      </c>
      <c r="D106" s="57">
        <f ca="1">((100/(H94))*C106)/100</f>
        <v>0</v>
      </c>
      <c r="E106" s="105"/>
      <c r="F106" s="105"/>
      <c r="G106" s="105"/>
      <c r="H106" s="107"/>
      <c r="I106" s="53" t="s">
        <v>139</v>
      </c>
      <c r="J106" s="54">
        <f ca="1">(IF(B94&gt;1.5,(H94/(B94+2)+J100+MAX(0,J101-J100)+MAX(0,J102-J101)+MAX(0,J103-J102)+MAX(0,J104-J103)+MAX(0,J105-J104)),IF(B94=1,(H94/(B94+3)+J105),IF(B94=0,H94/4+J105))))</f>
        <v>15</v>
      </c>
    </row>
    <row r="107" spans="1:12" ht="15.75" customHeight="1" x14ac:dyDescent="0.25">
      <c r="A107" s="92" t="s">
        <v>184</v>
      </c>
      <c r="B107" s="93"/>
      <c r="C107" s="94" t="s">
        <v>262</v>
      </c>
      <c r="D107" s="95"/>
      <c r="E107" s="95"/>
      <c r="F107" s="95"/>
      <c r="G107" s="95"/>
      <c r="H107" s="96"/>
      <c r="I107" s="48" t="str">
        <f ca="1">(IF(E111&gt;99%,"All work completed. Please provide OC.",IF(E111&gt;89.8%,"Plinth, RCC, Brick, Plaster, Flooring, Painting work Completed. Finishing work is in process.",IF(E111&lt;94%,(IF(C111=0,"Work not yet Started.",IF(D111=25%,"Piling work in process",IF(D111=50%,"Excavation work in process",IF(D111=100%,"Excavation work Completed. ","0")))&amp;(IF(C112=0%,"",IF(C112=J113,"Footing work is process",IF(C112=J114,"Footing work Completed",IF(C112=J115,"1st Basement Completed",IF(C112=J116,"1st &amp; 2nd Basement Completed",IF(C112=J117,"1st to 3rd Basement Completed",IF(C112=J118,"1st to 4th Basement Completed",IF(C112=J119,"Plinth work is process",IF(C112=J120,"Plinth work completed","0")))))))))))&amp;(IF(C113=(D108+F108+H108),", RCC Slab",IF(C113&gt;0,", RCC upto "&amp;C113&amp;" Slab",""))&amp;(IF(C114=H108,", Brickwork",IF(C114&gt;0,", Brickwork upto "&amp;C114&amp;" Floor",""))&amp;(IF(C115=H108,", Internal Plaster",IF(C115&gt;0,", Internal Plaster upto "&amp;C115&amp;" Floor",""))&amp;(IF(C116=H108,", External Plaster",IF(C116&gt;0,", External Plaster upto "&amp;C116&amp;" Floor",""))&amp;(IF(C117=H108,", Flooring",IF(C117&gt;0,", Flooring upto "&amp;C117&amp;" Floor",""))&amp;(IF(C118=H108,", Painting",IF(C118&gt;0,", Painting upto "&amp;C118&amp;" Floor",""))&amp;(IF(C119&gt;0,", Finishing upto "&amp;C119&amp;" Floor","")&amp;(IF(C113&gt;0.5," Completed",""))))))))))))))</f>
        <v>Excavation work Completed. Plinth work completed, RCC Slab, Brickwork, Internal Plaster, External Plaster, Flooring upto 12 Floor, Painting upto 7 Floor Completed</v>
      </c>
      <c r="J107" s="22"/>
    </row>
    <row r="108" spans="1:12" s="10" customFormat="1" x14ac:dyDescent="0.25">
      <c r="A108" s="64" t="s">
        <v>103</v>
      </c>
      <c r="B108" s="63">
        <v>0</v>
      </c>
      <c r="C108" s="63" t="s">
        <v>105</v>
      </c>
      <c r="D108" s="63">
        <v>1</v>
      </c>
      <c r="E108" s="63" t="s">
        <v>104</v>
      </c>
      <c r="F108" s="63">
        <v>0</v>
      </c>
      <c r="G108" s="63" t="s">
        <v>117</v>
      </c>
      <c r="H108" s="35">
        <f ca="1">--TRIM(RIGHT(SUBSTITUTE(LEFT(C107,_xlfn.AGGREGATE(16,6,FIND({0,1,2,3,4,5,6,7,8,9},C107,ROW(INDIRECT("1:"&amp;LEN(C107)))),1))," ",REPT(" ",LEN(C107))),LEN(C107)))</f>
        <v>15</v>
      </c>
      <c r="I108" s="21"/>
      <c r="J108" s="23"/>
    </row>
    <row r="109" spans="1:12" ht="36" customHeight="1" x14ac:dyDescent="0.25">
      <c r="A109" s="97" t="s">
        <v>128</v>
      </c>
      <c r="B109" s="98"/>
      <c r="C109" s="99" t="str">
        <f ca="1">I107</f>
        <v>Excavation work Completed. Plinth work completed, RCC Slab, Brickwork, Internal Plaster, External Plaster, Flooring upto 12 Floor, Painting upto 7 Floor Completed</v>
      </c>
      <c r="D109" s="99"/>
      <c r="E109" s="99"/>
      <c r="F109" s="99"/>
      <c r="G109" s="99"/>
      <c r="H109" s="100"/>
      <c r="I109" s="21" t="s">
        <v>140</v>
      </c>
      <c r="J109" s="23"/>
    </row>
    <row r="110" spans="1:12" x14ac:dyDescent="0.25">
      <c r="A110" s="101" t="s">
        <v>53</v>
      </c>
      <c r="B110" s="102"/>
      <c r="C110" s="36" t="s">
        <v>185</v>
      </c>
      <c r="D110" s="72" t="s">
        <v>120</v>
      </c>
      <c r="E110" s="102" t="s">
        <v>122</v>
      </c>
      <c r="F110" s="102"/>
      <c r="G110" s="102" t="s">
        <v>121</v>
      </c>
      <c r="H110" s="103"/>
      <c r="I110" s="49" t="s">
        <v>186</v>
      </c>
      <c r="J110" s="24">
        <f ca="1">H108*25%</f>
        <v>3.75</v>
      </c>
      <c r="L110" s="8" t="s">
        <v>244</v>
      </c>
    </row>
    <row r="111" spans="1:12" x14ac:dyDescent="0.25">
      <c r="A111" s="101" t="s">
        <v>187</v>
      </c>
      <c r="B111" s="102"/>
      <c r="C111" s="37">
        <f ca="1">J112</f>
        <v>15</v>
      </c>
      <c r="D111" s="55">
        <f ca="1">((100/H108)*C111)/100</f>
        <v>1</v>
      </c>
      <c r="E111" s="104">
        <f ca="1">(((C112/H108*10)+(40/(D108+F108+H108)*C113)+(7.5/(H108)*C114)+(7.5/(H108)*C115)+(10/H108*C116)+(10/H108*C117)+(5/H108*C118)+(5/H108*C119)+(5/H108*C120))/100)</f>
        <v>0.85333333333333328</v>
      </c>
      <c r="F111" s="104"/>
      <c r="G111" s="104">
        <f ca="1">((((C111/H108)*20)+((C112/H108)*25)+(30/(H108+F108+D108)*C113)+(5/H108*C114)+(5/H108*C115)+(5/H108*C116)+(5/H108*C117)+(0/H108*C118)+(0/H108*C119)+(5/H108*C120))/100)</f>
        <v>0.94</v>
      </c>
      <c r="H111" s="106"/>
      <c r="I111" s="49" t="s">
        <v>134</v>
      </c>
      <c r="J111" s="50">
        <f ca="1">H108*50%</f>
        <v>7.5</v>
      </c>
    </row>
    <row r="112" spans="1:12" x14ac:dyDescent="0.25">
      <c r="A112" s="101" t="s">
        <v>54</v>
      </c>
      <c r="B112" s="102"/>
      <c r="C112" s="38">
        <f ca="1">J120</f>
        <v>15</v>
      </c>
      <c r="D112" s="55">
        <f ca="1">((100/H108)*C112)/100</f>
        <v>1</v>
      </c>
      <c r="E112" s="104"/>
      <c r="F112" s="104"/>
      <c r="G112" s="104"/>
      <c r="H112" s="106"/>
      <c r="I112" s="49" t="s">
        <v>135</v>
      </c>
      <c r="J112" s="50">
        <f ca="1">H108</f>
        <v>15</v>
      </c>
    </row>
    <row r="113" spans="1:12" x14ac:dyDescent="0.25">
      <c r="A113" s="108" t="s">
        <v>188</v>
      </c>
      <c r="B113" s="109"/>
      <c r="C113" s="38">
        <v>16</v>
      </c>
      <c r="D113" s="55">
        <f ca="1">((100/(D108+F108+H108))*C113)/100</f>
        <v>1</v>
      </c>
      <c r="E113" s="104"/>
      <c r="F113" s="104"/>
      <c r="G113" s="104"/>
      <c r="H113" s="106"/>
      <c r="I113" s="49" t="s">
        <v>136</v>
      </c>
      <c r="J113" s="51">
        <f ca="1">(IF(B108&gt;1,(H108/(B108+2)),H108/4))</f>
        <v>3.75</v>
      </c>
    </row>
    <row r="114" spans="1:12" x14ac:dyDescent="0.25">
      <c r="A114" s="101" t="s">
        <v>189</v>
      </c>
      <c r="B114" s="102" t="s">
        <v>190</v>
      </c>
      <c r="C114" s="37">
        <v>15</v>
      </c>
      <c r="D114" s="55">
        <f ca="1">((100/H108)*C114)/100</f>
        <v>1</v>
      </c>
      <c r="E114" s="104"/>
      <c r="F114" s="104"/>
      <c r="G114" s="104"/>
      <c r="H114" s="106"/>
      <c r="I114" s="49" t="s">
        <v>137</v>
      </c>
      <c r="J114" s="51">
        <f ca="1">(IF(B108&gt;1,(H108/(B108+2)+J113),H108/4+J113))</f>
        <v>7.5</v>
      </c>
    </row>
    <row r="115" spans="1:12" x14ac:dyDescent="0.25">
      <c r="A115" s="101" t="s">
        <v>191</v>
      </c>
      <c r="B115" s="102" t="s">
        <v>190</v>
      </c>
      <c r="C115" s="37">
        <v>15</v>
      </c>
      <c r="D115" s="55">
        <f ca="1">((100/H108)*C115)/100</f>
        <v>1</v>
      </c>
      <c r="E115" s="104"/>
      <c r="F115" s="104"/>
      <c r="G115" s="104"/>
      <c r="H115" s="106"/>
      <c r="I115" s="49" t="s">
        <v>192</v>
      </c>
      <c r="J115" s="51">
        <f>(IF(B108&gt;1,(H108/(B108+2)+J114),0))</f>
        <v>0</v>
      </c>
    </row>
    <row r="116" spans="1:12" ht="15" customHeight="1" x14ac:dyDescent="0.25">
      <c r="A116" s="101" t="s">
        <v>193</v>
      </c>
      <c r="B116" s="102" t="s">
        <v>194</v>
      </c>
      <c r="C116" s="37">
        <v>15</v>
      </c>
      <c r="D116" s="55">
        <f ca="1">((100/(H108))*C116)/100</f>
        <v>1</v>
      </c>
      <c r="E116" s="104"/>
      <c r="F116" s="104"/>
      <c r="G116" s="104"/>
      <c r="H116" s="106"/>
      <c r="I116" s="49" t="s">
        <v>195</v>
      </c>
      <c r="J116" s="51">
        <f>(IF(B108&gt;2,(H108/(B108+2)+J115),0))</f>
        <v>0</v>
      </c>
    </row>
    <row r="117" spans="1:12" x14ac:dyDescent="0.25">
      <c r="A117" s="101" t="s">
        <v>196</v>
      </c>
      <c r="B117" s="102" t="s">
        <v>196</v>
      </c>
      <c r="C117" s="37">
        <v>12</v>
      </c>
      <c r="D117" s="55">
        <f ca="1">((100/H108)*C117)/100</f>
        <v>0.8</v>
      </c>
      <c r="E117" s="104"/>
      <c r="F117" s="104"/>
      <c r="G117" s="104"/>
      <c r="H117" s="106"/>
      <c r="I117" s="49" t="s">
        <v>197</v>
      </c>
      <c r="J117" s="52">
        <f>(IF(B108&gt;3,(H108/(B108+2)+J116),0))</f>
        <v>0</v>
      </c>
    </row>
    <row r="118" spans="1:12" x14ac:dyDescent="0.25">
      <c r="A118" s="101" t="s">
        <v>198</v>
      </c>
      <c r="B118" s="102"/>
      <c r="C118" s="37">
        <v>7</v>
      </c>
      <c r="D118" s="55">
        <f ca="1">((100/H108)*C118)/100</f>
        <v>0.46666666666666673</v>
      </c>
      <c r="E118" s="104"/>
      <c r="F118" s="104"/>
      <c r="G118" s="104"/>
      <c r="H118" s="106"/>
      <c r="I118" s="49" t="s">
        <v>199</v>
      </c>
      <c r="J118" s="51">
        <f>(IF(B108&gt;4,(H108/(B108+2)+J117),0))</f>
        <v>0</v>
      </c>
    </row>
    <row r="119" spans="1:12" ht="15" customHeight="1" x14ac:dyDescent="0.25">
      <c r="A119" s="101" t="s">
        <v>200</v>
      </c>
      <c r="B119" s="102" t="s">
        <v>200</v>
      </c>
      <c r="C119" s="37">
        <v>0</v>
      </c>
      <c r="D119" s="55">
        <f ca="1">((100/(H108))*C119)/100</f>
        <v>0</v>
      </c>
      <c r="E119" s="104"/>
      <c r="F119" s="104"/>
      <c r="G119" s="104"/>
      <c r="H119" s="106"/>
      <c r="I119" s="49" t="s">
        <v>138</v>
      </c>
      <c r="J119" s="51">
        <f ca="1">(IF(B108=1,(H108/(B108+3)+J114),IF(B108=0,(H108/4+J114),IF(B108&gt;1,0))))</f>
        <v>11.25</v>
      </c>
    </row>
    <row r="120" spans="1:12" ht="16.5" thickBot="1" x14ac:dyDescent="0.3">
      <c r="A120" s="110" t="s">
        <v>201</v>
      </c>
      <c r="B120" s="111"/>
      <c r="C120" s="56">
        <v>0</v>
      </c>
      <c r="D120" s="57">
        <f ca="1">((100/(H108))*C120)/100</f>
        <v>0</v>
      </c>
      <c r="E120" s="105"/>
      <c r="F120" s="105"/>
      <c r="G120" s="105"/>
      <c r="H120" s="107"/>
      <c r="I120" s="53" t="s">
        <v>139</v>
      </c>
      <c r="J120" s="54">
        <f ca="1">(IF(B108&gt;1.5,(H108/(B108+2)+J114+MAX(0,J115-J114)+MAX(0,J116-J115)+MAX(0,J117-J116)+MAX(0,J118-J117)+MAX(0,J119-J118)),IF(B108=1,(H108/(B108+3)+J119),IF(B108=0,H108/4+J119))))</f>
        <v>15</v>
      </c>
    </row>
    <row r="121" spans="1:12" ht="15.75" customHeight="1" x14ac:dyDescent="0.25">
      <c r="A121" s="92" t="s">
        <v>184</v>
      </c>
      <c r="B121" s="93"/>
      <c r="C121" s="94" t="s">
        <v>263</v>
      </c>
      <c r="D121" s="95"/>
      <c r="E121" s="95"/>
      <c r="F121" s="95"/>
      <c r="G121" s="95"/>
      <c r="H121" s="96"/>
      <c r="I121" s="48" t="str">
        <f ca="1">(IF(E125&gt;99%,"All work completed. Please provide OC.",IF(E125&gt;89.8%,"Plinth, RCC, Brick, Plaster, Flooring, Painting work Completed. Finishing work is in process.",IF(E125&lt;94%,(IF(C125=0,"Work not yet Started.",IF(D125=25%,"Piling work in process",IF(D125=50%,"Excavation work in process",IF(D125=100%,"Excavation work Completed. ","0")))&amp;(IF(C126=0%,"",IF(C126=J127,"Footing work is process",IF(C126=J128,"Footing work Completed",IF(C126=J129,"1st Basement Completed",IF(C126=J130,"1st &amp; 2nd Basement Completed",IF(C126=J131,"1st to 3rd Basement Completed",IF(C126=J132,"1st to 4th Basement Completed",IF(C126=J133,"Plinth work is process",IF(C126=J134,"Plinth work completed","0")))))))))))&amp;(IF(C127=(D122+F122+H122),", RCC Slab",IF(C127&gt;0,", RCC upto "&amp;C127&amp;" Slab",""))&amp;(IF(C128=H122,", Brickwork",IF(C128&gt;0,", Brickwork upto "&amp;C128&amp;" Floor",""))&amp;(IF(C129=H122,", Internal Plaster",IF(C129&gt;0,", Internal Plaster upto "&amp;C129&amp;" Floor",""))&amp;(IF(C130=H122,", External Plaster",IF(C130&gt;0,", External Plaster upto "&amp;C130&amp;" Floor",""))&amp;(IF(C131=H122,", Flooring",IF(C131&gt;0,", Flooring upto "&amp;C131&amp;" Floor",""))&amp;(IF(C132=H122,", Painting",IF(C132&gt;0,", Painting upto "&amp;C132&amp;" Floor",""))&amp;(IF(C133&gt;0,", Finishing upto "&amp;C133&amp;" Floor","")&amp;(IF(C127&gt;0.5," Completed",""))))))))))))))</f>
        <v>Excavation work Completed. Plinth work completed, RCC Slab, Brickwork, Internal Plaster, External Plaster upto 12 Floor, Flooring upto 1 Floor Completed</v>
      </c>
      <c r="J121" s="22"/>
    </row>
    <row r="122" spans="1:12" s="10" customFormat="1" x14ac:dyDescent="0.25">
      <c r="A122" s="64" t="s">
        <v>103</v>
      </c>
      <c r="B122" s="63">
        <v>0</v>
      </c>
      <c r="C122" s="63" t="s">
        <v>105</v>
      </c>
      <c r="D122" s="63">
        <v>1</v>
      </c>
      <c r="E122" s="63" t="s">
        <v>104</v>
      </c>
      <c r="F122" s="63">
        <v>0</v>
      </c>
      <c r="G122" s="63" t="s">
        <v>117</v>
      </c>
      <c r="H122" s="35">
        <f ca="1">--TRIM(RIGHT(SUBSTITUTE(LEFT(C121,_xlfn.AGGREGATE(16,6,FIND({0,1,2,3,4,5,6,7,8,9},C121,ROW(INDIRECT("1:"&amp;LEN(C121)))),1))," ",REPT(" ",LEN(C121))),LEN(C121)))</f>
        <v>15</v>
      </c>
      <c r="I122" s="21"/>
      <c r="J122" s="23"/>
    </row>
    <row r="123" spans="1:12" ht="34.9" customHeight="1" x14ac:dyDescent="0.25">
      <c r="A123" s="97" t="s">
        <v>128</v>
      </c>
      <c r="B123" s="98"/>
      <c r="C123" s="99" t="str">
        <f ca="1">I121</f>
        <v>Excavation work Completed. Plinth work completed, RCC Slab, Brickwork, Internal Plaster, External Plaster upto 12 Floor, Flooring upto 1 Floor Completed</v>
      </c>
      <c r="D123" s="99"/>
      <c r="E123" s="99"/>
      <c r="F123" s="99"/>
      <c r="G123" s="99"/>
      <c r="H123" s="100"/>
      <c r="I123" s="21" t="s">
        <v>140</v>
      </c>
      <c r="J123" s="23"/>
    </row>
    <row r="124" spans="1:12" x14ac:dyDescent="0.25">
      <c r="A124" s="101" t="s">
        <v>53</v>
      </c>
      <c r="B124" s="102"/>
      <c r="C124" s="36" t="s">
        <v>185</v>
      </c>
      <c r="D124" s="36" t="s">
        <v>120</v>
      </c>
      <c r="E124" s="102" t="s">
        <v>122</v>
      </c>
      <c r="F124" s="102"/>
      <c r="G124" s="102" t="s">
        <v>121</v>
      </c>
      <c r="H124" s="103"/>
      <c r="I124" s="49" t="s">
        <v>186</v>
      </c>
      <c r="J124" s="24">
        <f ca="1">H122*25%</f>
        <v>3.75</v>
      </c>
      <c r="L124" s="8" t="s">
        <v>244</v>
      </c>
    </row>
    <row r="125" spans="1:12" x14ac:dyDescent="0.25">
      <c r="A125" s="101" t="s">
        <v>187</v>
      </c>
      <c r="B125" s="102"/>
      <c r="C125" s="37">
        <f ca="1">J126</f>
        <v>15</v>
      </c>
      <c r="D125" s="55">
        <f ca="1">((100/H122)*C125)/100</f>
        <v>1</v>
      </c>
      <c r="E125" s="104">
        <f ca="1">(((C126/H122*10)+(40/(D122+F122+H122)*C127)+(7.5/(H122)*C128)+(7.5/(H122)*C129)+(10/H122*C130)+(10/H122*C131)+(5/H122*C132)+(5/H122*C133)+(5/H122*C134))/100)</f>
        <v>0.73666666666666669</v>
      </c>
      <c r="F125" s="104"/>
      <c r="G125" s="104">
        <f ca="1">((((C125/H122)*20)+((C126/H122)*25)+(30/(H122+F122+D122)*C127)+(5/H122*C128)+(5/H122*C129)+(5/H122*C130)+(5/H122*C131)+(0/H122*C132)+(0/H122*C133)+(5/H122*C134))/100)</f>
        <v>0.89333333333333331</v>
      </c>
      <c r="H125" s="106"/>
      <c r="I125" s="49" t="s">
        <v>134</v>
      </c>
      <c r="J125" s="50">
        <f ca="1">H122*50%</f>
        <v>7.5</v>
      </c>
    </row>
    <row r="126" spans="1:12" x14ac:dyDescent="0.25">
      <c r="A126" s="101" t="s">
        <v>54</v>
      </c>
      <c r="B126" s="102"/>
      <c r="C126" s="38">
        <f ca="1">J134</f>
        <v>15</v>
      </c>
      <c r="D126" s="55">
        <f ca="1">((100/H122)*C126)/100</f>
        <v>1</v>
      </c>
      <c r="E126" s="104"/>
      <c r="F126" s="104"/>
      <c r="G126" s="104"/>
      <c r="H126" s="106"/>
      <c r="I126" s="49" t="s">
        <v>135</v>
      </c>
      <c r="J126" s="50">
        <f ca="1">H122</f>
        <v>15</v>
      </c>
    </row>
    <row r="127" spans="1:12" x14ac:dyDescent="0.25">
      <c r="A127" s="108" t="s">
        <v>188</v>
      </c>
      <c r="B127" s="109"/>
      <c r="C127" s="38">
        <v>16</v>
      </c>
      <c r="D127" s="55">
        <f ca="1">((100/(D122+F122+H122))*C127)/100</f>
        <v>1</v>
      </c>
      <c r="E127" s="104"/>
      <c r="F127" s="104"/>
      <c r="G127" s="104"/>
      <c r="H127" s="106"/>
      <c r="I127" s="49" t="s">
        <v>136</v>
      </c>
      <c r="J127" s="51">
        <f ca="1">(IF(B122&gt;1,(H122/(B122+2)),H122/4))</f>
        <v>3.75</v>
      </c>
    </row>
    <row r="128" spans="1:12" x14ac:dyDescent="0.25">
      <c r="A128" s="101" t="s">
        <v>189</v>
      </c>
      <c r="B128" s="102" t="s">
        <v>190</v>
      </c>
      <c r="C128" s="37">
        <v>15</v>
      </c>
      <c r="D128" s="55">
        <f ca="1">((100/H122)*C128)/100</f>
        <v>1</v>
      </c>
      <c r="E128" s="104"/>
      <c r="F128" s="104"/>
      <c r="G128" s="104"/>
      <c r="H128" s="106"/>
      <c r="I128" s="49" t="s">
        <v>137</v>
      </c>
      <c r="J128" s="51">
        <f ca="1">(IF(B122&gt;1,(H122/(B122+2)+J127),H122/4+J127))</f>
        <v>7.5</v>
      </c>
    </row>
    <row r="129" spans="1:12" x14ac:dyDescent="0.25">
      <c r="A129" s="101" t="s">
        <v>191</v>
      </c>
      <c r="B129" s="102" t="s">
        <v>190</v>
      </c>
      <c r="C129" s="37">
        <v>15</v>
      </c>
      <c r="D129" s="55">
        <f ca="1">((100/H122)*C129)/100</f>
        <v>1</v>
      </c>
      <c r="E129" s="104"/>
      <c r="F129" s="104"/>
      <c r="G129" s="104"/>
      <c r="H129" s="106"/>
      <c r="I129" s="49" t="s">
        <v>192</v>
      </c>
      <c r="J129" s="51">
        <f>(IF(B122&gt;1,(H122/(B122+2)+J128),0))</f>
        <v>0</v>
      </c>
    </row>
    <row r="130" spans="1:12" ht="15" customHeight="1" x14ac:dyDescent="0.25">
      <c r="A130" s="101" t="s">
        <v>193</v>
      </c>
      <c r="B130" s="102" t="s">
        <v>194</v>
      </c>
      <c r="C130" s="37">
        <v>12</v>
      </c>
      <c r="D130" s="55">
        <f ca="1">((100/(H122))*C130)/100</f>
        <v>0.8</v>
      </c>
      <c r="E130" s="104"/>
      <c r="F130" s="104"/>
      <c r="G130" s="104"/>
      <c r="H130" s="106"/>
      <c r="I130" s="49" t="s">
        <v>195</v>
      </c>
      <c r="J130" s="51">
        <f>(IF(B122&gt;2,(H122/(B122+2)+J129),0))</f>
        <v>0</v>
      </c>
    </row>
    <row r="131" spans="1:12" x14ac:dyDescent="0.25">
      <c r="A131" s="101" t="s">
        <v>196</v>
      </c>
      <c r="B131" s="102" t="s">
        <v>196</v>
      </c>
      <c r="C131" s="37">
        <v>1</v>
      </c>
      <c r="D131" s="55">
        <f ca="1">((100/H122)*C131)/100</f>
        <v>6.6666666666666666E-2</v>
      </c>
      <c r="E131" s="104"/>
      <c r="F131" s="104"/>
      <c r="G131" s="104"/>
      <c r="H131" s="106"/>
      <c r="I131" s="49" t="s">
        <v>197</v>
      </c>
      <c r="J131" s="52">
        <f>(IF(B122&gt;3,(H122/(B122+2)+J130),0))</f>
        <v>0</v>
      </c>
    </row>
    <row r="132" spans="1:12" x14ac:dyDescent="0.25">
      <c r="A132" s="101" t="s">
        <v>198</v>
      </c>
      <c r="B132" s="102"/>
      <c r="C132" s="37">
        <v>0</v>
      </c>
      <c r="D132" s="55">
        <f ca="1">((100/H122)*C132)/100</f>
        <v>0</v>
      </c>
      <c r="E132" s="104"/>
      <c r="F132" s="104"/>
      <c r="G132" s="104"/>
      <c r="H132" s="106"/>
      <c r="I132" s="49" t="s">
        <v>199</v>
      </c>
      <c r="J132" s="51">
        <f>(IF(B122&gt;4,(H122/(B122+2)+J131),0))</f>
        <v>0</v>
      </c>
    </row>
    <row r="133" spans="1:12" ht="15" customHeight="1" x14ac:dyDescent="0.25">
      <c r="A133" s="101" t="s">
        <v>200</v>
      </c>
      <c r="B133" s="102" t="s">
        <v>200</v>
      </c>
      <c r="C133" s="37">
        <v>0</v>
      </c>
      <c r="D133" s="55">
        <f ca="1">((100/(H122))*C133)/100</f>
        <v>0</v>
      </c>
      <c r="E133" s="104"/>
      <c r="F133" s="104"/>
      <c r="G133" s="104"/>
      <c r="H133" s="106"/>
      <c r="I133" s="49" t="s">
        <v>138</v>
      </c>
      <c r="J133" s="51">
        <f ca="1">(IF(B122=1,(H122/(B122+3)+J128),IF(B122=0,(H122/4+J128),IF(B122&gt;1,0))))</f>
        <v>11.25</v>
      </c>
    </row>
    <row r="134" spans="1:12" ht="16.5" thickBot="1" x14ac:dyDescent="0.3">
      <c r="A134" s="110" t="s">
        <v>201</v>
      </c>
      <c r="B134" s="111"/>
      <c r="C134" s="56">
        <v>0</v>
      </c>
      <c r="D134" s="57">
        <f ca="1">((100/(H122))*C134)/100</f>
        <v>0</v>
      </c>
      <c r="E134" s="105"/>
      <c r="F134" s="105"/>
      <c r="G134" s="105"/>
      <c r="H134" s="107"/>
      <c r="I134" s="53" t="s">
        <v>139</v>
      </c>
      <c r="J134" s="54">
        <f ca="1">(IF(B122&gt;1.5,(H122/(B122+2)+J128+MAX(0,J129-J128)+MAX(0,J130-J129)+MAX(0,J131-J130)+MAX(0,J132-J131)+MAX(0,J133-J132)),IF(B122=1,(H122/(B122+3)+J133),IF(B122=0,H122/4+J133))))</f>
        <v>15</v>
      </c>
    </row>
    <row r="135" spans="1:12" ht="15.75" customHeight="1" x14ac:dyDescent="0.25">
      <c r="A135" s="92" t="s">
        <v>184</v>
      </c>
      <c r="B135" s="93"/>
      <c r="C135" s="94" t="s">
        <v>264</v>
      </c>
      <c r="D135" s="95"/>
      <c r="E135" s="95"/>
      <c r="F135" s="95"/>
      <c r="G135" s="95"/>
      <c r="H135" s="96"/>
      <c r="I135" s="48" t="str">
        <f ca="1">(IF(E139&gt;99%,"All work completed. Please provide OC.",IF(E139&gt;89.8%,"Plinth, RCC, Brick, Plaster, Flooring, Painting work Completed. Finishing work is in process.",IF(E139&lt;94%,(IF(C139=0,"Work not yet Started.",IF(D139=25%,"Piling work in process",IF(D139=50%,"Excavation work in process",IF(D139=100%,"Excavation work Completed. ","0")))&amp;(IF(C140=0%,"",IF(C140=J141,"Footing work is process",IF(C140=J142,"Footing work Completed",IF(C140=J143,"1st Basement Completed",IF(C140=J144,"1st &amp; 2nd Basement Completed",IF(C140=J145,"1st to 3rd Basement Completed",IF(C140=J146,"1st to 4th Basement Completed",IF(C140=J147,"Plinth work is process",IF(C140=J148,"Plinth work completed","0")))))))))))&amp;(IF(C141=(D136+F136+H136),", RCC Slab",IF(C141&gt;0,", RCC upto "&amp;C141&amp;" Slab",""))&amp;(IF(C142=H136,", Brickwork",IF(C142&gt;0,", Brickwork upto "&amp;C142&amp;" Floor",""))&amp;(IF(C143=H136,", Internal Plaster",IF(C143&gt;0,", Internal Plaster upto "&amp;C143&amp;" Floor",""))&amp;(IF(C144=H136,", External Plaster",IF(C144&gt;0,", External Plaster upto "&amp;C144&amp;" Floor",""))&amp;(IF(C145=H136,", Flooring",IF(C145&gt;0,", Flooring upto "&amp;C145&amp;" Floor",""))&amp;(IF(C146=H136,", Painting",IF(C146&gt;0,", Painting upto "&amp;C146&amp;" Floor",""))&amp;(IF(C147&gt;0,", Finishing upto "&amp;C147&amp;" Floor","")&amp;(IF(C141&gt;0.5," Completed",""))))))))))))))</f>
        <v>Excavation work Completed. Plinth work completed, RCC Slab, Brickwork, Internal Plaster upto 12 Floor, External Plaster upto 12 Floor Completed</v>
      </c>
      <c r="J135" s="22"/>
    </row>
    <row r="136" spans="1:12" s="10" customFormat="1" x14ac:dyDescent="0.25">
      <c r="A136" s="64" t="s">
        <v>103</v>
      </c>
      <c r="B136" s="63">
        <v>0</v>
      </c>
      <c r="C136" s="63" t="s">
        <v>105</v>
      </c>
      <c r="D136" s="63">
        <v>1</v>
      </c>
      <c r="E136" s="63" t="s">
        <v>104</v>
      </c>
      <c r="F136" s="63">
        <v>0</v>
      </c>
      <c r="G136" s="63" t="s">
        <v>117</v>
      </c>
      <c r="H136" s="35">
        <f ca="1">--TRIM(RIGHT(SUBSTITUTE(LEFT(C135,_xlfn.AGGREGATE(16,6,FIND({0,1,2,3,4,5,6,7,8,9},C135,ROW(INDIRECT("1:"&amp;LEN(C135)))),1))," ",REPT(" ",LEN(C135))),LEN(C135)))</f>
        <v>15</v>
      </c>
      <c r="I136" s="21"/>
      <c r="J136" s="23"/>
    </row>
    <row r="137" spans="1:12" ht="35.25" customHeight="1" x14ac:dyDescent="0.25">
      <c r="A137" s="97" t="s">
        <v>128</v>
      </c>
      <c r="B137" s="98"/>
      <c r="C137" s="99" t="str">
        <f ca="1">I135</f>
        <v>Excavation work Completed. Plinth work completed, RCC Slab, Brickwork, Internal Plaster upto 12 Floor, External Plaster upto 12 Floor Completed</v>
      </c>
      <c r="D137" s="99"/>
      <c r="E137" s="99"/>
      <c r="F137" s="99"/>
      <c r="G137" s="99"/>
      <c r="H137" s="100"/>
      <c r="I137" s="21" t="s">
        <v>140</v>
      </c>
      <c r="J137" s="23"/>
    </row>
    <row r="138" spans="1:12" x14ac:dyDescent="0.25">
      <c r="A138" s="101" t="s">
        <v>53</v>
      </c>
      <c r="B138" s="102"/>
      <c r="C138" s="36" t="s">
        <v>185</v>
      </c>
      <c r="D138" s="36" t="s">
        <v>120</v>
      </c>
      <c r="E138" s="102" t="s">
        <v>122</v>
      </c>
      <c r="F138" s="102"/>
      <c r="G138" s="102" t="s">
        <v>121</v>
      </c>
      <c r="H138" s="103"/>
      <c r="I138" s="49" t="s">
        <v>186</v>
      </c>
      <c r="J138" s="24">
        <f ca="1">H136*25%</f>
        <v>3.75</v>
      </c>
      <c r="L138" s="8" t="s">
        <v>244</v>
      </c>
    </row>
    <row r="139" spans="1:12" x14ac:dyDescent="0.25">
      <c r="A139" s="101" t="s">
        <v>187</v>
      </c>
      <c r="B139" s="102"/>
      <c r="C139" s="37">
        <f ca="1">J140</f>
        <v>15</v>
      </c>
      <c r="D139" s="55">
        <f ca="1">((100/H136)*C139)/100</f>
        <v>1</v>
      </c>
      <c r="E139" s="104">
        <f ca="1">(((C140/H136*10)+(40/(D136+F136+H136)*C141)+(7.5/(H136)*C142)+(7.5/(H136)*C143)+(10/H136*C144)+(10/H136*C145)+(5/H136*C146)+(5/H136*C147)+(5/H136*C148))/100)</f>
        <v>0.71499999999999997</v>
      </c>
      <c r="F139" s="104"/>
      <c r="G139" s="104">
        <f ca="1">((((C139/H136)*20)+((C140/H136)*25)+(30/(H136+F136+D136)*C141)+(5/H136*C142)+(5/H136*C143)+(5/H136*C144)+(5/H136*C145)+(0/H136*C146)+(0/H136*C147)+(5/H136*C148))/100)</f>
        <v>0.88</v>
      </c>
      <c r="H139" s="106"/>
      <c r="I139" s="49" t="s">
        <v>134</v>
      </c>
      <c r="J139" s="50">
        <f ca="1">H136*50%</f>
        <v>7.5</v>
      </c>
    </row>
    <row r="140" spans="1:12" x14ac:dyDescent="0.25">
      <c r="A140" s="101" t="s">
        <v>54</v>
      </c>
      <c r="B140" s="102"/>
      <c r="C140" s="38">
        <f ca="1">J148</f>
        <v>15</v>
      </c>
      <c r="D140" s="55">
        <f ca="1">((100/H136)*C140)/100</f>
        <v>1</v>
      </c>
      <c r="E140" s="104"/>
      <c r="F140" s="104"/>
      <c r="G140" s="104"/>
      <c r="H140" s="106"/>
      <c r="I140" s="49" t="s">
        <v>135</v>
      </c>
      <c r="J140" s="50">
        <f ca="1">H136</f>
        <v>15</v>
      </c>
    </row>
    <row r="141" spans="1:12" x14ac:dyDescent="0.25">
      <c r="A141" s="108" t="s">
        <v>188</v>
      </c>
      <c r="B141" s="109"/>
      <c r="C141" s="38">
        <v>16</v>
      </c>
      <c r="D141" s="55">
        <f ca="1">((100/(D136+F136+H136))*C141)/100</f>
        <v>1</v>
      </c>
      <c r="E141" s="104"/>
      <c r="F141" s="104"/>
      <c r="G141" s="104"/>
      <c r="H141" s="106"/>
      <c r="I141" s="49" t="s">
        <v>136</v>
      </c>
      <c r="J141" s="51">
        <f ca="1">(IF(B136&gt;1,(H136/(B136+2)),H136/4))</f>
        <v>3.75</v>
      </c>
    </row>
    <row r="142" spans="1:12" x14ac:dyDescent="0.25">
      <c r="A142" s="101" t="s">
        <v>189</v>
      </c>
      <c r="B142" s="102" t="s">
        <v>190</v>
      </c>
      <c r="C142" s="37">
        <v>15</v>
      </c>
      <c r="D142" s="55">
        <f ca="1">((100/H136)*C142)/100</f>
        <v>1</v>
      </c>
      <c r="E142" s="104"/>
      <c r="F142" s="104"/>
      <c r="G142" s="104"/>
      <c r="H142" s="106"/>
      <c r="I142" s="49" t="s">
        <v>137</v>
      </c>
      <c r="J142" s="51">
        <f ca="1">(IF(B136&gt;1,(H136/(B136+2)+J141),H136/4+J141))</f>
        <v>7.5</v>
      </c>
    </row>
    <row r="143" spans="1:12" x14ac:dyDescent="0.25">
      <c r="A143" s="101" t="s">
        <v>191</v>
      </c>
      <c r="B143" s="102" t="s">
        <v>190</v>
      </c>
      <c r="C143" s="37">
        <v>12</v>
      </c>
      <c r="D143" s="55">
        <f ca="1">((100/H136)*C143)/100</f>
        <v>0.8</v>
      </c>
      <c r="E143" s="104"/>
      <c r="F143" s="104"/>
      <c r="G143" s="104"/>
      <c r="H143" s="106"/>
      <c r="I143" s="49" t="s">
        <v>192</v>
      </c>
      <c r="J143" s="51">
        <f>(IF(B136&gt;1,(H136/(B136+2)+J142),0))</f>
        <v>0</v>
      </c>
    </row>
    <row r="144" spans="1:12" ht="15" customHeight="1" x14ac:dyDescent="0.25">
      <c r="A144" s="101" t="s">
        <v>193</v>
      </c>
      <c r="B144" s="102" t="s">
        <v>194</v>
      </c>
      <c r="C144" s="37">
        <v>12</v>
      </c>
      <c r="D144" s="55">
        <f ca="1">((100/(H136))*C144)/100</f>
        <v>0.8</v>
      </c>
      <c r="E144" s="104"/>
      <c r="F144" s="104"/>
      <c r="G144" s="104"/>
      <c r="H144" s="106"/>
      <c r="I144" s="49" t="s">
        <v>195</v>
      </c>
      <c r="J144" s="51">
        <f>(IF(B136&gt;2,(H136/(B136+2)+J143),0))</f>
        <v>0</v>
      </c>
    </row>
    <row r="145" spans="1:10" x14ac:dyDescent="0.25">
      <c r="A145" s="101" t="s">
        <v>196</v>
      </c>
      <c r="B145" s="102" t="s">
        <v>196</v>
      </c>
      <c r="C145" s="37">
        <v>0</v>
      </c>
      <c r="D145" s="55">
        <f ca="1">((100/H136)*C145)/100</f>
        <v>0</v>
      </c>
      <c r="E145" s="104"/>
      <c r="F145" s="104"/>
      <c r="G145" s="104"/>
      <c r="H145" s="106"/>
      <c r="I145" s="49" t="s">
        <v>197</v>
      </c>
      <c r="J145" s="52">
        <f>(IF(B136&gt;3,(H136/(B136+2)+J144),0))</f>
        <v>0</v>
      </c>
    </row>
    <row r="146" spans="1:10" x14ac:dyDescent="0.25">
      <c r="A146" s="101" t="s">
        <v>198</v>
      </c>
      <c r="B146" s="102"/>
      <c r="C146" s="37">
        <v>0</v>
      </c>
      <c r="D146" s="55">
        <f ca="1">((100/H136)*C146)/100</f>
        <v>0</v>
      </c>
      <c r="E146" s="104"/>
      <c r="F146" s="104"/>
      <c r="G146" s="104"/>
      <c r="H146" s="106"/>
      <c r="I146" s="49" t="s">
        <v>199</v>
      </c>
      <c r="J146" s="51">
        <f>(IF(B136&gt;4,(H136/(B136+2)+J145),0))</f>
        <v>0</v>
      </c>
    </row>
    <row r="147" spans="1:10" ht="15" customHeight="1" x14ac:dyDescent="0.25">
      <c r="A147" s="101" t="s">
        <v>200</v>
      </c>
      <c r="B147" s="102" t="s">
        <v>200</v>
      </c>
      <c r="C147" s="37">
        <v>0</v>
      </c>
      <c r="D147" s="55">
        <f ca="1">((100/(H136))*C147)/100</f>
        <v>0</v>
      </c>
      <c r="E147" s="104"/>
      <c r="F147" s="104"/>
      <c r="G147" s="104"/>
      <c r="H147" s="106"/>
      <c r="I147" s="49" t="s">
        <v>138</v>
      </c>
      <c r="J147" s="51">
        <f ca="1">(IF(B136=1,(H136/(B136+3)+J142),IF(B136=0,(H136/4+J142),IF(B136&gt;1,0))))</f>
        <v>11.25</v>
      </c>
    </row>
    <row r="148" spans="1:10" ht="16.5" thickBot="1" x14ac:dyDescent="0.3">
      <c r="A148" s="114" t="s">
        <v>201</v>
      </c>
      <c r="B148" s="115"/>
      <c r="C148" s="75">
        <v>0</v>
      </c>
      <c r="D148" s="76">
        <f ca="1">((100/(H136))*C148)/100</f>
        <v>0</v>
      </c>
      <c r="E148" s="112"/>
      <c r="F148" s="112"/>
      <c r="G148" s="112"/>
      <c r="H148" s="113"/>
      <c r="I148" s="53" t="s">
        <v>139</v>
      </c>
      <c r="J148" s="54">
        <f ca="1">(IF(B136&gt;1.5,(H136/(B136+2)+J142+MAX(0,J143-J142)+MAX(0,J144-J143)+MAX(0,J145-J144)+MAX(0,J146-J145)+MAX(0,J147-J146)),IF(B136=1,(H136/(B136+3)+J147),IF(B136=0,H136/4+J147))))</f>
        <v>15</v>
      </c>
    </row>
    <row r="149" spans="1:10" ht="15.75" customHeight="1" x14ac:dyDescent="0.25">
      <c r="A149" s="92" t="s">
        <v>184</v>
      </c>
      <c r="B149" s="93"/>
      <c r="C149" s="94" t="str">
        <f>D58</f>
        <v>Building No.5 Gardenia = Gr/St + 1st to 2nd Floor</v>
      </c>
      <c r="D149" s="95"/>
      <c r="E149" s="95"/>
      <c r="F149" s="95"/>
      <c r="G149" s="95"/>
      <c r="H149" s="96"/>
      <c r="I149" s="48" t="str">
        <f ca="1">(IF(E155&gt;99%,"All work completed. Please provide OC.",IF(E155&gt;89.8%,"Plinth, RCC, Brick, Plaster, Flooring, Painting work Completed. Finishing work is in process.",IF(E155&lt;94%,(IF(C155=0,"Work not yet Started.",IF(D155=25%,"Piling work in process",IF(D155=50%,"Excavation work in process",IF(D155=100%,"Excavation work Completed. ","0")))&amp;(IF(C156=0%,"",IF(C156=J157,"Footing work is process",IF(C156=J158,"Footing work Completed",IF(C156=J159,"1st Basement Completed",IF(C156=J160,"1st &amp; 2nd Basement Completed",IF(C156=J161,"1st to 3rd Basement Completed",IF(C156=J162,"1st to 4th Basement Completed",IF(C156=J163,"Plinth work is process",IF(C156=J164,"Plinth work completed","0")))))))))))&amp;(IF(C157=(D150+F150+H150),", RCC Slab",IF(C157&gt;0,", RCC upto "&amp;C157&amp;" Slab",""))&amp;(IF(C158=H150,", Brickwork",IF(C158&gt;0,", Brickwork upto "&amp;C158&amp;" Floor",""))&amp;(IF(C159=H150,", Internal Plaster",IF(C159&gt;0,", Internal Plaster upto "&amp;C159&amp;" Floor",""))&amp;(IF(C160=H150,", External Plaster",IF(C160&gt;0,", External Plaster upto "&amp;C160&amp;" Floor",""))&amp;(IF(C161=H150,", Flooring",IF(C161&gt;0,", Flooring upto "&amp;C161&amp;" Floor",""))&amp;(IF(C162=H150,", Painting",IF(C162&gt;0,", Painting upto "&amp;C162&amp;" Floor",""))&amp;(IF(C163&gt;0,", Finishing upto "&amp;C163&amp;" Floor","")&amp;(IF(C157&gt;0.5," Completed",""))))))))))))))</f>
        <v>All work completed. Please provide OC.</v>
      </c>
      <c r="J149" s="22"/>
    </row>
    <row r="150" spans="1:10" s="10" customFormat="1" x14ac:dyDescent="0.25">
      <c r="A150" s="64" t="s">
        <v>103</v>
      </c>
      <c r="B150" s="63">
        <v>0</v>
      </c>
      <c r="C150" s="63" t="s">
        <v>105</v>
      </c>
      <c r="D150" s="63">
        <v>1</v>
      </c>
      <c r="E150" s="63" t="s">
        <v>104</v>
      </c>
      <c r="F150" s="63">
        <v>0</v>
      </c>
      <c r="G150" s="63" t="s">
        <v>117</v>
      </c>
      <c r="H150" s="35">
        <f ca="1">--TRIM(RIGHT(SUBSTITUTE(LEFT(C149,_xlfn.AGGREGATE(16,6,FIND({0,1,2,3,4,5,6,7,8,9},C149,ROW(INDIRECT("1:"&amp;LEN(C149)))),1))," ",REPT(" ",LEN(C149))),LEN(C149)))</f>
        <v>2</v>
      </c>
      <c r="I150" s="21"/>
      <c r="J150" s="23"/>
    </row>
    <row r="151" spans="1:10" x14ac:dyDescent="0.25">
      <c r="A151" s="97" t="s">
        <v>128</v>
      </c>
      <c r="B151" s="98"/>
      <c r="C151" s="99" t="str">
        <f ca="1">I149</f>
        <v>All work completed. Please provide OC.</v>
      </c>
      <c r="D151" s="99"/>
      <c r="E151" s="99"/>
      <c r="F151" s="99"/>
      <c r="G151" s="99"/>
      <c r="H151" s="100"/>
      <c r="I151" s="21" t="s">
        <v>140</v>
      </c>
      <c r="J151" s="23"/>
    </row>
    <row r="152" spans="1:10" s="2" customFormat="1" x14ac:dyDescent="0.25">
      <c r="A152" s="81" t="s">
        <v>122</v>
      </c>
      <c r="B152" s="82"/>
      <c r="C152" s="85">
        <v>1</v>
      </c>
      <c r="D152" s="86"/>
      <c r="E152" s="89" t="s">
        <v>121</v>
      </c>
      <c r="F152" s="86"/>
      <c r="G152" s="85">
        <v>1</v>
      </c>
      <c r="H152" s="90"/>
      <c r="I152" s="73"/>
      <c r="J152" s="74"/>
    </row>
    <row r="153" spans="1:10" s="2" customFormat="1" ht="16.5" thickBot="1" x14ac:dyDescent="0.3">
      <c r="A153" s="83"/>
      <c r="B153" s="84"/>
      <c r="C153" s="87"/>
      <c r="D153" s="88"/>
      <c r="E153" s="87"/>
      <c r="F153" s="88"/>
      <c r="G153" s="87"/>
      <c r="H153" s="91"/>
      <c r="I153" s="73"/>
      <c r="J153" s="74"/>
    </row>
    <row r="154" spans="1:10" hidden="1" x14ac:dyDescent="0.25">
      <c r="A154" s="116" t="s">
        <v>53</v>
      </c>
      <c r="B154" s="117"/>
      <c r="C154" s="77" t="s">
        <v>185</v>
      </c>
      <c r="D154" s="78" t="s">
        <v>120</v>
      </c>
      <c r="E154" s="117" t="s">
        <v>122</v>
      </c>
      <c r="F154" s="117"/>
      <c r="G154" s="117" t="s">
        <v>121</v>
      </c>
      <c r="H154" s="118"/>
      <c r="I154" s="49" t="s">
        <v>186</v>
      </c>
      <c r="J154" s="24">
        <f ca="1">H150*25%</f>
        <v>0.5</v>
      </c>
    </row>
    <row r="155" spans="1:10" hidden="1" x14ac:dyDescent="0.25">
      <c r="A155" s="101" t="s">
        <v>187</v>
      </c>
      <c r="B155" s="102"/>
      <c r="C155" s="37">
        <f ca="1">J156</f>
        <v>2</v>
      </c>
      <c r="D155" s="55">
        <f ca="1">((100/H150)*C155)/100</f>
        <v>1</v>
      </c>
      <c r="E155" s="104">
        <f ca="1">(((C156/H150*10)+(40/(D150+F150+H150)*C157)+(7.5/(H150)*C158)+(7.5/(H150)*C159)+(10/H150*C160)+(10/H150*C161)+(5/H150*C162)+(5/H150*C163)+(5/H150*C164))/100)</f>
        <v>1</v>
      </c>
      <c r="F155" s="104"/>
      <c r="G155" s="104">
        <f ca="1">((((C155/H150)*20)+((C156/H150)*25)+(30/(H150+F150+D150)*C157)+(5/H150*C158)+(5/H150*C159)+(5/H150*C160)+(5/H150*C161)+(0/H150*C162)+(0/H150*C163)+(5/H150*C164))/100)</f>
        <v>1</v>
      </c>
      <c r="H155" s="106"/>
      <c r="I155" s="49" t="s">
        <v>134</v>
      </c>
      <c r="J155" s="50">
        <f ca="1">H150*50%</f>
        <v>1</v>
      </c>
    </row>
    <row r="156" spans="1:10" hidden="1" x14ac:dyDescent="0.25">
      <c r="A156" s="101" t="s">
        <v>54</v>
      </c>
      <c r="B156" s="102"/>
      <c r="C156" s="38">
        <f ca="1">J164</f>
        <v>2</v>
      </c>
      <c r="D156" s="55">
        <f ca="1">((100/H150)*C156)/100</f>
        <v>1</v>
      </c>
      <c r="E156" s="104"/>
      <c r="F156" s="104"/>
      <c r="G156" s="104"/>
      <c r="H156" s="106"/>
      <c r="I156" s="49" t="s">
        <v>135</v>
      </c>
      <c r="J156" s="50">
        <f ca="1">H150</f>
        <v>2</v>
      </c>
    </row>
    <row r="157" spans="1:10" hidden="1" x14ac:dyDescent="0.25">
      <c r="A157" s="108" t="s">
        <v>188</v>
      </c>
      <c r="B157" s="109"/>
      <c r="C157" s="38">
        <v>3</v>
      </c>
      <c r="D157" s="55">
        <f ca="1">((100/(D150+F150+H150))*C157)/100</f>
        <v>1</v>
      </c>
      <c r="E157" s="104"/>
      <c r="F157" s="104"/>
      <c r="G157" s="104"/>
      <c r="H157" s="106"/>
      <c r="I157" s="49" t="s">
        <v>136</v>
      </c>
      <c r="J157" s="51">
        <f ca="1">(IF(B150&gt;1,(H150/(B150+2)),H150/4))</f>
        <v>0.5</v>
      </c>
    </row>
    <row r="158" spans="1:10" hidden="1" x14ac:dyDescent="0.25">
      <c r="A158" s="101" t="s">
        <v>189</v>
      </c>
      <c r="B158" s="102" t="s">
        <v>190</v>
      </c>
      <c r="C158" s="37">
        <v>2</v>
      </c>
      <c r="D158" s="55">
        <f ca="1">((100/H150)*C158)/100</f>
        <v>1</v>
      </c>
      <c r="E158" s="104"/>
      <c r="F158" s="104"/>
      <c r="G158" s="104"/>
      <c r="H158" s="106"/>
      <c r="I158" s="49" t="s">
        <v>137</v>
      </c>
      <c r="J158" s="51">
        <f ca="1">(IF(B150&gt;1,(H150/(B150+2)+J157),H150/4+J157))</f>
        <v>1</v>
      </c>
    </row>
    <row r="159" spans="1:10" hidden="1" x14ac:dyDescent="0.25">
      <c r="A159" s="101" t="s">
        <v>191</v>
      </c>
      <c r="B159" s="102" t="s">
        <v>190</v>
      </c>
      <c r="C159" s="37">
        <v>2</v>
      </c>
      <c r="D159" s="55">
        <f ca="1">((100/H150)*C159)/100</f>
        <v>1</v>
      </c>
      <c r="E159" s="104"/>
      <c r="F159" s="104"/>
      <c r="G159" s="104"/>
      <c r="H159" s="106"/>
      <c r="I159" s="49" t="s">
        <v>192</v>
      </c>
      <c r="J159" s="51">
        <f>(IF(B150&gt;1,(H150/(B150+2)+J158),0))</f>
        <v>0</v>
      </c>
    </row>
    <row r="160" spans="1:10" ht="15" hidden="1" customHeight="1" x14ac:dyDescent="0.25">
      <c r="A160" s="101" t="s">
        <v>193</v>
      </c>
      <c r="B160" s="102" t="s">
        <v>194</v>
      </c>
      <c r="C160" s="37">
        <v>2</v>
      </c>
      <c r="D160" s="55">
        <f ca="1">((100/(H150))*C160)/100</f>
        <v>1</v>
      </c>
      <c r="E160" s="104"/>
      <c r="F160" s="104"/>
      <c r="G160" s="104"/>
      <c r="H160" s="106"/>
      <c r="I160" s="49" t="s">
        <v>195</v>
      </c>
      <c r="J160" s="51">
        <f>(IF(B150&gt;2,(H150/(B150+2)+J159),0))</f>
        <v>0</v>
      </c>
    </row>
    <row r="161" spans="1:16" hidden="1" x14ac:dyDescent="0.25">
      <c r="A161" s="101" t="s">
        <v>196</v>
      </c>
      <c r="B161" s="102" t="s">
        <v>196</v>
      </c>
      <c r="C161" s="37">
        <v>2</v>
      </c>
      <c r="D161" s="55">
        <f ca="1">((100/H150)*C161)/100</f>
        <v>1</v>
      </c>
      <c r="E161" s="104"/>
      <c r="F161" s="104"/>
      <c r="G161" s="104"/>
      <c r="H161" s="106"/>
      <c r="I161" s="49" t="s">
        <v>197</v>
      </c>
      <c r="J161" s="52">
        <f>(IF(B150&gt;3,(H150/(B150+2)+J160),0))</f>
        <v>0</v>
      </c>
    </row>
    <row r="162" spans="1:16" hidden="1" x14ac:dyDescent="0.25">
      <c r="A162" s="101" t="s">
        <v>198</v>
      </c>
      <c r="B162" s="102"/>
      <c r="C162" s="37">
        <v>2</v>
      </c>
      <c r="D162" s="55">
        <f ca="1">((100/H150)*C162)/100</f>
        <v>1</v>
      </c>
      <c r="E162" s="104"/>
      <c r="F162" s="104"/>
      <c r="G162" s="104"/>
      <c r="H162" s="106"/>
      <c r="I162" s="49" t="s">
        <v>199</v>
      </c>
      <c r="J162" s="51">
        <f>(IF(B150&gt;4,(H150/(B150+2)+J161),0))</f>
        <v>0</v>
      </c>
    </row>
    <row r="163" spans="1:16" ht="15" hidden="1" customHeight="1" x14ac:dyDescent="0.25">
      <c r="A163" s="101" t="s">
        <v>200</v>
      </c>
      <c r="B163" s="102" t="s">
        <v>200</v>
      </c>
      <c r="C163" s="37">
        <v>2</v>
      </c>
      <c r="D163" s="55">
        <f ca="1">((100/(H150))*C163)/100</f>
        <v>1</v>
      </c>
      <c r="E163" s="104"/>
      <c r="F163" s="104"/>
      <c r="G163" s="104"/>
      <c r="H163" s="106"/>
      <c r="I163" s="49" t="s">
        <v>138</v>
      </c>
      <c r="J163" s="51">
        <f ca="1">(IF(B150=1,(H150/(B150+3)+J158),IF(B150=0,(H150/4+J158),IF(B150&gt;1,0))))</f>
        <v>1.5</v>
      </c>
    </row>
    <row r="164" spans="1:16" ht="16.5" hidden="1" thickBot="1" x14ac:dyDescent="0.3">
      <c r="A164" s="110" t="s">
        <v>201</v>
      </c>
      <c r="B164" s="111"/>
      <c r="C164" s="56">
        <v>2</v>
      </c>
      <c r="D164" s="57">
        <f ca="1">((100/(H150))*C164)/100</f>
        <v>1</v>
      </c>
      <c r="E164" s="105"/>
      <c r="F164" s="105"/>
      <c r="G164" s="105"/>
      <c r="H164" s="107"/>
      <c r="I164" s="53" t="s">
        <v>139</v>
      </c>
      <c r="J164" s="54">
        <f ca="1">(IF(B150&gt;1.5,(H150/(B150+2)+J158+MAX(0,J159-J158)+MAX(0,J160-J159)+MAX(0,J161-J160)+MAX(0,J162-J161)+MAX(0,J163-J162)),IF(B150=1,(H150/(B150+3)+J163),IF(B150=0,H150/4+J163))))</f>
        <v>2</v>
      </c>
    </row>
    <row r="165" spans="1:16" x14ac:dyDescent="0.25">
      <c r="A165" s="140" t="s">
        <v>173</v>
      </c>
      <c r="B165" s="140"/>
      <c r="C165" s="140"/>
      <c r="D165" s="140"/>
      <c r="E165" s="140"/>
      <c r="F165" s="140"/>
      <c r="G165" s="140"/>
      <c r="H165" s="140"/>
    </row>
    <row r="166" spans="1:16" x14ac:dyDescent="0.25">
      <c r="A166" s="80" t="s">
        <v>55</v>
      </c>
      <c r="B166" s="80"/>
      <c r="C166" s="80"/>
      <c r="D166" s="80"/>
      <c r="E166" s="80"/>
      <c r="F166" s="80"/>
      <c r="G166" s="80"/>
      <c r="H166" s="80"/>
    </row>
    <row r="167" spans="1:16" ht="15" customHeight="1" x14ac:dyDescent="0.25">
      <c r="A167" s="98" t="s">
        <v>108</v>
      </c>
      <c r="B167" s="98"/>
      <c r="C167" s="99" t="s">
        <v>109</v>
      </c>
      <c r="D167" s="99"/>
      <c r="E167" s="99"/>
      <c r="F167" s="99"/>
      <c r="G167" s="99"/>
      <c r="H167" s="99"/>
    </row>
    <row r="168" spans="1:16" x14ac:dyDescent="0.25">
      <c r="A168" s="133" t="s">
        <v>56</v>
      </c>
      <c r="B168" s="133"/>
      <c r="C168" s="133"/>
      <c r="D168" s="133"/>
      <c r="E168" s="133"/>
      <c r="F168" s="133"/>
      <c r="G168" s="133"/>
      <c r="H168" s="133"/>
    </row>
    <row r="169" spans="1:16" x14ac:dyDescent="0.25">
      <c r="A169" s="80" t="s">
        <v>110</v>
      </c>
      <c r="B169" s="80"/>
      <c r="C169" s="80"/>
      <c r="D169" s="80"/>
      <c r="E169" s="80"/>
      <c r="F169" s="162">
        <v>4600</v>
      </c>
      <c r="G169" s="162"/>
      <c r="H169" s="162"/>
      <c r="K169" s="70" t="s">
        <v>271</v>
      </c>
      <c r="L169" s="70" t="s">
        <v>273</v>
      </c>
      <c r="M169" s="71">
        <v>45058</v>
      </c>
      <c r="N169" s="70" t="s">
        <v>274</v>
      </c>
      <c r="O169" s="70" t="s">
        <v>275</v>
      </c>
      <c r="P169" s="70"/>
    </row>
    <row r="170" spans="1:16" s="12" customFormat="1" x14ac:dyDescent="0.25">
      <c r="A170" s="80" t="s">
        <v>253</v>
      </c>
      <c r="B170" s="80"/>
      <c r="C170" s="80"/>
      <c r="D170" s="80"/>
      <c r="E170" s="80"/>
      <c r="F170" s="176">
        <v>8200</v>
      </c>
      <c r="G170" s="176"/>
      <c r="H170" s="176"/>
      <c r="I170" s="12" t="s">
        <v>290</v>
      </c>
      <c r="K170" s="12" t="s">
        <v>291</v>
      </c>
    </row>
    <row r="171" spans="1:16" s="12" customFormat="1" x14ac:dyDescent="0.25">
      <c r="A171" s="80" t="s">
        <v>254</v>
      </c>
      <c r="B171" s="80"/>
      <c r="C171" s="80"/>
      <c r="D171" s="80"/>
      <c r="E171" s="80"/>
      <c r="F171" s="176">
        <v>8200</v>
      </c>
      <c r="G171" s="176"/>
      <c r="H171" s="176"/>
      <c r="I171" s="12" t="s">
        <v>286</v>
      </c>
      <c r="K171" s="79">
        <v>45841</v>
      </c>
      <c r="L171" s="12" t="s">
        <v>287</v>
      </c>
      <c r="M171" s="12" t="s">
        <v>288</v>
      </c>
      <c r="N171" s="12" t="s">
        <v>289</v>
      </c>
    </row>
    <row r="172" spans="1:16" s="12" customFormat="1" x14ac:dyDescent="0.25">
      <c r="A172" s="80" t="s">
        <v>282</v>
      </c>
      <c r="B172" s="80"/>
      <c r="C172" s="80"/>
      <c r="D172" s="80"/>
      <c r="E172" s="80"/>
      <c r="F172" s="177" t="s">
        <v>283</v>
      </c>
      <c r="G172" s="176"/>
      <c r="H172" s="176"/>
    </row>
    <row r="173" spans="1:16" s="12" customFormat="1" x14ac:dyDescent="0.25">
      <c r="A173" s="80" t="s">
        <v>133</v>
      </c>
      <c r="B173" s="80"/>
      <c r="C173" s="80"/>
      <c r="D173" s="80"/>
      <c r="E173" s="80"/>
      <c r="F173" s="177">
        <v>250000</v>
      </c>
      <c r="G173" s="176"/>
      <c r="H173" s="176"/>
    </row>
    <row r="174" spans="1:16" s="12" customFormat="1" hidden="1" x14ac:dyDescent="0.25">
      <c r="A174" s="80" t="s">
        <v>181</v>
      </c>
      <c r="B174" s="80"/>
      <c r="C174" s="80"/>
      <c r="D174" s="80"/>
      <c r="E174" s="80"/>
      <c r="F174" s="177">
        <v>15000</v>
      </c>
      <c r="G174" s="176"/>
      <c r="H174" s="176"/>
    </row>
    <row r="175" spans="1:16" s="12" customFormat="1" x14ac:dyDescent="0.25">
      <c r="A175" s="80" t="s">
        <v>202</v>
      </c>
      <c r="B175" s="80"/>
      <c r="C175" s="80"/>
      <c r="D175" s="80"/>
      <c r="E175" s="80"/>
      <c r="F175" s="177">
        <v>60000</v>
      </c>
      <c r="G175" s="176"/>
      <c r="H175" s="176"/>
      <c r="L175" s="68">
        <f>4335000/F335</f>
        <v>4299.0336908754862</v>
      </c>
    </row>
    <row r="176" spans="1:16" x14ac:dyDescent="0.25">
      <c r="A176" s="80" t="s">
        <v>57</v>
      </c>
      <c r="B176" s="80"/>
      <c r="C176" s="80"/>
      <c r="D176" s="80"/>
      <c r="E176" s="80"/>
      <c r="F176" s="153" t="s">
        <v>272</v>
      </c>
      <c r="G176" s="153"/>
      <c r="H176" s="153"/>
      <c r="L176" s="68">
        <f>2693370/F343</f>
        <v>3863.3004990443237</v>
      </c>
    </row>
    <row r="177" spans="1:12" s="9" customFormat="1" x14ac:dyDescent="0.25">
      <c r="A177" s="133" t="s">
        <v>58</v>
      </c>
      <c r="B177" s="133"/>
      <c r="C177" s="133"/>
      <c r="D177" s="133"/>
      <c r="E177" s="133"/>
      <c r="F177" s="176">
        <f>F169*0.8</f>
        <v>3680</v>
      </c>
      <c r="G177" s="176"/>
      <c r="H177" s="176"/>
      <c r="L177" s="68">
        <f>4105928/F316</f>
        <v>3974.493418360641</v>
      </c>
    </row>
    <row r="178" spans="1:12" s="1" customFormat="1" ht="15.75" customHeight="1" x14ac:dyDescent="0.25">
      <c r="A178" s="178" t="s">
        <v>111</v>
      </c>
      <c r="B178" s="178"/>
      <c r="C178" s="178"/>
      <c r="D178" s="178"/>
      <c r="E178" s="178"/>
      <c r="F178" s="178"/>
      <c r="G178" s="178"/>
      <c r="H178" s="178"/>
      <c r="L178" s="68">
        <f>4005000/F336</f>
        <v>3971.7716106012276</v>
      </c>
    </row>
    <row r="179" spans="1:12" s="1" customFormat="1" ht="15.75" customHeight="1" x14ac:dyDescent="0.25">
      <c r="A179" s="179" t="s">
        <v>59</v>
      </c>
      <c r="B179" s="179"/>
      <c r="C179" s="14" t="s">
        <v>115</v>
      </c>
      <c r="D179" s="180" t="s">
        <v>60</v>
      </c>
      <c r="E179" s="180"/>
      <c r="F179" s="179" t="s">
        <v>61</v>
      </c>
      <c r="G179" s="179"/>
      <c r="H179" s="179"/>
      <c r="K179" s="58">
        <f>3600000/F317</f>
        <v>3570.188950822147</v>
      </c>
      <c r="L179" s="68">
        <f>3997000/F318</f>
        <v>3963.9014545655891</v>
      </c>
    </row>
    <row r="180" spans="1:12" s="1" customFormat="1" x14ac:dyDescent="0.25">
      <c r="A180" s="181" t="s">
        <v>268</v>
      </c>
      <c r="B180" s="62" t="s">
        <v>211</v>
      </c>
      <c r="C180" s="15">
        <f>COUNT(D206:D220)</f>
        <v>15</v>
      </c>
      <c r="D180" s="183">
        <f>SUM(D206:D220)</f>
        <v>3598.0413767999994</v>
      </c>
      <c r="E180" s="183"/>
      <c r="F180" s="184">
        <f>SUM(F206:F220)</f>
        <v>8036.2439539199995</v>
      </c>
      <c r="G180" s="185"/>
      <c r="H180" s="186"/>
      <c r="K180" s="58">
        <f>2700000/F323</f>
        <v>3894.0033594345782</v>
      </c>
      <c r="L180" s="68">
        <f>3353500/F315</f>
        <v>3529.6462031262672</v>
      </c>
    </row>
    <row r="181" spans="1:12" s="1" customFormat="1" x14ac:dyDescent="0.25">
      <c r="A181" s="182"/>
      <c r="B181" s="62" t="s">
        <v>212</v>
      </c>
      <c r="C181" s="15">
        <f>COUNT(D224:D238)</f>
        <v>15</v>
      </c>
      <c r="D181" s="183">
        <f>SUM(D224:D238)</f>
        <v>3625.8447887999996</v>
      </c>
      <c r="E181" s="183"/>
      <c r="F181" s="184">
        <f>SUM(F224:F238)</f>
        <v>8618.4110188799987</v>
      </c>
      <c r="G181" s="185"/>
      <c r="H181" s="186"/>
      <c r="K181" s="58">
        <f>3400000/F366</f>
        <v>4990.011171754425</v>
      </c>
      <c r="L181" s="69">
        <f>AVERAGE(L175:L180)</f>
        <v>3933.6911460955889</v>
      </c>
    </row>
    <row r="182" spans="1:12" s="1" customFormat="1" x14ac:dyDescent="0.25">
      <c r="A182" s="181" t="s">
        <v>269</v>
      </c>
      <c r="B182" s="62" t="s">
        <v>224</v>
      </c>
      <c r="C182" s="15">
        <f>COUNT(D260:D274)</f>
        <v>15</v>
      </c>
      <c r="D182" s="183">
        <f>SUM(D260:D274)</f>
        <v>3471.0455519999996</v>
      </c>
      <c r="E182" s="183"/>
      <c r="F182" s="184">
        <f>SUM(F260:F274)</f>
        <v>7601.2870751999999</v>
      </c>
      <c r="G182" s="185"/>
      <c r="H182" s="186"/>
    </row>
    <row r="183" spans="1:12" s="1" customFormat="1" x14ac:dyDescent="0.25">
      <c r="A183" s="182"/>
      <c r="B183" s="62" t="s">
        <v>234</v>
      </c>
      <c r="C183" s="15">
        <f>COUNT(D242:D256)</f>
        <v>15</v>
      </c>
      <c r="D183" s="183">
        <f>SUM(D242:D256)</f>
        <v>3471.0132599999997</v>
      </c>
      <c r="E183" s="183"/>
      <c r="F183" s="184">
        <f>SUM(F242:F256)</f>
        <v>7595.3453471999992</v>
      </c>
      <c r="G183" s="185"/>
      <c r="H183" s="186"/>
      <c r="I183" s="67" t="s">
        <v>251</v>
      </c>
    </row>
    <row r="184" spans="1:12" s="1" customFormat="1" x14ac:dyDescent="0.25">
      <c r="A184" s="181" t="s">
        <v>233</v>
      </c>
      <c r="B184" s="62" t="s">
        <v>235</v>
      </c>
      <c r="C184" s="15">
        <f>COUNT(D277:D291)</f>
        <v>15</v>
      </c>
      <c r="D184" s="183">
        <f>SUM(D277:D291)</f>
        <v>3945.6733679999988</v>
      </c>
      <c r="E184" s="183"/>
      <c r="F184" s="184">
        <f>SUM(F277:F291)</f>
        <v>6313.0773887999994</v>
      </c>
      <c r="G184" s="185"/>
      <c r="H184" s="186"/>
      <c r="I184" s="67" t="s">
        <v>252</v>
      </c>
    </row>
    <row r="185" spans="1:12" s="1" customFormat="1" x14ac:dyDescent="0.25">
      <c r="A185" s="182"/>
      <c r="B185" s="62" t="s">
        <v>232</v>
      </c>
      <c r="C185" s="15">
        <f>COUNT(D293:D306)*2</f>
        <v>28</v>
      </c>
      <c r="D185" s="183">
        <f>SUM(D293:D306)*2</f>
        <v>6361.1364959999992</v>
      </c>
      <c r="E185" s="183"/>
      <c r="F185" s="184">
        <f>SUM(F293:F306)*2</f>
        <v>10177.818393599999</v>
      </c>
      <c r="G185" s="185"/>
      <c r="H185" s="186"/>
    </row>
    <row r="186" spans="1:12" s="1" customFormat="1" x14ac:dyDescent="0.25">
      <c r="A186" s="187" t="s">
        <v>63</v>
      </c>
      <c r="B186" s="187"/>
      <c r="C186" s="44">
        <f>SUM(C180:C185)</f>
        <v>103</v>
      </c>
      <c r="D186" s="188">
        <f>SUM(D180:D185)</f>
        <v>24472.754841599995</v>
      </c>
      <c r="E186" s="188"/>
      <c r="F186" s="179">
        <f>SUM(F180:F185)</f>
        <v>48342.183177599996</v>
      </c>
      <c r="G186" s="179"/>
      <c r="H186" s="179"/>
    </row>
    <row r="187" spans="1:12" s="1" customFormat="1" x14ac:dyDescent="0.25">
      <c r="A187" s="187" t="s">
        <v>102</v>
      </c>
      <c r="B187" s="187"/>
      <c r="C187" s="187"/>
      <c r="D187" s="187"/>
      <c r="E187" s="187"/>
      <c r="F187" s="187"/>
      <c r="G187" s="187"/>
      <c r="H187" s="187"/>
    </row>
    <row r="188" spans="1:12" s="1" customFormat="1" x14ac:dyDescent="0.25">
      <c r="A188" s="179" t="s">
        <v>59</v>
      </c>
      <c r="B188" s="179"/>
      <c r="C188" s="14" t="s">
        <v>115</v>
      </c>
      <c r="D188" s="180" t="s">
        <v>60</v>
      </c>
      <c r="E188" s="180"/>
      <c r="F188" s="179" t="s">
        <v>61</v>
      </c>
      <c r="G188" s="179"/>
      <c r="H188" s="179"/>
    </row>
    <row r="189" spans="1:12" s="1" customFormat="1" x14ac:dyDescent="0.25">
      <c r="A189" s="181" t="s">
        <v>239</v>
      </c>
      <c r="B189" s="62" t="s">
        <v>172</v>
      </c>
      <c r="C189" s="15">
        <f>COUNT(D315:D321)*11+COUNT(D323:D329)</f>
        <v>84</v>
      </c>
      <c r="D189" s="183">
        <f>SUM(D315:D321)*11+SUM(D323:D329)</f>
        <v>54888.520751999997</v>
      </c>
      <c r="E189" s="183"/>
      <c r="F189" s="190">
        <f>SUM(F315:F321)*11+SUM(F323:F329)</f>
        <v>82332.781128000002</v>
      </c>
      <c r="G189" s="190"/>
      <c r="H189" s="190"/>
    </row>
    <row r="190" spans="1:12" s="1" customFormat="1" x14ac:dyDescent="0.25">
      <c r="A190" s="182"/>
      <c r="B190" s="62" t="s">
        <v>169</v>
      </c>
      <c r="C190" s="15">
        <f>COUNT(D333:D345)*11+COUNT(D347:D352,D354:D359)</f>
        <v>155</v>
      </c>
      <c r="D190" s="183">
        <f>SUM(D333:D345)*11+SUM(D347:D352,D354:D359)</f>
        <v>81046.09562399998</v>
      </c>
      <c r="E190" s="183"/>
      <c r="F190" s="190">
        <f>SUM(F333:F345)*11+SUM(F347:F352,F354:F359)</f>
        <v>121569.14343599998</v>
      </c>
      <c r="G190" s="190"/>
      <c r="H190" s="190"/>
      <c r="I190" s="43"/>
    </row>
    <row r="191" spans="1:12" s="1" customFormat="1" x14ac:dyDescent="0.25">
      <c r="A191" s="181" t="s">
        <v>268</v>
      </c>
      <c r="B191" s="62" t="s">
        <v>211</v>
      </c>
      <c r="C191" s="15">
        <f>COUNT(D363:D370)+COUNT(D372:D384)+COUNT(D386:D398)*11+COUNT(D400:D412)*2</f>
        <v>190</v>
      </c>
      <c r="D191" s="222">
        <f>SUM(D363:D370)+SUM(D372:D384)+SUM(D386:D398)*11+SUM(D400:D412)*2</f>
        <v>99419.005764000001</v>
      </c>
      <c r="E191" s="223"/>
      <c r="F191" s="224">
        <f>SUM(F363:F370)+SUM(F372:F384)+SUM(F386:F398)*11+SUM(F400:F412)*2</f>
        <v>150918.81749099999</v>
      </c>
      <c r="G191" s="225"/>
      <c r="H191" s="226"/>
    </row>
    <row r="192" spans="1:12" s="1" customFormat="1" x14ac:dyDescent="0.25">
      <c r="A192" s="221"/>
      <c r="B192" s="62" t="s">
        <v>212</v>
      </c>
      <c r="C192" s="15">
        <f>COUNT(D415:D420)+COUNT(D422:D432)+COUNT(D434:D444)*11+COUNT(D446:D456)</f>
        <v>149</v>
      </c>
      <c r="D192" s="183">
        <f>SUM(D415:D420)+SUM(D422:D432)+SUM(D434:D444)*11+SUM(D446:D456)*2</f>
        <v>88146.568224000002</v>
      </c>
      <c r="E192" s="183"/>
      <c r="F192" s="190">
        <f>SUM(F415:F420)+SUM(F422:F432)+SUM(F434:F444)*11+SUM(F446:F456)*2</f>
        <v>134791.21047600001</v>
      </c>
      <c r="G192" s="190"/>
      <c r="H192" s="190"/>
      <c r="I192" s="43"/>
    </row>
    <row r="193" spans="1:14" s="1" customFormat="1" x14ac:dyDescent="0.25">
      <c r="A193" s="182"/>
      <c r="B193" s="62" t="s">
        <v>214</v>
      </c>
      <c r="C193" s="15">
        <f>COUNT(D461:D473)+COUNT(D475:D487)*12+COUNT(D489:D490,D492:D501)*2</f>
        <v>193</v>
      </c>
      <c r="D193" s="183">
        <f>SUM(D461:D473)+SUM(D475:D487)*12+SUM(D489:D490,D492:D501)*2</f>
        <v>95222.660363999996</v>
      </c>
      <c r="E193" s="183"/>
      <c r="F193" s="190">
        <f>SUM(F461:F473)+SUM(F475:F487)*12+SUM(F489:F490,F492:F501)*2</f>
        <v>142833.99054600002</v>
      </c>
      <c r="G193" s="190"/>
      <c r="H193" s="190"/>
      <c r="J193" s="43">
        <f>SUM(D363:D370)+SUM(D372:D384)+SUM(D386:D398)*11</f>
        <v>85804.569396000006</v>
      </c>
    </row>
    <row r="194" spans="1:14" s="1" customFormat="1" x14ac:dyDescent="0.25">
      <c r="A194" s="181" t="s">
        <v>269</v>
      </c>
      <c r="B194" s="62" t="s">
        <v>218</v>
      </c>
      <c r="C194" s="15">
        <f>COUNT(D507:D519)*13+COUNT(D521:D524,D526:D533)*2</f>
        <v>193</v>
      </c>
      <c r="D194" s="183">
        <f>SUM(D507:D519)*13+SUM(D521:D524,D526:D533)*2</f>
        <v>96515.782739999995</v>
      </c>
      <c r="E194" s="183"/>
      <c r="F194" s="190">
        <f>SUM(F507:F519)*13+SUM(F521:F524,F526:F533)*2</f>
        <v>144773.67411000002</v>
      </c>
      <c r="G194" s="190"/>
      <c r="H194" s="190"/>
      <c r="I194" s="43"/>
    </row>
    <row r="195" spans="1:14" s="1" customFormat="1" x14ac:dyDescent="0.25">
      <c r="A195" s="221"/>
      <c r="B195" s="62" t="s">
        <v>224</v>
      </c>
      <c r="C195" s="15">
        <f>COUNT(D536:D546)+COUNT(D548:D558)*12+COUNT(D560:D564,D566:D570)*2</f>
        <v>163</v>
      </c>
      <c r="D195" s="183">
        <f>SUM(D536:D546)+SUM(D548:D558)*12+SUM(D560:D564,D566:D570)*2</f>
        <v>90873.84290399999</v>
      </c>
      <c r="E195" s="183"/>
      <c r="F195" s="190">
        <f>SUM(F536:F546)+SUM(F548:F558)*12+SUM(F560:F564,F566:F570)*2</f>
        <v>138514.424256</v>
      </c>
      <c r="G195" s="190"/>
      <c r="H195" s="190"/>
    </row>
    <row r="196" spans="1:14" s="1" customFormat="1" x14ac:dyDescent="0.25">
      <c r="A196" s="182"/>
      <c r="B196" s="62" t="s">
        <v>227</v>
      </c>
      <c r="C196" s="15">
        <f>COUNT(D573:D581)+COUNT(D583:D591)*12+COUNT(D593:D595,D597:D601)*2</f>
        <v>133</v>
      </c>
      <c r="D196" s="183">
        <f>SUM(D573:D581)+SUM(D583:D591)*12+SUM(D593:D595,D597:D601)*2</f>
        <v>72937.821996000013</v>
      </c>
      <c r="E196" s="183"/>
      <c r="F196" s="190">
        <f>SUM(F573:F581)+SUM(F583:F591)*12+SUM(F593:F595,F597:F601)*2</f>
        <v>111591.58280400001</v>
      </c>
      <c r="G196" s="190"/>
      <c r="H196" s="190"/>
      <c r="I196" s="43"/>
    </row>
    <row r="197" spans="1:14" s="1" customFormat="1" x14ac:dyDescent="0.25">
      <c r="A197" s="187" t="s">
        <v>63</v>
      </c>
      <c r="B197" s="187"/>
      <c r="C197" s="44">
        <f>SUM(C189:C196)</f>
        <v>1260</v>
      </c>
      <c r="D197" s="188">
        <f>SUM(D189:D196)</f>
        <v>679050.29836799996</v>
      </c>
      <c r="E197" s="188"/>
      <c r="F197" s="179">
        <f>SUM(F189:F196)</f>
        <v>1027325.6242470001</v>
      </c>
      <c r="G197" s="179"/>
      <c r="H197" s="179"/>
    </row>
    <row r="198" spans="1:14" s="9" customFormat="1" x14ac:dyDescent="0.25">
      <c r="A198" s="191" t="s">
        <v>64</v>
      </c>
      <c r="B198" s="191"/>
      <c r="C198" s="191"/>
      <c r="D198" s="191"/>
      <c r="E198" s="191"/>
      <c r="F198" s="191"/>
      <c r="G198" s="191"/>
      <c r="H198" s="191"/>
      <c r="J198" s="9">
        <f>463-489</f>
        <v>-26</v>
      </c>
    </row>
    <row r="199" spans="1:14" x14ac:dyDescent="0.25">
      <c r="A199" s="138" t="s">
        <v>65</v>
      </c>
      <c r="B199" s="138"/>
      <c r="C199" s="138"/>
      <c r="D199" s="138"/>
      <c r="E199" s="138"/>
      <c r="F199" s="138"/>
      <c r="G199" s="138"/>
      <c r="H199" s="138"/>
      <c r="K199" s="66"/>
    </row>
    <row r="200" spans="1:14" ht="47.25" customHeight="1" x14ac:dyDescent="0.25">
      <c r="A200" s="192" t="s">
        <v>204</v>
      </c>
      <c r="B200" s="192" t="s">
        <v>205</v>
      </c>
      <c r="C200" s="192" t="s">
        <v>66</v>
      </c>
      <c r="D200" s="192" t="s">
        <v>67</v>
      </c>
      <c r="E200" s="194" t="s">
        <v>206</v>
      </c>
      <c r="F200" s="59" t="s">
        <v>207</v>
      </c>
      <c r="G200" s="196" t="s">
        <v>69</v>
      </c>
      <c r="H200" s="197"/>
    </row>
    <row r="201" spans="1:14" s="2" customFormat="1" x14ac:dyDescent="0.25">
      <c r="A201" s="193"/>
      <c r="B201" s="193"/>
      <c r="C201" s="193"/>
      <c r="D201" s="193"/>
      <c r="E201" s="195"/>
      <c r="F201" s="60">
        <v>0.6</v>
      </c>
      <c r="G201" s="198"/>
      <c r="H201" s="199"/>
    </row>
    <row r="202" spans="1:14" s="2" customFormat="1" x14ac:dyDescent="0.25">
      <c r="A202" s="127" t="s">
        <v>267</v>
      </c>
      <c r="B202" s="128"/>
      <c r="C202" s="128"/>
      <c r="D202" s="128"/>
      <c r="E202" s="128"/>
      <c r="F202" s="128"/>
      <c r="G202" s="128"/>
      <c r="H202" s="129"/>
      <c r="J202" s="58"/>
    </row>
    <row r="203" spans="1:14" s="2" customFormat="1" x14ac:dyDescent="0.25">
      <c r="A203" s="127" t="s">
        <v>211</v>
      </c>
      <c r="B203" s="128"/>
      <c r="C203" s="128"/>
      <c r="D203" s="128"/>
      <c r="E203" s="128"/>
      <c r="F203" s="128"/>
      <c r="G203" s="128"/>
      <c r="H203" s="129"/>
      <c r="J203" s="58"/>
    </row>
    <row r="204" spans="1:14" s="2" customFormat="1" x14ac:dyDescent="0.25">
      <c r="A204" s="127" t="s">
        <v>208</v>
      </c>
      <c r="B204" s="128"/>
      <c r="C204" s="128"/>
      <c r="D204" s="128"/>
      <c r="E204" s="128"/>
      <c r="F204" s="128"/>
      <c r="G204" s="128"/>
      <c r="H204" s="129"/>
      <c r="J204" s="58"/>
    </row>
    <row r="205" spans="1:14" s="2" customFormat="1" x14ac:dyDescent="0.25">
      <c r="A205" s="127" t="s">
        <v>210</v>
      </c>
      <c r="B205" s="128"/>
      <c r="C205" s="128"/>
      <c r="D205" s="128"/>
      <c r="E205" s="128"/>
      <c r="F205" s="128"/>
      <c r="G205" s="128"/>
      <c r="H205" s="129"/>
      <c r="J205" s="61">
        <v>10.763999999999999</v>
      </c>
    </row>
    <row r="206" spans="1:14" s="2" customFormat="1" x14ac:dyDescent="0.25">
      <c r="A206" s="131">
        <v>1</v>
      </c>
      <c r="B206" s="132"/>
      <c r="C206" s="39" t="s">
        <v>209</v>
      </c>
      <c r="D206" s="61">
        <f>(44.439)*10.764</f>
        <v>478.34139599999997</v>
      </c>
      <c r="E206" s="61">
        <f>(4.5*4.623)*10.764</f>
        <v>223.92887399999998</v>
      </c>
      <c r="F206" s="39">
        <f>(D206+E206)*(($F$201)+1)</f>
        <v>1123.6324320000001</v>
      </c>
      <c r="G206" s="131" t="str">
        <f>A205</f>
        <v xml:space="preserve"> Ground Floor For Commercial, Meter Room, Fire Control Room &amp; Parking</v>
      </c>
      <c r="H206" s="132"/>
      <c r="I206" s="58">
        <f>4.5*10.05</f>
        <v>45.225000000000001</v>
      </c>
      <c r="J206" s="2">
        <f>4.5*4.623</f>
        <v>20.8035</v>
      </c>
      <c r="L206" s="130"/>
      <c r="M206" s="130"/>
      <c r="N206" s="58"/>
    </row>
    <row r="207" spans="1:14" s="2" customFormat="1" ht="15.75" customHeight="1" x14ac:dyDescent="0.25">
      <c r="A207" s="131">
        <v>2</v>
      </c>
      <c r="B207" s="132"/>
      <c r="C207" s="39" t="s">
        <v>209</v>
      </c>
      <c r="D207" s="61">
        <f>(27.6)*10.764</f>
        <v>297.08639999999997</v>
      </c>
      <c r="E207" s="61">
        <f>(3.05*4.027)*10.764</f>
        <v>132.2072154</v>
      </c>
      <c r="F207" s="39">
        <f t="shared" ref="F207:F238" si="0">(D207+E207)*(($F$201)+1)</f>
        <v>686.86978464000003</v>
      </c>
      <c r="G207" s="131" t="str">
        <f t="shared" ref="G207:G238" si="1">G206</f>
        <v xml:space="preserve"> Ground Floor For Commercial, Meter Room, Fire Control Room &amp; Parking</v>
      </c>
      <c r="H207" s="132"/>
      <c r="I207" s="58"/>
      <c r="L207" s="130"/>
      <c r="M207" s="130"/>
      <c r="N207" s="58"/>
    </row>
    <row r="208" spans="1:14" s="2" customFormat="1" ht="15.75" customHeight="1" x14ac:dyDescent="0.25">
      <c r="A208" s="131">
        <v>3</v>
      </c>
      <c r="B208" s="132"/>
      <c r="C208" s="39" t="s">
        <v>209</v>
      </c>
      <c r="D208" s="61">
        <f>(21.901)*10.764</f>
        <v>235.74236399999998</v>
      </c>
      <c r="E208" s="61">
        <f>(3*2.409)*10.764</f>
        <v>77.791427999999982</v>
      </c>
      <c r="F208" s="39">
        <f t="shared" si="0"/>
        <v>501.65406719999993</v>
      </c>
      <c r="G208" s="131" t="str">
        <f t="shared" si="1"/>
        <v xml:space="preserve"> Ground Floor For Commercial, Meter Room, Fire Control Room &amp; Parking</v>
      </c>
      <c r="H208" s="132"/>
      <c r="I208" s="58"/>
      <c r="L208" s="130"/>
      <c r="M208" s="130"/>
      <c r="N208" s="58"/>
    </row>
    <row r="209" spans="1:14" s="2" customFormat="1" ht="15.75" customHeight="1" x14ac:dyDescent="0.25">
      <c r="A209" s="131">
        <v>4</v>
      </c>
      <c r="B209" s="132"/>
      <c r="C209" s="39" t="s">
        <v>209</v>
      </c>
      <c r="D209" s="61">
        <f>(16.426)*10.764</f>
        <v>176.80946399999996</v>
      </c>
      <c r="E209" s="61">
        <f>(2.25*2.409)*10.764</f>
        <v>58.34357099999999</v>
      </c>
      <c r="F209" s="39">
        <f t="shared" si="0"/>
        <v>376.24485599999997</v>
      </c>
      <c r="G209" s="131" t="str">
        <f t="shared" si="1"/>
        <v xml:space="preserve"> Ground Floor For Commercial, Meter Room, Fire Control Room &amp; Parking</v>
      </c>
      <c r="H209" s="132"/>
      <c r="I209" s="58"/>
      <c r="L209" s="130"/>
      <c r="M209" s="130"/>
      <c r="N209" s="58"/>
    </row>
    <row r="210" spans="1:14" s="2" customFormat="1" x14ac:dyDescent="0.25">
      <c r="A210" s="131">
        <v>5</v>
      </c>
      <c r="B210" s="132"/>
      <c r="C210" s="39" t="s">
        <v>209</v>
      </c>
      <c r="D210" s="61">
        <f>(20.076)*10.764</f>
        <v>216.09806399999999</v>
      </c>
      <c r="E210" s="61">
        <f>(2.75*3.514)*10.764</f>
        <v>104.01791399999999</v>
      </c>
      <c r="F210" s="39">
        <f t="shared" si="0"/>
        <v>512.18556479999995</v>
      </c>
      <c r="G210" s="131" t="str">
        <f>G209</f>
        <v xml:space="preserve"> Ground Floor For Commercial, Meter Room, Fire Control Room &amp; Parking</v>
      </c>
      <c r="H210" s="132"/>
      <c r="I210" s="58"/>
      <c r="L210" s="130"/>
      <c r="M210" s="130"/>
      <c r="N210" s="58"/>
    </row>
    <row r="211" spans="1:14" s="2" customFormat="1" x14ac:dyDescent="0.25">
      <c r="A211" s="131">
        <v>6</v>
      </c>
      <c r="B211" s="132"/>
      <c r="C211" s="39" t="s">
        <v>209</v>
      </c>
      <c r="D211" s="61">
        <f>(11.341)*10.764</f>
        <v>122.07452399999998</v>
      </c>
      <c r="E211" s="61">
        <f>(3.15*1.8)*10.764</f>
        <v>61.031879999999994</v>
      </c>
      <c r="F211" s="39">
        <f t="shared" si="0"/>
        <v>292.97024639999995</v>
      </c>
      <c r="G211" s="131" t="str">
        <f t="shared" si="1"/>
        <v xml:space="preserve"> Ground Floor For Commercial, Meter Room, Fire Control Room &amp; Parking</v>
      </c>
      <c r="H211" s="132"/>
      <c r="I211" s="58"/>
      <c r="L211" s="130"/>
      <c r="M211" s="130"/>
      <c r="N211" s="58"/>
    </row>
    <row r="212" spans="1:14" s="2" customFormat="1" x14ac:dyDescent="0.25">
      <c r="A212" s="131">
        <v>7</v>
      </c>
      <c r="B212" s="132"/>
      <c r="C212" s="39" t="s">
        <v>209</v>
      </c>
      <c r="D212" s="61">
        <f>(22.069)*10.764</f>
        <v>237.55071599999997</v>
      </c>
      <c r="E212" s="61">
        <f>(2.75*3.514)*10.764</f>
        <v>104.01791399999999</v>
      </c>
      <c r="F212" s="39">
        <f t="shared" si="0"/>
        <v>546.50980800000002</v>
      </c>
      <c r="G212" s="131" t="str">
        <f t="shared" si="1"/>
        <v xml:space="preserve"> Ground Floor For Commercial, Meter Room, Fire Control Room &amp; Parking</v>
      </c>
      <c r="H212" s="132"/>
      <c r="I212" s="58"/>
      <c r="L212" s="130"/>
      <c r="M212" s="130"/>
      <c r="N212" s="58"/>
    </row>
    <row r="213" spans="1:14" s="2" customFormat="1" x14ac:dyDescent="0.25">
      <c r="A213" s="131">
        <v>8</v>
      </c>
      <c r="B213" s="132"/>
      <c r="C213" s="39" t="s">
        <v>209</v>
      </c>
      <c r="D213" s="61">
        <f>(18.057)*10.764</f>
        <v>194.36554799999996</v>
      </c>
      <c r="E213" s="61">
        <f>(2.25*2.648)*10.764</f>
        <v>64.131912</v>
      </c>
      <c r="F213" s="39">
        <f t="shared" si="0"/>
        <v>413.59593599999994</v>
      </c>
      <c r="G213" s="131" t="str">
        <f t="shared" si="1"/>
        <v xml:space="preserve"> Ground Floor For Commercial, Meter Room, Fire Control Room &amp; Parking</v>
      </c>
      <c r="H213" s="132"/>
      <c r="I213" s="58"/>
      <c r="L213" s="130"/>
      <c r="M213" s="130"/>
      <c r="N213" s="58"/>
    </row>
    <row r="214" spans="1:14" s="2" customFormat="1" ht="15.75" customHeight="1" x14ac:dyDescent="0.25">
      <c r="A214" s="131">
        <v>9</v>
      </c>
      <c r="B214" s="132"/>
      <c r="C214" s="39" t="s">
        <v>209</v>
      </c>
      <c r="D214" s="61">
        <f>(22.07)*10.764</f>
        <v>237.56147999999999</v>
      </c>
      <c r="E214" s="61">
        <f>(2.75*2.648)*10.764</f>
        <v>78.383448000000001</v>
      </c>
      <c r="F214" s="39">
        <f t="shared" si="0"/>
        <v>505.51188480000002</v>
      </c>
      <c r="G214" s="131" t="str">
        <f t="shared" si="1"/>
        <v xml:space="preserve"> Ground Floor For Commercial, Meter Room, Fire Control Room &amp; Parking</v>
      </c>
      <c r="H214" s="132"/>
      <c r="I214" s="58"/>
      <c r="L214" s="130"/>
      <c r="M214" s="130"/>
      <c r="N214" s="58"/>
    </row>
    <row r="215" spans="1:14" s="2" customFormat="1" ht="15.75" customHeight="1" x14ac:dyDescent="0.25">
      <c r="A215" s="131">
        <v>10</v>
      </c>
      <c r="B215" s="132"/>
      <c r="C215" s="39" t="s">
        <v>209</v>
      </c>
      <c r="D215" s="61">
        <f>(22.07)*10.764</f>
        <v>237.56147999999999</v>
      </c>
      <c r="E215" s="61">
        <f>(2.75*2.648)*10.764</f>
        <v>78.383448000000001</v>
      </c>
      <c r="F215" s="39">
        <f t="shared" si="0"/>
        <v>505.51188480000002</v>
      </c>
      <c r="G215" s="131" t="str">
        <f t="shared" si="1"/>
        <v xml:space="preserve"> Ground Floor For Commercial, Meter Room, Fire Control Room &amp; Parking</v>
      </c>
      <c r="H215" s="132"/>
      <c r="I215" s="58"/>
      <c r="L215" s="130"/>
      <c r="M215" s="130"/>
      <c r="N215" s="58"/>
    </row>
    <row r="216" spans="1:14" s="2" customFormat="1" ht="15.75" customHeight="1" x14ac:dyDescent="0.25">
      <c r="A216" s="131">
        <v>11</v>
      </c>
      <c r="B216" s="132"/>
      <c r="C216" s="39" t="s">
        <v>209</v>
      </c>
      <c r="D216" s="61">
        <f>(18.057)*10.764</f>
        <v>194.36554799999996</v>
      </c>
      <c r="E216" s="61">
        <f>(2.25*2.648)*10.764</f>
        <v>64.131912</v>
      </c>
      <c r="F216" s="39">
        <f t="shared" si="0"/>
        <v>413.59593599999994</v>
      </c>
      <c r="G216" s="131" t="str">
        <f t="shared" si="1"/>
        <v xml:space="preserve"> Ground Floor For Commercial, Meter Room, Fire Control Room &amp; Parking</v>
      </c>
      <c r="H216" s="132"/>
      <c r="I216" s="58"/>
      <c r="L216" s="130"/>
      <c r="M216" s="130"/>
      <c r="N216" s="58"/>
    </row>
    <row r="217" spans="1:14" s="2" customFormat="1" x14ac:dyDescent="0.25">
      <c r="A217" s="131">
        <v>12</v>
      </c>
      <c r="B217" s="132"/>
      <c r="C217" s="39" t="s">
        <v>209</v>
      </c>
      <c r="D217" s="61">
        <f>(22.07)*10.764</f>
        <v>237.56147999999999</v>
      </c>
      <c r="E217" s="61">
        <f>(2.75*3.617)*10.764</f>
        <v>107.06681699999999</v>
      </c>
      <c r="F217" s="39">
        <f t="shared" si="0"/>
        <v>551.40527520000001</v>
      </c>
      <c r="G217" s="131" t="str">
        <f>G216</f>
        <v xml:space="preserve"> Ground Floor For Commercial, Meter Room, Fire Control Room &amp; Parking</v>
      </c>
      <c r="H217" s="132"/>
      <c r="I217" s="58"/>
      <c r="L217" s="130"/>
      <c r="M217" s="130"/>
      <c r="N217" s="58"/>
    </row>
    <row r="218" spans="1:14" s="2" customFormat="1" x14ac:dyDescent="0.25">
      <c r="A218" s="131">
        <v>13</v>
      </c>
      <c r="B218" s="132"/>
      <c r="C218" s="39" t="s">
        <v>209</v>
      </c>
      <c r="D218" s="61">
        <f>(22.07)*10.764</f>
        <v>237.56147999999999</v>
      </c>
      <c r="E218" s="61">
        <f>(2.75*3.617)*10.764</f>
        <v>107.06681699999999</v>
      </c>
      <c r="F218" s="39">
        <f t="shared" si="0"/>
        <v>551.40527520000001</v>
      </c>
      <c r="G218" s="131" t="str">
        <f t="shared" si="1"/>
        <v xml:space="preserve"> Ground Floor For Commercial, Meter Room, Fire Control Room &amp; Parking</v>
      </c>
      <c r="H218" s="132"/>
      <c r="I218" s="58"/>
      <c r="L218" s="130"/>
      <c r="M218" s="130"/>
      <c r="N218" s="58"/>
    </row>
    <row r="219" spans="1:14" s="2" customFormat="1" x14ac:dyDescent="0.25">
      <c r="A219" s="131">
        <v>14</v>
      </c>
      <c r="B219" s="132"/>
      <c r="C219" s="39" t="s">
        <v>209</v>
      </c>
      <c r="D219" s="61">
        <f>(23.0101)*10.764</f>
        <v>247.68071639999999</v>
      </c>
      <c r="E219" s="61">
        <f>(2.75*2.772)*10.764</f>
        <v>82.053971999999987</v>
      </c>
      <c r="F219" s="39">
        <f t="shared" si="0"/>
        <v>527.57550144000004</v>
      </c>
      <c r="G219" s="131" t="str">
        <f t="shared" si="1"/>
        <v xml:space="preserve"> Ground Floor For Commercial, Meter Room, Fire Control Room &amp; Parking</v>
      </c>
      <c r="H219" s="132"/>
      <c r="I219" s="58"/>
      <c r="L219" s="130"/>
      <c r="M219" s="130"/>
      <c r="N219" s="58"/>
    </row>
    <row r="220" spans="1:14" s="2" customFormat="1" x14ac:dyDescent="0.25">
      <c r="A220" s="131">
        <v>15</v>
      </c>
      <c r="B220" s="132"/>
      <c r="C220" s="39" t="s">
        <v>209</v>
      </c>
      <c r="D220" s="61">
        <f>(23.0101)*10.764</f>
        <v>247.68071639999999</v>
      </c>
      <c r="E220" s="61">
        <f>(2.75*2.772)*10.764</f>
        <v>82.053971999999987</v>
      </c>
      <c r="F220" s="39">
        <f t="shared" si="0"/>
        <v>527.57550144000004</v>
      </c>
      <c r="G220" s="131" t="str">
        <f t="shared" si="1"/>
        <v xml:space="preserve"> Ground Floor For Commercial, Meter Room, Fire Control Room &amp; Parking</v>
      </c>
      <c r="H220" s="132"/>
      <c r="I220" s="58"/>
      <c r="L220" s="130"/>
      <c r="M220" s="130"/>
      <c r="N220" s="58"/>
    </row>
    <row r="221" spans="1:14" s="2" customFormat="1" x14ac:dyDescent="0.25">
      <c r="A221" s="127" t="s">
        <v>212</v>
      </c>
      <c r="B221" s="128"/>
      <c r="C221" s="128"/>
      <c r="D221" s="128"/>
      <c r="E221" s="128"/>
      <c r="F221" s="128"/>
      <c r="G221" s="128"/>
      <c r="H221" s="129"/>
      <c r="J221" s="58"/>
    </row>
    <row r="222" spans="1:14" s="2" customFormat="1" x14ac:dyDescent="0.25">
      <c r="A222" s="127" t="s">
        <v>208</v>
      </c>
      <c r="B222" s="128"/>
      <c r="C222" s="128"/>
      <c r="D222" s="128"/>
      <c r="E222" s="128"/>
      <c r="F222" s="128"/>
      <c r="G222" s="128"/>
      <c r="H222" s="129"/>
      <c r="J222" s="58"/>
    </row>
    <row r="223" spans="1:14" s="2" customFormat="1" x14ac:dyDescent="0.25">
      <c r="A223" s="127" t="s">
        <v>210</v>
      </c>
      <c r="B223" s="128"/>
      <c r="C223" s="128"/>
      <c r="D223" s="128"/>
      <c r="E223" s="128"/>
      <c r="F223" s="128"/>
      <c r="G223" s="128"/>
      <c r="H223" s="129"/>
      <c r="J223" s="61">
        <v>10.763999999999999</v>
      </c>
    </row>
    <row r="224" spans="1:14" s="2" customFormat="1" x14ac:dyDescent="0.25">
      <c r="A224" s="131">
        <v>16</v>
      </c>
      <c r="B224" s="132"/>
      <c r="C224" s="39" t="s">
        <v>209</v>
      </c>
      <c r="D224" s="61">
        <f>(23.0101)*10.764</f>
        <v>247.68071639999999</v>
      </c>
      <c r="E224" s="61">
        <f>(2.75*7.05)*10.764</f>
        <v>208.68704999999997</v>
      </c>
      <c r="F224" s="39">
        <f t="shared" si="0"/>
        <v>730.1884262399999</v>
      </c>
      <c r="G224" s="131" t="str">
        <f>G220</f>
        <v xml:space="preserve"> Ground Floor For Commercial, Meter Room, Fire Control Room &amp; Parking</v>
      </c>
      <c r="H224" s="132"/>
      <c r="I224" s="58">
        <f>4.5*10.05</f>
        <v>45.225000000000001</v>
      </c>
      <c r="L224" s="130"/>
      <c r="M224" s="130"/>
      <c r="N224" s="58"/>
    </row>
    <row r="225" spans="1:14" s="2" customFormat="1" ht="15.75" customHeight="1" x14ac:dyDescent="0.25">
      <c r="A225" s="131">
        <v>17</v>
      </c>
      <c r="B225" s="132"/>
      <c r="C225" s="39" t="s">
        <v>209</v>
      </c>
      <c r="D225" s="61">
        <f>(23.0101)*10.764</f>
        <v>247.68071639999999</v>
      </c>
      <c r="E225" s="61">
        <f>(2.75*7.05)*10.764</f>
        <v>208.68704999999997</v>
      </c>
      <c r="F225" s="39">
        <f t="shared" si="0"/>
        <v>730.1884262399999</v>
      </c>
      <c r="G225" s="131" t="str">
        <f t="shared" si="1"/>
        <v xml:space="preserve"> Ground Floor For Commercial, Meter Room, Fire Control Room &amp; Parking</v>
      </c>
      <c r="H225" s="132"/>
      <c r="I225" s="58"/>
      <c r="L225" s="130"/>
      <c r="M225" s="130"/>
      <c r="N225" s="58"/>
    </row>
    <row r="226" spans="1:14" s="2" customFormat="1" ht="15.75" customHeight="1" x14ac:dyDescent="0.25">
      <c r="A226" s="131">
        <v>18</v>
      </c>
      <c r="B226" s="132"/>
      <c r="C226" s="39" t="s">
        <v>209</v>
      </c>
      <c r="D226" s="61">
        <f>(22.07)*10.764</f>
        <v>237.56147999999999</v>
      </c>
      <c r="E226" s="61">
        <f>(2.75*3.617)*10.764</f>
        <v>107.06681699999999</v>
      </c>
      <c r="F226" s="39">
        <f t="shared" si="0"/>
        <v>551.40527520000001</v>
      </c>
      <c r="G226" s="131" t="str">
        <f t="shared" si="1"/>
        <v xml:space="preserve"> Ground Floor For Commercial, Meter Room, Fire Control Room &amp; Parking</v>
      </c>
      <c r="H226" s="132"/>
      <c r="I226" s="58"/>
      <c r="L226" s="130"/>
      <c r="M226" s="130"/>
      <c r="N226" s="58"/>
    </row>
    <row r="227" spans="1:14" s="2" customFormat="1" ht="15.75" customHeight="1" x14ac:dyDescent="0.25">
      <c r="A227" s="131">
        <v>19</v>
      </c>
      <c r="B227" s="132"/>
      <c r="C227" s="39" t="s">
        <v>209</v>
      </c>
      <c r="D227" s="61">
        <f>(22.069)*10.764</f>
        <v>237.55071599999997</v>
      </c>
      <c r="E227" s="61">
        <f>(2.75*3.617)*10.764</f>
        <v>107.06681699999999</v>
      </c>
      <c r="F227" s="39">
        <f t="shared" si="0"/>
        <v>551.38805279999997</v>
      </c>
      <c r="G227" s="131" t="str">
        <f t="shared" si="1"/>
        <v xml:space="preserve"> Ground Floor For Commercial, Meter Room, Fire Control Room &amp; Parking</v>
      </c>
      <c r="H227" s="132"/>
      <c r="I227" s="58"/>
      <c r="L227" s="130"/>
      <c r="M227" s="130"/>
      <c r="N227" s="58"/>
    </row>
    <row r="228" spans="1:14" s="2" customFormat="1" x14ac:dyDescent="0.25">
      <c r="A228" s="131">
        <v>20</v>
      </c>
      <c r="B228" s="132"/>
      <c r="C228" s="39" t="s">
        <v>209</v>
      </c>
      <c r="D228" s="61">
        <f>(18.057)*10.764</f>
        <v>194.36554799999996</v>
      </c>
      <c r="E228" s="61">
        <f>(2.25*2.648)*10.764</f>
        <v>64.131912</v>
      </c>
      <c r="F228" s="39">
        <f t="shared" si="0"/>
        <v>413.59593599999994</v>
      </c>
      <c r="G228" s="131" t="str">
        <f>G227</f>
        <v xml:space="preserve"> Ground Floor For Commercial, Meter Room, Fire Control Room &amp; Parking</v>
      </c>
      <c r="H228" s="132"/>
      <c r="I228" s="58"/>
      <c r="L228" s="130"/>
      <c r="M228" s="130"/>
      <c r="N228" s="58"/>
    </row>
    <row r="229" spans="1:14" s="2" customFormat="1" x14ac:dyDescent="0.25">
      <c r="A229" s="131">
        <v>21</v>
      </c>
      <c r="B229" s="132"/>
      <c r="C229" s="39" t="s">
        <v>209</v>
      </c>
      <c r="D229" s="61">
        <f>(22.07)*10.764</f>
        <v>237.56147999999999</v>
      </c>
      <c r="E229" s="61">
        <f>(2.75*3.617)*10.764</f>
        <v>107.06681699999999</v>
      </c>
      <c r="F229" s="39">
        <f t="shared" si="0"/>
        <v>551.40527520000001</v>
      </c>
      <c r="G229" s="131" t="str">
        <f t="shared" si="1"/>
        <v xml:space="preserve"> Ground Floor For Commercial, Meter Room, Fire Control Room &amp; Parking</v>
      </c>
      <c r="H229" s="132"/>
      <c r="I229" s="58"/>
      <c r="L229" s="130"/>
      <c r="M229" s="130"/>
      <c r="N229" s="58"/>
    </row>
    <row r="230" spans="1:14" s="2" customFormat="1" x14ac:dyDescent="0.25">
      <c r="A230" s="131">
        <v>22</v>
      </c>
      <c r="B230" s="132"/>
      <c r="C230" s="39" t="s">
        <v>209</v>
      </c>
      <c r="D230" s="61">
        <f>(22.07)*10.764</f>
        <v>237.56147999999999</v>
      </c>
      <c r="E230" s="61">
        <f>(2.75*3.617)*10.764</f>
        <v>107.06681699999999</v>
      </c>
      <c r="F230" s="39">
        <f t="shared" si="0"/>
        <v>551.40527520000001</v>
      </c>
      <c r="G230" s="131" t="str">
        <f t="shared" si="1"/>
        <v xml:space="preserve"> Ground Floor For Commercial, Meter Room, Fire Control Room &amp; Parking</v>
      </c>
      <c r="H230" s="132"/>
      <c r="I230" s="58"/>
      <c r="L230" s="130"/>
      <c r="M230" s="130"/>
      <c r="N230" s="58"/>
    </row>
    <row r="231" spans="1:14" s="2" customFormat="1" x14ac:dyDescent="0.25">
      <c r="A231" s="131">
        <v>23</v>
      </c>
      <c r="B231" s="132"/>
      <c r="C231" s="39" t="s">
        <v>209</v>
      </c>
      <c r="D231" s="61">
        <f>(18.057)*10.764</f>
        <v>194.36554799999996</v>
      </c>
      <c r="E231" s="61">
        <f>(2.25*2.648)*10.764</f>
        <v>64.131912</v>
      </c>
      <c r="F231" s="39">
        <f t="shared" si="0"/>
        <v>413.59593599999994</v>
      </c>
      <c r="G231" s="131" t="str">
        <f t="shared" si="1"/>
        <v xml:space="preserve"> Ground Floor For Commercial, Meter Room, Fire Control Room &amp; Parking</v>
      </c>
      <c r="H231" s="132"/>
      <c r="I231" s="58"/>
      <c r="L231" s="130"/>
      <c r="M231" s="130"/>
      <c r="N231" s="58"/>
    </row>
    <row r="232" spans="1:14" s="2" customFormat="1" ht="15.75" customHeight="1" x14ac:dyDescent="0.25">
      <c r="A232" s="131">
        <v>24</v>
      </c>
      <c r="B232" s="132"/>
      <c r="C232" s="39" t="s">
        <v>209</v>
      </c>
      <c r="D232" s="61">
        <f>(22.07)*10.764</f>
        <v>237.56147999999999</v>
      </c>
      <c r="E232" s="61">
        <f>(2.75*3.617)*10.764</f>
        <v>107.06681699999999</v>
      </c>
      <c r="F232" s="39">
        <f t="shared" si="0"/>
        <v>551.40527520000001</v>
      </c>
      <c r="G232" s="131" t="str">
        <f t="shared" si="1"/>
        <v xml:space="preserve"> Ground Floor For Commercial, Meter Room, Fire Control Room &amp; Parking</v>
      </c>
      <c r="H232" s="132"/>
      <c r="I232" s="58"/>
      <c r="L232" s="130"/>
      <c r="M232" s="130"/>
      <c r="N232" s="58"/>
    </row>
    <row r="233" spans="1:14" s="2" customFormat="1" ht="15.75" customHeight="1" x14ac:dyDescent="0.25">
      <c r="A233" s="131">
        <v>25</v>
      </c>
      <c r="B233" s="132"/>
      <c r="C233" s="39" t="s">
        <v>209</v>
      </c>
      <c r="D233" s="61">
        <f>(11.341)*10.764</f>
        <v>122.07452399999998</v>
      </c>
      <c r="E233" s="61">
        <f>(3.15*1.8)*10.764</f>
        <v>61.031879999999994</v>
      </c>
      <c r="F233" s="39">
        <f t="shared" si="0"/>
        <v>292.97024639999995</v>
      </c>
      <c r="G233" s="131" t="str">
        <f t="shared" si="1"/>
        <v xml:space="preserve"> Ground Floor For Commercial, Meter Room, Fire Control Room &amp; Parking</v>
      </c>
      <c r="H233" s="132"/>
      <c r="I233" s="58"/>
      <c r="L233" s="130"/>
      <c r="M233" s="130"/>
      <c r="N233" s="58"/>
    </row>
    <row r="234" spans="1:14" s="2" customFormat="1" ht="15.75" customHeight="1" x14ac:dyDescent="0.25">
      <c r="A234" s="131">
        <v>26</v>
      </c>
      <c r="B234" s="132"/>
      <c r="C234" s="39" t="s">
        <v>209</v>
      </c>
      <c r="D234" s="61">
        <f>(20.626)*10.764</f>
        <v>222.01826399999999</v>
      </c>
      <c r="E234" s="61">
        <f>(2.75*2.475)*10.764</f>
        <v>73.262474999999995</v>
      </c>
      <c r="F234" s="39">
        <f t="shared" si="0"/>
        <v>472.44918239999998</v>
      </c>
      <c r="G234" s="131" t="str">
        <f t="shared" si="1"/>
        <v xml:space="preserve"> Ground Floor For Commercial, Meter Room, Fire Control Room &amp; Parking</v>
      </c>
      <c r="H234" s="132"/>
      <c r="I234" s="58"/>
      <c r="L234" s="130"/>
      <c r="M234" s="130"/>
      <c r="N234" s="58"/>
    </row>
    <row r="235" spans="1:14" s="2" customFormat="1" x14ac:dyDescent="0.25">
      <c r="A235" s="131">
        <v>27</v>
      </c>
      <c r="B235" s="132"/>
      <c r="C235" s="39" t="s">
        <v>209</v>
      </c>
      <c r="D235" s="61">
        <f>(16.875)*10.764</f>
        <v>181.64249999999998</v>
      </c>
      <c r="E235" s="61">
        <f>(2.25*2.475)*10.764</f>
        <v>59.942025000000001</v>
      </c>
      <c r="F235" s="39">
        <f t="shared" si="0"/>
        <v>386.53523999999999</v>
      </c>
      <c r="G235" s="131" t="str">
        <f>G234</f>
        <v xml:space="preserve"> Ground Floor For Commercial, Meter Room, Fire Control Room &amp; Parking</v>
      </c>
      <c r="H235" s="132"/>
      <c r="I235" s="58"/>
      <c r="L235" s="130"/>
      <c r="M235" s="130"/>
      <c r="N235" s="58"/>
    </row>
    <row r="236" spans="1:14" s="2" customFormat="1" x14ac:dyDescent="0.25">
      <c r="A236" s="131">
        <v>28</v>
      </c>
      <c r="B236" s="132"/>
      <c r="C236" s="39" t="s">
        <v>209</v>
      </c>
      <c r="D236" s="61">
        <f>(20.626)*10.764</f>
        <v>222.01826399999999</v>
      </c>
      <c r="E236" s="61">
        <f>(2.75*2.475)*10.764</f>
        <v>73.262474999999995</v>
      </c>
      <c r="F236" s="39">
        <f t="shared" si="0"/>
        <v>472.44918239999998</v>
      </c>
      <c r="G236" s="131" t="str">
        <f t="shared" si="1"/>
        <v xml:space="preserve"> Ground Floor For Commercial, Meter Room, Fire Control Room &amp; Parking</v>
      </c>
      <c r="H236" s="132"/>
      <c r="I236" s="58"/>
      <c r="L236" s="130"/>
      <c r="M236" s="130"/>
      <c r="N236" s="58"/>
    </row>
    <row r="237" spans="1:14" s="2" customFormat="1" x14ac:dyDescent="0.25">
      <c r="A237" s="131">
        <v>29</v>
      </c>
      <c r="B237" s="132"/>
      <c r="C237" s="39" t="s">
        <v>209</v>
      </c>
      <c r="D237" s="61">
        <f>(34.307)*10.764</f>
        <v>369.28054800000001</v>
      </c>
      <c r="E237" s="61">
        <f>(3.55*5.07)*10.764</f>
        <v>193.73585399999999</v>
      </c>
      <c r="F237" s="39">
        <f t="shared" si="0"/>
        <v>900.82624320000002</v>
      </c>
      <c r="G237" s="131" t="str">
        <f t="shared" si="1"/>
        <v xml:space="preserve"> Ground Floor For Commercial, Meter Room, Fire Control Room &amp; Parking</v>
      </c>
      <c r="H237" s="132"/>
      <c r="I237" s="58"/>
      <c r="L237" s="130"/>
      <c r="M237" s="130"/>
      <c r="N237" s="58"/>
    </row>
    <row r="238" spans="1:14" s="2" customFormat="1" x14ac:dyDescent="0.25">
      <c r="A238" s="131">
        <v>30</v>
      </c>
      <c r="B238" s="132"/>
      <c r="C238" s="39" t="s">
        <v>209</v>
      </c>
      <c r="D238" s="61">
        <f>(40.591)*10.764</f>
        <v>436.92152399999998</v>
      </c>
      <c r="E238" s="61">
        <f>(4.1*4.95)*10.764</f>
        <v>218.45537999999996</v>
      </c>
      <c r="F238" s="39">
        <f t="shared" si="0"/>
        <v>1048.6030464</v>
      </c>
      <c r="G238" s="131" t="str">
        <f t="shared" si="1"/>
        <v xml:space="preserve"> Ground Floor For Commercial, Meter Room, Fire Control Room &amp; Parking</v>
      </c>
      <c r="H238" s="132"/>
      <c r="I238" s="58"/>
      <c r="L238" s="130"/>
      <c r="M238" s="130"/>
      <c r="N238" s="58"/>
    </row>
    <row r="239" spans="1:14" s="2" customFormat="1" x14ac:dyDescent="0.25">
      <c r="A239" s="127" t="s">
        <v>266</v>
      </c>
      <c r="B239" s="128"/>
      <c r="C239" s="128"/>
      <c r="D239" s="128"/>
      <c r="E239" s="128"/>
      <c r="F239" s="128"/>
      <c r="G239" s="128"/>
      <c r="H239" s="129"/>
      <c r="J239" s="58"/>
    </row>
    <row r="240" spans="1:14" s="2" customFormat="1" x14ac:dyDescent="0.25">
      <c r="A240" s="127" t="s">
        <v>221</v>
      </c>
      <c r="B240" s="128"/>
      <c r="C240" s="128"/>
      <c r="D240" s="128"/>
      <c r="E240" s="128"/>
      <c r="F240" s="128"/>
      <c r="G240" s="128"/>
      <c r="H240" s="129"/>
      <c r="J240" s="58"/>
    </row>
    <row r="241" spans="1:14" s="2" customFormat="1" ht="15.75" customHeight="1" x14ac:dyDescent="0.25">
      <c r="A241" s="127" t="s">
        <v>222</v>
      </c>
      <c r="B241" s="128"/>
      <c r="C241" s="128"/>
      <c r="D241" s="128"/>
      <c r="E241" s="128"/>
      <c r="F241" s="128"/>
      <c r="G241" s="128"/>
      <c r="H241" s="129"/>
      <c r="J241" s="61">
        <v>10.763999999999999</v>
      </c>
    </row>
    <row r="242" spans="1:14" s="2" customFormat="1" x14ac:dyDescent="0.25">
      <c r="A242" s="131">
        <v>1</v>
      </c>
      <c r="B242" s="132"/>
      <c r="C242" s="39" t="s">
        <v>209</v>
      </c>
      <c r="D242" s="61">
        <f>(29.93)*10.764</f>
        <v>322.16651999999999</v>
      </c>
      <c r="E242" s="61">
        <f>(14.965)*10.764</f>
        <v>161.08326</v>
      </c>
      <c r="F242" s="39">
        <f>(D242+E242)*(($F$201)+1)</f>
        <v>773.19964800000002</v>
      </c>
      <c r="G242" s="131" t="str">
        <f>A241</f>
        <v xml:space="preserve"> Ground Floor For Commercial, Entrance Lobby Meter Room, Fire Control Room &amp; Parking</v>
      </c>
      <c r="H242" s="132"/>
      <c r="I242" s="58"/>
      <c r="L242" s="130"/>
      <c r="M242" s="130"/>
      <c r="N242" s="58"/>
    </row>
    <row r="243" spans="1:14" s="2" customFormat="1" ht="15.75" customHeight="1" x14ac:dyDescent="0.25">
      <c r="A243" s="131">
        <v>2</v>
      </c>
      <c r="B243" s="132"/>
      <c r="C243" s="39" t="s">
        <v>209</v>
      </c>
      <c r="D243" s="61">
        <f>(30.295)*10.764</f>
        <v>326.09537999999998</v>
      </c>
      <c r="E243" s="61">
        <f>(15.1475)*10.764</f>
        <v>163.04768999999999</v>
      </c>
      <c r="F243" s="39">
        <f t="shared" ref="F243:F256" si="2">(D243+E243)*(($F$201)+1)</f>
        <v>782.62891200000001</v>
      </c>
      <c r="G243" s="131" t="str">
        <f t="shared" ref="G243:G256" si="3">G242</f>
        <v xml:space="preserve"> Ground Floor For Commercial, Entrance Lobby Meter Room, Fire Control Room &amp; Parking</v>
      </c>
      <c r="H243" s="132"/>
      <c r="I243" s="58"/>
      <c r="L243" s="130"/>
      <c r="M243" s="130"/>
      <c r="N243" s="58"/>
    </row>
    <row r="244" spans="1:14" s="2" customFormat="1" ht="15.75" customHeight="1" x14ac:dyDescent="0.25">
      <c r="A244" s="131">
        <v>3</v>
      </c>
      <c r="B244" s="132"/>
      <c r="C244" s="39" t="s">
        <v>209</v>
      </c>
      <c r="D244" s="61">
        <f>(20.075)*10.764</f>
        <v>216.08729999999997</v>
      </c>
      <c r="E244" s="61">
        <f>(6.625)*10.764</f>
        <v>71.311499999999995</v>
      </c>
      <c r="F244" s="39">
        <f t="shared" si="2"/>
        <v>459.83807999999993</v>
      </c>
      <c r="G244" s="131" t="str">
        <f t="shared" si="3"/>
        <v xml:space="preserve"> Ground Floor For Commercial, Entrance Lobby Meter Room, Fire Control Room &amp; Parking</v>
      </c>
      <c r="H244" s="132"/>
      <c r="I244" s="58"/>
      <c r="L244" s="130"/>
      <c r="M244" s="130"/>
      <c r="N244" s="58"/>
    </row>
    <row r="245" spans="1:14" s="2" customFormat="1" ht="15.75" customHeight="1" x14ac:dyDescent="0.25">
      <c r="A245" s="131">
        <v>4</v>
      </c>
      <c r="B245" s="132"/>
      <c r="C245" s="39" t="s">
        <v>209</v>
      </c>
      <c r="D245" s="61">
        <f>(16.425)*10.764</f>
        <v>176.7987</v>
      </c>
      <c r="E245" s="61">
        <f>(5.42)*10.764</f>
        <v>58.340879999999999</v>
      </c>
      <c r="F245" s="39">
        <f t="shared" si="2"/>
        <v>376.22332800000004</v>
      </c>
      <c r="G245" s="131" t="str">
        <f t="shared" si="3"/>
        <v xml:space="preserve"> Ground Floor For Commercial, Entrance Lobby Meter Room, Fire Control Room &amp; Parking</v>
      </c>
      <c r="H245" s="132"/>
      <c r="I245" s="58"/>
      <c r="L245" s="130"/>
      <c r="M245" s="130"/>
      <c r="N245" s="58"/>
    </row>
    <row r="246" spans="1:14" s="2" customFormat="1" x14ac:dyDescent="0.25">
      <c r="A246" s="131">
        <v>5</v>
      </c>
      <c r="B246" s="132"/>
      <c r="C246" s="39" t="s">
        <v>209</v>
      </c>
      <c r="D246" s="61">
        <f>(20.075)*10.764</f>
        <v>216.08729999999997</v>
      </c>
      <c r="E246" s="61">
        <f>(6.625)*10.764</f>
        <v>71.311499999999995</v>
      </c>
      <c r="F246" s="39">
        <f t="shared" si="2"/>
        <v>459.83807999999993</v>
      </c>
      <c r="G246" s="131" t="str">
        <f>G245</f>
        <v xml:space="preserve"> Ground Floor For Commercial, Entrance Lobby Meter Room, Fire Control Room &amp; Parking</v>
      </c>
      <c r="H246" s="132"/>
      <c r="I246" s="58"/>
      <c r="L246" s="130"/>
      <c r="M246" s="130"/>
      <c r="N246" s="58"/>
    </row>
    <row r="247" spans="1:14" s="2" customFormat="1" x14ac:dyDescent="0.25">
      <c r="A247" s="131">
        <v>6</v>
      </c>
      <c r="B247" s="132"/>
      <c r="C247" s="39" t="s">
        <v>209</v>
      </c>
      <c r="D247" s="61">
        <f>(11.182)*10.764</f>
        <v>120.36304799999999</v>
      </c>
      <c r="E247" s="61">
        <f>(5.591)*10.764</f>
        <v>60.181523999999996</v>
      </c>
      <c r="F247" s="39">
        <f t="shared" si="2"/>
        <v>288.87131519999997</v>
      </c>
      <c r="G247" s="131" t="str">
        <f t="shared" si="3"/>
        <v xml:space="preserve"> Ground Floor For Commercial, Entrance Lobby Meter Room, Fire Control Room &amp; Parking</v>
      </c>
      <c r="H247" s="132"/>
      <c r="I247" s="58"/>
      <c r="L247" s="130"/>
      <c r="M247" s="130"/>
      <c r="N247" s="58"/>
    </row>
    <row r="248" spans="1:14" s="2" customFormat="1" x14ac:dyDescent="0.25">
      <c r="A248" s="131">
        <v>7</v>
      </c>
      <c r="B248" s="132"/>
      <c r="C248" s="39" t="s">
        <v>209</v>
      </c>
      <c r="D248" s="61">
        <f>(22.137)*10.764</f>
        <v>238.282668</v>
      </c>
      <c r="E248" s="61">
        <f>(7.305)*10.764</f>
        <v>78.631019999999992</v>
      </c>
      <c r="F248" s="39">
        <f t="shared" si="2"/>
        <v>507.06190079999999</v>
      </c>
      <c r="G248" s="131" t="str">
        <f t="shared" si="3"/>
        <v xml:space="preserve"> Ground Floor For Commercial, Entrance Lobby Meter Room, Fire Control Room &amp; Parking</v>
      </c>
      <c r="H248" s="132"/>
      <c r="I248" s="58"/>
      <c r="L248" s="130"/>
      <c r="M248" s="130"/>
      <c r="N248" s="58"/>
    </row>
    <row r="249" spans="1:14" s="2" customFormat="1" x14ac:dyDescent="0.25">
      <c r="A249" s="131">
        <v>8</v>
      </c>
      <c r="B249" s="132"/>
      <c r="C249" s="39" t="s">
        <v>209</v>
      </c>
      <c r="D249" s="61">
        <f>(18.112)*10.764</f>
        <v>194.95756799999998</v>
      </c>
      <c r="E249" s="61">
        <f>(5.977)*10.764</f>
        <v>64.336427999999998</v>
      </c>
      <c r="F249" s="39">
        <f t="shared" si="2"/>
        <v>414.8703936</v>
      </c>
      <c r="G249" s="131" t="str">
        <f t="shared" si="3"/>
        <v xml:space="preserve"> Ground Floor For Commercial, Entrance Lobby Meter Room, Fire Control Room &amp; Parking</v>
      </c>
      <c r="H249" s="132"/>
      <c r="I249" s="58"/>
      <c r="L249" s="130"/>
      <c r="M249" s="130"/>
      <c r="N249" s="58"/>
    </row>
    <row r="250" spans="1:14" s="2" customFormat="1" ht="15.75" customHeight="1" x14ac:dyDescent="0.25">
      <c r="A250" s="131">
        <v>9</v>
      </c>
      <c r="B250" s="132"/>
      <c r="C250" s="39" t="s">
        <v>209</v>
      </c>
      <c r="D250" s="61">
        <f>(22.137)*10.764</f>
        <v>238.282668</v>
      </c>
      <c r="E250" s="61">
        <f>(7.305)*10.764</f>
        <v>78.631019999999992</v>
      </c>
      <c r="F250" s="39">
        <f t="shared" si="2"/>
        <v>507.06190079999999</v>
      </c>
      <c r="G250" s="131" t="str">
        <f t="shared" si="3"/>
        <v xml:space="preserve"> Ground Floor For Commercial, Entrance Lobby Meter Room, Fire Control Room &amp; Parking</v>
      </c>
      <c r="H250" s="132"/>
      <c r="I250" s="58"/>
      <c r="L250" s="130"/>
      <c r="M250" s="130"/>
      <c r="N250" s="58"/>
    </row>
    <row r="251" spans="1:14" s="2" customFormat="1" ht="15.75" customHeight="1" x14ac:dyDescent="0.25">
      <c r="A251" s="131">
        <v>10</v>
      </c>
      <c r="B251" s="132"/>
      <c r="C251" s="39" t="s">
        <v>209</v>
      </c>
      <c r="D251" s="61">
        <f>(22.137)*10.764</f>
        <v>238.282668</v>
      </c>
      <c r="E251" s="61">
        <f>(7.305)*10.764</f>
        <v>78.631019999999992</v>
      </c>
      <c r="F251" s="39">
        <f t="shared" si="2"/>
        <v>507.06190079999999</v>
      </c>
      <c r="G251" s="131" t="str">
        <f t="shared" si="3"/>
        <v xml:space="preserve"> Ground Floor For Commercial, Entrance Lobby Meter Room, Fire Control Room &amp; Parking</v>
      </c>
      <c r="H251" s="132"/>
      <c r="I251" s="58"/>
      <c r="L251" s="130"/>
      <c r="M251" s="130"/>
      <c r="N251" s="58"/>
    </row>
    <row r="252" spans="1:14" s="2" customFormat="1" ht="15.75" customHeight="1" x14ac:dyDescent="0.25">
      <c r="A252" s="131">
        <v>11</v>
      </c>
      <c r="B252" s="132"/>
      <c r="C252" s="39" t="s">
        <v>209</v>
      </c>
      <c r="D252" s="61">
        <f>(18.112)*10.764</f>
        <v>194.95756799999998</v>
      </c>
      <c r="E252" s="61">
        <f>(5.977)*10.764</f>
        <v>64.336427999999998</v>
      </c>
      <c r="F252" s="39">
        <f t="shared" si="2"/>
        <v>414.8703936</v>
      </c>
      <c r="G252" s="131" t="str">
        <f t="shared" si="3"/>
        <v xml:space="preserve"> Ground Floor For Commercial, Entrance Lobby Meter Room, Fire Control Room &amp; Parking</v>
      </c>
      <c r="H252" s="132"/>
      <c r="I252" s="58"/>
      <c r="L252" s="130"/>
      <c r="M252" s="130"/>
      <c r="N252" s="58"/>
    </row>
    <row r="253" spans="1:14" s="2" customFormat="1" x14ac:dyDescent="0.25">
      <c r="A253" s="131">
        <v>12</v>
      </c>
      <c r="B253" s="132"/>
      <c r="C253" s="39" t="s">
        <v>209</v>
      </c>
      <c r="D253" s="61">
        <f>(22.962)*10.764</f>
        <v>247.16296799999998</v>
      </c>
      <c r="E253" s="61">
        <f>(7.577)*10.764</f>
        <v>81.558827999999991</v>
      </c>
      <c r="F253" s="39">
        <f t="shared" si="2"/>
        <v>525.95487360000004</v>
      </c>
      <c r="G253" s="131" t="str">
        <f>G252</f>
        <v xml:space="preserve"> Ground Floor For Commercial, Entrance Lobby Meter Room, Fire Control Room &amp; Parking</v>
      </c>
      <c r="H253" s="132"/>
      <c r="I253" s="58"/>
      <c r="L253" s="130"/>
      <c r="M253" s="130"/>
      <c r="N253" s="58"/>
    </row>
    <row r="254" spans="1:14" s="2" customFormat="1" x14ac:dyDescent="0.25">
      <c r="A254" s="131">
        <v>13</v>
      </c>
      <c r="B254" s="132"/>
      <c r="C254" s="39" t="s">
        <v>209</v>
      </c>
      <c r="D254" s="61">
        <f>(22.962)*10.764</f>
        <v>247.16296799999998</v>
      </c>
      <c r="E254" s="61">
        <f>(7.577)*10.764</f>
        <v>81.558827999999991</v>
      </c>
      <c r="F254" s="39">
        <f t="shared" si="2"/>
        <v>525.95487360000004</v>
      </c>
      <c r="G254" s="131" t="str">
        <f t="shared" si="3"/>
        <v xml:space="preserve"> Ground Floor For Commercial, Entrance Lobby Meter Room, Fire Control Room &amp; Parking</v>
      </c>
      <c r="H254" s="132"/>
      <c r="I254" s="58"/>
      <c r="L254" s="130"/>
      <c r="M254" s="130"/>
      <c r="N254" s="58"/>
    </row>
    <row r="255" spans="1:14" s="2" customFormat="1" x14ac:dyDescent="0.25">
      <c r="A255" s="131">
        <v>14</v>
      </c>
      <c r="B255" s="132"/>
      <c r="C255" s="39" t="s">
        <v>209</v>
      </c>
      <c r="D255" s="61">
        <f>(22.962)*10.764</f>
        <v>247.16296799999998</v>
      </c>
      <c r="E255" s="61">
        <f>(7.577)*10.764</f>
        <v>81.558827999999991</v>
      </c>
      <c r="F255" s="39">
        <f t="shared" si="2"/>
        <v>525.95487360000004</v>
      </c>
      <c r="G255" s="131" t="str">
        <f t="shared" si="3"/>
        <v xml:space="preserve"> Ground Floor For Commercial, Entrance Lobby Meter Room, Fire Control Room &amp; Parking</v>
      </c>
      <c r="H255" s="132"/>
      <c r="I255" s="58"/>
      <c r="L255" s="130"/>
      <c r="M255" s="130"/>
      <c r="N255" s="58"/>
    </row>
    <row r="256" spans="1:14" s="2" customFormat="1" x14ac:dyDescent="0.25">
      <c r="A256" s="131">
        <v>15</v>
      </c>
      <c r="B256" s="132"/>
      <c r="C256" s="39" t="s">
        <v>209</v>
      </c>
      <c r="D256" s="61">
        <f>(22.962)*10.764</f>
        <v>247.16296799999998</v>
      </c>
      <c r="E256" s="61">
        <f>(7.577)*10.764</f>
        <v>81.558827999999991</v>
      </c>
      <c r="F256" s="39">
        <f t="shared" si="2"/>
        <v>525.95487360000004</v>
      </c>
      <c r="G256" s="131" t="str">
        <f t="shared" si="3"/>
        <v xml:space="preserve"> Ground Floor For Commercial, Entrance Lobby Meter Room, Fire Control Room &amp; Parking</v>
      </c>
      <c r="H256" s="132"/>
      <c r="I256" s="58"/>
      <c r="L256" s="130"/>
      <c r="M256" s="130"/>
      <c r="N256" s="58"/>
    </row>
    <row r="257" spans="1:14" s="2" customFormat="1" x14ac:dyDescent="0.25">
      <c r="A257" s="127" t="s">
        <v>266</v>
      </c>
      <c r="B257" s="128"/>
      <c r="C257" s="128"/>
      <c r="D257" s="128"/>
      <c r="E257" s="128"/>
      <c r="F257" s="128"/>
      <c r="G257" s="128"/>
      <c r="H257" s="129"/>
      <c r="J257" s="58"/>
    </row>
    <row r="258" spans="1:14" s="2" customFormat="1" x14ac:dyDescent="0.25">
      <c r="A258" s="127" t="s">
        <v>220</v>
      </c>
      <c r="B258" s="128"/>
      <c r="C258" s="128"/>
      <c r="D258" s="128"/>
      <c r="E258" s="128"/>
      <c r="F258" s="128"/>
      <c r="G258" s="128"/>
      <c r="H258" s="129"/>
      <c r="J258" s="58"/>
    </row>
    <row r="259" spans="1:14" s="2" customFormat="1" x14ac:dyDescent="0.25">
      <c r="A259" s="127" t="s">
        <v>222</v>
      </c>
      <c r="B259" s="128"/>
      <c r="C259" s="128"/>
      <c r="D259" s="128"/>
      <c r="E259" s="128"/>
      <c r="F259" s="128"/>
      <c r="G259" s="128"/>
      <c r="H259" s="129"/>
      <c r="J259" s="61">
        <v>10.763999999999999</v>
      </c>
    </row>
    <row r="260" spans="1:14" s="2" customFormat="1" x14ac:dyDescent="0.25">
      <c r="A260" s="131">
        <v>16</v>
      </c>
      <c r="B260" s="132"/>
      <c r="C260" s="39" t="s">
        <v>209</v>
      </c>
      <c r="D260" s="61">
        <f>(22.962)*10.764</f>
        <v>247.16296799999998</v>
      </c>
      <c r="E260" s="61">
        <f>(7.577)*10.764</f>
        <v>81.558827999999991</v>
      </c>
      <c r="F260" s="39">
        <f>(D260+E260)*(($F$201)+1)</f>
        <v>525.95487360000004</v>
      </c>
      <c r="G260" s="131" t="str">
        <f>A259</f>
        <v xml:space="preserve"> Ground Floor For Commercial, Entrance Lobby Meter Room, Fire Control Room &amp; Parking</v>
      </c>
      <c r="H260" s="132"/>
      <c r="I260" s="58"/>
      <c r="L260" s="130"/>
      <c r="M260" s="130"/>
      <c r="N260" s="58"/>
    </row>
    <row r="261" spans="1:14" s="2" customFormat="1" ht="15.75" customHeight="1" x14ac:dyDescent="0.25">
      <c r="A261" s="131">
        <v>17</v>
      </c>
      <c r="B261" s="132"/>
      <c r="C261" s="39" t="s">
        <v>209</v>
      </c>
      <c r="D261" s="61">
        <f>(22.962)*10.764</f>
        <v>247.16296799999998</v>
      </c>
      <c r="E261" s="61">
        <f>(7.577)*10.764</f>
        <v>81.558827999999991</v>
      </c>
      <c r="F261" s="39">
        <f t="shared" ref="F261:F274" si="4">(D261+E261)*(($F$201)+1)</f>
        <v>525.95487360000004</v>
      </c>
      <c r="G261" s="131" t="str">
        <f t="shared" ref="G261:G274" si="5">G260</f>
        <v xml:space="preserve"> Ground Floor For Commercial, Entrance Lobby Meter Room, Fire Control Room &amp; Parking</v>
      </c>
      <c r="H261" s="132"/>
      <c r="I261" s="58"/>
      <c r="L261" s="130"/>
      <c r="M261" s="130"/>
      <c r="N261" s="58"/>
    </row>
    <row r="262" spans="1:14" s="2" customFormat="1" ht="15.75" customHeight="1" x14ac:dyDescent="0.25">
      <c r="A262" s="131">
        <v>18</v>
      </c>
      <c r="B262" s="132"/>
      <c r="C262" s="39" t="s">
        <v>209</v>
      </c>
      <c r="D262" s="61">
        <f>(22.962)*10.764</f>
        <v>247.16296799999998</v>
      </c>
      <c r="E262" s="61">
        <f>(7.577)*10.764</f>
        <v>81.558827999999991</v>
      </c>
      <c r="F262" s="39">
        <f t="shared" si="4"/>
        <v>525.95487360000004</v>
      </c>
      <c r="G262" s="131" t="str">
        <f t="shared" si="5"/>
        <v xml:space="preserve"> Ground Floor For Commercial, Entrance Lobby Meter Room, Fire Control Room &amp; Parking</v>
      </c>
      <c r="H262" s="132"/>
      <c r="I262" s="58"/>
      <c r="L262" s="130"/>
      <c r="M262" s="130"/>
      <c r="N262" s="58"/>
    </row>
    <row r="263" spans="1:14" s="2" customFormat="1" ht="15.75" customHeight="1" x14ac:dyDescent="0.25">
      <c r="A263" s="131">
        <v>19</v>
      </c>
      <c r="B263" s="132"/>
      <c r="C263" s="39" t="s">
        <v>209</v>
      </c>
      <c r="D263" s="61">
        <f>(22.962)*10.764</f>
        <v>247.16296799999998</v>
      </c>
      <c r="E263" s="61">
        <f>(7.577)*10.764</f>
        <v>81.558827999999991</v>
      </c>
      <c r="F263" s="39">
        <f t="shared" si="4"/>
        <v>525.95487360000004</v>
      </c>
      <c r="G263" s="131" t="str">
        <f t="shared" si="5"/>
        <v xml:space="preserve"> Ground Floor For Commercial, Entrance Lobby Meter Room, Fire Control Room &amp; Parking</v>
      </c>
      <c r="H263" s="132"/>
      <c r="I263" s="58"/>
      <c r="L263" s="130"/>
      <c r="M263" s="130"/>
      <c r="N263" s="58"/>
    </row>
    <row r="264" spans="1:14" s="2" customFormat="1" x14ac:dyDescent="0.25">
      <c r="A264" s="131">
        <v>20</v>
      </c>
      <c r="B264" s="132"/>
      <c r="C264" s="39" t="s">
        <v>209</v>
      </c>
      <c r="D264" s="61">
        <f>(18.112)*10.764</f>
        <v>194.95756799999998</v>
      </c>
      <c r="E264" s="61">
        <f>(6.037)*10.764</f>
        <v>64.982267999999991</v>
      </c>
      <c r="F264" s="39">
        <f t="shared" si="4"/>
        <v>415.90373759999994</v>
      </c>
      <c r="G264" s="131" t="str">
        <f>G263</f>
        <v xml:space="preserve"> Ground Floor For Commercial, Entrance Lobby Meter Room, Fire Control Room &amp; Parking</v>
      </c>
      <c r="H264" s="132"/>
      <c r="I264" s="58"/>
      <c r="L264" s="130"/>
      <c r="M264" s="130"/>
      <c r="N264" s="58"/>
    </row>
    <row r="265" spans="1:14" s="2" customFormat="1" x14ac:dyDescent="0.25">
      <c r="A265" s="131">
        <v>21</v>
      </c>
      <c r="B265" s="132"/>
      <c r="C265" s="39" t="s">
        <v>209</v>
      </c>
      <c r="D265" s="61">
        <f>(22.138)*10.764</f>
        <v>238.293432</v>
      </c>
      <c r="E265" s="61">
        <f>(7.379)*10.764</f>
        <v>79.427555999999996</v>
      </c>
      <c r="F265" s="39">
        <f t="shared" si="4"/>
        <v>508.35358079999997</v>
      </c>
      <c r="G265" s="131" t="str">
        <f t="shared" si="5"/>
        <v xml:space="preserve"> Ground Floor For Commercial, Entrance Lobby Meter Room, Fire Control Room &amp; Parking</v>
      </c>
      <c r="H265" s="132"/>
      <c r="I265" s="58"/>
      <c r="L265" s="130"/>
      <c r="M265" s="130"/>
      <c r="N265" s="58"/>
    </row>
    <row r="266" spans="1:14" s="2" customFormat="1" x14ac:dyDescent="0.25">
      <c r="A266" s="131">
        <v>22</v>
      </c>
      <c r="B266" s="132"/>
      <c r="C266" s="39" t="s">
        <v>209</v>
      </c>
      <c r="D266" s="61">
        <f>(22.138)*10.764</f>
        <v>238.293432</v>
      </c>
      <c r="E266" s="61">
        <f>(7.379)*10.764</f>
        <v>79.427555999999996</v>
      </c>
      <c r="F266" s="39">
        <f t="shared" si="4"/>
        <v>508.35358079999997</v>
      </c>
      <c r="G266" s="131" t="str">
        <f t="shared" si="5"/>
        <v xml:space="preserve"> Ground Floor For Commercial, Entrance Lobby Meter Room, Fire Control Room &amp; Parking</v>
      </c>
      <c r="H266" s="132"/>
      <c r="I266" s="58"/>
      <c r="L266" s="130"/>
      <c r="M266" s="130"/>
      <c r="N266" s="58"/>
    </row>
    <row r="267" spans="1:14" s="2" customFormat="1" x14ac:dyDescent="0.25">
      <c r="A267" s="131">
        <v>23</v>
      </c>
      <c r="B267" s="132"/>
      <c r="C267" s="39" t="s">
        <v>209</v>
      </c>
      <c r="D267" s="61">
        <f>(18.112)*10.764</f>
        <v>194.95756799999998</v>
      </c>
      <c r="E267" s="61">
        <f>(6.037)*10.764</f>
        <v>64.982267999999991</v>
      </c>
      <c r="F267" s="39">
        <f t="shared" si="4"/>
        <v>415.90373759999994</v>
      </c>
      <c r="G267" s="131" t="str">
        <f t="shared" si="5"/>
        <v xml:space="preserve"> Ground Floor For Commercial, Entrance Lobby Meter Room, Fire Control Room &amp; Parking</v>
      </c>
      <c r="H267" s="132"/>
      <c r="I267" s="58"/>
      <c r="L267" s="130"/>
      <c r="M267" s="130"/>
      <c r="N267" s="58"/>
    </row>
    <row r="268" spans="1:14" s="2" customFormat="1" ht="15.75" customHeight="1" x14ac:dyDescent="0.25">
      <c r="A268" s="131">
        <v>24</v>
      </c>
      <c r="B268" s="132"/>
      <c r="C268" s="39" t="s">
        <v>209</v>
      </c>
      <c r="D268" s="61">
        <f>(22.138)*10.764</f>
        <v>238.293432</v>
      </c>
      <c r="E268" s="61">
        <f>(7.379)*10.764</f>
        <v>79.427555999999996</v>
      </c>
      <c r="F268" s="39">
        <f t="shared" si="4"/>
        <v>508.35358079999997</v>
      </c>
      <c r="G268" s="131" t="str">
        <f t="shared" si="5"/>
        <v xml:space="preserve"> Ground Floor For Commercial, Entrance Lobby Meter Room, Fire Control Room &amp; Parking</v>
      </c>
      <c r="H268" s="132"/>
      <c r="I268" s="58"/>
      <c r="L268" s="130"/>
      <c r="M268" s="130"/>
      <c r="N268" s="58"/>
    </row>
    <row r="269" spans="1:14" s="2" customFormat="1" ht="15.75" customHeight="1" x14ac:dyDescent="0.25">
      <c r="A269" s="131">
        <v>25</v>
      </c>
      <c r="B269" s="132"/>
      <c r="C269" s="39" t="s">
        <v>209</v>
      </c>
      <c r="D269" s="61">
        <f>(11.182)*10.764</f>
        <v>120.36304799999999</v>
      </c>
      <c r="E269" s="61">
        <f>(5.591)*10.764</f>
        <v>60.181523999999996</v>
      </c>
      <c r="F269" s="39">
        <f t="shared" si="4"/>
        <v>288.87131519999997</v>
      </c>
      <c r="G269" s="131" t="str">
        <f t="shared" si="5"/>
        <v xml:space="preserve"> Ground Floor For Commercial, Entrance Lobby Meter Room, Fire Control Room &amp; Parking</v>
      </c>
      <c r="H269" s="132"/>
      <c r="I269" s="58"/>
      <c r="L269" s="130"/>
      <c r="M269" s="130"/>
      <c r="N269" s="58"/>
    </row>
    <row r="270" spans="1:14" s="2" customFormat="1" ht="15.75" customHeight="1" x14ac:dyDescent="0.25">
      <c r="A270" s="131">
        <v>26</v>
      </c>
      <c r="B270" s="132"/>
      <c r="C270" s="39" t="s">
        <v>209</v>
      </c>
      <c r="D270" s="61">
        <f>(20.075)*10.764</f>
        <v>216.08729999999997</v>
      </c>
      <c r="E270" s="61">
        <f>(6.625)*10.764</f>
        <v>71.311499999999995</v>
      </c>
      <c r="F270" s="39">
        <f t="shared" si="4"/>
        <v>459.83807999999993</v>
      </c>
      <c r="G270" s="131" t="str">
        <f t="shared" si="5"/>
        <v xml:space="preserve"> Ground Floor For Commercial, Entrance Lobby Meter Room, Fire Control Room &amp; Parking</v>
      </c>
      <c r="H270" s="132"/>
      <c r="I270" s="58"/>
      <c r="L270" s="130"/>
      <c r="M270" s="130"/>
      <c r="N270" s="58"/>
    </row>
    <row r="271" spans="1:14" s="2" customFormat="1" x14ac:dyDescent="0.25">
      <c r="A271" s="131">
        <v>27</v>
      </c>
      <c r="B271" s="132"/>
      <c r="C271" s="39" t="s">
        <v>209</v>
      </c>
      <c r="D271" s="61">
        <f>(16.425)*10.764</f>
        <v>176.7987</v>
      </c>
      <c r="E271" s="61">
        <f>(5.42)*10.764</f>
        <v>58.340879999999999</v>
      </c>
      <c r="F271" s="39">
        <f t="shared" si="4"/>
        <v>376.22332800000004</v>
      </c>
      <c r="G271" s="131" t="str">
        <f>G270</f>
        <v xml:space="preserve"> Ground Floor For Commercial, Entrance Lobby Meter Room, Fire Control Room &amp; Parking</v>
      </c>
      <c r="H271" s="132"/>
      <c r="I271" s="58"/>
      <c r="L271" s="130"/>
      <c r="M271" s="130"/>
      <c r="N271" s="58"/>
    </row>
    <row r="272" spans="1:14" s="2" customFormat="1" x14ac:dyDescent="0.25">
      <c r="A272" s="131">
        <v>28</v>
      </c>
      <c r="B272" s="132"/>
      <c r="C272" s="39" t="s">
        <v>209</v>
      </c>
      <c r="D272" s="61">
        <f>(20.075)*10.764</f>
        <v>216.08729999999997</v>
      </c>
      <c r="E272" s="61">
        <f>(6.625)*10.764</f>
        <v>71.311499999999995</v>
      </c>
      <c r="F272" s="39">
        <f t="shared" si="4"/>
        <v>459.83807999999993</v>
      </c>
      <c r="G272" s="131" t="str">
        <f t="shared" si="5"/>
        <v xml:space="preserve"> Ground Floor For Commercial, Entrance Lobby Meter Room, Fire Control Room &amp; Parking</v>
      </c>
      <c r="H272" s="132"/>
      <c r="I272" s="58"/>
      <c r="L272" s="130"/>
      <c r="M272" s="130"/>
      <c r="N272" s="58"/>
    </row>
    <row r="273" spans="1:14" s="2" customFormat="1" x14ac:dyDescent="0.25">
      <c r="A273" s="131">
        <v>29</v>
      </c>
      <c r="B273" s="132"/>
      <c r="C273" s="39" t="s">
        <v>209</v>
      </c>
      <c r="D273" s="61">
        <f>(30.295)*10.764</f>
        <v>326.09537999999998</v>
      </c>
      <c r="E273" s="61">
        <f>(15.1475)*10.764</f>
        <v>163.04768999999999</v>
      </c>
      <c r="F273" s="39">
        <f t="shared" si="4"/>
        <v>782.62891200000001</v>
      </c>
      <c r="G273" s="131" t="str">
        <f t="shared" si="5"/>
        <v xml:space="preserve"> Ground Floor For Commercial, Entrance Lobby Meter Room, Fire Control Room &amp; Parking</v>
      </c>
      <c r="H273" s="132"/>
      <c r="I273" s="58"/>
      <c r="L273" s="130"/>
      <c r="M273" s="130"/>
      <c r="N273" s="58"/>
    </row>
    <row r="274" spans="1:14" s="2" customFormat="1" x14ac:dyDescent="0.25">
      <c r="A274" s="131">
        <v>30</v>
      </c>
      <c r="B274" s="132"/>
      <c r="C274" s="39" t="s">
        <v>209</v>
      </c>
      <c r="D274" s="61">
        <f>(29.93)*10.764</f>
        <v>322.16651999999999</v>
      </c>
      <c r="E274" s="61">
        <f>(14.965)*10.764</f>
        <v>161.08326</v>
      </c>
      <c r="F274" s="39">
        <f t="shared" si="4"/>
        <v>773.19964800000002</v>
      </c>
      <c r="G274" s="131" t="str">
        <f t="shared" si="5"/>
        <v xml:space="preserve"> Ground Floor For Commercial, Entrance Lobby Meter Room, Fire Control Room &amp; Parking</v>
      </c>
      <c r="H274" s="132"/>
      <c r="I274" s="58"/>
      <c r="L274" s="130"/>
      <c r="M274" s="130"/>
      <c r="N274" s="58"/>
    </row>
    <row r="275" spans="1:14" s="2" customFormat="1" x14ac:dyDescent="0.25">
      <c r="A275" s="127" t="s">
        <v>229</v>
      </c>
      <c r="B275" s="128"/>
      <c r="C275" s="128"/>
      <c r="D275" s="128"/>
      <c r="E275" s="128"/>
      <c r="F275" s="128"/>
      <c r="G275" s="128"/>
      <c r="H275" s="129"/>
      <c r="J275" s="58"/>
    </row>
    <row r="276" spans="1:14" s="2" customFormat="1" ht="15.75" customHeight="1" x14ac:dyDescent="0.25">
      <c r="A276" s="127" t="s">
        <v>230</v>
      </c>
      <c r="B276" s="128"/>
      <c r="C276" s="128"/>
      <c r="D276" s="128"/>
      <c r="E276" s="128"/>
      <c r="F276" s="128"/>
      <c r="G276" s="128"/>
      <c r="H276" s="129"/>
      <c r="J276" s="61">
        <v>10.763999999999999</v>
      </c>
    </row>
    <row r="277" spans="1:14" s="2" customFormat="1" x14ac:dyDescent="0.25">
      <c r="A277" s="131">
        <v>1</v>
      </c>
      <c r="B277" s="132"/>
      <c r="C277" s="39" t="s">
        <v>209</v>
      </c>
      <c r="D277" s="61">
        <f>(40.613)*10.764</f>
        <v>437.15833199999997</v>
      </c>
      <c r="E277" s="61">
        <v>0</v>
      </c>
      <c r="F277" s="39">
        <f>(D277+E277)*(($F$201)+1)</f>
        <v>699.45333119999998</v>
      </c>
      <c r="G277" s="131" t="str">
        <f>A276</f>
        <v xml:space="preserve"> Ground Floor For Commercial &amp; Entrance Lobby</v>
      </c>
      <c r="H277" s="132"/>
      <c r="I277" s="58"/>
      <c r="L277" s="130"/>
      <c r="M277" s="130"/>
      <c r="N277" s="58"/>
    </row>
    <row r="278" spans="1:14" s="2" customFormat="1" ht="15.75" customHeight="1" x14ac:dyDescent="0.25">
      <c r="A278" s="131">
        <v>2</v>
      </c>
      <c r="B278" s="132"/>
      <c r="C278" s="39" t="s">
        <v>209</v>
      </c>
      <c r="D278" s="61">
        <f>(23.25)*10.764</f>
        <v>250.26299999999998</v>
      </c>
      <c r="E278" s="61">
        <v>0</v>
      </c>
      <c r="F278" s="39">
        <f t="shared" ref="F278:F291" si="6">(D278+E278)*(($F$201)+1)</f>
        <v>400.42079999999999</v>
      </c>
      <c r="G278" s="131" t="str">
        <f t="shared" ref="G278:G291" si="7">G277</f>
        <v xml:space="preserve"> Ground Floor For Commercial &amp; Entrance Lobby</v>
      </c>
      <c r="H278" s="132"/>
      <c r="I278" s="58"/>
      <c r="L278" s="130"/>
      <c r="M278" s="130"/>
      <c r="N278" s="58"/>
    </row>
    <row r="279" spans="1:14" s="2" customFormat="1" ht="15.75" customHeight="1" x14ac:dyDescent="0.25">
      <c r="A279" s="131">
        <v>3</v>
      </c>
      <c r="B279" s="132"/>
      <c r="C279" s="39" t="s">
        <v>209</v>
      </c>
      <c r="D279" s="61">
        <f>(23.25)*10.764</f>
        <v>250.26299999999998</v>
      </c>
      <c r="E279" s="61">
        <v>0</v>
      </c>
      <c r="F279" s="39">
        <f t="shared" si="6"/>
        <v>400.42079999999999</v>
      </c>
      <c r="G279" s="131" t="str">
        <f t="shared" si="7"/>
        <v xml:space="preserve"> Ground Floor For Commercial &amp; Entrance Lobby</v>
      </c>
      <c r="H279" s="132"/>
      <c r="I279" s="58"/>
      <c r="L279" s="130"/>
      <c r="M279" s="130"/>
      <c r="N279" s="58"/>
    </row>
    <row r="280" spans="1:14" s="2" customFormat="1" ht="15.75" customHeight="1" x14ac:dyDescent="0.25">
      <c r="A280" s="131">
        <v>4</v>
      </c>
      <c r="B280" s="132"/>
      <c r="C280" s="39" t="s">
        <v>209</v>
      </c>
      <c r="D280" s="61">
        <f>(23.25)*10.764</f>
        <v>250.26299999999998</v>
      </c>
      <c r="E280" s="61">
        <v>0</v>
      </c>
      <c r="F280" s="39">
        <f t="shared" si="6"/>
        <v>400.42079999999999</v>
      </c>
      <c r="G280" s="131" t="str">
        <f t="shared" si="7"/>
        <v xml:space="preserve"> Ground Floor For Commercial &amp; Entrance Lobby</v>
      </c>
      <c r="H280" s="132"/>
      <c r="I280" s="58"/>
      <c r="L280" s="130"/>
      <c r="M280" s="130"/>
      <c r="N280" s="58"/>
    </row>
    <row r="281" spans="1:14" s="2" customFormat="1" x14ac:dyDescent="0.25">
      <c r="A281" s="131">
        <v>5</v>
      </c>
      <c r="B281" s="132"/>
      <c r="C281" s="39" t="s">
        <v>209</v>
      </c>
      <c r="D281" s="61">
        <f>(23.25)*10.764</f>
        <v>250.26299999999998</v>
      </c>
      <c r="E281" s="61">
        <v>0</v>
      </c>
      <c r="F281" s="39">
        <f t="shared" si="6"/>
        <v>400.42079999999999</v>
      </c>
      <c r="G281" s="131" t="str">
        <f>G280</f>
        <v xml:space="preserve"> Ground Floor For Commercial &amp; Entrance Lobby</v>
      </c>
      <c r="H281" s="132"/>
      <c r="I281" s="58"/>
      <c r="L281" s="130"/>
      <c r="M281" s="130"/>
      <c r="N281" s="58"/>
    </row>
    <row r="282" spans="1:14" s="2" customFormat="1" x14ac:dyDescent="0.25">
      <c r="A282" s="131">
        <v>6</v>
      </c>
      <c r="B282" s="132"/>
      <c r="C282" s="39" t="s">
        <v>209</v>
      </c>
      <c r="D282" s="61">
        <f>(23.25)*10.764</f>
        <v>250.26299999999998</v>
      </c>
      <c r="E282" s="61">
        <v>0</v>
      </c>
      <c r="F282" s="39">
        <f t="shared" si="6"/>
        <v>400.42079999999999</v>
      </c>
      <c r="G282" s="131" t="str">
        <f t="shared" si="7"/>
        <v xml:space="preserve"> Ground Floor For Commercial &amp; Entrance Lobby</v>
      </c>
      <c r="H282" s="132"/>
      <c r="I282" s="58"/>
      <c r="L282" s="130"/>
      <c r="M282" s="130"/>
      <c r="N282" s="58"/>
    </row>
    <row r="283" spans="1:14" s="2" customFormat="1" x14ac:dyDescent="0.25">
      <c r="A283" s="131">
        <v>7</v>
      </c>
      <c r="B283" s="132"/>
      <c r="C283" s="39" t="s">
        <v>209</v>
      </c>
      <c r="D283" s="61">
        <f>(16.05)*10.764</f>
        <v>172.76220000000001</v>
      </c>
      <c r="E283" s="61">
        <v>0</v>
      </c>
      <c r="F283" s="39">
        <f t="shared" si="6"/>
        <v>276.41952000000003</v>
      </c>
      <c r="G283" s="131" t="str">
        <f t="shared" si="7"/>
        <v xml:space="preserve"> Ground Floor For Commercial &amp; Entrance Lobby</v>
      </c>
      <c r="H283" s="132"/>
      <c r="I283" s="58"/>
      <c r="L283" s="130"/>
      <c r="M283" s="130"/>
      <c r="N283" s="58"/>
    </row>
    <row r="284" spans="1:14" s="2" customFormat="1" x14ac:dyDescent="0.25">
      <c r="A284" s="131">
        <v>8</v>
      </c>
      <c r="B284" s="132"/>
      <c r="C284" s="39" t="s">
        <v>209</v>
      </c>
      <c r="D284" s="61">
        <f>(10.051)*10.764</f>
        <v>108.188964</v>
      </c>
      <c r="E284" s="61">
        <v>0</v>
      </c>
      <c r="F284" s="39">
        <f t="shared" si="6"/>
        <v>173.1023424</v>
      </c>
      <c r="G284" s="131" t="str">
        <f t="shared" si="7"/>
        <v xml:space="preserve"> Ground Floor For Commercial &amp; Entrance Lobby</v>
      </c>
      <c r="H284" s="132"/>
      <c r="I284" s="58"/>
      <c r="L284" s="130"/>
      <c r="M284" s="130"/>
      <c r="N284" s="58"/>
    </row>
    <row r="285" spans="1:14" s="2" customFormat="1" ht="15.75" customHeight="1" x14ac:dyDescent="0.25">
      <c r="A285" s="131">
        <v>9</v>
      </c>
      <c r="B285" s="132"/>
      <c r="C285" s="39" t="s">
        <v>209</v>
      </c>
      <c r="D285" s="61">
        <f>(19.35)*10.764</f>
        <v>208.2834</v>
      </c>
      <c r="E285" s="61">
        <v>0</v>
      </c>
      <c r="F285" s="39">
        <f t="shared" si="6"/>
        <v>333.25344000000001</v>
      </c>
      <c r="G285" s="131" t="str">
        <f t="shared" si="7"/>
        <v xml:space="preserve"> Ground Floor For Commercial &amp; Entrance Lobby</v>
      </c>
      <c r="H285" s="132"/>
      <c r="I285" s="58"/>
      <c r="L285" s="130"/>
      <c r="M285" s="130"/>
      <c r="N285" s="58"/>
    </row>
    <row r="286" spans="1:14" s="2" customFormat="1" ht="15.75" customHeight="1" x14ac:dyDescent="0.25">
      <c r="A286" s="131">
        <v>10</v>
      </c>
      <c r="B286" s="132"/>
      <c r="C286" s="39" t="s">
        <v>209</v>
      </c>
      <c r="D286" s="61">
        <f>(23.25)*10.764</f>
        <v>250.26299999999998</v>
      </c>
      <c r="E286" s="61">
        <v>0</v>
      </c>
      <c r="F286" s="39">
        <f t="shared" si="6"/>
        <v>400.42079999999999</v>
      </c>
      <c r="G286" s="131" t="str">
        <f t="shared" si="7"/>
        <v xml:space="preserve"> Ground Floor For Commercial &amp; Entrance Lobby</v>
      </c>
      <c r="H286" s="132"/>
      <c r="I286" s="58"/>
      <c r="L286" s="130"/>
      <c r="M286" s="130"/>
      <c r="N286" s="58"/>
    </row>
    <row r="287" spans="1:14" s="2" customFormat="1" ht="15.75" customHeight="1" x14ac:dyDescent="0.25">
      <c r="A287" s="131">
        <v>11</v>
      </c>
      <c r="B287" s="132"/>
      <c r="C287" s="39" t="s">
        <v>209</v>
      </c>
      <c r="D287" s="61">
        <f>(23.25)*10.764</f>
        <v>250.26299999999998</v>
      </c>
      <c r="E287" s="61">
        <v>0</v>
      </c>
      <c r="F287" s="39">
        <f t="shared" si="6"/>
        <v>400.42079999999999</v>
      </c>
      <c r="G287" s="131" t="str">
        <f t="shared" si="7"/>
        <v xml:space="preserve"> Ground Floor For Commercial &amp; Entrance Lobby</v>
      </c>
      <c r="H287" s="132"/>
      <c r="I287" s="58"/>
      <c r="L287" s="130"/>
      <c r="M287" s="130"/>
      <c r="N287" s="58"/>
    </row>
    <row r="288" spans="1:14" s="2" customFormat="1" x14ac:dyDescent="0.25">
      <c r="A288" s="131">
        <v>12</v>
      </c>
      <c r="B288" s="132"/>
      <c r="C288" s="39" t="s">
        <v>209</v>
      </c>
      <c r="D288" s="61">
        <f>(23.25)*10.764</f>
        <v>250.26299999999998</v>
      </c>
      <c r="E288" s="61">
        <v>0</v>
      </c>
      <c r="F288" s="39">
        <f t="shared" si="6"/>
        <v>400.42079999999999</v>
      </c>
      <c r="G288" s="131" t="str">
        <f>G287</f>
        <v xml:space="preserve"> Ground Floor For Commercial &amp; Entrance Lobby</v>
      </c>
      <c r="H288" s="132"/>
      <c r="I288" s="58"/>
      <c r="L288" s="130"/>
      <c r="M288" s="130"/>
      <c r="N288" s="58"/>
    </row>
    <row r="289" spans="1:14" s="2" customFormat="1" x14ac:dyDescent="0.25">
      <c r="A289" s="131">
        <v>13</v>
      </c>
      <c r="B289" s="132"/>
      <c r="C289" s="39" t="s">
        <v>209</v>
      </c>
      <c r="D289" s="61">
        <f>(23.25)*10.764</f>
        <v>250.26299999999998</v>
      </c>
      <c r="E289" s="61">
        <v>0</v>
      </c>
      <c r="F289" s="39">
        <f t="shared" si="6"/>
        <v>400.42079999999999</v>
      </c>
      <c r="G289" s="131" t="str">
        <f t="shared" si="7"/>
        <v xml:space="preserve"> Ground Floor For Commercial &amp; Entrance Lobby</v>
      </c>
      <c r="H289" s="132"/>
      <c r="I289" s="58"/>
      <c r="L289" s="130"/>
      <c r="M289" s="130"/>
      <c r="N289" s="58"/>
    </row>
    <row r="290" spans="1:14" s="2" customFormat="1" x14ac:dyDescent="0.25">
      <c r="A290" s="131">
        <v>14</v>
      </c>
      <c r="B290" s="132"/>
      <c r="C290" s="39" t="s">
        <v>209</v>
      </c>
      <c r="D290" s="61">
        <f>(23.25)*10.764</f>
        <v>250.26299999999998</v>
      </c>
      <c r="E290" s="61">
        <v>0</v>
      </c>
      <c r="F290" s="39">
        <f t="shared" si="6"/>
        <v>400.42079999999999</v>
      </c>
      <c r="G290" s="131" t="str">
        <f t="shared" si="7"/>
        <v xml:space="preserve"> Ground Floor For Commercial &amp; Entrance Lobby</v>
      </c>
      <c r="H290" s="132"/>
      <c r="I290" s="58"/>
      <c r="L290" s="130"/>
      <c r="M290" s="130"/>
      <c r="N290" s="58"/>
    </row>
    <row r="291" spans="1:14" s="2" customFormat="1" x14ac:dyDescent="0.25">
      <c r="A291" s="131">
        <v>15</v>
      </c>
      <c r="B291" s="132"/>
      <c r="C291" s="39" t="s">
        <v>209</v>
      </c>
      <c r="D291" s="61">
        <f>(47.998)*10.764</f>
        <v>516.65047199999992</v>
      </c>
      <c r="E291" s="61">
        <v>0</v>
      </c>
      <c r="F291" s="39">
        <f t="shared" si="6"/>
        <v>826.64075519999994</v>
      </c>
      <c r="G291" s="131" t="str">
        <f t="shared" si="7"/>
        <v xml:space="preserve"> Ground Floor For Commercial &amp; Entrance Lobby</v>
      </c>
      <c r="H291" s="132"/>
      <c r="I291" s="58"/>
      <c r="L291" s="130"/>
      <c r="M291" s="130"/>
      <c r="N291" s="58"/>
    </row>
    <row r="292" spans="1:14" s="2" customFormat="1" ht="15.75" customHeight="1" x14ac:dyDescent="0.25">
      <c r="A292" s="127" t="s">
        <v>231</v>
      </c>
      <c r="B292" s="128"/>
      <c r="C292" s="128"/>
      <c r="D292" s="128"/>
      <c r="E292" s="128"/>
      <c r="F292" s="128"/>
      <c r="G292" s="128"/>
      <c r="H292" s="129"/>
      <c r="J292" s="61">
        <v>10.763999999999999</v>
      </c>
    </row>
    <row r="293" spans="1:14" s="2" customFormat="1" x14ac:dyDescent="0.25">
      <c r="A293" s="131">
        <v>1</v>
      </c>
      <c r="B293" s="132"/>
      <c r="C293" s="39" t="s">
        <v>232</v>
      </c>
      <c r="D293" s="61">
        <f>(34.485)*10.764</f>
        <v>371.19653999999997</v>
      </c>
      <c r="E293" s="61">
        <v>0</v>
      </c>
      <c r="F293" s="39">
        <f t="shared" ref="F293:F306" si="8">(D293+E293)*(($F$201)+1)</f>
        <v>593.91446399999995</v>
      </c>
      <c r="G293" s="131" t="str">
        <f>A292</f>
        <v>1st &amp; 2nd Floor</v>
      </c>
      <c r="H293" s="132"/>
      <c r="I293" s="58"/>
      <c r="L293" s="130"/>
      <c r="M293" s="130"/>
      <c r="N293" s="58"/>
    </row>
    <row r="294" spans="1:14" s="2" customFormat="1" ht="15.75" customHeight="1" x14ac:dyDescent="0.25">
      <c r="A294" s="131">
        <v>2</v>
      </c>
      <c r="B294" s="132"/>
      <c r="C294" s="39" t="s">
        <v>232</v>
      </c>
      <c r="D294" s="61">
        <f>(16.98)*10.764</f>
        <v>182.77271999999999</v>
      </c>
      <c r="E294" s="61">
        <v>0</v>
      </c>
      <c r="F294" s="39">
        <f t="shared" si="8"/>
        <v>292.436352</v>
      </c>
      <c r="G294" s="131" t="str">
        <f t="shared" ref="G294:G306" si="9">G293</f>
        <v>1st &amp; 2nd Floor</v>
      </c>
      <c r="H294" s="132"/>
      <c r="I294" s="58"/>
      <c r="L294" s="130"/>
      <c r="M294" s="130"/>
      <c r="N294" s="58"/>
    </row>
    <row r="295" spans="1:14" s="2" customFormat="1" ht="15.75" customHeight="1" x14ac:dyDescent="0.25">
      <c r="A295" s="131">
        <v>3</v>
      </c>
      <c r="B295" s="132"/>
      <c r="C295" s="39" t="s">
        <v>232</v>
      </c>
      <c r="D295" s="61">
        <f t="shared" ref="D295:D305" si="10">(16.98)*10.764</f>
        <v>182.77271999999999</v>
      </c>
      <c r="E295" s="61">
        <v>0</v>
      </c>
      <c r="F295" s="39">
        <f t="shared" si="8"/>
        <v>292.436352</v>
      </c>
      <c r="G295" s="131" t="str">
        <f t="shared" si="9"/>
        <v>1st &amp; 2nd Floor</v>
      </c>
      <c r="H295" s="132"/>
      <c r="I295" s="58"/>
      <c r="L295" s="130"/>
      <c r="M295" s="130"/>
      <c r="N295" s="58"/>
    </row>
    <row r="296" spans="1:14" s="2" customFormat="1" ht="15.75" customHeight="1" x14ac:dyDescent="0.25">
      <c r="A296" s="131">
        <v>4</v>
      </c>
      <c r="B296" s="132"/>
      <c r="C296" s="39" t="s">
        <v>232</v>
      </c>
      <c r="D296" s="61">
        <f t="shared" si="10"/>
        <v>182.77271999999999</v>
      </c>
      <c r="E296" s="61">
        <v>0</v>
      </c>
      <c r="F296" s="39">
        <f t="shared" si="8"/>
        <v>292.436352</v>
      </c>
      <c r="G296" s="131" t="str">
        <f t="shared" si="9"/>
        <v>1st &amp; 2nd Floor</v>
      </c>
      <c r="H296" s="132"/>
      <c r="I296" s="58"/>
      <c r="L296" s="130"/>
      <c r="M296" s="130"/>
      <c r="N296" s="58"/>
    </row>
    <row r="297" spans="1:14" s="2" customFormat="1" x14ac:dyDescent="0.25">
      <c r="A297" s="131">
        <v>5</v>
      </c>
      <c r="B297" s="132"/>
      <c r="C297" s="39" t="s">
        <v>232</v>
      </c>
      <c r="D297" s="61">
        <f t="shared" si="10"/>
        <v>182.77271999999999</v>
      </c>
      <c r="E297" s="61">
        <v>0</v>
      </c>
      <c r="F297" s="39">
        <f t="shared" si="8"/>
        <v>292.436352</v>
      </c>
      <c r="G297" s="131" t="str">
        <f>G296</f>
        <v>1st &amp; 2nd Floor</v>
      </c>
      <c r="H297" s="132"/>
      <c r="I297" s="58"/>
      <c r="L297" s="130"/>
      <c r="M297" s="130"/>
      <c r="N297" s="58"/>
    </row>
    <row r="298" spans="1:14" s="2" customFormat="1" x14ac:dyDescent="0.25">
      <c r="A298" s="131">
        <v>6</v>
      </c>
      <c r="B298" s="132"/>
      <c r="C298" s="39" t="s">
        <v>232</v>
      </c>
      <c r="D298" s="61">
        <f t="shared" si="10"/>
        <v>182.77271999999999</v>
      </c>
      <c r="E298" s="61">
        <v>0</v>
      </c>
      <c r="F298" s="39">
        <f t="shared" si="8"/>
        <v>292.436352</v>
      </c>
      <c r="G298" s="131" t="str">
        <f t="shared" si="9"/>
        <v>1st &amp; 2nd Floor</v>
      </c>
      <c r="H298" s="132"/>
      <c r="I298" s="58"/>
      <c r="L298" s="130"/>
      <c r="M298" s="130"/>
      <c r="N298" s="58"/>
    </row>
    <row r="299" spans="1:14" s="2" customFormat="1" x14ac:dyDescent="0.25">
      <c r="A299" s="131">
        <v>7</v>
      </c>
      <c r="B299" s="132"/>
      <c r="C299" s="39" t="s">
        <v>232</v>
      </c>
      <c r="D299" s="61">
        <f>(34.622)*10.764</f>
        <v>372.67120799999998</v>
      </c>
      <c r="E299" s="61">
        <v>0</v>
      </c>
      <c r="F299" s="39">
        <f t="shared" si="8"/>
        <v>596.27393280000001</v>
      </c>
      <c r="G299" s="131" t="str">
        <f t="shared" si="9"/>
        <v>1st &amp; 2nd Floor</v>
      </c>
      <c r="H299" s="132"/>
      <c r="I299" s="58"/>
      <c r="L299" s="130"/>
      <c r="M299" s="130"/>
      <c r="N299" s="58"/>
    </row>
    <row r="300" spans="1:14" s="2" customFormat="1" x14ac:dyDescent="0.25">
      <c r="A300" s="131">
        <v>8</v>
      </c>
      <c r="B300" s="132"/>
      <c r="C300" s="39" t="s">
        <v>232</v>
      </c>
      <c r="D300" s="61">
        <f t="shared" si="10"/>
        <v>182.77271999999999</v>
      </c>
      <c r="E300" s="61">
        <v>0</v>
      </c>
      <c r="F300" s="39">
        <f t="shared" si="8"/>
        <v>292.436352</v>
      </c>
      <c r="G300" s="131" t="str">
        <f t="shared" si="9"/>
        <v>1st &amp; 2nd Floor</v>
      </c>
      <c r="H300" s="132"/>
      <c r="I300" s="58"/>
      <c r="L300" s="130"/>
      <c r="M300" s="130"/>
      <c r="N300" s="58"/>
    </row>
    <row r="301" spans="1:14" s="2" customFormat="1" ht="15.75" customHeight="1" x14ac:dyDescent="0.25">
      <c r="A301" s="131">
        <v>9</v>
      </c>
      <c r="B301" s="132"/>
      <c r="C301" s="39" t="s">
        <v>232</v>
      </c>
      <c r="D301" s="61">
        <f t="shared" si="10"/>
        <v>182.77271999999999</v>
      </c>
      <c r="E301" s="61">
        <v>0</v>
      </c>
      <c r="F301" s="39">
        <f t="shared" si="8"/>
        <v>292.436352</v>
      </c>
      <c r="G301" s="131" t="str">
        <f t="shared" si="9"/>
        <v>1st &amp; 2nd Floor</v>
      </c>
      <c r="H301" s="132"/>
      <c r="I301" s="58"/>
      <c r="L301" s="130"/>
      <c r="M301" s="130"/>
      <c r="N301" s="58"/>
    </row>
    <row r="302" spans="1:14" s="2" customFormat="1" ht="15.75" customHeight="1" x14ac:dyDescent="0.25">
      <c r="A302" s="131">
        <v>10</v>
      </c>
      <c r="B302" s="132"/>
      <c r="C302" s="39" t="s">
        <v>232</v>
      </c>
      <c r="D302" s="61">
        <f t="shared" si="10"/>
        <v>182.77271999999999</v>
      </c>
      <c r="E302" s="61">
        <v>0</v>
      </c>
      <c r="F302" s="39">
        <f t="shared" si="8"/>
        <v>292.436352</v>
      </c>
      <c r="G302" s="131" t="str">
        <f t="shared" si="9"/>
        <v>1st &amp; 2nd Floor</v>
      </c>
      <c r="H302" s="132"/>
      <c r="I302" s="58"/>
      <c r="L302" s="130"/>
      <c r="M302" s="130"/>
      <c r="N302" s="58"/>
    </row>
    <row r="303" spans="1:14" s="2" customFormat="1" ht="15.75" customHeight="1" x14ac:dyDescent="0.25">
      <c r="A303" s="131">
        <v>11</v>
      </c>
      <c r="B303" s="132"/>
      <c r="C303" s="39" t="s">
        <v>232</v>
      </c>
      <c r="D303" s="61">
        <f t="shared" si="10"/>
        <v>182.77271999999999</v>
      </c>
      <c r="E303" s="61">
        <v>0</v>
      </c>
      <c r="F303" s="39">
        <f t="shared" si="8"/>
        <v>292.436352</v>
      </c>
      <c r="G303" s="131" t="str">
        <f t="shared" si="9"/>
        <v>1st &amp; 2nd Floor</v>
      </c>
      <c r="H303" s="132"/>
      <c r="I303" s="58"/>
      <c r="L303" s="130"/>
      <c r="M303" s="130"/>
      <c r="N303" s="58"/>
    </row>
    <row r="304" spans="1:14" s="2" customFormat="1" x14ac:dyDescent="0.25">
      <c r="A304" s="131">
        <v>12</v>
      </c>
      <c r="B304" s="132"/>
      <c r="C304" s="39" t="s">
        <v>232</v>
      </c>
      <c r="D304" s="61">
        <f t="shared" si="10"/>
        <v>182.77271999999999</v>
      </c>
      <c r="E304" s="61">
        <v>0</v>
      </c>
      <c r="F304" s="39">
        <f t="shared" si="8"/>
        <v>292.436352</v>
      </c>
      <c r="G304" s="131" t="str">
        <f>G303</f>
        <v>1st &amp; 2nd Floor</v>
      </c>
      <c r="H304" s="132"/>
      <c r="I304" s="58"/>
      <c r="L304" s="130"/>
      <c r="M304" s="130"/>
      <c r="N304" s="58"/>
    </row>
    <row r="305" spans="1:14" s="2" customFormat="1" x14ac:dyDescent="0.25">
      <c r="A305" s="131">
        <v>13</v>
      </c>
      <c r="B305" s="132"/>
      <c r="C305" s="39" t="s">
        <v>232</v>
      </c>
      <c r="D305" s="61">
        <f t="shared" si="10"/>
        <v>182.77271999999999</v>
      </c>
      <c r="E305" s="61">
        <v>0</v>
      </c>
      <c r="F305" s="39">
        <f t="shared" si="8"/>
        <v>292.436352</v>
      </c>
      <c r="G305" s="131" t="str">
        <f t="shared" si="9"/>
        <v>1st &amp; 2nd Floor</v>
      </c>
      <c r="H305" s="132"/>
      <c r="I305" s="58"/>
      <c r="L305" s="130"/>
      <c r="M305" s="130"/>
      <c r="N305" s="58"/>
    </row>
    <row r="306" spans="1:14" s="2" customFormat="1" x14ac:dyDescent="0.25">
      <c r="A306" s="131">
        <v>14</v>
      </c>
      <c r="B306" s="132"/>
      <c r="C306" s="39" t="s">
        <v>232</v>
      </c>
      <c r="D306" s="61">
        <f>(39.595)*10.764</f>
        <v>426.20057999999995</v>
      </c>
      <c r="E306" s="61">
        <v>0</v>
      </c>
      <c r="F306" s="39">
        <f t="shared" si="8"/>
        <v>681.920928</v>
      </c>
      <c r="G306" s="131" t="str">
        <f t="shared" si="9"/>
        <v>1st &amp; 2nd Floor</v>
      </c>
      <c r="H306" s="132"/>
      <c r="I306" s="58"/>
      <c r="L306" s="130"/>
      <c r="M306" s="130"/>
      <c r="N306" s="58"/>
    </row>
    <row r="307" spans="1:14" s="2" customFormat="1" x14ac:dyDescent="0.25">
      <c r="A307" s="131"/>
      <c r="B307" s="134"/>
      <c r="C307" s="134"/>
      <c r="D307" s="134"/>
      <c r="E307" s="134"/>
      <c r="F307" s="134"/>
      <c r="G307" s="134"/>
      <c r="H307" s="132"/>
      <c r="I307" s="58"/>
      <c r="N307" s="58"/>
    </row>
    <row r="308" spans="1:14" s="9" customFormat="1" x14ac:dyDescent="0.25">
      <c r="A308" s="138" t="s">
        <v>64</v>
      </c>
      <c r="B308" s="138"/>
      <c r="C308" s="138"/>
      <c r="D308" s="138"/>
      <c r="E308" s="138"/>
      <c r="F308" s="138"/>
      <c r="G308" s="138"/>
      <c r="H308" s="138"/>
    </row>
    <row r="309" spans="1:14" x14ac:dyDescent="0.25">
      <c r="A309" s="138" t="s">
        <v>65</v>
      </c>
      <c r="B309" s="138"/>
      <c r="C309" s="138"/>
      <c r="D309" s="138"/>
      <c r="E309" s="138"/>
      <c r="F309" s="138"/>
      <c r="G309" s="138"/>
      <c r="H309" s="138"/>
    </row>
    <row r="310" spans="1:14" ht="63" customHeight="1" x14ac:dyDescent="0.25">
      <c r="A310" s="189" t="s">
        <v>112</v>
      </c>
      <c r="B310" s="189"/>
      <c r="C310" s="42" t="s">
        <v>66</v>
      </c>
      <c r="D310" s="42" t="s">
        <v>67</v>
      </c>
      <c r="E310" s="16" t="s">
        <v>68</v>
      </c>
      <c r="F310" s="42" t="s">
        <v>238</v>
      </c>
      <c r="G310" s="189" t="s">
        <v>69</v>
      </c>
      <c r="H310" s="189"/>
    </row>
    <row r="311" spans="1:14" s="2" customFormat="1" x14ac:dyDescent="0.25">
      <c r="A311" s="119" t="s">
        <v>247</v>
      </c>
      <c r="B311" s="119"/>
      <c r="C311" s="119"/>
      <c r="D311" s="119"/>
      <c r="E311" s="119"/>
      <c r="F311" s="119"/>
      <c r="G311" s="119"/>
      <c r="H311" s="119"/>
    </row>
    <row r="312" spans="1:14" s="2" customFormat="1" x14ac:dyDescent="0.25">
      <c r="A312" s="119" t="s">
        <v>164</v>
      </c>
      <c r="B312" s="119"/>
      <c r="C312" s="119"/>
      <c r="D312" s="119"/>
      <c r="E312" s="119"/>
      <c r="F312" s="119"/>
      <c r="G312" s="119"/>
      <c r="H312" s="119"/>
    </row>
    <row r="313" spans="1:14" s="2" customFormat="1" x14ac:dyDescent="0.25">
      <c r="A313" s="119" t="s">
        <v>165</v>
      </c>
      <c r="B313" s="119"/>
      <c r="C313" s="119"/>
      <c r="D313" s="119"/>
      <c r="E313" s="119"/>
      <c r="F313" s="119"/>
      <c r="G313" s="119"/>
      <c r="H313" s="119"/>
      <c r="K313" s="61">
        <v>10.763999999999999</v>
      </c>
    </row>
    <row r="314" spans="1:14" s="2" customFormat="1" x14ac:dyDescent="0.25">
      <c r="A314" s="119" t="s">
        <v>236</v>
      </c>
      <c r="B314" s="119"/>
      <c r="C314" s="119"/>
      <c r="D314" s="119"/>
      <c r="E314" s="119"/>
      <c r="F314" s="119"/>
      <c r="G314" s="119"/>
      <c r="H314" s="119"/>
    </row>
    <row r="315" spans="1:14" s="2" customFormat="1" x14ac:dyDescent="0.25">
      <c r="A315" s="120">
        <v>1</v>
      </c>
      <c r="B315" s="120"/>
      <c r="C315" s="39" t="s">
        <v>167</v>
      </c>
      <c r="D315" s="61">
        <f>(44.367+8.275+6.202)*10.764</f>
        <v>633.39681599999994</v>
      </c>
      <c r="E315" s="39">
        <v>0</v>
      </c>
      <c r="F315" s="39">
        <f>D315*1.5+E315</f>
        <v>950.09522399999992</v>
      </c>
      <c r="G315" s="121" t="str">
        <f>A314</f>
        <v>1st to 7th &amp; 9th to 12th Floor for Residential</v>
      </c>
      <c r="H315" s="122"/>
      <c r="I315" s="45">
        <f t="shared" ref="I315:I321" si="11">F315/D315</f>
        <v>1.5</v>
      </c>
      <c r="J315" s="2">
        <f>F315*3600+400000+15000+3*F315*24</f>
        <v>3903749.6625279998</v>
      </c>
      <c r="K315" s="2">
        <f>8.275+44.367+6.202</f>
        <v>58.843999999999994</v>
      </c>
      <c r="L315" s="58">
        <f>10.764*K315</f>
        <v>633.39681599999994</v>
      </c>
      <c r="N315" s="2">
        <f>3353500/F315</f>
        <v>3529.6462031262672</v>
      </c>
    </row>
    <row r="316" spans="1:14" s="2" customFormat="1" x14ac:dyDescent="0.25">
      <c r="A316" s="120">
        <v>2</v>
      </c>
      <c r="B316" s="120"/>
      <c r="C316" s="39" t="s">
        <v>167</v>
      </c>
      <c r="D316" s="61">
        <f>(43.686+11.6+8.697)*10.764</f>
        <v>688.71301200000005</v>
      </c>
      <c r="E316" s="39">
        <v>0</v>
      </c>
      <c r="F316" s="39">
        <f t="shared" ref="F316:F321" si="12">D316*1.5+E316</f>
        <v>1033.069518</v>
      </c>
      <c r="G316" s="123"/>
      <c r="H316" s="124"/>
      <c r="I316" s="45">
        <f t="shared" si="11"/>
        <v>1.5</v>
      </c>
      <c r="J316" s="2">
        <f t="shared" ref="J316:J321" si="13">F316*3600+400000+15000+3*F316*24</f>
        <v>4208431.2700960003</v>
      </c>
      <c r="K316" s="2">
        <f>43.686+11.6+8.697</f>
        <v>63.983000000000004</v>
      </c>
      <c r="L316" s="58">
        <f t="shared" ref="L316:L319" si="14">10.764*K316</f>
        <v>688.71301200000005</v>
      </c>
    </row>
    <row r="317" spans="1:14" s="2" customFormat="1" x14ac:dyDescent="0.25">
      <c r="A317" s="120">
        <v>3</v>
      </c>
      <c r="B317" s="120"/>
      <c r="C317" s="39" t="s">
        <v>167</v>
      </c>
      <c r="D317" s="61">
        <f>(51.687+6.025+4.74)*10.764</f>
        <v>672.23332799999991</v>
      </c>
      <c r="E317" s="39">
        <v>0</v>
      </c>
      <c r="F317" s="39">
        <f t="shared" si="12"/>
        <v>1008.3499919999999</v>
      </c>
      <c r="G317" s="123"/>
      <c r="H317" s="124"/>
      <c r="I317" s="45">
        <f t="shared" si="11"/>
        <v>1.5</v>
      </c>
      <c r="J317" s="2">
        <f t="shared" si="13"/>
        <v>4117661.1706239996</v>
      </c>
      <c r="K317" s="2">
        <f>51.687+6.025+4.7</f>
        <v>62.411999999999999</v>
      </c>
      <c r="L317" s="58">
        <f t="shared" si="14"/>
        <v>671.8027679999999</v>
      </c>
      <c r="N317" s="58">
        <f>4335000/F317</f>
        <v>4299.102528281669</v>
      </c>
    </row>
    <row r="318" spans="1:14" s="2" customFormat="1" x14ac:dyDescent="0.25">
      <c r="A318" s="120">
        <v>4</v>
      </c>
      <c r="B318" s="120"/>
      <c r="C318" s="39" t="s">
        <v>167</v>
      </c>
      <c r="D318" s="61">
        <f>(51.687+6.025+4.74)*10.764</f>
        <v>672.23332799999991</v>
      </c>
      <c r="E318" s="39">
        <v>0</v>
      </c>
      <c r="F318" s="39">
        <f t="shared" si="12"/>
        <v>1008.3499919999999</v>
      </c>
      <c r="G318" s="123"/>
      <c r="H318" s="124"/>
      <c r="I318" s="45">
        <f t="shared" si="11"/>
        <v>1.5</v>
      </c>
      <c r="J318" s="2">
        <f t="shared" si="13"/>
        <v>4117661.1706239996</v>
      </c>
      <c r="K318" s="2">
        <f>51.687+6.025+4.7</f>
        <v>62.411999999999999</v>
      </c>
      <c r="L318" s="58">
        <f t="shared" si="14"/>
        <v>671.8027679999999</v>
      </c>
      <c r="N318" s="58">
        <f>2350000/F320</f>
        <v>2447.0709283654369</v>
      </c>
    </row>
    <row r="319" spans="1:14" s="2" customFormat="1" x14ac:dyDescent="0.25">
      <c r="A319" s="120">
        <v>5</v>
      </c>
      <c r="B319" s="120"/>
      <c r="C319" s="39" t="s">
        <v>167</v>
      </c>
      <c r="D319" s="61">
        <f>(44.743+8.775+6.583)*10.764</f>
        <v>646.92716399999995</v>
      </c>
      <c r="E319" s="39">
        <v>0</v>
      </c>
      <c r="F319" s="39">
        <f t="shared" si="12"/>
        <v>970.39074599999992</v>
      </c>
      <c r="G319" s="123"/>
      <c r="H319" s="124"/>
      <c r="I319" s="45">
        <f t="shared" si="11"/>
        <v>1.5</v>
      </c>
      <c r="J319" s="2">
        <f t="shared" si="13"/>
        <v>3978274.8193119997</v>
      </c>
      <c r="K319" s="2">
        <f>44.743+8.775+6.583</f>
        <v>60.100999999999999</v>
      </c>
      <c r="L319" s="58">
        <f t="shared" si="14"/>
        <v>646.92716399999995</v>
      </c>
    </row>
    <row r="320" spans="1:14" s="2" customFormat="1" x14ac:dyDescent="0.25">
      <c r="A320" s="120">
        <v>6</v>
      </c>
      <c r="B320" s="120"/>
      <c r="C320" s="39" t="s">
        <v>167</v>
      </c>
      <c r="D320" s="61">
        <f>(39.792+11.25+8.436)*10.764</f>
        <v>640.22119199999997</v>
      </c>
      <c r="E320" s="39">
        <v>0</v>
      </c>
      <c r="F320" s="39">
        <f t="shared" si="12"/>
        <v>960.33178799999996</v>
      </c>
      <c r="G320" s="123"/>
      <c r="H320" s="124"/>
      <c r="I320" s="45">
        <f t="shared" si="11"/>
        <v>1.5</v>
      </c>
      <c r="J320" s="2">
        <f t="shared" si="13"/>
        <v>3941338.3255359996</v>
      </c>
    </row>
    <row r="321" spans="1:12" s="2" customFormat="1" x14ac:dyDescent="0.25">
      <c r="A321" s="120">
        <v>7</v>
      </c>
      <c r="B321" s="120"/>
      <c r="C321" s="39" t="s">
        <v>167</v>
      </c>
      <c r="D321" s="61">
        <f>(44.341+8.35+6.263)*10.764</f>
        <v>634.58085599999993</v>
      </c>
      <c r="E321" s="39">
        <v>0</v>
      </c>
      <c r="F321" s="39">
        <f t="shared" si="12"/>
        <v>951.87128399999983</v>
      </c>
      <c r="G321" s="125"/>
      <c r="H321" s="126"/>
      <c r="I321" s="45">
        <f t="shared" si="11"/>
        <v>1.5</v>
      </c>
      <c r="J321" s="2">
        <f t="shared" si="13"/>
        <v>3910271.3548479993</v>
      </c>
    </row>
    <row r="322" spans="1:12" s="2" customFormat="1" x14ac:dyDescent="0.25">
      <c r="A322" s="119" t="s">
        <v>237</v>
      </c>
      <c r="B322" s="119"/>
      <c r="C322" s="119"/>
      <c r="D322" s="119"/>
      <c r="E322" s="119"/>
      <c r="F322" s="119"/>
      <c r="G322" s="119"/>
      <c r="H322" s="119"/>
      <c r="I322"/>
    </row>
    <row r="323" spans="1:12" s="2" customFormat="1" x14ac:dyDescent="0.25">
      <c r="A323" s="120">
        <v>801</v>
      </c>
      <c r="B323" s="120"/>
      <c r="C323" s="39" t="s">
        <v>168</v>
      </c>
      <c r="D323" s="61">
        <f>(33.54+5.375+4.029)*10.764</f>
        <v>462.24921599999999</v>
      </c>
      <c r="E323" s="39">
        <v>0</v>
      </c>
      <c r="F323" s="39">
        <f t="shared" ref="F323:F329" si="15">D323*1.5+E323</f>
        <v>693.37382400000001</v>
      </c>
      <c r="G323" s="121" t="str">
        <f>A322</f>
        <v>8th Floor (Part Refuge Area)</v>
      </c>
      <c r="H323" s="122"/>
      <c r="I323" s="45">
        <f t="shared" ref="I323:I329" si="16">F323/D323</f>
        <v>1.5</v>
      </c>
      <c r="L323" s="2">
        <f>4000*F323</f>
        <v>2773495.2960000001</v>
      </c>
    </row>
    <row r="324" spans="1:12" s="2" customFormat="1" x14ac:dyDescent="0.25">
      <c r="A324" s="120">
        <v>802</v>
      </c>
      <c r="B324" s="120"/>
      <c r="C324" s="39" t="s">
        <v>167</v>
      </c>
      <c r="D324" s="61">
        <f>(43.686+11.6+8.697)*10.764</f>
        <v>688.71301200000005</v>
      </c>
      <c r="E324" s="39">
        <v>0</v>
      </c>
      <c r="F324" s="39">
        <f t="shared" si="15"/>
        <v>1033.069518</v>
      </c>
      <c r="G324" s="123"/>
      <c r="H324" s="124"/>
      <c r="I324" s="45">
        <f t="shared" si="16"/>
        <v>1.5</v>
      </c>
      <c r="L324" s="58">
        <f>4000*F324</f>
        <v>4132278.0720000002</v>
      </c>
    </row>
    <row r="325" spans="1:12" s="2" customFormat="1" x14ac:dyDescent="0.25">
      <c r="A325" s="120">
        <v>803</v>
      </c>
      <c r="B325" s="120"/>
      <c r="C325" s="39" t="s">
        <v>167</v>
      </c>
      <c r="D325" s="61">
        <f>(51.687+6.025+4.74)*10.764</f>
        <v>672.23332799999991</v>
      </c>
      <c r="E325" s="39">
        <v>0</v>
      </c>
      <c r="F325" s="39">
        <f t="shared" si="15"/>
        <v>1008.3499919999999</v>
      </c>
      <c r="G325" s="123"/>
      <c r="H325" s="124"/>
      <c r="I325" s="45">
        <f t="shared" si="16"/>
        <v>1.5</v>
      </c>
    </row>
    <row r="326" spans="1:12" s="2" customFormat="1" x14ac:dyDescent="0.25">
      <c r="A326" s="120">
        <v>804</v>
      </c>
      <c r="B326" s="120"/>
      <c r="C326" s="39" t="s">
        <v>167</v>
      </c>
      <c r="D326" s="61">
        <f>(51.687+6.025+4.74)*10.764</f>
        <v>672.23332799999991</v>
      </c>
      <c r="E326" s="39">
        <v>0</v>
      </c>
      <c r="F326" s="39">
        <f t="shared" si="15"/>
        <v>1008.3499919999999</v>
      </c>
      <c r="G326" s="123"/>
      <c r="H326" s="124"/>
      <c r="I326" s="45">
        <f t="shared" si="16"/>
        <v>1.5</v>
      </c>
    </row>
    <row r="327" spans="1:12" s="2" customFormat="1" x14ac:dyDescent="0.25">
      <c r="A327" s="120">
        <v>805</v>
      </c>
      <c r="B327" s="120"/>
      <c r="C327" s="39" t="s">
        <v>167</v>
      </c>
      <c r="D327" s="61">
        <f>(44.743+8.775+6.583)*10.764</f>
        <v>646.92716399999995</v>
      </c>
      <c r="E327" s="39">
        <v>0</v>
      </c>
      <c r="F327" s="39">
        <f t="shared" si="15"/>
        <v>970.39074599999992</v>
      </c>
      <c r="G327" s="123"/>
      <c r="H327" s="124"/>
      <c r="I327" s="45">
        <f t="shared" si="16"/>
        <v>1.5</v>
      </c>
    </row>
    <row r="328" spans="1:12" s="2" customFormat="1" x14ac:dyDescent="0.25">
      <c r="A328" s="120">
        <v>806</v>
      </c>
      <c r="B328" s="120"/>
      <c r="C328" s="39" t="s">
        <v>167</v>
      </c>
      <c r="D328" s="61">
        <f>(39.792+11.25+8.436)*10.764</f>
        <v>640.22119199999997</v>
      </c>
      <c r="E328" s="39">
        <v>0</v>
      </c>
      <c r="F328" s="39">
        <f t="shared" si="15"/>
        <v>960.33178799999996</v>
      </c>
      <c r="G328" s="123"/>
      <c r="H328" s="124"/>
      <c r="I328" s="45">
        <f t="shared" si="16"/>
        <v>1.5</v>
      </c>
    </row>
    <row r="329" spans="1:12" s="2" customFormat="1" x14ac:dyDescent="0.25">
      <c r="A329" s="120">
        <v>807</v>
      </c>
      <c r="B329" s="120"/>
      <c r="C329" s="39" t="s">
        <v>167</v>
      </c>
      <c r="D329" s="61">
        <f>(44.341+8.35+6.263)*10.764</f>
        <v>634.58085599999993</v>
      </c>
      <c r="E329" s="39">
        <v>0</v>
      </c>
      <c r="F329" s="39">
        <f t="shared" si="15"/>
        <v>951.87128399999983</v>
      </c>
      <c r="G329" s="125"/>
      <c r="H329" s="126"/>
      <c r="I329" s="45">
        <f t="shared" si="16"/>
        <v>1.5</v>
      </c>
    </row>
    <row r="330" spans="1:12" s="2" customFormat="1" x14ac:dyDescent="0.25">
      <c r="A330" s="119" t="s">
        <v>169</v>
      </c>
      <c r="B330" s="119"/>
      <c r="C330" s="119"/>
      <c r="D330" s="119"/>
      <c r="E330" s="119"/>
      <c r="F330" s="119"/>
      <c r="G330" s="119"/>
      <c r="H330" s="119"/>
      <c r="I330"/>
    </row>
    <row r="331" spans="1:12" s="2" customFormat="1" x14ac:dyDescent="0.25">
      <c r="A331" s="119" t="s">
        <v>170</v>
      </c>
      <c r="B331" s="119"/>
      <c r="C331" s="119"/>
      <c r="D331" s="119"/>
      <c r="E331" s="119"/>
      <c r="F331" s="119"/>
      <c r="G331" s="119"/>
      <c r="H331" s="119"/>
      <c r="I331"/>
    </row>
    <row r="332" spans="1:12" s="2" customFormat="1" ht="15.75" customHeight="1" x14ac:dyDescent="0.25">
      <c r="A332" s="119" t="s">
        <v>236</v>
      </c>
      <c r="B332" s="119"/>
      <c r="C332" s="119"/>
      <c r="D332" s="119"/>
      <c r="E332" s="119"/>
      <c r="F332" s="119"/>
      <c r="G332" s="119"/>
      <c r="H332" s="119"/>
      <c r="I332"/>
      <c r="L332" s="61">
        <v>10.763999999999999</v>
      </c>
    </row>
    <row r="333" spans="1:12" s="2" customFormat="1" x14ac:dyDescent="0.25">
      <c r="A333" s="120">
        <v>101</v>
      </c>
      <c r="B333" s="120"/>
      <c r="C333" s="39" t="s">
        <v>168</v>
      </c>
      <c r="D333" s="61">
        <f>(30.272+8.451+6.455)*10.764</f>
        <v>486.29599199999996</v>
      </c>
      <c r="E333" s="39">
        <v>0</v>
      </c>
      <c r="F333" s="39">
        <f t="shared" ref="F333:F345" si="17">D333*1.5+E333</f>
        <v>729.44398799999999</v>
      </c>
      <c r="G333" s="121" t="str">
        <f>A332</f>
        <v>1st to 7th &amp; 9th to 12th Floor for Residential</v>
      </c>
      <c r="H333" s="122"/>
      <c r="I333" s="45">
        <f t="shared" ref="I333:I345" si="18">F333/D333</f>
        <v>1.5000000000000002</v>
      </c>
    </row>
    <row r="334" spans="1:12" s="2" customFormat="1" ht="16.5" customHeight="1" x14ac:dyDescent="0.25">
      <c r="A334" s="120">
        <v>102</v>
      </c>
      <c r="B334" s="120"/>
      <c r="C334" s="39" t="s">
        <v>168</v>
      </c>
      <c r="D334" s="61">
        <f>(34.556+5.625+4.219)*10.764</f>
        <v>477.92159999999996</v>
      </c>
      <c r="E334" s="39">
        <v>0</v>
      </c>
      <c r="F334" s="39">
        <f t="shared" si="17"/>
        <v>716.88239999999996</v>
      </c>
      <c r="G334" s="123"/>
      <c r="H334" s="124"/>
      <c r="I334" s="45">
        <f t="shared" si="18"/>
        <v>1.5</v>
      </c>
    </row>
    <row r="335" spans="1:12" s="2" customFormat="1" x14ac:dyDescent="0.25">
      <c r="A335" s="120">
        <v>103</v>
      </c>
      <c r="B335" s="120"/>
      <c r="C335" s="39" t="s">
        <v>167</v>
      </c>
      <c r="D335" s="61">
        <f>(51.688+6.025+4.74)*10.764</f>
        <v>672.24409200000002</v>
      </c>
      <c r="E335" s="39">
        <v>0</v>
      </c>
      <c r="F335" s="39">
        <f t="shared" si="17"/>
        <v>1008.3661380000001</v>
      </c>
      <c r="G335" s="123"/>
      <c r="H335" s="124"/>
      <c r="I335" s="45">
        <f t="shared" si="18"/>
        <v>1.5</v>
      </c>
      <c r="L335" s="2">
        <f>4335000/F335</f>
        <v>4299.0336908754862</v>
      </c>
    </row>
    <row r="336" spans="1:12" s="2" customFormat="1" x14ac:dyDescent="0.25">
      <c r="A336" s="120">
        <v>104</v>
      </c>
      <c r="B336" s="120"/>
      <c r="C336" s="39" t="s">
        <v>167</v>
      </c>
      <c r="D336" s="61">
        <f>(51.688+6.025+4.74)*10.764</f>
        <v>672.24409200000002</v>
      </c>
      <c r="E336" s="39">
        <v>0</v>
      </c>
      <c r="F336" s="39">
        <f t="shared" si="17"/>
        <v>1008.3661380000001</v>
      </c>
      <c r="G336" s="123"/>
      <c r="H336" s="124"/>
      <c r="I336" s="45">
        <f t="shared" si="18"/>
        <v>1.5</v>
      </c>
    </row>
    <row r="337" spans="1:14" s="2" customFormat="1" x14ac:dyDescent="0.25">
      <c r="A337" s="120">
        <v>105</v>
      </c>
      <c r="B337" s="120"/>
      <c r="C337" s="39" t="s">
        <v>168</v>
      </c>
      <c r="D337" s="61">
        <f>(29.912+8.45+6.338)*10.764</f>
        <v>481.15079999999995</v>
      </c>
      <c r="E337" s="39">
        <v>0</v>
      </c>
      <c r="F337" s="39">
        <f t="shared" si="17"/>
        <v>721.72619999999995</v>
      </c>
      <c r="G337" s="123"/>
      <c r="H337" s="124"/>
      <c r="I337" s="45">
        <f t="shared" si="18"/>
        <v>1.5</v>
      </c>
    </row>
    <row r="338" spans="1:14" s="2" customFormat="1" x14ac:dyDescent="0.25">
      <c r="A338" s="120">
        <v>106</v>
      </c>
      <c r="B338" s="120"/>
      <c r="C338" s="39" t="s">
        <v>168</v>
      </c>
      <c r="D338" s="61">
        <f>(29.912+8.525+6.338)*10.764</f>
        <v>481.95809999999994</v>
      </c>
      <c r="E338" s="39">
        <v>0</v>
      </c>
      <c r="F338" s="39">
        <f t="shared" si="17"/>
        <v>722.93714999999997</v>
      </c>
      <c r="G338" s="123"/>
      <c r="H338" s="124"/>
      <c r="I338" s="45">
        <f t="shared" si="18"/>
        <v>1.5000000000000002</v>
      </c>
    </row>
    <row r="339" spans="1:14" s="2" customFormat="1" x14ac:dyDescent="0.25">
      <c r="A339" s="120">
        <v>107</v>
      </c>
      <c r="B339" s="120"/>
      <c r="C339" s="39" t="s">
        <v>168</v>
      </c>
      <c r="D339" s="61">
        <f>(33.095+5.625+4.219)*10.764</f>
        <v>462.19539599999996</v>
      </c>
      <c r="E339" s="39">
        <v>0</v>
      </c>
      <c r="F339" s="39">
        <f t="shared" si="17"/>
        <v>693.29309399999988</v>
      </c>
      <c r="G339" s="123"/>
      <c r="H339" s="124"/>
      <c r="I339" s="45">
        <f t="shared" si="18"/>
        <v>1.4999999999999998</v>
      </c>
    </row>
    <row r="340" spans="1:14" s="2" customFormat="1" x14ac:dyDescent="0.25">
      <c r="A340" s="120">
        <v>108</v>
      </c>
      <c r="B340" s="120"/>
      <c r="C340" s="39" t="s">
        <v>167</v>
      </c>
      <c r="D340" s="61">
        <f>(53.833+8.125+6.318)*10.764</f>
        <v>734.92286399999989</v>
      </c>
      <c r="E340" s="39">
        <v>0</v>
      </c>
      <c r="F340" s="39">
        <f t="shared" si="17"/>
        <v>1102.3842959999997</v>
      </c>
      <c r="G340" s="123"/>
      <c r="H340" s="124"/>
      <c r="I340" s="45">
        <f t="shared" si="18"/>
        <v>1.4999999999999998</v>
      </c>
    </row>
    <row r="341" spans="1:14" s="2" customFormat="1" x14ac:dyDescent="0.25">
      <c r="A341" s="120">
        <v>109</v>
      </c>
      <c r="B341" s="120"/>
      <c r="C341" s="39" t="s">
        <v>168</v>
      </c>
      <c r="D341" s="61">
        <f>(29.494+8.45+6.451)*10.764</f>
        <v>477.86777999999998</v>
      </c>
      <c r="E341" s="39">
        <v>0</v>
      </c>
      <c r="F341" s="39">
        <f t="shared" si="17"/>
        <v>716.80166999999994</v>
      </c>
      <c r="G341" s="123"/>
      <c r="H341" s="124"/>
      <c r="I341" s="45">
        <f t="shared" si="18"/>
        <v>1.5</v>
      </c>
    </row>
    <row r="342" spans="1:14" s="2" customFormat="1" x14ac:dyDescent="0.25">
      <c r="A342" s="120">
        <v>110</v>
      </c>
      <c r="B342" s="120"/>
      <c r="C342" s="39" t="s">
        <v>168</v>
      </c>
      <c r="D342" s="61">
        <f>(33.096+5.7+4.275)*10.764</f>
        <v>463.61624399999994</v>
      </c>
      <c r="E342" s="39">
        <v>0</v>
      </c>
      <c r="F342" s="39">
        <f t="shared" si="17"/>
        <v>695.42436599999996</v>
      </c>
      <c r="G342" s="123"/>
      <c r="H342" s="124"/>
      <c r="I342" s="45">
        <f t="shared" si="18"/>
        <v>1.5000000000000002</v>
      </c>
    </row>
    <row r="343" spans="1:14" s="2" customFormat="1" x14ac:dyDescent="0.25">
      <c r="A343" s="120">
        <v>111</v>
      </c>
      <c r="B343" s="120"/>
      <c r="C343" s="39" t="s">
        <v>168</v>
      </c>
      <c r="D343" s="61">
        <f>(33.692+5.4+4.087)*10.764</f>
        <v>464.77875599999999</v>
      </c>
      <c r="E343" s="39">
        <v>0</v>
      </c>
      <c r="F343" s="39">
        <f t="shared" si="17"/>
        <v>697.16813400000001</v>
      </c>
      <c r="G343" s="123"/>
      <c r="H343" s="124"/>
      <c r="I343" s="45">
        <f t="shared" si="18"/>
        <v>1.5</v>
      </c>
    </row>
    <row r="344" spans="1:14" s="2" customFormat="1" x14ac:dyDescent="0.25">
      <c r="A344" s="120">
        <v>112</v>
      </c>
      <c r="B344" s="120"/>
      <c r="C344" s="39" t="s">
        <v>168</v>
      </c>
      <c r="D344" s="61">
        <f>(27.878+8.35+6.28)*10.764</f>
        <v>457.55611199999998</v>
      </c>
      <c r="E344" s="39">
        <v>0</v>
      </c>
      <c r="F344" s="39">
        <f t="shared" si="17"/>
        <v>686.33416799999998</v>
      </c>
      <c r="G344" s="123"/>
      <c r="H344" s="124"/>
      <c r="I344" s="45">
        <f t="shared" si="18"/>
        <v>1.5</v>
      </c>
    </row>
    <row r="345" spans="1:14" s="2" customFormat="1" x14ac:dyDescent="0.25">
      <c r="A345" s="120">
        <v>113</v>
      </c>
      <c r="B345" s="120"/>
      <c r="C345" s="39" t="s">
        <v>168</v>
      </c>
      <c r="D345" s="61">
        <f>(32.063+5.45+4.085)*10.764</f>
        <v>447.76087200000006</v>
      </c>
      <c r="E345" s="39">
        <v>0</v>
      </c>
      <c r="F345" s="39">
        <f t="shared" si="17"/>
        <v>671.64130800000009</v>
      </c>
      <c r="G345" s="125"/>
      <c r="H345" s="126"/>
      <c r="I345" s="45">
        <f t="shared" si="18"/>
        <v>1.5</v>
      </c>
    </row>
    <row r="346" spans="1:14" s="2" customFormat="1" x14ac:dyDescent="0.25">
      <c r="A346" s="119" t="s">
        <v>237</v>
      </c>
      <c r="B346" s="119"/>
      <c r="C346" s="119"/>
      <c r="D346" s="119"/>
      <c r="E346" s="119"/>
      <c r="F346" s="119"/>
      <c r="G346" s="119"/>
      <c r="H346" s="119"/>
      <c r="I346"/>
      <c r="J346"/>
      <c r="K346" s="58"/>
    </row>
    <row r="347" spans="1:14" s="2" customFormat="1" x14ac:dyDescent="0.25">
      <c r="A347" s="120">
        <v>801</v>
      </c>
      <c r="B347" s="120"/>
      <c r="C347" s="39" t="s">
        <v>168</v>
      </c>
      <c r="D347" s="61">
        <f>(30.272+8.451+6.455)*10.764</f>
        <v>486.29599199999996</v>
      </c>
      <c r="E347" s="39">
        <v>0</v>
      </c>
      <c r="F347" s="39">
        <f t="shared" ref="F347:F352" si="19">D347*1.5+E347</f>
        <v>729.44398799999999</v>
      </c>
      <c r="G347" s="121" t="str">
        <f>A346</f>
        <v>8th Floor (Part Refuge Area)</v>
      </c>
      <c r="H347" s="122"/>
      <c r="I347" s="45">
        <f>F347/D347</f>
        <v>1.5000000000000002</v>
      </c>
      <c r="J347"/>
      <c r="K347" s="58"/>
    </row>
    <row r="348" spans="1:14" s="2" customFormat="1" x14ac:dyDescent="0.25">
      <c r="A348" s="120">
        <v>802</v>
      </c>
      <c r="B348" s="120"/>
      <c r="C348" s="39" t="s">
        <v>168</v>
      </c>
      <c r="D348" s="61">
        <f>(34.556+5.625+4.219)*10.764</f>
        <v>477.92159999999996</v>
      </c>
      <c r="E348" s="39">
        <v>0</v>
      </c>
      <c r="F348" s="39">
        <f t="shared" si="19"/>
        <v>716.88239999999996</v>
      </c>
      <c r="G348" s="123"/>
      <c r="H348" s="124"/>
      <c r="I348" s="45">
        <f t="shared" ref="I348:I359" si="20">F348/D348</f>
        <v>1.5</v>
      </c>
      <c r="J348"/>
      <c r="K348" s="58"/>
    </row>
    <row r="349" spans="1:14" s="2" customFormat="1" x14ac:dyDescent="0.25">
      <c r="A349" s="120">
        <v>803</v>
      </c>
      <c r="B349" s="120"/>
      <c r="C349" s="39" t="s">
        <v>167</v>
      </c>
      <c r="D349" s="61">
        <f>(51.688+6.025+4.74)*10.764</f>
        <v>672.24409200000002</v>
      </c>
      <c r="E349" s="39">
        <v>0</v>
      </c>
      <c r="F349" s="39">
        <f t="shared" si="19"/>
        <v>1008.3661380000001</v>
      </c>
      <c r="G349" s="123"/>
      <c r="H349" s="124"/>
      <c r="I349" s="45">
        <f t="shared" si="20"/>
        <v>1.5</v>
      </c>
      <c r="J349"/>
      <c r="K349" s="58">
        <f>4238850/F349</f>
        <v>4203.6814211228493</v>
      </c>
      <c r="L349" s="2">
        <v>803</v>
      </c>
      <c r="M349" s="2">
        <f>F349*3800+475000+6*25*F349</f>
        <v>4458046.2450999999</v>
      </c>
      <c r="N349" s="2">
        <f>M349/F349</f>
        <v>4421.0590549402204</v>
      </c>
    </row>
    <row r="350" spans="1:14" s="2" customFormat="1" x14ac:dyDescent="0.25">
      <c r="A350" s="120">
        <v>804</v>
      </c>
      <c r="B350" s="120"/>
      <c r="C350" s="39" t="s">
        <v>167</v>
      </c>
      <c r="D350" s="61">
        <f>(51.688+6.025+4.74)*10.764</f>
        <v>672.24409200000002</v>
      </c>
      <c r="E350" s="39">
        <v>0</v>
      </c>
      <c r="F350" s="39">
        <f t="shared" si="19"/>
        <v>1008.3661380000001</v>
      </c>
      <c r="G350" s="123"/>
      <c r="H350" s="124"/>
      <c r="I350" s="45">
        <f t="shared" si="20"/>
        <v>1.5</v>
      </c>
      <c r="J350"/>
    </row>
    <row r="351" spans="1:14" s="2" customFormat="1" x14ac:dyDescent="0.25">
      <c r="A351" s="120">
        <v>805</v>
      </c>
      <c r="B351" s="120"/>
      <c r="C351" s="39" t="s">
        <v>168</v>
      </c>
      <c r="D351" s="61">
        <f>(29.912+8.45+6.338)*10.764</f>
        <v>481.15079999999995</v>
      </c>
      <c r="E351" s="39">
        <v>0</v>
      </c>
      <c r="F351" s="39">
        <f t="shared" si="19"/>
        <v>721.72619999999995</v>
      </c>
      <c r="G351" s="123"/>
      <c r="H351" s="124"/>
      <c r="I351" s="45">
        <f t="shared" si="20"/>
        <v>1.5</v>
      </c>
    </row>
    <row r="352" spans="1:14" s="2" customFormat="1" x14ac:dyDescent="0.25">
      <c r="A352" s="120">
        <v>806</v>
      </c>
      <c r="B352" s="120"/>
      <c r="C352" s="39" t="s">
        <v>168</v>
      </c>
      <c r="D352" s="61">
        <f>(29.912+8.525+6.338)*10.764</f>
        <v>481.95809999999994</v>
      </c>
      <c r="E352" s="39">
        <v>0</v>
      </c>
      <c r="F352" s="39">
        <f t="shared" si="19"/>
        <v>722.93714999999997</v>
      </c>
      <c r="G352" s="123"/>
      <c r="H352" s="124"/>
      <c r="I352" s="45">
        <f t="shared" si="20"/>
        <v>1.5000000000000002</v>
      </c>
    </row>
    <row r="353" spans="1:12" s="2" customFormat="1" x14ac:dyDescent="0.25">
      <c r="A353" s="120">
        <v>807</v>
      </c>
      <c r="B353" s="120"/>
      <c r="C353" s="131" t="s">
        <v>171</v>
      </c>
      <c r="D353" s="134"/>
      <c r="E353" s="134"/>
      <c r="F353" s="132"/>
      <c r="G353" s="123"/>
      <c r="H353" s="124"/>
      <c r="I353" s="45"/>
    </row>
    <row r="354" spans="1:12" s="2" customFormat="1" x14ac:dyDescent="0.25">
      <c r="A354" s="120">
        <v>808</v>
      </c>
      <c r="B354" s="120"/>
      <c r="C354" s="39" t="s">
        <v>213</v>
      </c>
      <c r="D354" s="61">
        <f>(61.394+11.35+8.737)*10.764</f>
        <v>877.06148399999984</v>
      </c>
      <c r="E354" s="39">
        <v>0</v>
      </c>
      <c r="F354" s="39">
        <f t="shared" ref="F354:F359" si="21">D354*1.5+E354</f>
        <v>1315.5922259999998</v>
      </c>
      <c r="G354" s="123"/>
      <c r="H354" s="124"/>
      <c r="I354" s="45">
        <f t="shared" si="20"/>
        <v>1.5</v>
      </c>
    </row>
    <row r="355" spans="1:12" s="2" customFormat="1" x14ac:dyDescent="0.25">
      <c r="A355" s="120">
        <v>809</v>
      </c>
      <c r="B355" s="120"/>
      <c r="C355" s="39" t="s">
        <v>168</v>
      </c>
      <c r="D355" s="61">
        <f>(29.494+8.45+6.451)*10.764</f>
        <v>477.86777999999998</v>
      </c>
      <c r="E355" s="39">
        <v>0</v>
      </c>
      <c r="F355" s="39">
        <f t="shared" si="21"/>
        <v>716.80166999999994</v>
      </c>
      <c r="G355" s="123"/>
      <c r="H355" s="124"/>
      <c r="I355" s="45">
        <f t="shared" si="20"/>
        <v>1.5</v>
      </c>
    </row>
    <row r="356" spans="1:12" s="2" customFormat="1" x14ac:dyDescent="0.25">
      <c r="A356" s="120">
        <v>810</v>
      </c>
      <c r="B356" s="120"/>
      <c r="C356" s="39" t="s">
        <v>168</v>
      </c>
      <c r="D356" s="61">
        <f>(33.096+5.7+4.275)*10.764</f>
        <v>463.61624399999994</v>
      </c>
      <c r="E356" s="39">
        <v>0</v>
      </c>
      <c r="F356" s="39">
        <f t="shared" si="21"/>
        <v>695.42436599999996</v>
      </c>
      <c r="G356" s="123"/>
      <c r="H356" s="124"/>
      <c r="I356" s="45">
        <f t="shared" si="20"/>
        <v>1.5000000000000002</v>
      </c>
    </row>
    <row r="357" spans="1:12" s="2" customFormat="1" x14ac:dyDescent="0.25">
      <c r="A357" s="120">
        <v>811</v>
      </c>
      <c r="B357" s="120"/>
      <c r="C357" s="39" t="s">
        <v>168</v>
      </c>
      <c r="D357" s="61">
        <f>(33.692+5.4+4.087)*10.764</f>
        <v>464.77875599999999</v>
      </c>
      <c r="E357" s="39">
        <v>0</v>
      </c>
      <c r="F357" s="39">
        <f t="shared" si="21"/>
        <v>697.16813400000001</v>
      </c>
      <c r="G357" s="123"/>
      <c r="H357" s="124"/>
      <c r="I357" s="45">
        <f t="shared" si="20"/>
        <v>1.5</v>
      </c>
    </row>
    <row r="358" spans="1:12" s="2" customFormat="1" x14ac:dyDescent="0.25">
      <c r="A358" s="120">
        <v>812</v>
      </c>
      <c r="B358" s="120"/>
      <c r="C358" s="39" t="s">
        <v>168</v>
      </c>
      <c r="D358" s="61">
        <f>(27.878+8.35+6.28)*10.764</f>
        <v>457.55611199999998</v>
      </c>
      <c r="E358" s="39">
        <v>0</v>
      </c>
      <c r="F358" s="39">
        <f t="shared" si="21"/>
        <v>686.33416799999998</v>
      </c>
      <c r="G358" s="123"/>
      <c r="H358" s="124"/>
      <c r="I358" s="45">
        <f t="shared" si="20"/>
        <v>1.5</v>
      </c>
    </row>
    <row r="359" spans="1:12" s="2" customFormat="1" x14ac:dyDescent="0.25">
      <c r="A359" s="120">
        <v>813</v>
      </c>
      <c r="B359" s="120"/>
      <c r="C359" s="39" t="s">
        <v>168</v>
      </c>
      <c r="D359" s="61">
        <f>(32.063+5.45+4.085)*10.764</f>
        <v>447.76087200000006</v>
      </c>
      <c r="E359" s="39">
        <v>0</v>
      </c>
      <c r="F359" s="39">
        <f t="shared" si="21"/>
        <v>671.64130800000009</v>
      </c>
      <c r="G359" s="125"/>
      <c r="H359" s="126"/>
      <c r="I359" s="45">
        <f t="shared" si="20"/>
        <v>1.5</v>
      </c>
    </row>
    <row r="360" spans="1:12" s="65" customFormat="1" x14ac:dyDescent="0.25">
      <c r="A360" s="213" t="s">
        <v>267</v>
      </c>
      <c r="B360" s="213"/>
      <c r="C360" s="213"/>
      <c r="D360" s="213"/>
      <c r="E360" s="213"/>
      <c r="F360" s="213"/>
      <c r="G360" s="213"/>
      <c r="H360" s="213"/>
    </row>
    <row r="361" spans="1:12" s="2" customFormat="1" x14ac:dyDescent="0.25">
      <c r="A361" s="119" t="s">
        <v>211</v>
      </c>
      <c r="B361" s="119"/>
      <c r="C361" s="119"/>
      <c r="D361" s="119"/>
      <c r="E361" s="119"/>
      <c r="F361" s="119"/>
      <c r="G361" s="119"/>
      <c r="H361" s="119"/>
    </row>
    <row r="362" spans="1:12" s="2" customFormat="1" x14ac:dyDescent="0.25">
      <c r="A362" s="119" t="s">
        <v>166</v>
      </c>
      <c r="B362" s="119"/>
      <c r="C362" s="119"/>
      <c r="D362" s="119"/>
      <c r="E362" s="119"/>
      <c r="F362" s="119"/>
      <c r="G362" s="119"/>
      <c r="H362" s="119"/>
    </row>
    <row r="363" spans="1:12" s="2" customFormat="1" ht="15.75" customHeight="1" x14ac:dyDescent="0.25">
      <c r="A363" s="120">
        <v>1</v>
      </c>
      <c r="B363" s="120"/>
      <c r="C363" s="39" t="s">
        <v>167</v>
      </c>
      <c r="D363" s="61">
        <f>(53.761+2.825)*10.764</f>
        <v>609.09170400000005</v>
      </c>
      <c r="E363" s="39">
        <v>0</v>
      </c>
      <c r="F363" s="39">
        <f t="shared" ref="F363:F398" si="22">D363*1.5+E363</f>
        <v>913.63755600000013</v>
      </c>
      <c r="G363" s="121" t="str">
        <f>A362</f>
        <v>1st Floor for Residential</v>
      </c>
      <c r="H363" s="122"/>
      <c r="I363" s="45">
        <f>2.75*4.35+2.9*2.25+3.025*1.3+2.75*3.25+2.9*0.9+2.75*3.85+2.1*1.2+2.1*1.2+0.9*0.9</f>
        <v>50.405000000000008</v>
      </c>
      <c r="J363" s="2">
        <f>2.75*1</f>
        <v>2.75</v>
      </c>
      <c r="L363" s="61">
        <v>10.763999999999999</v>
      </c>
    </row>
    <row r="364" spans="1:12" s="2" customFormat="1" x14ac:dyDescent="0.25">
      <c r="A364" s="120">
        <v>2</v>
      </c>
      <c r="B364" s="120"/>
      <c r="C364" s="39" t="s">
        <v>168</v>
      </c>
      <c r="D364" s="61">
        <f>(38.517+2.825)*10.764</f>
        <v>445.00528800000006</v>
      </c>
      <c r="E364" s="39">
        <v>0</v>
      </c>
      <c r="F364" s="39">
        <f t="shared" si="22"/>
        <v>667.5079320000001</v>
      </c>
      <c r="G364" s="123"/>
      <c r="H364" s="124"/>
      <c r="I364" s="45">
        <f>2.75*5.25+2.25*2.8+2.75*3.25+1.2*1.9+0.9*1.2+2.4*0.9</f>
        <v>35.195000000000007</v>
      </c>
      <c r="J364" s="2">
        <f>2.75*1</f>
        <v>2.75</v>
      </c>
    </row>
    <row r="365" spans="1:12" s="2" customFormat="1" x14ac:dyDescent="0.25">
      <c r="A365" s="120">
        <v>3</v>
      </c>
      <c r="B365" s="120"/>
      <c r="C365" s="39" t="s">
        <v>168</v>
      </c>
      <c r="D365" s="61">
        <f>(36.064+2.9)*10.764</f>
        <v>419.40849599999996</v>
      </c>
      <c r="E365" s="39">
        <v>0</v>
      </c>
      <c r="F365" s="39">
        <f t="shared" si="22"/>
        <v>629.11274399999991</v>
      </c>
      <c r="G365" s="123"/>
      <c r="H365" s="124"/>
      <c r="I365" s="45"/>
    </row>
    <row r="366" spans="1:12" s="2" customFormat="1" x14ac:dyDescent="0.25">
      <c r="A366" s="120">
        <v>4</v>
      </c>
      <c r="B366" s="120"/>
      <c r="C366" s="39" t="s">
        <v>168</v>
      </c>
      <c r="D366" s="61">
        <f>(39.3+2.9)*10.764</f>
        <v>454.24079999999992</v>
      </c>
      <c r="E366" s="39">
        <v>0</v>
      </c>
      <c r="F366" s="39">
        <f t="shared" si="22"/>
        <v>681.36119999999983</v>
      </c>
      <c r="G366" s="123"/>
      <c r="H366" s="124"/>
      <c r="I366" s="45"/>
    </row>
    <row r="367" spans="1:12" s="2" customFormat="1" x14ac:dyDescent="0.25">
      <c r="A367" s="120">
        <v>5</v>
      </c>
      <c r="B367" s="120"/>
      <c r="C367" s="39" t="s">
        <v>167</v>
      </c>
      <c r="D367" s="61">
        <f>(58.134+2.825)*10.764</f>
        <v>656.16267600000003</v>
      </c>
      <c r="E367" s="39">
        <v>0</v>
      </c>
      <c r="F367" s="39">
        <f t="shared" si="22"/>
        <v>984.24401400000011</v>
      </c>
      <c r="G367" s="123"/>
      <c r="H367" s="124"/>
      <c r="I367" s="45"/>
    </row>
    <row r="368" spans="1:12" s="2" customFormat="1" x14ac:dyDescent="0.25">
      <c r="A368" s="120">
        <v>6</v>
      </c>
      <c r="B368" s="120"/>
      <c r="C368" s="39" t="s">
        <v>167</v>
      </c>
      <c r="D368" s="61">
        <f>(57.337+2.825)*10.764</f>
        <v>647.58376800000008</v>
      </c>
      <c r="E368" s="39">
        <v>0</v>
      </c>
      <c r="F368" s="39">
        <f t="shared" si="22"/>
        <v>971.37565200000017</v>
      </c>
      <c r="G368" s="123"/>
      <c r="H368" s="124"/>
      <c r="I368" s="45"/>
    </row>
    <row r="369" spans="1:12" s="2" customFormat="1" x14ac:dyDescent="0.25">
      <c r="A369" s="120">
        <v>7</v>
      </c>
      <c r="B369" s="120"/>
      <c r="C369" s="39" t="s">
        <v>168</v>
      </c>
      <c r="D369" s="61">
        <f>(38.717+2.825)*10.764</f>
        <v>447.15808799999996</v>
      </c>
      <c r="E369" s="39">
        <v>0</v>
      </c>
      <c r="F369" s="39">
        <f t="shared" si="22"/>
        <v>670.73713199999997</v>
      </c>
      <c r="G369" s="123"/>
      <c r="H369" s="124"/>
      <c r="I369" s="45"/>
    </row>
    <row r="370" spans="1:12" s="2" customFormat="1" x14ac:dyDescent="0.25">
      <c r="A370" s="120">
        <v>8</v>
      </c>
      <c r="B370" s="120"/>
      <c r="C370" s="39" t="s">
        <v>168</v>
      </c>
      <c r="D370" s="61">
        <f>(38.887+2.825)*10.764</f>
        <v>448.98796800000002</v>
      </c>
      <c r="E370" s="39">
        <v>0</v>
      </c>
      <c r="F370" s="39">
        <f t="shared" si="22"/>
        <v>673.48195200000009</v>
      </c>
      <c r="G370" s="125"/>
      <c r="H370" s="126"/>
      <c r="I370" s="45"/>
    </row>
    <row r="371" spans="1:12" s="2" customFormat="1" x14ac:dyDescent="0.25">
      <c r="A371" s="119" t="s">
        <v>216</v>
      </c>
      <c r="B371" s="119"/>
      <c r="C371" s="119"/>
      <c r="D371" s="119"/>
      <c r="E371" s="119"/>
      <c r="F371" s="119"/>
      <c r="G371" s="119"/>
      <c r="H371" s="119"/>
    </row>
    <row r="372" spans="1:12" s="2" customFormat="1" ht="15.75" customHeight="1" x14ac:dyDescent="0.25">
      <c r="A372" s="120">
        <v>1</v>
      </c>
      <c r="B372" s="120"/>
      <c r="C372" s="39" t="s">
        <v>168</v>
      </c>
      <c r="D372" s="61">
        <f>(36.427+2.75)*10.764</f>
        <v>421.70122799999996</v>
      </c>
      <c r="E372" s="61">
        <f>(3.4*3.45+2.75*5.15+2.85*4+2.75*4.45)*10.764</f>
        <v>533.14091999999994</v>
      </c>
      <c r="F372" s="39">
        <f t="shared" si="22"/>
        <v>1165.6927619999999</v>
      </c>
      <c r="G372" s="121" t="str">
        <f>A371</f>
        <v>2nd Floor</v>
      </c>
      <c r="H372" s="122"/>
      <c r="I372" s="45"/>
      <c r="L372" s="61">
        <v>10.763999999999999</v>
      </c>
    </row>
    <row r="373" spans="1:12" s="2" customFormat="1" x14ac:dyDescent="0.25">
      <c r="A373" s="120">
        <v>2</v>
      </c>
      <c r="B373" s="120"/>
      <c r="C373" s="39" t="s">
        <v>168</v>
      </c>
      <c r="D373" s="61">
        <f>(38.518+2.825)*10.764</f>
        <v>445.016052</v>
      </c>
      <c r="E373" s="61">
        <f>(8.3*4+0.45*2.75+0.45*2.75)*10.764</f>
        <v>384.00569999999993</v>
      </c>
      <c r="F373" s="39">
        <f t="shared" si="22"/>
        <v>1051.5297780000001</v>
      </c>
      <c r="G373" s="123"/>
      <c r="H373" s="124"/>
      <c r="I373" s="45"/>
    </row>
    <row r="374" spans="1:12" s="2" customFormat="1" x14ac:dyDescent="0.25">
      <c r="A374" s="120">
        <v>3</v>
      </c>
      <c r="B374" s="120"/>
      <c r="C374" s="39" t="s">
        <v>167</v>
      </c>
      <c r="D374" s="61">
        <f>(53.761+2.825)*10.764</f>
        <v>609.09170400000005</v>
      </c>
      <c r="E374" s="61">
        <f>(8.2*2.45+2.75*1.975+0.45*2.75)*10.764</f>
        <v>288.03118499999999</v>
      </c>
      <c r="F374" s="39">
        <f t="shared" si="22"/>
        <v>1201.6687410000002</v>
      </c>
      <c r="G374" s="123"/>
      <c r="H374" s="124"/>
      <c r="I374" s="45"/>
    </row>
    <row r="375" spans="1:12" s="2" customFormat="1" x14ac:dyDescent="0.25">
      <c r="A375" s="120">
        <v>4</v>
      </c>
      <c r="B375" s="120"/>
      <c r="C375" s="39" t="s">
        <v>167</v>
      </c>
      <c r="D375" s="61">
        <f>(53.761+2.825)*10.764</f>
        <v>609.09170400000005</v>
      </c>
      <c r="E375" s="61">
        <v>0</v>
      </c>
      <c r="F375" s="39">
        <f t="shared" si="22"/>
        <v>913.63755600000013</v>
      </c>
      <c r="G375" s="123"/>
      <c r="H375" s="124"/>
      <c r="I375" s="45"/>
    </row>
    <row r="376" spans="1:12" s="2" customFormat="1" x14ac:dyDescent="0.25">
      <c r="A376" s="120">
        <v>5</v>
      </c>
      <c r="B376" s="120"/>
      <c r="C376" s="39" t="s">
        <v>168</v>
      </c>
      <c r="D376" s="61">
        <f>(38.517+2.825)*10.764</f>
        <v>445.00528800000006</v>
      </c>
      <c r="E376" s="61">
        <v>0</v>
      </c>
      <c r="F376" s="39">
        <f t="shared" si="22"/>
        <v>667.5079320000001</v>
      </c>
      <c r="G376" s="123"/>
      <c r="H376" s="124"/>
      <c r="I376" s="45"/>
    </row>
    <row r="377" spans="1:12" s="2" customFormat="1" x14ac:dyDescent="0.25">
      <c r="A377" s="120">
        <v>6</v>
      </c>
      <c r="B377" s="120"/>
      <c r="C377" s="39" t="s">
        <v>168</v>
      </c>
      <c r="D377" s="61">
        <f>(36.064+2.9)*10.764</f>
        <v>419.40849599999996</v>
      </c>
      <c r="E377" s="61">
        <v>0</v>
      </c>
      <c r="F377" s="39">
        <f t="shared" si="22"/>
        <v>629.11274399999991</v>
      </c>
      <c r="G377" s="123"/>
      <c r="H377" s="124"/>
      <c r="I377" s="45"/>
    </row>
    <row r="378" spans="1:12" s="2" customFormat="1" x14ac:dyDescent="0.25">
      <c r="A378" s="120">
        <v>7</v>
      </c>
      <c r="B378" s="120"/>
      <c r="C378" s="39" t="s">
        <v>168</v>
      </c>
      <c r="D378" s="61">
        <f>(39.3+2.9)*10.764</f>
        <v>454.24079999999992</v>
      </c>
      <c r="E378" s="61">
        <v>0</v>
      </c>
      <c r="F378" s="39">
        <f t="shared" si="22"/>
        <v>681.36119999999983</v>
      </c>
      <c r="G378" s="123"/>
      <c r="H378" s="124"/>
      <c r="I378" s="45"/>
    </row>
    <row r="379" spans="1:12" s="2" customFormat="1" x14ac:dyDescent="0.25">
      <c r="A379" s="120">
        <v>8</v>
      </c>
      <c r="B379" s="120"/>
      <c r="C379" s="39" t="s">
        <v>167</v>
      </c>
      <c r="D379" s="61">
        <f>(58.134+2.825)*10.764</f>
        <v>656.16267600000003</v>
      </c>
      <c r="E379" s="61">
        <v>0</v>
      </c>
      <c r="F379" s="39">
        <f t="shared" si="22"/>
        <v>984.24401400000011</v>
      </c>
      <c r="G379" s="123"/>
      <c r="H379" s="124"/>
      <c r="I379" s="45"/>
    </row>
    <row r="380" spans="1:12" s="2" customFormat="1" x14ac:dyDescent="0.25">
      <c r="A380" s="120">
        <v>9</v>
      </c>
      <c r="B380" s="120"/>
      <c r="C380" s="39" t="s">
        <v>167</v>
      </c>
      <c r="D380" s="61">
        <f>(57.332+2.825)*10.764</f>
        <v>647.52994799999999</v>
      </c>
      <c r="E380" s="61">
        <v>0</v>
      </c>
      <c r="F380" s="39">
        <f t="shared" si="22"/>
        <v>971.29492200000004</v>
      </c>
      <c r="G380" s="123"/>
      <c r="H380" s="124"/>
      <c r="I380" s="45"/>
    </row>
    <row r="381" spans="1:12" s="2" customFormat="1" x14ac:dyDescent="0.25">
      <c r="A381" s="120">
        <v>10</v>
      </c>
      <c r="B381" s="120"/>
      <c r="C381" s="39" t="s">
        <v>168</v>
      </c>
      <c r="D381" s="61">
        <f>(38.717+2.825)*10.764</f>
        <v>447.15808799999996</v>
      </c>
      <c r="E381" s="61">
        <v>0</v>
      </c>
      <c r="F381" s="39">
        <f t="shared" si="22"/>
        <v>670.73713199999997</v>
      </c>
      <c r="G381" s="123"/>
      <c r="H381" s="124"/>
      <c r="I381" s="45"/>
    </row>
    <row r="382" spans="1:12" s="2" customFormat="1" x14ac:dyDescent="0.25">
      <c r="A382" s="120">
        <v>11</v>
      </c>
      <c r="B382" s="120"/>
      <c r="C382" s="39" t="s">
        <v>168</v>
      </c>
      <c r="D382" s="61">
        <f>(38.888+2.825)*10.764</f>
        <v>448.99873199999996</v>
      </c>
      <c r="E382" s="61">
        <v>0</v>
      </c>
      <c r="F382" s="39">
        <f t="shared" si="22"/>
        <v>673.49809799999991</v>
      </c>
      <c r="G382" s="123"/>
      <c r="H382" s="124"/>
      <c r="I382" s="45"/>
    </row>
    <row r="383" spans="1:12" s="2" customFormat="1" x14ac:dyDescent="0.25">
      <c r="A383" s="120">
        <v>12</v>
      </c>
      <c r="B383" s="120"/>
      <c r="C383" s="39" t="s">
        <v>167</v>
      </c>
      <c r="D383" s="61">
        <f>(59.827+7.755+2.9)*10.764</f>
        <v>758.66824799999995</v>
      </c>
      <c r="E383" s="61">
        <f>(7.9*2.8+0.35*3.05)*10.764</f>
        <v>249.59025</v>
      </c>
      <c r="F383" s="39">
        <f t="shared" si="22"/>
        <v>1387.5926219999999</v>
      </c>
      <c r="G383" s="123"/>
      <c r="H383" s="124"/>
      <c r="I383" s="45"/>
    </row>
    <row r="384" spans="1:12" s="2" customFormat="1" x14ac:dyDescent="0.25">
      <c r="A384" s="120">
        <v>13</v>
      </c>
      <c r="B384" s="120"/>
      <c r="C384" s="39" t="s">
        <v>168</v>
      </c>
      <c r="D384" s="61">
        <f>(38.53+2.75)*10.764</f>
        <v>444.33792</v>
      </c>
      <c r="E384" s="61">
        <f>(8.45*2.8+0.35*3+2.75*2.35)*10.764</f>
        <v>335.54078999999996</v>
      </c>
      <c r="F384" s="39">
        <f t="shared" si="22"/>
        <v>1002.0476699999999</v>
      </c>
      <c r="G384" s="125"/>
      <c r="H384" s="126"/>
      <c r="I384" s="45"/>
    </row>
    <row r="385" spans="1:12" s="2" customFormat="1" x14ac:dyDescent="0.25">
      <c r="A385" s="119" t="s">
        <v>215</v>
      </c>
      <c r="B385" s="119"/>
      <c r="C385" s="119"/>
      <c r="D385" s="119"/>
      <c r="E385" s="119"/>
      <c r="F385" s="119"/>
      <c r="G385" s="119"/>
      <c r="H385" s="119"/>
    </row>
    <row r="386" spans="1:12" s="2" customFormat="1" ht="15.75" customHeight="1" x14ac:dyDescent="0.25">
      <c r="A386" s="120">
        <v>1</v>
      </c>
      <c r="B386" s="120"/>
      <c r="C386" s="39" t="s">
        <v>168</v>
      </c>
      <c r="D386" s="61">
        <f>(36.427+2.75)*10.764</f>
        <v>421.70122799999996</v>
      </c>
      <c r="E386" s="39">
        <v>0</v>
      </c>
      <c r="F386" s="39">
        <f t="shared" si="22"/>
        <v>632.55184199999997</v>
      </c>
      <c r="G386" s="121" t="str">
        <f>A385</f>
        <v>3rd to 7th, 9th to 12th, 14th &amp; 15th Floor</v>
      </c>
      <c r="H386" s="122"/>
      <c r="I386" s="45"/>
      <c r="L386" s="61">
        <v>10.763999999999999</v>
      </c>
    </row>
    <row r="387" spans="1:12" s="2" customFormat="1" x14ac:dyDescent="0.25">
      <c r="A387" s="120">
        <v>2</v>
      </c>
      <c r="B387" s="120"/>
      <c r="C387" s="39" t="s">
        <v>168</v>
      </c>
      <c r="D387" s="61">
        <f>(38.518+2.825)*10.764</f>
        <v>445.016052</v>
      </c>
      <c r="E387" s="39">
        <v>0</v>
      </c>
      <c r="F387" s="39">
        <f t="shared" si="22"/>
        <v>667.52407800000003</v>
      </c>
      <c r="G387" s="123"/>
      <c r="H387" s="124"/>
      <c r="I387" s="45"/>
    </row>
    <row r="388" spans="1:12" s="2" customFormat="1" x14ac:dyDescent="0.25">
      <c r="A388" s="120">
        <v>3</v>
      </c>
      <c r="B388" s="120"/>
      <c r="C388" s="39" t="s">
        <v>167</v>
      </c>
      <c r="D388" s="61">
        <f>(53.761+2.825)*10.764</f>
        <v>609.09170400000005</v>
      </c>
      <c r="E388" s="39">
        <v>0</v>
      </c>
      <c r="F388" s="39">
        <f t="shared" si="22"/>
        <v>913.63755600000013</v>
      </c>
      <c r="G388" s="123"/>
      <c r="H388" s="124"/>
      <c r="I388" s="45"/>
    </row>
    <row r="389" spans="1:12" s="2" customFormat="1" x14ac:dyDescent="0.25">
      <c r="A389" s="120">
        <v>4</v>
      </c>
      <c r="B389" s="120"/>
      <c r="C389" s="39" t="s">
        <v>167</v>
      </c>
      <c r="D389" s="61">
        <f>(53.761+2.825)*10.764</f>
        <v>609.09170400000005</v>
      </c>
      <c r="E389" s="39">
        <v>0</v>
      </c>
      <c r="F389" s="39">
        <f t="shared" si="22"/>
        <v>913.63755600000013</v>
      </c>
      <c r="G389" s="123"/>
      <c r="H389" s="124"/>
      <c r="I389" s="45"/>
    </row>
    <row r="390" spans="1:12" s="2" customFormat="1" x14ac:dyDescent="0.25">
      <c r="A390" s="120">
        <v>5</v>
      </c>
      <c r="B390" s="120"/>
      <c r="C390" s="39" t="s">
        <v>168</v>
      </c>
      <c r="D390" s="61">
        <f>(38.517+2.825)*10.764</f>
        <v>445.00528800000006</v>
      </c>
      <c r="E390" s="39">
        <v>0</v>
      </c>
      <c r="F390" s="39">
        <f t="shared" si="22"/>
        <v>667.5079320000001</v>
      </c>
      <c r="G390" s="123"/>
      <c r="H390" s="124"/>
      <c r="I390" s="45"/>
    </row>
    <row r="391" spans="1:12" s="2" customFormat="1" x14ac:dyDescent="0.25">
      <c r="A391" s="120">
        <v>6</v>
      </c>
      <c r="B391" s="120"/>
      <c r="C391" s="39" t="s">
        <v>168</v>
      </c>
      <c r="D391" s="61">
        <f>(36.064+2.9)*10.764</f>
        <v>419.40849599999996</v>
      </c>
      <c r="E391" s="39">
        <v>0</v>
      </c>
      <c r="F391" s="39">
        <f t="shared" si="22"/>
        <v>629.11274399999991</v>
      </c>
      <c r="G391" s="123"/>
      <c r="H391" s="124"/>
      <c r="I391" s="45"/>
      <c r="K391" s="2">
        <f>11*2</f>
        <v>22</v>
      </c>
    </row>
    <row r="392" spans="1:12" s="2" customFormat="1" x14ac:dyDescent="0.25">
      <c r="A392" s="120">
        <v>7</v>
      </c>
      <c r="B392" s="120"/>
      <c r="C392" s="39" t="s">
        <v>168</v>
      </c>
      <c r="D392" s="61">
        <f>(39.3+2.9)*10.764</f>
        <v>454.24079999999992</v>
      </c>
      <c r="E392" s="39">
        <v>0</v>
      </c>
      <c r="F392" s="39">
        <f t="shared" si="22"/>
        <v>681.36119999999983</v>
      </c>
      <c r="G392" s="123"/>
      <c r="H392" s="124"/>
      <c r="I392" s="45"/>
    </row>
    <row r="393" spans="1:12" s="2" customFormat="1" x14ac:dyDescent="0.25">
      <c r="A393" s="120">
        <v>8</v>
      </c>
      <c r="B393" s="120"/>
      <c r="C393" s="39" t="s">
        <v>167</v>
      </c>
      <c r="D393" s="61">
        <f>(58.134+2.825)*10.764</f>
        <v>656.16267600000003</v>
      </c>
      <c r="E393" s="39">
        <v>0</v>
      </c>
      <c r="F393" s="39">
        <f t="shared" si="22"/>
        <v>984.24401400000011</v>
      </c>
      <c r="G393" s="123"/>
      <c r="H393" s="124"/>
      <c r="I393" s="45"/>
    </row>
    <row r="394" spans="1:12" s="2" customFormat="1" x14ac:dyDescent="0.25">
      <c r="A394" s="120">
        <v>9</v>
      </c>
      <c r="B394" s="120"/>
      <c r="C394" s="39" t="s">
        <v>167</v>
      </c>
      <c r="D394" s="61">
        <f>(57.332+2.825)*10.764</f>
        <v>647.52994799999999</v>
      </c>
      <c r="E394" s="39">
        <v>0</v>
      </c>
      <c r="F394" s="39">
        <f t="shared" si="22"/>
        <v>971.29492200000004</v>
      </c>
      <c r="G394" s="123"/>
      <c r="H394" s="124"/>
      <c r="I394" s="45"/>
    </row>
    <row r="395" spans="1:12" s="2" customFormat="1" x14ac:dyDescent="0.25">
      <c r="A395" s="120">
        <v>10</v>
      </c>
      <c r="B395" s="120"/>
      <c r="C395" s="39" t="s">
        <v>168</v>
      </c>
      <c r="D395" s="61">
        <f>(38.717+2.825)*10.764</f>
        <v>447.15808799999996</v>
      </c>
      <c r="E395" s="39">
        <v>0</v>
      </c>
      <c r="F395" s="39">
        <f t="shared" si="22"/>
        <v>670.73713199999997</v>
      </c>
      <c r="G395" s="123"/>
      <c r="H395" s="124"/>
      <c r="I395" s="45"/>
    </row>
    <row r="396" spans="1:12" s="2" customFormat="1" x14ac:dyDescent="0.25">
      <c r="A396" s="120">
        <v>11</v>
      </c>
      <c r="B396" s="120"/>
      <c r="C396" s="39" t="s">
        <v>168</v>
      </c>
      <c r="D396" s="61">
        <f>(38.888+2.825)*10.764</f>
        <v>448.99873199999996</v>
      </c>
      <c r="E396" s="39">
        <v>0</v>
      </c>
      <c r="F396" s="39">
        <f t="shared" si="22"/>
        <v>673.49809799999991</v>
      </c>
      <c r="G396" s="123"/>
      <c r="H396" s="124"/>
      <c r="I396" s="45"/>
    </row>
    <row r="397" spans="1:12" s="2" customFormat="1" x14ac:dyDescent="0.25">
      <c r="A397" s="120">
        <v>12</v>
      </c>
      <c r="B397" s="120"/>
      <c r="C397" s="39" t="s">
        <v>167</v>
      </c>
      <c r="D397" s="61">
        <f>(59.827+7.755+2.9)*10.764</f>
        <v>758.66824799999995</v>
      </c>
      <c r="E397" s="39">
        <v>0</v>
      </c>
      <c r="F397" s="39">
        <f t="shared" si="22"/>
        <v>1138.0023719999999</v>
      </c>
      <c r="G397" s="123"/>
      <c r="H397" s="124"/>
      <c r="I397" s="45"/>
    </row>
    <row r="398" spans="1:12" s="2" customFormat="1" x14ac:dyDescent="0.25">
      <c r="A398" s="120">
        <v>13</v>
      </c>
      <c r="B398" s="120"/>
      <c r="C398" s="39" t="s">
        <v>168</v>
      </c>
      <c r="D398" s="61">
        <f>(38.53+2.75)*10.764</f>
        <v>444.33792</v>
      </c>
      <c r="E398" s="39">
        <v>0</v>
      </c>
      <c r="F398" s="39">
        <f t="shared" si="22"/>
        <v>666.50688000000002</v>
      </c>
      <c r="G398" s="125"/>
      <c r="H398" s="126"/>
      <c r="I398" s="45"/>
    </row>
    <row r="399" spans="1:12" s="2" customFormat="1" x14ac:dyDescent="0.25">
      <c r="A399" s="119" t="s">
        <v>255</v>
      </c>
      <c r="B399" s="119"/>
      <c r="C399" s="119"/>
      <c r="D399" s="119"/>
      <c r="E399" s="119"/>
      <c r="F399" s="119"/>
      <c r="G399" s="119"/>
      <c r="H399" s="119"/>
    </row>
    <row r="400" spans="1:12" s="2" customFormat="1" ht="15.75" customHeight="1" x14ac:dyDescent="0.25">
      <c r="A400" s="120">
        <v>1</v>
      </c>
      <c r="B400" s="120"/>
      <c r="C400" s="39" t="s">
        <v>168</v>
      </c>
      <c r="D400" s="61">
        <f>(36.427+2.75)*10.764</f>
        <v>421.70122799999996</v>
      </c>
      <c r="E400" s="39">
        <v>0</v>
      </c>
      <c r="F400" s="39">
        <f t="shared" ref="F400:F412" si="23">D400*1.5+E400</f>
        <v>632.55184199999997</v>
      </c>
      <c r="G400" s="121" t="str">
        <f>A399</f>
        <v>8th &amp; 13th Floor (Part Refuge Area)</v>
      </c>
      <c r="H400" s="122"/>
      <c r="I400" s="45"/>
      <c r="L400" s="61">
        <v>10.763999999999999</v>
      </c>
    </row>
    <row r="401" spans="1:12" s="2" customFormat="1" x14ac:dyDescent="0.25">
      <c r="A401" s="120">
        <v>2</v>
      </c>
      <c r="B401" s="120"/>
      <c r="C401" s="39" t="s">
        <v>168</v>
      </c>
      <c r="D401" s="61">
        <f>(38.518+2.825)*10.764</f>
        <v>445.016052</v>
      </c>
      <c r="E401" s="39">
        <v>0</v>
      </c>
      <c r="F401" s="39">
        <f t="shared" si="23"/>
        <v>667.52407800000003</v>
      </c>
      <c r="G401" s="123"/>
      <c r="H401" s="124"/>
      <c r="I401" s="45"/>
    </row>
    <row r="402" spans="1:12" s="2" customFormat="1" x14ac:dyDescent="0.25">
      <c r="A402" s="120">
        <v>3</v>
      </c>
      <c r="B402" s="120"/>
      <c r="C402" s="39" t="s">
        <v>167</v>
      </c>
      <c r="D402" s="61">
        <f>(53.761+2.825)*10.764</f>
        <v>609.09170400000005</v>
      </c>
      <c r="E402" s="39">
        <v>0</v>
      </c>
      <c r="F402" s="39">
        <f t="shared" si="23"/>
        <v>913.63755600000013</v>
      </c>
      <c r="G402" s="123"/>
      <c r="H402" s="124"/>
      <c r="I402" s="45"/>
    </row>
    <row r="403" spans="1:12" s="2" customFormat="1" x14ac:dyDescent="0.25">
      <c r="A403" s="120">
        <v>4</v>
      </c>
      <c r="B403" s="120"/>
      <c r="C403" s="39" t="s">
        <v>167</v>
      </c>
      <c r="D403" s="61">
        <f>(53.761+2.825)*10.764</f>
        <v>609.09170400000005</v>
      </c>
      <c r="E403" s="39">
        <v>0</v>
      </c>
      <c r="F403" s="39">
        <f t="shared" si="23"/>
        <v>913.63755600000013</v>
      </c>
      <c r="G403" s="123"/>
      <c r="H403" s="124"/>
      <c r="I403" s="45"/>
    </row>
    <row r="404" spans="1:12" s="2" customFormat="1" x14ac:dyDescent="0.25">
      <c r="A404" s="120">
        <v>5</v>
      </c>
      <c r="B404" s="120"/>
      <c r="C404" s="39" t="s">
        <v>168</v>
      </c>
      <c r="D404" s="61">
        <f>(38.517+2.825)*10.764</f>
        <v>445.00528800000006</v>
      </c>
      <c r="E404" s="39">
        <v>0</v>
      </c>
      <c r="F404" s="39">
        <f t="shared" si="23"/>
        <v>667.5079320000001</v>
      </c>
      <c r="G404" s="123"/>
      <c r="H404" s="124"/>
      <c r="I404" s="45"/>
    </row>
    <row r="405" spans="1:12" s="2" customFormat="1" x14ac:dyDescent="0.25">
      <c r="A405" s="120">
        <v>6</v>
      </c>
      <c r="B405" s="120"/>
      <c r="C405" s="39" t="s">
        <v>168</v>
      </c>
      <c r="D405" s="61">
        <f>(36.064+2.9)*10.764</f>
        <v>419.40849599999996</v>
      </c>
      <c r="E405" s="39">
        <v>0</v>
      </c>
      <c r="F405" s="39">
        <f t="shared" si="23"/>
        <v>629.11274399999991</v>
      </c>
      <c r="G405" s="123"/>
      <c r="H405" s="124"/>
      <c r="I405" s="45"/>
      <c r="K405" s="2">
        <f>11*2</f>
        <v>22</v>
      </c>
    </row>
    <row r="406" spans="1:12" s="2" customFormat="1" x14ac:dyDescent="0.25">
      <c r="A406" s="120">
        <v>7</v>
      </c>
      <c r="B406" s="120"/>
      <c r="C406" s="39" t="s">
        <v>168</v>
      </c>
      <c r="D406" s="61">
        <f>(39.3+2.9)*10.764</f>
        <v>454.24079999999992</v>
      </c>
      <c r="E406" s="39">
        <v>0</v>
      </c>
      <c r="F406" s="39">
        <f t="shared" si="23"/>
        <v>681.36119999999983</v>
      </c>
      <c r="G406" s="123"/>
      <c r="H406" s="124"/>
      <c r="I406" s="45"/>
    </row>
    <row r="407" spans="1:12" s="2" customFormat="1" x14ac:dyDescent="0.25">
      <c r="A407" s="120">
        <v>8</v>
      </c>
      <c r="B407" s="120"/>
      <c r="C407" s="39" t="s">
        <v>167</v>
      </c>
      <c r="D407" s="61">
        <f>(58.134+2.825)*10.764</f>
        <v>656.16267600000003</v>
      </c>
      <c r="E407" s="39">
        <v>0</v>
      </c>
      <c r="F407" s="39">
        <f t="shared" si="23"/>
        <v>984.24401400000011</v>
      </c>
      <c r="G407" s="123"/>
      <c r="H407" s="124"/>
      <c r="I407" s="45"/>
    </row>
    <row r="408" spans="1:12" s="2" customFormat="1" x14ac:dyDescent="0.25">
      <c r="A408" s="120">
        <v>9</v>
      </c>
      <c r="B408" s="120"/>
      <c r="C408" s="39" t="s">
        <v>167</v>
      </c>
      <c r="D408" s="61">
        <f>(57.332+2.825)*10.764</f>
        <v>647.52994799999999</v>
      </c>
      <c r="E408" s="39">
        <v>0</v>
      </c>
      <c r="F408" s="39">
        <f t="shared" si="23"/>
        <v>971.29492200000004</v>
      </c>
      <c r="G408" s="123"/>
      <c r="H408" s="124"/>
      <c r="I408" s="45"/>
    </row>
    <row r="409" spans="1:12" s="2" customFormat="1" x14ac:dyDescent="0.25">
      <c r="A409" s="120">
        <v>10</v>
      </c>
      <c r="B409" s="120"/>
      <c r="C409" s="39" t="s">
        <v>168</v>
      </c>
      <c r="D409" s="61">
        <f>(38.717+2.9)*10.764</f>
        <v>447.96538799999996</v>
      </c>
      <c r="E409" s="39">
        <v>0</v>
      </c>
      <c r="F409" s="39">
        <f t="shared" si="23"/>
        <v>671.94808199999989</v>
      </c>
      <c r="G409" s="123"/>
      <c r="H409" s="124"/>
      <c r="I409" s="45"/>
    </row>
    <row r="410" spans="1:12" s="2" customFormat="1" x14ac:dyDescent="0.25">
      <c r="A410" s="120">
        <v>11</v>
      </c>
      <c r="B410" s="120"/>
      <c r="C410" s="39" t="s">
        <v>168</v>
      </c>
      <c r="D410" s="61">
        <f>(38.888+2.825)*10.764</f>
        <v>448.99873199999996</v>
      </c>
      <c r="E410" s="39">
        <v>0</v>
      </c>
      <c r="F410" s="39">
        <f t="shared" si="23"/>
        <v>673.49809799999991</v>
      </c>
      <c r="G410" s="123"/>
      <c r="H410" s="124"/>
      <c r="I410" s="45"/>
    </row>
    <row r="411" spans="1:12" s="2" customFormat="1" x14ac:dyDescent="0.25">
      <c r="A411" s="120">
        <v>12</v>
      </c>
      <c r="B411" s="120"/>
      <c r="C411" s="39" t="s">
        <v>167</v>
      </c>
      <c r="D411" s="61">
        <f>(59.827+7.755+2.9)*10.764</f>
        <v>758.66824799999995</v>
      </c>
      <c r="E411" s="39">
        <v>0</v>
      </c>
      <c r="F411" s="39">
        <f t="shared" si="23"/>
        <v>1138.0023719999999</v>
      </c>
      <c r="G411" s="123"/>
      <c r="H411" s="124"/>
      <c r="I411" s="45"/>
    </row>
    <row r="412" spans="1:12" s="2" customFormat="1" x14ac:dyDescent="0.25">
      <c r="A412" s="120">
        <v>13</v>
      </c>
      <c r="B412" s="120"/>
      <c r="C412" s="39" t="s">
        <v>168</v>
      </c>
      <c r="D412" s="61">
        <f>(38.53+2.75)*10.764</f>
        <v>444.33792</v>
      </c>
      <c r="E412" s="39">
        <v>0</v>
      </c>
      <c r="F412" s="39">
        <f t="shared" si="23"/>
        <v>666.50688000000002</v>
      </c>
      <c r="G412" s="125"/>
      <c r="H412" s="126"/>
      <c r="I412" s="45"/>
    </row>
    <row r="413" spans="1:12" s="2" customFormat="1" x14ac:dyDescent="0.25">
      <c r="A413" s="119" t="s">
        <v>212</v>
      </c>
      <c r="B413" s="119"/>
      <c r="C413" s="119"/>
      <c r="D413" s="119"/>
      <c r="E413" s="119"/>
      <c r="F413" s="119"/>
      <c r="G413" s="119"/>
      <c r="H413" s="119"/>
    </row>
    <row r="414" spans="1:12" s="2" customFormat="1" x14ac:dyDescent="0.25">
      <c r="A414" s="119" t="s">
        <v>166</v>
      </c>
      <c r="B414" s="119"/>
      <c r="C414" s="119"/>
      <c r="D414" s="119"/>
      <c r="E414" s="119"/>
      <c r="F414" s="119"/>
      <c r="G414" s="119"/>
      <c r="H414" s="119"/>
    </row>
    <row r="415" spans="1:12" s="2" customFormat="1" ht="15.75" customHeight="1" x14ac:dyDescent="0.25">
      <c r="A415" s="120">
        <v>1</v>
      </c>
      <c r="B415" s="120"/>
      <c r="C415" s="39" t="s">
        <v>167</v>
      </c>
      <c r="D415" s="61">
        <f>(50.755+5.8)*10.764</f>
        <v>608.75801999999999</v>
      </c>
      <c r="E415" s="61">
        <f>(3.4*3.5+2.75*5.1+2.6*3.1+2.75*3.1+0.45*2.75)*10.764</f>
        <v>470.89808999999991</v>
      </c>
      <c r="F415" s="39">
        <f t="shared" ref="F415:F420" si="24">D415*1.5+E415</f>
        <v>1384.03512</v>
      </c>
      <c r="G415" s="214" t="str">
        <f>A414</f>
        <v>1st Floor for Residential</v>
      </c>
      <c r="H415" s="215"/>
      <c r="I415" s="45"/>
      <c r="L415" s="61">
        <v>10.763999999999999</v>
      </c>
    </row>
    <row r="416" spans="1:12" s="2" customFormat="1" x14ac:dyDescent="0.25">
      <c r="A416" s="120">
        <v>2</v>
      </c>
      <c r="B416" s="120"/>
      <c r="C416" s="39" t="s">
        <v>213</v>
      </c>
      <c r="D416" s="61">
        <f>(59.768+10.669+3.05)*10.764</f>
        <v>791.01406799999995</v>
      </c>
      <c r="E416" s="61">
        <f>(8*3+0.45*3.55)*10.764</f>
        <v>275.53148999999996</v>
      </c>
      <c r="F416" s="39">
        <f t="shared" si="24"/>
        <v>1462.052592</v>
      </c>
      <c r="G416" s="216"/>
      <c r="H416" s="217"/>
      <c r="I416" s="45"/>
    </row>
    <row r="417" spans="1:12" s="2" customFormat="1" x14ac:dyDescent="0.25">
      <c r="A417" s="120">
        <v>3</v>
      </c>
      <c r="B417" s="120"/>
      <c r="C417" s="39" t="s">
        <v>213</v>
      </c>
      <c r="D417" s="61">
        <f>(59.766+10.669+3.05)*10.764</f>
        <v>790.99253999999996</v>
      </c>
      <c r="E417" s="61">
        <v>0</v>
      </c>
      <c r="F417" s="39">
        <f t="shared" si="24"/>
        <v>1186.4888099999998</v>
      </c>
      <c r="G417" s="216"/>
      <c r="H417" s="217"/>
      <c r="I417" s="45"/>
    </row>
    <row r="418" spans="1:12" s="2" customFormat="1" x14ac:dyDescent="0.25">
      <c r="A418" s="120">
        <v>4</v>
      </c>
      <c r="B418" s="120"/>
      <c r="C418" s="39" t="s">
        <v>168</v>
      </c>
      <c r="D418" s="61">
        <f>(34.374+2.75)*10.764</f>
        <v>399.60273599999999</v>
      </c>
      <c r="E418" s="61">
        <v>0</v>
      </c>
      <c r="F418" s="39">
        <f t="shared" si="24"/>
        <v>599.40410399999996</v>
      </c>
      <c r="G418" s="216"/>
      <c r="H418" s="217"/>
      <c r="I418" s="45"/>
    </row>
    <row r="419" spans="1:12" s="2" customFormat="1" x14ac:dyDescent="0.25">
      <c r="A419" s="120">
        <v>5</v>
      </c>
      <c r="B419" s="120"/>
      <c r="C419" s="39" t="s">
        <v>168</v>
      </c>
      <c r="D419" s="61">
        <f>(37.544+2.825)*10.764</f>
        <v>434.53191599999997</v>
      </c>
      <c r="E419" s="61">
        <v>0</v>
      </c>
      <c r="F419" s="39">
        <f t="shared" si="24"/>
        <v>651.79787399999998</v>
      </c>
      <c r="G419" s="216"/>
      <c r="H419" s="217"/>
      <c r="I419" s="45"/>
    </row>
    <row r="420" spans="1:12" s="2" customFormat="1" x14ac:dyDescent="0.25">
      <c r="A420" s="120">
        <v>6</v>
      </c>
      <c r="B420" s="120"/>
      <c r="C420" s="39" t="s">
        <v>167</v>
      </c>
      <c r="D420" s="61">
        <f>(53.761+2.825)*10.764</f>
        <v>609.09170400000005</v>
      </c>
      <c r="E420" s="61">
        <v>0</v>
      </c>
      <c r="F420" s="39">
        <f t="shared" si="24"/>
        <v>913.63755600000013</v>
      </c>
      <c r="G420" s="218"/>
      <c r="H420" s="219"/>
      <c r="I420" s="45"/>
    </row>
    <row r="421" spans="1:12" s="2" customFormat="1" x14ac:dyDescent="0.25">
      <c r="A421" s="119" t="s">
        <v>216</v>
      </c>
      <c r="B421" s="119"/>
      <c r="C421" s="119"/>
      <c r="D421" s="119"/>
      <c r="E421" s="119"/>
      <c r="F421" s="119"/>
      <c r="G421" s="119"/>
      <c r="H421" s="119"/>
    </row>
    <row r="422" spans="1:12" s="2" customFormat="1" ht="15.75" customHeight="1" x14ac:dyDescent="0.25">
      <c r="A422" s="120">
        <v>1</v>
      </c>
      <c r="B422" s="120"/>
      <c r="C422" s="39" t="s">
        <v>168</v>
      </c>
      <c r="D422" s="61">
        <f>(37.333+2.75)*10.764</f>
        <v>431.45341199999996</v>
      </c>
      <c r="E422" s="61">
        <f>(3.4*3.5+2.75*5.1+2.6*3.1+2.75*3.1+0.45*2.75)*10.764</f>
        <v>470.89808999999991</v>
      </c>
      <c r="F422" s="39">
        <f t="shared" ref="F422:F432" si="25">D422*1.5+E422</f>
        <v>1118.0782079999999</v>
      </c>
      <c r="G422" s="121" t="str">
        <f>A421</f>
        <v>2nd Floor</v>
      </c>
      <c r="H422" s="122"/>
      <c r="I422" s="45"/>
      <c r="L422" s="61">
        <v>10.763999999999999</v>
      </c>
    </row>
    <row r="423" spans="1:12" s="2" customFormat="1" x14ac:dyDescent="0.25">
      <c r="A423" s="120">
        <v>2</v>
      </c>
      <c r="B423" s="120"/>
      <c r="C423" s="39" t="s">
        <v>167</v>
      </c>
      <c r="D423" s="61">
        <f>(59.078+2.825)*10.764</f>
        <v>666.323892</v>
      </c>
      <c r="E423" s="61">
        <f>(8*3+0.45*3.55)*10.764</f>
        <v>275.53148999999996</v>
      </c>
      <c r="F423" s="39">
        <f t="shared" si="25"/>
        <v>1275.0173279999999</v>
      </c>
      <c r="G423" s="123"/>
      <c r="H423" s="124"/>
      <c r="I423" s="45"/>
    </row>
    <row r="424" spans="1:12" s="2" customFormat="1" x14ac:dyDescent="0.25">
      <c r="A424" s="120">
        <v>3</v>
      </c>
      <c r="B424" s="120"/>
      <c r="C424" s="39" t="s">
        <v>168</v>
      </c>
      <c r="D424" s="61">
        <f>(37.705+2.825)*10.764</f>
        <v>436.26491999999996</v>
      </c>
      <c r="E424" s="61">
        <v>0</v>
      </c>
      <c r="F424" s="39">
        <f t="shared" si="25"/>
        <v>654.39737999999988</v>
      </c>
      <c r="G424" s="123"/>
      <c r="H424" s="124"/>
      <c r="I424" s="45"/>
    </row>
    <row r="425" spans="1:12" s="2" customFormat="1" x14ac:dyDescent="0.25">
      <c r="A425" s="120">
        <v>4</v>
      </c>
      <c r="B425" s="120"/>
      <c r="C425" s="39" t="s">
        <v>213</v>
      </c>
      <c r="D425" s="61">
        <f>(59.768+10.736+3.05)*10.764</f>
        <v>791.73525599999994</v>
      </c>
      <c r="E425" s="61">
        <v>0</v>
      </c>
      <c r="F425" s="39">
        <f t="shared" si="25"/>
        <v>1187.6028839999999</v>
      </c>
      <c r="G425" s="123"/>
      <c r="H425" s="124"/>
      <c r="I425" s="45"/>
    </row>
    <row r="426" spans="1:12" s="2" customFormat="1" x14ac:dyDescent="0.25">
      <c r="A426" s="120">
        <v>5</v>
      </c>
      <c r="B426" s="120"/>
      <c r="C426" s="39" t="s">
        <v>213</v>
      </c>
      <c r="D426" s="61">
        <f>(59.768+10.736+3.05)*10.764</f>
        <v>791.73525599999994</v>
      </c>
      <c r="E426" s="61">
        <v>0</v>
      </c>
      <c r="F426" s="39">
        <f t="shared" si="25"/>
        <v>1187.6028839999999</v>
      </c>
      <c r="G426" s="123"/>
      <c r="H426" s="124"/>
      <c r="I426" s="45"/>
    </row>
    <row r="427" spans="1:12" s="2" customFormat="1" x14ac:dyDescent="0.25">
      <c r="A427" s="120">
        <v>6</v>
      </c>
      <c r="B427" s="120"/>
      <c r="C427" s="39" t="s">
        <v>168</v>
      </c>
      <c r="D427" s="61">
        <f>(34.374+2.75)*10.764</f>
        <v>399.60273599999999</v>
      </c>
      <c r="E427" s="61">
        <v>0</v>
      </c>
      <c r="F427" s="39">
        <f t="shared" si="25"/>
        <v>599.40410399999996</v>
      </c>
      <c r="G427" s="123"/>
      <c r="H427" s="124"/>
      <c r="I427" s="45"/>
    </row>
    <row r="428" spans="1:12" s="2" customFormat="1" x14ac:dyDescent="0.25">
      <c r="A428" s="120">
        <v>7</v>
      </c>
      <c r="B428" s="120"/>
      <c r="C428" s="39" t="s">
        <v>168</v>
      </c>
      <c r="D428" s="61">
        <f>(37.544+2.825)*10.764</f>
        <v>434.53191599999997</v>
      </c>
      <c r="E428" s="61">
        <v>0</v>
      </c>
      <c r="F428" s="39">
        <f t="shared" si="25"/>
        <v>651.79787399999998</v>
      </c>
      <c r="G428" s="123"/>
      <c r="H428" s="124"/>
      <c r="I428" s="45"/>
    </row>
    <row r="429" spans="1:12" s="2" customFormat="1" x14ac:dyDescent="0.25">
      <c r="A429" s="120">
        <v>8</v>
      </c>
      <c r="B429" s="120"/>
      <c r="C429" s="39" t="s">
        <v>167</v>
      </c>
      <c r="D429" s="61">
        <f>(53.761+2.825)*10.764</f>
        <v>609.09170400000005</v>
      </c>
      <c r="E429" s="61">
        <v>0</v>
      </c>
      <c r="F429" s="39">
        <f t="shared" si="25"/>
        <v>913.63755600000013</v>
      </c>
      <c r="G429" s="123"/>
      <c r="H429" s="124"/>
      <c r="I429" s="45"/>
    </row>
    <row r="430" spans="1:12" s="2" customFormat="1" x14ac:dyDescent="0.25">
      <c r="A430" s="120">
        <v>9</v>
      </c>
      <c r="B430" s="120"/>
      <c r="C430" s="39" t="s">
        <v>167</v>
      </c>
      <c r="D430" s="61">
        <f>(53.761+2.825)*10.764</f>
        <v>609.09170400000005</v>
      </c>
      <c r="E430" s="61">
        <f>(8.8*2.4+0.45*2.75+2.75*2)*10.764</f>
        <v>299.85813000000002</v>
      </c>
      <c r="F430" s="39">
        <f t="shared" si="25"/>
        <v>1213.4956860000002</v>
      </c>
      <c r="G430" s="123"/>
      <c r="H430" s="124"/>
      <c r="I430" s="45"/>
    </row>
    <row r="431" spans="1:12" s="2" customFormat="1" x14ac:dyDescent="0.25">
      <c r="A431" s="120">
        <v>10</v>
      </c>
      <c r="B431" s="120"/>
      <c r="C431" s="39" t="s">
        <v>168</v>
      </c>
      <c r="D431" s="61">
        <f>(38.518+2.825)*10.764</f>
        <v>445.016052</v>
      </c>
      <c r="E431" s="61">
        <f>(8.2*4+0.45*2.75+0.45*2.75)*10.764</f>
        <v>379.70009999999991</v>
      </c>
      <c r="F431" s="39">
        <f t="shared" si="25"/>
        <v>1047.2241779999999</v>
      </c>
      <c r="G431" s="123"/>
      <c r="H431" s="124"/>
      <c r="I431" s="45"/>
    </row>
    <row r="432" spans="1:12" s="2" customFormat="1" x14ac:dyDescent="0.25">
      <c r="A432" s="120">
        <v>11</v>
      </c>
      <c r="B432" s="120"/>
      <c r="C432" s="39" t="s">
        <v>168</v>
      </c>
      <c r="D432" s="61">
        <f>(36.428+2.755)*10.764</f>
        <v>421.76581199999998</v>
      </c>
      <c r="E432" s="61">
        <f>(8.2*4+0.45*2.75+1.1*2.75)*10.764</f>
        <v>398.94074999999992</v>
      </c>
      <c r="F432" s="39">
        <f t="shared" si="25"/>
        <v>1031.5894679999999</v>
      </c>
      <c r="G432" s="125"/>
      <c r="H432" s="126"/>
      <c r="I432" s="45"/>
    </row>
    <row r="433" spans="1:12" s="2" customFormat="1" x14ac:dyDescent="0.25">
      <c r="A433" s="119" t="s">
        <v>215</v>
      </c>
      <c r="B433" s="119"/>
      <c r="C433" s="119"/>
      <c r="D433" s="119"/>
      <c r="E433" s="119"/>
      <c r="F433" s="119"/>
      <c r="G433" s="119"/>
      <c r="H433" s="119"/>
    </row>
    <row r="434" spans="1:12" s="2" customFormat="1" ht="15.75" customHeight="1" x14ac:dyDescent="0.25">
      <c r="A434" s="120">
        <v>1</v>
      </c>
      <c r="B434" s="120"/>
      <c r="C434" s="39" t="s">
        <v>168</v>
      </c>
      <c r="D434" s="61">
        <f>(37.333+2.75)*10.764</f>
        <v>431.45341199999996</v>
      </c>
      <c r="E434" s="39">
        <v>0</v>
      </c>
      <c r="F434" s="39">
        <f t="shared" ref="F434:F444" si="26">D434*1.5+E434</f>
        <v>647.18011799999999</v>
      </c>
      <c r="G434" s="121" t="str">
        <f>A433</f>
        <v>3rd to 7th, 9th to 12th, 14th &amp; 15th Floor</v>
      </c>
      <c r="H434" s="122"/>
      <c r="I434" s="45"/>
      <c r="L434" s="61">
        <v>10.763999999999999</v>
      </c>
    </row>
    <row r="435" spans="1:12" s="2" customFormat="1" x14ac:dyDescent="0.25">
      <c r="A435" s="120">
        <v>2</v>
      </c>
      <c r="B435" s="120"/>
      <c r="C435" s="39" t="s">
        <v>167</v>
      </c>
      <c r="D435" s="61">
        <f>(59.078+2.825)*10.764</f>
        <v>666.323892</v>
      </c>
      <c r="E435" s="39">
        <v>0</v>
      </c>
      <c r="F435" s="39">
        <f t="shared" si="26"/>
        <v>999.48583800000006</v>
      </c>
      <c r="G435" s="123"/>
      <c r="H435" s="124"/>
      <c r="I435" s="45"/>
    </row>
    <row r="436" spans="1:12" s="2" customFormat="1" x14ac:dyDescent="0.25">
      <c r="A436" s="120">
        <v>3</v>
      </c>
      <c r="B436" s="120"/>
      <c r="C436" s="39" t="s">
        <v>168</v>
      </c>
      <c r="D436" s="61">
        <f>(37.705+2.825)*10.764</f>
        <v>436.26491999999996</v>
      </c>
      <c r="E436" s="39">
        <v>0</v>
      </c>
      <c r="F436" s="39">
        <f t="shared" si="26"/>
        <v>654.39737999999988</v>
      </c>
      <c r="G436" s="123"/>
      <c r="H436" s="124"/>
      <c r="I436" s="45"/>
    </row>
    <row r="437" spans="1:12" s="2" customFormat="1" x14ac:dyDescent="0.25">
      <c r="A437" s="120">
        <v>4</v>
      </c>
      <c r="B437" s="120"/>
      <c r="C437" s="39" t="s">
        <v>213</v>
      </c>
      <c r="D437" s="61">
        <f>(59.768+10.736+3.05)*10.764</f>
        <v>791.73525599999994</v>
      </c>
      <c r="E437" s="39">
        <v>0</v>
      </c>
      <c r="F437" s="39">
        <f t="shared" si="26"/>
        <v>1187.6028839999999</v>
      </c>
      <c r="G437" s="123"/>
      <c r="H437" s="124"/>
      <c r="I437" s="45"/>
    </row>
    <row r="438" spans="1:12" s="2" customFormat="1" x14ac:dyDescent="0.25">
      <c r="A438" s="120">
        <v>5</v>
      </c>
      <c r="B438" s="120"/>
      <c r="C438" s="39" t="s">
        <v>213</v>
      </c>
      <c r="D438" s="61">
        <f>(59.768+10.736+3.05)*10.764</f>
        <v>791.73525599999994</v>
      </c>
      <c r="E438" s="39">
        <v>0</v>
      </c>
      <c r="F438" s="39">
        <f t="shared" si="26"/>
        <v>1187.6028839999999</v>
      </c>
      <c r="G438" s="123"/>
      <c r="H438" s="124"/>
      <c r="I438" s="45"/>
    </row>
    <row r="439" spans="1:12" s="2" customFormat="1" x14ac:dyDescent="0.25">
      <c r="A439" s="120">
        <v>6</v>
      </c>
      <c r="B439" s="120"/>
      <c r="C439" s="39" t="s">
        <v>168</v>
      </c>
      <c r="D439" s="61">
        <f>(34.374+2.75)*10.764</f>
        <v>399.60273599999999</v>
      </c>
      <c r="E439" s="39">
        <v>0</v>
      </c>
      <c r="F439" s="39">
        <f t="shared" si="26"/>
        <v>599.40410399999996</v>
      </c>
      <c r="G439" s="123"/>
      <c r="H439" s="124"/>
      <c r="I439" s="45"/>
    </row>
    <row r="440" spans="1:12" s="2" customFormat="1" x14ac:dyDescent="0.25">
      <c r="A440" s="120">
        <v>7</v>
      </c>
      <c r="B440" s="120"/>
      <c r="C440" s="39" t="s">
        <v>168</v>
      </c>
      <c r="D440" s="61">
        <f>(37.544+2.825)*10.764</f>
        <v>434.53191599999997</v>
      </c>
      <c r="E440" s="39">
        <v>0</v>
      </c>
      <c r="F440" s="39">
        <f t="shared" si="26"/>
        <v>651.79787399999998</v>
      </c>
      <c r="G440" s="123"/>
      <c r="H440" s="124"/>
      <c r="I440" s="45"/>
    </row>
    <row r="441" spans="1:12" s="2" customFormat="1" x14ac:dyDescent="0.25">
      <c r="A441" s="120">
        <v>8</v>
      </c>
      <c r="B441" s="120"/>
      <c r="C441" s="39" t="s">
        <v>167</v>
      </c>
      <c r="D441" s="61">
        <f>(53.761+2.825)*10.764</f>
        <v>609.09170400000005</v>
      </c>
      <c r="E441" s="39">
        <v>0</v>
      </c>
      <c r="F441" s="39">
        <f t="shared" si="26"/>
        <v>913.63755600000013</v>
      </c>
      <c r="G441" s="123"/>
      <c r="H441" s="124"/>
      <c r="I441" s="45"/>
    </row>
    <row r="442" spans="1:12" s="2" customFormat="1" x14ac:dyDescent="0.25">
      <c r="A442" s="120">
        <v>9</v>
      </c>
      <c r="B442" s="120"/>
      <c r="C442" s="39" t="s">
        <v>167</v>
      </c>
      <c r="D442" s="61">
        <f>(53.761+2.825)*10.764</f>
        <v>609.09170400000005</v>
      </c>
      <c r="E442" s="39">
        <v>0</v>
      </c>
      <c r="F442" s="39">
        <f t="shared" si="26"/>
        <v>913.63755600000013</v>
      </c>
      <c r="G442" s="123"/>
      <c r="H442" s="124"/>
      <c r="I442" s="45"/>
    </row>
    <row r="443" spans="1:12" s="2" customFormat="1" x14ac:dyDescent="0.25">
      <c r="A443" s="120">
        <v>10</v>
      </c>
      <c r="B443" s="120"/>
      <c r="C443" s="39" t="s">
        <v>168</v>
      </c>
      <c r="D443" s="61">
        <f>(38.518+2.825)*10.764</f>
        <v>445.016052</v>
      </c>
      <c r="E443" s="39">
        <v>0</v>
      </c>
      <c r="F443" s="39">
        <f t="shared" si="26"/>
        <v>667.52407800000003</v>
      </c>
      <c r="G443" s="123"/>
      <c r="H443" s="124"/>
      <c r="I443" s="45"/>
    </row>
    <row r="444" spans="1:12" s="2" customFormat="1" x14ac:dyDescent="0.25">
      <c r="A444" s="120">
        <v>11</v>
      </c>
      <c r="B444" s="120"/>
      <c r="C444" s="39" t="s">
        <v>168</v>
      </c>
      <c r="D444" s="61">
        <f>(36.428+2.755)*10.764</f>
        <v>421.76581199999998</v>
      </c>
      <c r="E444" s="39">
        <v>0</v>
      </c>
      <c r="F444" s="39">
        <f t="shared" si="26"/>
        <v>632.64871799999992</v>
      </c>
      <c r="G444" s="125"/>
      <c r="H444" s="126"/>
      <c r="I444" s="45"/>
      <c r="J444" s="58"/>
    </row>
    <row r="445" spans="1:12" s="2" customFormat="1" x14ac:dyDescent="0.25">
      <c r="A445" s="119" t="s">
        <v>255</v>
      </c>
      <c r="B445" s="119"/>
      <c r="C445" s="119"/>
      <c r="D445" s="119"/>
      <c r="E445" s="119"/>
      <c r="F445" s="119"/>
      <c r="G445" s="119"/>
      <c r="H445" s="119"/>
    </row>
    <row r="446" spans="1:12" s="2" customFormat="1" ht="15.75" customHeight="1" x14ac:dyDescent="0.25">
      <c r="A446" s="120">
        <v>1</v>
      </c>
      <c r="B446" s="120"/>
      <c r="C446" s="39" t="s">
        <v>168</v>
      </c>
      <c r="D446" s="61">
        <f>(37.333+2.75)*10.764</f>
        <v>431.45341199999996</v>
      </c>
      <c r="E446" s="39">
        <v>0</v>
      </c>
      <c r="F446" s="39">
        <f t="shared" ref="F446:F456" si="27">D446*1.5+E446</f>
        <v>647.18011799999999</v>
      </c>
      <c r="G446" s="121" t="str">
        <f>A445</f>
        <v>8th &amp; 13th Floor (Part Refuge Area)</v>
      </c>
      <c r="H446" s="122"/>
      <c r="I446" s="45"/>
      <c r="L446" s="61">
        <v>10.763999999999999</v>
      </c>
    </row>
    <row r="447" spans="1:12" s="2" customFormat="1" x14ac:dyDescent="0.25">
      <c r="A447" s="120">
        <v>2</v>
      </c>
      <c r="B447" s="120"/>
      <c r="C447" s="39" t="s">
        <v>167</v>
      </c>
      <c r="D447" s="61">
        <f>(59.078+2.825)*10.764</f>
        <v>666.323892</v>
      </c>
      <c r="E447" s="39">
        <v>0</v>
      </c>
      <c r="F447" s="39">
        <f t="shared" si="27"/>
        <v>999.48583800000006</v>
      </c>
      <c r="G447" s="123"/>
      <c r="H447" s="124"/>
      <c r="I447" s="45"/>
    </row>
    <row r="448" spans="1:12" s="2" customFormat="1" x14ac:dyDescent="0.25">
      <c r="A448" s="120">
        <v>3</v>
      </c>
      <c r="B448" s="120"/>
      <c r="C448" s="39" t="s">
        <v>168</v>
      </c>
      <c r="D448" s="61">
        <f>(37.705+2.825)*10.764</f>
        <v>436.26491999999996</v>
      </c>
      <c r="E448" s="39">
        <v>0</v>
      </c>
      <c r="F448" s="39">
        <f t="shared" si="27"/>
        <v>654.39737999999988</v>
      </c>
      <c r="G448" s="123"/>
      <c r="H448" s="124"/>
      <c r="I448" s="45"/>
    </row>
    <row r="449" spans="1:12" s="2" customFormat="1" x14ac:dyDescent="0.25">
      <c r="A449" s="120">
        <v>4</v>
      </c>
      <c r="B449" s="120"/>
      <c r="C449" s="39" t="s">
        <v>213</v>
      </c>
      <c r="D449" s="61">
        <f>(59.768+10.736+3.05)*10.764</f>
        <v>791.73525599999994</v>
      </c>
      <c r="E449" s="39">
        <v>0</v>
      </c>
      <c r="F449" s="39">
        <f t="shared" si="27"/>
        <v>1187.6028839999999</v>
      </c>
      <c r="G449" s="123"/>
      <c r="H449" s="124"/>
      <c r="I449" s="45"/>
    </row>
    <row r="450" spans="1:12" s="2" customFormat="1" x14ac:dyDescent="0.25">
      <c r="A450" s="120">
        <v>5</v>
      </c>
      <c r="B450" s="120"/>
      <c r="C450" s="39" t="s">
        <v>213</v>
      </c>
      <c r="D450" s="61">
        <f>(59.768+10.736+3.05)*10.764</f>
        <v>791.73525599999994</v>
      </c>
      <c r="E450" s="39">
        <v>0</v>
      </c>
      <c r="F450" s="39">
        <f t="shared" si="27"/>
        <v>1187.6028839999999</v>
      </c>
      <c r="G450" s="123"/>
      <c r="H450" s="124"/>
      <c r="I450" s="45"/>
    </row>
    <row r="451" spans="1:12" s="2" customFormat="1" x14ac:dyDescent="0.25">
      <c r="A451" s="120">
        <v>6</v>
      </c>
      <c r="B451" s="120"/>
      <c r="C451" s="39" t="s">
        <v>168</v>
      </c>
      <c r="D451" s="61">
        <f>(34.374+2.75)*10.764</f>
        <v>399.60273599999999</v>
      </c>
      <c r="E451" s="39">
        <v>0</v>
      </c>
      <c r="F451" s="39">
        <f t="shared" si="27"/>
        <v>599.40410399999996</v>
      </c>
      <c r="G451" s="123"/>
      <c r="H451" s="124"/>
      <c r="I451" s="45"/>
    </row>
    <row r="452" spans="1:12" s="2" customFormat="1" x14ac:dyDescent="0.25">
      <c r="A452" s="120">
        <v>7</v>
      </c>
      <c r="B452" s="120"/>
      <c r="C452" s="39" t="s">
        <v>168</v>
      </c>
      <c r="D452" s="61">
        <f>(37.544+2.825)*10.764</f>
        <v>434.53191599999997</v>
      </c>
      <c r="E452" s="39">
        <v>0</v>
      </c>
      <c r="F452" s="39">
        <f t="shared" si="27"/>
        <v>651.79787399999998</v>
      </c>
      <c r="G452" s="123"/>
      <c r="H452" s="124"/>
      <c r="I452" s="45"/>
    </row>
    <row r="453" spans="1:12" s="2" customFormat="1" x14ac:dyDescent="0.25">
      <c r="A453" s="120">
        <v>8</v>
      </c>
      <c r="B453" s="120"/>
      <c r="C453" s="39" t="s">
        <v>167</v>
      </c>
      <c r="D453" s="61">
        <f>(53.761+2.825)*10.764</f>
        <v>609.09170400000005</v>
      </c>
      <c r="E453" s="39">
        <v>0</v>
      </c>
      <c r="F453" s="39">
        <f t="shared" si="27"/>
        <v>913.63755600000013</v>
      </c>
      <c r="G453" s="123"/>
      <c r="H453" s="124"/>
      <c r="I453" s="45"/>
    </row>
    <row r="454" spans="1:12" s="2" customFormat="1" x14ac:dyDescent="0.25">
      <c r="A454" s="120">
        <v>9</v>
      </c>
      <c r="B454" s="120"/>
      <c r="C454" s="39" t="s">
        <v>167</v>
      </c>
      <c r="D454" s="61">
        <f>(53.761+2.825)*10.764</f>
        <v>609.09170400000005</v>
      </c>
      <c r="E454" s="39">
        <v>0</v>
      </c>
      <c r="F454" s="39">
        <f t="shared" si="27"/>
        <v>913.63755600000013</v>
      </c>
      <c r="G454" s="123"/>
      <c r="H454" s="124"/>
      <c r="I454" s="45"/>
    </row>
    <row r="455" spans="1:12" s="2" customFormat="1" x14ac:dyDescent="0.25">
      <c r="A455" s="120">
        <v>10</v>
      </c>
      <c r="B455" s="120"/>
      <c r="C455" s="39" t="s">
        <v>168</v>
      </c>
      <c r="D455" s="61">
        <f>(38.518+2.825)*10.764</f>
        <v>445.016052</v>
      </c>
      <c r="E455" s="39">
        <v>0</v>
      </c>
      <c r="F455" s="39">
        <f t="shared" si="27"/>
        <v>667.52407800000003</v>
      </c>
      <c r="G455" s="123"/>
      <c r="H455" s="124"/>
      <c r="I455" s="45"/>
    </row>
    <row r="456" spans="1:12" s="2" customFormat="1" x14ac:dyDescent="0.25">
      <c r="A456" s="120">
        <v>11</v>
      </c>
      <c r="B456" s="120"/>
      <c r="C456" s="39" t="s">
        <v>168</v>
      </c>
      <c r="D456" s="61">
        <f>(36.428+2.755)*10.764</f>
        <v>421.76581199999998</v>
      </c>
      <c r="E456" s="39">
        <v>0</v>
      </c>
      <c r="F456" s="39">
        <f t="shared" si="27"/>
        <v>632.64871799999992</v>
      </c>
      <c r="G456" s="125"/>
      <c r="H456" s="126"/>
      <c r="I456" s="45"/>
      <c r="J456" s="58"/>
    </row>
    <row r="457" spans="1:12" s="2" customFormat="1" x14ac:dyDescent="0.25">
      <c r="A457" s="119" t="s">
        <v>214</v>
      </c>
      <c r="B457" s="119"/>
      <c r="C457" s="119"/>
      <c r="D457" s="119"/>
      <c r="E457" s="119"/>
      <c r="F457" s="119"/>
      <c r="G457" s="119"/>
      <c r="H457" s="119"/>
      <c r="J457" s="61">
        <v>10.763999999999999</v>
      </c>
    </row>
    <row r="458" spans="1:12" s="2" customFormat="1" x14ac:dyDescent="0.25">
      <c r="A458" s="127" t="s">
        <v>208</v>
      </c>
      <c r="B458" s="128"/>
      <c r="C458" s="128"/>
      <c r="D458" s="128"/>
      <c r="E458" s="128"/>
      <c r="F458" s="128"/>
      <c r="G458" s="128"/>
      <c r="H458" s="129"/>
    </row>
    <row r="459" spans="1:12" s="2" customFormat="1" x14ac:dyDescent="0.25">
      <c r="A459" s="127" t="s">
        <v>210</v>
      </c>
      <c r="B459" s="128"/>
      <c r="C459" s="128"/>
      <c r="D459" s="128"/>
      <c r="E459" s="128"/>
      <c r="F459" s="128"/>
      <c r="G459" s="128"/>
      <c r="H459" s="129"/>
      <c r="J459" s="2">
        <f>2.75*1</f>
        <v>2.75</v>
      </c>
    </row>
    <row r="460" spans="1:12" s="2" customFormat="1" x14ac:dyDescent="0.25">
      <c r="A460" s="119" t="s">
        <v>166</v>
      </c>
      <c r="B460" s="119"/>
      <c r="C460" s="119"/>
      <c r="D460" s="119"/>
      <c r="E460" s="119"/>
      <c r="F460" s="119"/>
      <c r="G460" s="119"/>
      <c r="H460" s="119"/>
      <c r="J460" s="2">
        <f>2.75*1</f>
        <v>2.75</v>
      </c>
    </row>
    <row r="461" spans="1:12" s="2" customFormat="1" ht="15.75" customHeight="1" x14ac:dyDescent="0.25">
      <c r="A461" s="120">
        <v>1</v>
      </c>
      <c r="B461" s="120"/>
      <c r="C461" s="39" t="s">
        <v>168</v>
      </c>
      <c r="D461" s="61">
        <f>(35.6+2.75)*10.764</f>
        <v>412.79939999999999</v>
      </c>
      <c r="E461" s="39">
        <v>0</v>
      </c>
      <c r="F461" s="39">
        <f t="shared" ref="F461:F473" si="28">D461*1.5+E461</f>
        <v>619.19910000000004</v>
      </c>
      <c r="G461" s="121" t="str">
        <f>A460</f>
        <v>1st Floor for Residential</v>
      </c>
      <c r="H461" s="122"/>
      <c r="I461" s="45">
        <f>2.75*4.35+2.9*2.25+3.025*1.3+2.75*3.25+2.9*0.9+2.75*3.85+2.1*1.2+2.1*1.2+0.9*0.9</f>
        <v>50.405000000000008</v>
      </c>
      <c r="L461" s="61">
        <v>10.763999999999999</v>
      </c>
    </row>
    <row r="462" spans="1:12" s="2" customFormat="1" x14ac:dyDescent="0.25">
      <c r="A462" s="120">
        <v>2</v>
      </c>
      <c r="B462" s="120"/>
      <c r="C462" s="39" t="s">
        <v>167</v>
      </c>
      <c r="D462" s="61">
        <f>(58.296+2.887+2.825)*10.764</f>
        <v>688.98211199999992</v>
      </c>
      <c r="E462" s="39">
        <v>0</v>
      </c>
      <c r="F462" s="39">
        <f t="shared" si="28"/>
        <v>1033.473168</v>
      </c>
      <c r="G462" s="123"/>
      <c r="H462" s="124"/>
      <c r="I462" s="45">
        <f>2.75*5.25+2.25*2.8+2.75*3.25+1.2*1.9+0.9*1.2+2.4*0.9</f>
        <v>35.195000000000007</v>
      </c>
    </row>
    <row r="463" spans="1:12" s="2" customFormat="1" x14ac:dyDescent="0.25">
      <c r="A463" s="120">
        <v>3</v>
      </c>
      <c r="B463" s="120"/>
      <c r="C463" s="39" t="s">
        <v>168</v>
      </c>
      <c r="D463" s="61">
        <f>(36.818+2.825)*10.764</f>
        <v>426.71725199999997</v>
      </c>
      <c r="E463" s="39">
        <v>0</v>
      </c>
      <c r="F463" s="39">
        <f t="shared" si="28"/>
        <v>640.07587799999999</v>
      </c>
      <c r="G463" s="123"/>
      <c r="H463" s="124"/>
      <c r="I463" s="45"/>
    </row>
    <row r="464" spans="1:12" s="2" customFormat="1" x14ac:dyDescent="0.25">
      <c r="A464" s="120">
        <v>4</v>
      </c>
      <c r="B464" s="120"/>
      <c r="C464" s="39" t="s">
        <v>168</v>
      </c>
      <c r="D464" s="61">
        <f>(36.818+2.825)*10.764</f>
        <v>426.71725199999997</v>
      </c>
      <c r="E464" s="39">
        <v>0</v>
      </c>
      <c r="F464" s="39">
        <f t="shared" si="28"/>
        <v>640.07587799999999</v>
      </c>
      <c r="G464" s="123"/>
      <c r="H464" s="124"/>
      <c r="I464" s="45"/>
    </row>
    <row r="465" spans="1:12" s="2" customFormat="1" x14ac:dyDescent="0.25">
      <c r="A465" s="120">
        <v>5</v>
      </c>
      <c r="B465" s="120"/>
      <c r="C465" s="39" t="s">
        <v>168</v>
      </c>
      <c r="D465" s="61">
        <f>(37.562+2.825)*10.764</f>
        <v>434.72566799999998</v>
      </c>
      <c r="E465" s="39">
        <v>0</v>
      </c>
      <c r="F465" s="39">
        <f t="shared" si="28"/>
        <v>652.08850199999995</v>
      </c>
      <c r="G465" s="123"/>
      <c r="H465" s="124"/>
      <c r="I465" s="45"/>
    </row>
    <row r="466" spans="1:12" s="2" customFormat="1" x14ac:dyDescent="0.25">
      <c r="A466" s="120">
        <v>6</v>
      </c>
      <c r="B466" s="120"/>
      <c r="C466" s="39" t="s">
        <v>167</v>
      </c>
      <c r="D466" s="61">
        <f>(49.206+3.2+2.825)*10.764</f>
        <v>594.50648400000011</v>
      </c>
      <c r="E466" s="39">
        <v>0</v>
      </c>
      <c r="F466" s="39">
        <f t="shared" si="28"/>
        <v>891.75972600000023</v>
      </c>
      <c r="G466" s="123"/>
      <c r="H466" s="124"/>
      <c r="I466" s="45"/>
    </row>
    <row r="467" spans="1:12" s="2" customFormat="1" x14ac:dyDescent="0.25">
      <c r="A467" s="120">
        <v>7</v>
      </c>
      <c r="B467" s="120"/>
      <c r="C467" s="39" t="s">
        <v>167</v>
      </c>
      <c r="D467" s="61">
        <f>(51.798+2.825)*10.764</f>
        <v>587.96197200000006</v>
      </c>
      <c r="E467" s="39">
        <v>0</v>
      </c>
      <c r="F467" s="39">
        <f t="shared" si="28"/>
        <v>881.94295800000009</v>
      </c>
      <c r="G467" s="123"/>
      <c r="H467" s="124"/>
      <c r="I467" s="45"/>
    </row>
    <row r="468" spans="1:12" s="2" customFormat="1" x14ac:dyDescent="0.25">
      <c r="A468" s="120">
        <v>8</v>
      </c>
      <c r="B468" s="120"/>
      <c r="C468" s="39" t="s">
        <v>168</v>
      </c>
      <c r="D468" s="61">
        <f>(36.462+2.825)*10.764</f>
        <v>422.88526800000005</v>
      </c>
      <c r="E468" s="39">
        <v>0</v>
      </c>
      <c r="F468" s="39">
        <f t="shared" si="28"/>
        <v>634.32790200000011</v>
      </c>
      <c r="G468" s="123"/>
      <c r="H468" s="124"/>
      <c r="I468" s="45"/>
    </row>
    <row r="469" spans="1:12" s="2" customFormat="1" x14ac:dyDescent="0.25">
      <c r="A469" s="120">
        <v>9</v>
      </c>
      <c r="B469" s="120"/>
      <c r="C469" s="39" t="s">
        <v>168</v>
      </c>
      <c r="D469" s="61">
        <f>(36.686+2.825)*10.764</f>
        <v>425.296404</v>
      </c>
      <c r="E469" s="39">
        <v>0</v>
      </c>
      <c r="F469" s="39">
        <f t="shared" si="28"/>
        <v>637.94460600000002</v>
      </c>
      <c r="G469" s="123"/>
      <c r="H469" s="124"/>
      <c r="I469" s="45"/>
    </row>
    <row r="470" spans="1:12" s="2" customFormat="1" x14ac:dyDescent="0.25">
      <c r="A470" s="120">
        <v>10</v>
      </c>
      <c r="B470" s="120"/>
      <c r="C470" s="39" t="s">
        <v>168</v>
      </c>
      <c r="D470" s="61">
        <f>(35.242+2.825)*10.764</f>
        <v>409.75318799999997</v>
      </c>
      <c r="E470" s="39">
        <v>0</v>
      </c>
      <c r="F470" s="39">
        <f t="shared" si="28"/>
        <v>614.62978199999998</v>
      </c>
      <c r="G470" s="123"/>
      <c r="H470" s="124"/>
      <c r="I470" s="45"/>
    </row>
    <row r="471" spans="1:12" s="2" customFormat="1" x14ac:dyDescent="0.25">
      <c r="A471" s="120">
        <v>11</v>
      </c>
      <c r="B471" s="120"/>
      <c r="C471" s="39" t="s">
        <v>168</v>
      </c>
      <c r="D471" s="61">
        <f>(50.459+2.825)*10.764</f>
        <v>573.54897600000004</v>
      </c>
      <c r="E471" s="39">
        <v>0</v>
      </c>
      <c r="F471" s="39">
        <f t="shared" si="28"/>
        <v>860.32346400000006</v>
      </c>
      <c r="G471" s="123"/>
      <c r="H471" s="124"/>
      <c r="I471" s="45"/>
    </row>
    <row r="472" spans="1:12" s="2" customFormat="1" x14ac:dyDescent="0.25">
      <c r="A472" s="120">
        <v>12</v>
      </c>
      <c r="B472" s="120"/>
      <c r="C472" s="39" t="s">
        <v>168</v>
      </c>
      <c r="D472" s="61">
        <f>(50.459+2.825)*10.764</f>
        <v>573.54897600000004</v>
      </c>
      <c r="E472" s="39">
        <v>0</v>
      </c>
      <c r="F472" s="39">
        <f t="shared" si="28"/>
        <v>860.32346400000006</v>
      </c>
      <c r="G472" s="123"/>
      <c r="H472" s="124"/>
      <c r="I472" s="45"/>
    </row>
    <row r="473" spans="1:12" s="2" customFormat="1" x14ac:dyDescent="0.25">
      <c r="A473" s="120">
        <v>13</v>
      </c>
      <c r="B473" s="120"/>
      <c r="C473" s="39" t="s">
        <v>168</v>
      </c>
      <c r="D473" s="61">
        <f>(35.242+2.825)*10.764</f>
        <v>409.75318799999997</v>
      </c>
      <c r="E473" s="39">
        <v>0</v>
      </c>
      <c r="F473" s="39">
        <f t="shared" si="28"/>
        <v>614.62978199999998</v>
      </c>
      <c r="G473" s="125"/>
      <c r="H473" s="126"/>
      <c r="I473" s="45"/>
      <c r="J473" s="2">
        <f>2.75*1</f>
        <v>2.75</v>
      </c>
    </row>
    <row r="474" spans="1:12" s="2" customFormat="1" x14ac:dyDescent="0.25">
      <c r="A474" s="119" t="s">
        <v>217</v>
      </c>
      <c r="B474" s="119"/>
      <c r="C474" s="119"/>
      <c r="D474" s="119"/>
      <c r="E474" s="119"/>
      <c r="F474" s="119"/>
      <c r="G474" s="119"/>
      <c r="H474" s="119"/>
      <c r="J474" s="2">
        <f>2.75*1</f>
        <v>2.75</v>
      </c>
    </row>
    <row r="475" spans="1:12" s="2" customFormat="1" ht="15.75" customHeight="1" x14ac:dyDescent="0.25">
      <c r="A475" s="120">
        <v>1</v>
      </c>
      <c r="B475" s="120"/>
      <c r="C475" s="39" t="s">
        <v>168</v>
      </c>
      <c r="D475" s="61">
        <f>(35.6+2.75)*10.764</f>
        <v>412.79939999999999</v>
      </c>
      <c r="E475" s="39">
        <v>0</v>
      </c>
      <c r="F475" s="39">
        <f t="shared" ref="F475:F487" si="29">D475*1.5+E475</f>
        <v>619.19910000000004</v>
      </c>
      <c r="G475" s="121" t="str">
        <f>A474</f>
        <v xml:space="preserve">2nd to 7th, 9th to 12th, 14th &amp; 15th Floor </v>
      </c>
      <c r="H475" s="122"/>
      <c r="I475" s="45">
        <f>2.75*4.35+2.9*2.25+3.025*1.3+2.75*3.25+2.9*0.9+2.75*3.85+2.1*1.2+2.1*1.2+0.9*0.9</f>
        <v>50.405000000000008</v>
      </c>
      <c r="L475" s="61">
        <v>10.763999999999999</v>
      </c>
    </row>
    <row r="476" spans="1:12" s="2" customFormat="1" x14ac:dyDescent="0.25">
      <c r="A476" s="120">
        <v>2</v>
      </c>
      <c r="B476" s="120"/>
      <c r="C476" s="39" t="s">
        <v>167</v>
      </c>
      <c r="D476" s="61">
        <f>(58.296+2.887+2.825)*10.764</f>
        <v>688.98211199999992</v>
      </c>
      <c r="E476" s="39">
        <v>0</v>
      </c>
      <c r="F476" s="39">
        <f t="shared" si="29"/>
        <v>1033.473168</v>
      </c>
      <c r="G476" s="123"/>
      <c r="H476" s="124"/>
      <c r="I476" s="45">
        <f>2.75*5.25+2.25*2.8+2.75*3.25+1.2*1.9+0.9*1.2+2.4*0.9</f>
        <v>35.195000000000007</v>
      </c>
    </row>
    <row r="477" spans="1:12" s="2" customFormat="1" x14ac:dyDescent="0.25">
      <c r="A477" s="120">
        <v>3</v>
      </c>
      <c r="B477" s="120"/>
      <c r="C477" s="39" t="s">
        <v>168</v>
      </c>
      <c r="D477" s="61">
        <f>(36.818+2.825)*10.764</f>
        <v>426.71725199999997</v>
      </c>
      <c r="E477" s="39">
        <v>0</v>
      </c>
      <c r="F477" s="39">
        <f t="shared" si="29"/>
        <v>640.07587799999999</v>
      </c>
      <c r="G477" s="123"/>
      <c r="H477" s="124"/>
      <c r="I477" s="45"/>
    </row>
    <row r="478" spans="1:12" s="2" customFormat="1" x14ac:dyDescent="0.25">
      <c r="A478" s="120">
        <v>4</v>
      </c>
      <c r="B478" s="120"/>
      <c r="C478" s="39" t="s">
        <v>168</v>
      </c>
      <c r="D478" s="61">
        <f>(36.818+2.825)*10.764</f>
        <v>426.71725199999997</v>
      </c>
      <c r="E478" s="39">
        <v>0</v>
      </c>
      <c r="F478" s="39">
        <f t="shared" si="29"/>
        <v>640.07587799999999</v>
      </c>
      <c r="G478" s="123"/>
      <c r="H478" s="124"/>
      <c r="I478" s="45"/>
    </row>
    <row r="479" spans="1:12" s="2" customFormat="1" x14ac:dyDescent="0.25">
      <c r="A479" s="120">
        <v>5</v>
      </c>
      <c r="B479" s="120"/>
      <c r="C479" s="39" t="s">
        <v>168</v>
      </c>
      <c r="D479" s="61">
        <f>(37.562+2.825)*10.764</f>
        <v>434.72566799999998</v>
      </c>
      <c r="E479" s="39">
        <v>0</v>
      </c>
      <c r="F479" s="39">
        <f t="shared" si="29"/>
        <v>652.08850199999995</v>
      </c>
      <c r="G479" s="123"/>
      <c r="H479" s="124"/>
      <c r="I479" s="45"/>
    </row>
    <row r="480" spans="1:12" s="2" customFormat="1" x14ac:dyDescent="0.25">
      <c r="A480" s="120">
        <v>6</v>
      </c>
      <c r="B480" s="120"/>
      <c r="C480" s="39" t="s">
        <v>167</v>
      </c>
      <c r="D480" s="61">
        <f>(49.207+3.2+2.825)*10.764</f>
        <v>594.517248</v>
      </c>
      <c r="E480" s="39">
        <v>0</v>
      </c>
      <c r="F480" s="39">
        <f t="shared" si="29"/>
        <v>891.77587199999994</v>
      </c>
      <c r="G480" s="123"/>
      <c r="H480" s="124"/>
      <c r="I480" s="45"/>
    </row>
    <row r="481" spans="1:12" s="2" customFormat="1" x14ac:dyDescent="0.25">
      <c r="A481" s="120">
        <v>7</v>
      </c>
      <c r="B481" s="120"/>
      <c r="C481" s="39" t="s">
        <v>167</v>
      </c>
      <c r="D481" s="61">
        <f>(51.799+2.825)*10.764</f>
        <v>587.97273599999994</v>
      </c>
      <c r="E481" s="39">
        <v>0</v>
      </c>
      <c r="F481" s="39">
        <f t="shared" si="29"/>
        <v>881.95910399999991</v>
      </c>
      <c r="G481" s="123"/>
      <c r="H481" s="124"/>
      <c r="I481" s="45"/>
    </row>
    <row r="482" spans="1:12" s="2" customFormat="1" x14ac:dyDescent="0.25">
      <c r="A482" s="120">
        <v>8</v>
      </c>
      <c r="B482" s="120"/>
      <c r="C482" s="39" t="s">
        <v>168</v>
      </c>
      <c r="D482" s="61">
        <f>(36.462+2.825)*10.764</f>
        <v>422.88526800000005</v>
      </c>
      <c r="E482" s="39">
        <v>0</v>
      </c>
      <c r="F482" s="39">
        <f t="shared" si="29"/>
        <v>634.32790200000011</v>
      </c>
      <c r="G482" s="123"/>
      <c r="H482" s="124"/>
      <c r="I482" s="45"/>
    </row>
    <row r="483" spans="1:12" s="2" customFormat="1" x14ac:dyDescent="0.25">
      <c r="A483" s="120">
        <v>9</v>
      </c>
      <c r="B483" s="120"/>
      <c r="C483" s="39" t="s">
        <v>168</v>
      </c>
      <c r="D483" s="61">
        <f>(36.686+2.825)*10.764</f>
        <v>425.296404</v>
      </c>
      <c r="E483" s="39">
        <v>0</v>
      </c>
      <c r="F483" s="39">
        <f t="shared" si="29"/>
        <v>637.94460600000002</v>
      </c>
      <c r="G483" s="123"/>
      <c r="H483" s="124"/>
      <c r="I483" s="45"/>
    </row>
    <row r="484" spans="1:12" s="2" customFormat="1" x14ac:dyDescent="0.25">
      <c r="A484" s="120">
        <v>10</v>
      </c>
      <c r="B484" s="120"/>
      <c r="C484" s="39" t="s">
        <v>168</v>
      </c>
      <c r="D484" s="61">
        <f>(35.242+2.825)*10.764</f>
        <v>409.75318799999997</v>
      </c>
      <c r="E484" s="39">
        <v>0</v>
      </c>
      <c r="F484" s="39">
        <f t="shared" si="29"/>
        <v>614.62978199999998</v>
      </c>
      <c r="G484" s="123"/>
      <c r="H484" s="124"/>
      <c r="I484" s="45"/>
    </row>
    <row r="485" spans="1:12" s="2" customFormat="1" x14ac:dyDescent="0.25">
      <c r="A485" s="120">
        <v>11</v>
      </c>
      <c r="B485" s="120"/>
      <c r="C485" s="39" t="s">
        <v>168</v>
      </c>
      <c r="D485" s="61">
        <f>(50.459+2.825)*10.764</f>
        <v>573.54897600000004</v>
      </c>
      <c r="E485" s="39">
        <v>0</v>
      </c>
      <c r="F485" s="39">
        <f t="shared" si="29"/>
        <v>860.32346400000006</v>
      </c>
      <c r="G485" s="123"/>
      <c r="H485" s="124"/>
      <c r="I485" s="45"/>
    </row>
    <row r="486" spans="1:12" s="2" customFormat="1" x14ac:dyDescent="0.25">
      <c r="A486" s="120">
        <v>12</v>
      </c>
      <c r="B486" s="120"/>
      <c r="C486" s="39" t="s">
        <v>168</v>
      </c>
      <c r="D486" s="61">
        <f>(50.459+2.825)*10.764</f>
        <v>573.54897600000004</v>
      </c>
      <c r="E486" s="39">
        <v>0</v>
      </c>
      <c r="F486" s="39">
        <f t="shared" si="29"/>
        <v>860.32346400000006</v>
      </c>
      <c r="G486" s="123"/>
      <c r="H486" s="124"/>
      <c r="I486" s="45"/>
    </row>
    <row r="487" spans="1:12" s="2" customFormat="1" x14ac:dyDescent="0.25">
      <c r="A487" s="120">
        <v>13</v>
      </c>
      <c r="B487" s="120"/>
      <c r="C487" s="39" t="s">
        <v>168</v>
      </c>
      <c r="D487" s="61">
        <f>(35.242+2.825)*10.764</f>
        <v>409.75318799999997</v>
      </c>
      <c r="E487" s="39">
        <v>0</v>
      </c>
      <c r="F487" s="39">
        <f t="shared" si="29"/>
        <v>614.62978199999998</v>
      </c>
      <c r="G487" s="125"/>
      <c r="H487" s="126"/>
      <c r="I487" s="45"/>
    </row>
    <row r="488" spans="1:12" s="2" customFormat="1" x14ac:dyDescent="0.25">
      <c r="A488" s="119" t="s">
        <v>256</v>
      </c>
      <c r="B488" s="119"/>
      <c r="C488" s="119"/>
      <c r="D488" s="119"/>
      <c r="E488" s="119"/>
      <c r="F488" s="119"/>
      <c r="G488" s="119"/>
      <c r="H488" s="119"/>
      <c r="J488" s="2">
        <f>2.75*1</f>
        <v>2.75</v>
      </c>
    </row>
    <row r="489" spans="1:12" s="2" customFormat="1" ht="15.75" customHeight="1" x14ac:dyDescent="0.25">
      <c r="A489" s="120">
        <v>1</v>
      </c>
      <c r="B489" s="120"/>
      <c r="C489" s="39" t="s">
        <v>168</v>
      </c>
      <c r="D489" s="61">
        <f>(35.6+2.75)*10.764</f>
        <v>412.79939999999999</v>
      </c>
      <c r="E489" s="39">
        <v>0</v>
      </c>
      <c r="F489" s="39">
        <f t="shared" ref="F489:F501" si="30">D489*1.5+E489</f>
        <v>619.19910000000004</v>
      </c>
      <c r="G489" s="121" t="str">
        <f>A488</f>
        <v>8th &amp; 13th Floor  (Part Refuge Area)</v>
      </c>
      <c r="H489" s="122"/>
      <c r="I489" s="45">
        <f>2.75*4.35+2.9*2.25+3.025*1.3+2.75*3.25+2.9*0.9+2.75*3.85+2.1*1.2+2.1*1.2+0.9*0.9</f>
        <v>50.405000000000008</v>
      </c>
      <c r="L489" s="61">
        <v>10.763999999999999</v>
      </c>
    </row>
    <row r="490" spans="1:12" s="2" customFormat="1" x14ac:dyDescent="0.25">
      <c r="A490" s="120">
        <v>2</v>
      </c>
      <c r="B490" s="120"/>
      <c r="C490" s="39" t="s">
        <v>167</v>
      </c>
      <c r="D490" s="61">
        <f>(58.296+2.887+2.825)*10.764</f>
        <v>688.98211199999992</v>
      </c>
      <c r="E490" s="39">
        <v>0</v>
      </c>
      <c r="F490" s="39">
        <f t="shared" si="30"/>
        <v>1033.473168</v>
      </c>
      <c r="G490" s="123"/>
      <c r="H490" s="124"/>
      <c r="I490" s="45">
        <f>2.75*5.25+2.25*2.8+2.75*3.25+1.2*1.9+0.9*1.2+2.4*0.9</f>
        <v>35.195000000000007</v>
      </c>
    </row>
    <row r="491" spans="1:12" s="2" customFormat="1" x14ac:dyDescent="0.25">
      <c r="A491" s="120">
        <v>3</v>
      </c>
      <c r="B491" s="120"/>
      <c r="C491" s="131" t="s">
        <v>171</v>
      </c>
      <c r="D491" s="134"/>
      <c r="E491" s="134"/>
      <c r="F491" s="132"/>
      <c r="G491" s="123"/>
      <c r="H491" s="124"/>
      <c r="I491" s="45"/>
    </row>
    <row r="492" spans="1:12" s="2" customFormat="1" x14ac:dyDescent="0.25">
      <c r="A492" s="120">
        <v>4</v>
      </c>
      <c r="B492" s="120"/>
      <c r="C492" s="39" t="s">
        <v>167</v>
      </c>
      <c r="D492" s="61">
        <f>(49.26+2.825)*10.764</f>
        <v>560.64293999999995</v>
      </c>
      <c r="E492" s="39">
        <v>0</v>
      </c>
      <c r="F492" s="39">
        <f t="shared" si="30"/>
        <v>840.96440999999993</v>
      </c>
      <c r="G492" s="123"/>
      <c r="H492" s="124"/>
      <c r="I492" s="45"/>
    </row>
    <row r="493" spans="1:12" s="2" customFormat="1" x14ac:dyDescent="0.25">
      <c r="A493" s="120">
        <v>5</v>
      </c>
      <c r="B493" s="120"/>
      <c r="C493" s="39" t="s">
        <v>168</v>
      </c>
      <c r="D493" s="61">
        <f>(37.562+2.825)*10.764</f>
        <v>434.72566799999998</v>
      </c>
      <c r="E493" s="39">
        <v>0</v>
      </c>
      <c r="F493" s="39">
        <f t="shared" si="30"/>
        <v>652.08850199999995</v>
      </c>
      <c r="G493" s="123"/>
      <c r="H493" s="124"/>
      <c r="I493" s="45"/>
    </row>
    <row r="494" spans="1:12" s="2" customFormat="1" x14ac:dyDescent="0.25">
      <c r="A494" s="120">
        <v>6</v>
      </c>
      <c r="B494" s="120"/>
      <c r="C494" s="39" t="s">
        <v>167</v>
      </c>
      <c r="D494" s="61">
        <f>(49.207+3.2+2.825)*10.764</f>
        <v>594.517248</v>
      </c>
      <c r="E494" s="39">
        <v>0</v>
      </c>
      <c r="F494" s="39">
        <f t="shared" si="30"/>
        <v>891.77587199999994</v>
      </c>
      <c r="G494" s="123"/>
      <c r="H494" s="124"/>
      <c r="I494" s="45"/>
    </row>
    <row r="495" spans="1:12" s="2" customFormat="1" x14ac:dyDescent="0.25">
      <c r="A495" s="120">
        <v>7</v>
      </c>
      <c r="B495" s="120"/>
      <c r="C495" s="39" t="s">
        <v>167</v>
      </c>
      <c r="D495" s="61">
        <f>(51.799+2.825)*10.764</f>
        <v>587.97273599999994</v>
      </c>
      <c r="E495" s="39">
        <v>0</v>
      </c>
      <c r="F495" s="39">
        <f t="shared" si="30"/>
        <v>881.95910399999991</v>
      </c>
      <c r="G495" s="123"/>
      <c r="H495" s="124"/>
      <c r="I495" s="45"/>
    </row>
    <row r="496" spans="1:12" s="2" customFormat="1" x14ac:dyDescent="0.25">
      <c r="A496" s="120">
        <v>8</v>
      </c>
      <c r="B496" s="120"/>
      <c r="C496" s="39" t="s">
        <v>168</v>
      </c>
      <c r="D496" s="61">
        <f>(36.462+2.825)*10.764</f>
        <v>422.88526800000005</v>
      </c>
      <c r="E496" s="39">
        <v>0</v>
      </c>
      <c r="F496" s="39">
        <f t="shared" si="30"/>
        <v>634.32790200000011</v>
      </c>
      <c r="G496" s="123"/>
      <c r="H496" s="124"/>
      <c r="I496" s="45"/>
    </row>
    <row r="497" spans="1:13" s="2" customFormat="1" x14ac:dyDescent="0.25">
      <c r="A497" s="120">
        <v>9</v>
      </c>
      <c r="B497" s="120"/>
      <c r="C497" s="39" t="s">
        <v>168</v>
      </c>
      <c r="D497" s="61">
        <f>(36.686+2.825)*10.764</f>
        <v>425.296404</v>
      </c>
      <c r="E497" s="39">
        <v>0</v>
      </c>
      <c r="F497" s="39">
        <f t="shared" si="30"/>
        <v>637.94460600000002</v>
      </c>
      <c r="G497" s="123"/>
      <c r="H497" s="124"/>
      <c r="I497" s="45"/>
    </row>
    <row r="498" spans="1:13" s="2" customFormat="1" x14ac:dyDescent="0.25">
      <c r="A498" s="120">
        <v>10</v>
      </c>
      <c r="B498" s="120"/>
      <c r="C498" s="39" t="s">
        <v>168</v>
      </c>
      <c r="D498" s="61">
        <f>(35.242+2.825)*10.764</f>
        <v>409.75318799999997</v>
      </c>
      <c r="E498" s="39">
        <v>0</v>
      </c>
      <c r="F498" s="39">
        <f t="shared" si="30"/>
        <v>614.62978199999998</v>
      </c>
      <c r="G498" s="123"/>
      <c r="H498" s="124"/>
      <c r="I498" s="45"/>
    </row>
    <row r="499" spans="1:13" s="2" customFormat="1" x14ac:dyDescent="0.25">
      <c r="A499" s="120">
        <v>11</v>
      </c>
      <c r="B499" s="120"/>
      <c r="C499" s="39" t="s">
        <v>168</v>
      </c>
      <c r="D499" s="61">
        <f>(50.459+2.825)*10.764</f>
        <v>573.54897600000004</v>
      </c>
      <c r="E499" s="39">
        <v>0</v>
      </c>
      <c r="F499" s="39">
        <f t="shared" si="30"/>
        <v>860.32346400000006</v>
      </c>
      <c r="G499" s="123"/>
      <c r="H499" s="124"/>
      <c r="I499" s="45"/>
    </row>
    <row r="500" spans="1:13" s="2" customFormat="1" x14ac:dyDescent="0.25">
      <c r="A500" s="120">
        <v>12</v>
      </c>
      <c r="B500" s="120"/>
      <c r="C500" s="39" t="s">
        <v>168</v>
      </c>
      <c r="D500" s="61">
        <f>(50.459+2.825)*10.764</f>
        <v>573.54897600000004</v>
      </c>
      <c r="E500" s="39">
        <v>0</v>
      </c>
      <c r="F500" s="39">
        <f t="shared" si="30"/>
        <v>860.32346400000006</v>
      </c>
      <c r="G500" s="123"/>
      <c r="H500" s="124"/>
      <c r="I500" s="45"/>
    </row>
    <row r="501" spans="1:13" s="2" customFormat="1" x14ac:dyDescent="0.25">
      <c r="A501" s="120">
        <v>13</v>
      </c>
      <c r="B501" s="120"/>
      <c r="C501" s="39" t="s">
        <v>168</v>
      </c>
      <c r="D501" s="61">
        <f>(35.242+2.825)*10.764</f>
        <v>409.75318799999997</v>
      </c>
      <c r="E501" s="39">
        <v>0</v>
      </c>
      <c r="F501" s="39">
        <f t="shared" si="30"/>
        <v>614.62978199999998</v>
      </c>
      <c r="G501" s="125"/>
      <c r="H501" s="126"/>
      <c r="I501" s="45"/>
    </row>
    <row r="502" spans="1:13" s="2" customFormat="1" x14ac:dyDescent="0.25">
      <c r="A502" s="220" t="s">
        <v>270</v>
      </c>
      <c r="B502" s="220"/>
      <c r="C502" s="220"/>
      <c r="D502" s="220"/>
      <c r="E502" s="220"/>
      <c r="F502" s="220"/>
      <c r="G502" s="220"/>
      <c r="H502" s="220"/>
      <c r="J502" s="58"/>
    </row>
    <row r="503" spans="1:13" s="2" customFormat="1" x14ac:dyDescent="0.25">
      <c r="A503" s="119" t="s">
        <v>218</v>
      </c>
      <c r="B503" s="119"/>
      <c r="C503" s="119"/>
      <c r="D503" s="119"/>
      <c r="E503" s="119"/>
      <c r="F503" s="119"/>
      <c r="G503" s="119"/>
      <c r="H503" s="119"/>
      <c r="J503" s="61">
        <v>10.763999999999999</v>
      </c>
    </row>
    <row r="504" spans="1:13" s="2" customFormat="1" hidden="1" x14ac:dyDescent="0.25">
      <c r="A504" s="127" t="s">
        <v>208</v>
      </c>
      <c r="B504" s="128"/>
      <c r="C504" s="128"/>
      <c r="D504" s="128"/>
      <c r="E504" s="128"/>
      <c r="F504" s="128"/>
      <c r="G504" s="128"/>
      <c r="H504" s="129"/>
    </row>
    <row r="505" spans="1:13" s="2" customFormat="1" x14ac:dyDescent="0.25">
      <c r="A505" s="127" t="s">
        <v>219</v>
      </c>
      <c r="B505" s="128"/>
      <c r="C505" s="128"/>
      <c r="D505" s="128"/>
      <c r="E505" s="128"/>
      <c r="F505" s="128"/>
      <c r="G505" s="128"/>
      <c r="H505" s="129"/>
      <c r="J505" s="2">
        <f>1*2.75</f>
        <v>2.75</v>
      </c>
    </row>
    <row r="506" spans="1:13" s="2" customFormat="1" x14ac:dyDescent="0.25">
      <c r="A506" s="119" t="s">
        <v>223</v>
      </c>
      <c r="B506" s="119"/>
      <c r="C506" s="119"/>
      <c r="D506" s="119"/>
      <c r="E506" s="119"/>
      <c r="F506" s="119"/>
      <c r="G506" s="119"/>
      <c r="H506" s="119"/>
    </row>
    <row r="507" spans="1:13" s="2" customFormat="1" ht="15.75" customHeight="1" x14ac:dyDescent="0.25">
      <c r="A507" s="120">
        <v>1</v>
      </c>
      <c r="B507" s="120"/>
      <c r="C507" s="39" t="s">
        <v>168</v>
      </c>
      <c r="D507" s="61">
        <f>(35.74+2.825)*10.764</f>
        <v>415.11366000000004</v>
      </c>
      <c r="E507" s="39">
        <v>0</v>
      </c>
      <c r="F507" s="39">
        <f t="shared" ref="F507:F519" si="31">D507*1.5+E507</f>
        <v>622.67049000000009</v>
      </c>
      <c r="G507" s="121" t="str">
        <f>A506</f>
        <v>1st to 7th, 9th to 12th, 14th &amp; 15th Floor For Residential</v>
      </c>
      <c r="H507" s="122"/>
      <c r="I507" s="45">
        <f>4.55*2.75+2.6*2.25+3.05*3+0.9*1.2+1.5*1.2+1.2*0.9+2.4*0.9</f>
        <v>33.632500000000007</v>
      </c>
      <c r="L507" s="61">
        <v>10.763999999999999</v>
      </c>
    </row>
    <row r="508" spans="1:13" s="2" customFormat="1" x14ac:dyDescent="0.25">
      <c r="A508" s="120">
        <v>2</v>
      </c>
      <c r="B508" s="120"/>
      <c r="C508" s="39" t="s">
        <v>167</v>
      </c>
      <c r="D508" s="61">
        <f>(51.038+2.825)*10.764</f>
        <v>579.78133199999991</v>
      </c>
      <c r="E508" s="39">
        <v>0</v>
      </c>
      <c r="F508" s="39">
        <f t="shared" si="31"/>
        <v>869.6719979999998</v>
      </c>
      <c r="G508" s="123"/>
      <c r="H508" s="124"/>
      <c r="I508" s="45"/>
    </row>
    <row r="509" spans="1:13" s="2" customFormat="1" x14ac:dyDescent="0.25">
      <c r="A509" s="120">
        <v>3</v>
      </c>
      <c r="B509" s="120"/>
      <c r="C509" s="39" t="s">
        <v>167</v>
      </c>
      <c r="D509" s="61">
        <f>(51.038+2.825)*10.764</f>
        <v>579.78133199999991</v>
      </c>
      <c r="E509" s="39">
        <v>0</v>
      </c>
      <c r="F509" s="39">
        <f t="shared" si="31"/>
        <v>869.6719979999998</v>
      </c>
      <c r="G509" s="123"/>
      <c r="H509" s="124"/>
      <c r="I509" s="45"/>
      <c r="L509" s="2">
        <v>7</v>
      </c>
    </row>
    <row r="510" spans="1:13" s="2" customFormat="1" x14ac:dyDescent="0.25">
      <c r="A510" s="120">
        <v>4</v>
      </c>
      <c r="B510" s="120"/>
      <c r="C510" s="39" t="s">
        <v>168</v>
      </c>
      <c r="D510" s="61">
        <f>(35.74+2.825)*10.764</f>
        <v>415.11366000000004</v>
      </c>
      <c r="E510" s="39">
        <v>0</v>
      </c>
      <c r="F510" s="39">
        <f t="shared" si="31"/>
        <v>622.67049000000009</v>
      </c>
      <c r="G510" s="123"/>
      <c r="H510" s="124"/>
      <c r="I510" s="45"/>
      <c r="L510" s="2">
        <v>4</v>
      </c>
      <c r="M510" s="2">
        <f>2800000/F511</f>
        <v>4714.9963219660831</v>
      </c>
    </row>
    <row r="511" spans="1:13" s="2" customFormat="1" x14ac:dyDescent="0.25">
      <c r="A511" s="120">
        <v>5</v>
      </c>
      <c r="B511" s="120"/>
      <c r="C511" s="39" t="s">
        <v>168</v>
      </c>
      <c r="D511" s="61">
        <f>(33.955+2.825)*10.764</f>
        <v>395.89992000000001</v>
      </c>
      <c r="E511" s="39">
        <v>0</v>
      </c>
      <c r="F511" s="39">
        <f t="shared" si="31"/>
        <v>593.84987999999998</v>
      </c>
      <c r="G511" s="123"/>
      <c r="H511" s="124"/>
      <c r="I511" s="45"/>
      <c r="L511" s="2">
        <v>2</v>
      </c>
    </row>
    <row r="512" spans="1:13" s="2" customFormat="1" x14ac:dyDescent="0.25">
      <c r="A512" s="120">
        <v>6</v>
      </c>
      <c r="B512" s="120"/>
      <c r="C512" s="39" t="s">
        <v>168</v>
      </c>
      <c r="D512" s="61">
        <f>(33.955+2.825)*10.764</f>
        <v>395.89992000000001</v>
      </c>
      <c r="E512" s="39">
        <v>0</v>
      </c>
      <c r="F512" s="39">
        <f t="shared" si="31"/>
        <v>593.84987999999998</v>
      </c>
      <c r="G512" s="123"/>
      <c r="H512" s="124"/>
      <c r="I512" s="45"/>
    </row>
    <row r="513" spans="1:12" s="2" customFormat="1" x14ac:dyDescent="0.25">
      <c r="A513" s="120">
        <v>7</v>
      </c>
      <c r="B513" s="120"/>
      <c r="C513" s="39" t="s">
        <v>167</v>
      </c>
      <c r="D513" s="61">
        <f>(59.82+3.38+2.825)*10.764</f>
        <v>710.69310000000007</v>
      </c>
      <c r="E513" s="39">
        <v>0</v>
      </c>
      <c r="F513" s="39">
        <f t="shared" si="31"/>
        <v>1066.0396500000002</v>
      </c>
      <c r="G513" s="123"/>
      <c r="H513" s="124"/>
      <c r="I513" s="45"/>
    </row>
    <row r="514" spans="1:12" s="2" customFormat="1" x14ac:dyDescent="0.25">
      <c r="A514" s="120">
        <v>8</v>
      </c>
      <c r="B514" s="120"/>
      <c r="C514" s="39" t="s">
        <v>167</v>
      </c>
      <c r="D514" s="61">
        <f>(59.82+3.38+2.825)*10.764</f>
        <v>710.69310000000007</v>
      </c>
      <c r="E514" s="39">
        <v>0</v>
      </c>
      <c r="F514" s="39">
        <f t="shared" si="31"/>
        <v>1066.0396500000002</v>
      </c>
      <c r="G514" s="123"/>
      <c r="H514" s="124"/>
      <c r="I514" s="45"/>
    </row>
    <row r="515" spans="1:12" s="2" customFormat="1" x14ac:dyDescent="0.25">
      <c r="A515" s="120">
        <v>9</v>
      </c>
      <c r="B515" s="120"/>
      <c r="C515" s="39" t="s">
        <v>168</v>
      </c>
      <c r="D515" s="61">
        <f>(35.71+2.825)*10.764</f>
        <v>414.79074000000003</v>
      </c>
      <c r="E515" s="39">
        <v>0</v>
      </c>
      <c r="F515" s="39">
        <f t="shared" si="31"/>
        <v>622.1861100000001</v>
      </c>
      <c r="G515" s="123"/>
      <c r="H515" s="124"/>
      <c r="I515" s="45"/>
    </row>
    <row r="516" spans="1:12" s="2" customFormat="1" x14ac:dyDescent="0.25">
      <c r="A516" s="120">
        <v>10</v>
      </c>
      <c r="B516" s="120"/>
      <c r="C516" s="39" t="s">
        <v>168</v>
      </c>
      <c r="D516" s="61">
        <f>(35.405+2.825)*10.764</f>
        <v>411.50772000000001</v>
      </c>
      <c r="E516" s="39">
        <v>0</v>
      </c>
      <c r="F516" s="39">
        <f t="shared" si="31"/>
        <v>617.26157999999998</v>
      </c>
      <c r="G516" s="123"/>
      <c r="H516" s="124"/>
      <c r="I516" s="45"/>
    </row>
    <row r="517" spans="1:12" s="2" customFormat="1" x14ac:dyDescent="0.25">
      <c r="A517" s="120">
        <v>11</v>
      </c>
      <c r="B517" s="120"/>
      <c r="C517" s="39" t="s">
        <v>168</v>
      </c>
      <c r="D517" s="61">
        <f>(35.405+2.825)*10.764</f>
        <v>411.50772000000001</v>
      </c>
      <c r="E517" s="39">
        <v>0</v>
      </c>
      <c r="F517" s="39">
        <f t="shared" si="31"/>
        <v>617.26157999999998</v>
      </c>
      <c r="G517" s="123"/>
      <c r="H517" s="124"/>
      <c r="I517" s="45"/>
    </row>
    <row r="518" spans="1:12" s="2" customFormat="1" x14ac:dyDescent="0.25">
      <c r="A518" s="120">
        <v>12</v>
      </c>
      <c r="B518" s="120"/>
      <c r="C518" s="39" t="s">
        <v>167</v>
      </c>
      <c r="D518" s="61">
        <f>(56.818+2.825)*10.764</f>
        <v>641.997252</v>
      </c>
      <c r="E518" s="39">
        <v>0</v>
      </c>
      <c r="F518" s="39">
        <f t="shared" si="31"/>
        <v>962.99587799999995</v>
      </c>
      <c r="G518" s="123"/>
      <c r="H518" s="124"/>
      <c r="I518" s="45"/>
    </row>
    <row r="519" spans="1:12" s="2" customFormat="1" x14ac:dyDescent="0.25">
      <c r="A519" s="120">
        <v>13</v>
      </c>
      <c r="B519" s="120"/>
      <c r="C519" s="39" t="s">
        <v>168</v>
      </c>
      <c r="D519" s="61">
        <f>(34.809+2.75)*10.764</f>
        <v>404.28507599999995</v>
      </c>
      <c r="E519" s="39">
        <v>0</v>
      </c>
      <c r="F519" s="39">
        <f t="shared" si="31"/>
        <v>606.42761399999995</v>
      </c>
      <c r="G519" s="125"/>
      <c r="H519" s="126"/>
      <c r="I519" s="45"/>
      <c r="J519" s="2">
        <f>1*2.75</f>
        <v>2.75</v>
      </c>
    </row>
    <row r="520" spans="1:12" s="2" customFormat="1" x14ac:dyDescent="0.25">
      <c r="A520" s="119" t="s">
        <v>255</v>
      </c>
      <c r="B520" s="119"/>
      <c r="C520" s="119"/>
      <c r="D520" s="119"/>
      <c r="E520" s="119"/>
      <c r="F520" s="119"/>
      <c r="G520" s="119"/>
      <c r="H520" s="119"/>
    </row>
    <row r="521" spans="1:12" s="2" customFormat="1" ht="15.75" customHeight="1" x14ac:dyDescent="0.25">
      <c r="A521" s="120">
        <v>1</v>
      </c>
      <c r="B521" s="120"/>
      <c r="C521" s="39" t="s">
        <v>168</v>
      </c>
      <c r="D521" s="61">
        <f>(35.74+2.825)*10.764</f>
        <v>415.11366000000004</v>
      </c>
      <c r="E521" s="39">
        <v>0</v>
      </c>
      <c r="F521" s="39">
        <f t="shared" ref="F521:F524" si="32">D521*1.5+E521</f>
        <v>622.67049000000009</v>
      </c>
      <c r="G521" s="121" t="str">
        <f>A520</f>
        <v>8th &amp; 13th Floor (Part Refuge Area)</v>
      </c>
      <c r="H521" s="122"/>
      <c r="I521" s="45">
        <f>4.55*2.75+2.6*2.25+3.05*3+0.9*1.2+1.5*1.2+1.2*0.9+2.4*0.9</f>
        <v>33.632500000000007</v>
      </c>
      <c r="L521" s="61">
        <v>10.763999999999999</v>
      </c>
    </row>
    <row r="522" spans="1:12" s="2" customFormat="1" x14ac:dyDescent="0.25">
      <c r="A522" s="120">
        <v>2</v>
      </c>
      <c r="B522" s="120"/>
      <c r="C522" s="39" t="s">
        <v>167</v>
      </c>
      <c r="D522" s="61">
        <f>(51.038+2.825)*10.764</f>
        <v>579.78133199999991</v>
      </c>
      <c r="E522" s="39">
        <v>0</v>
      </c>
      <c r="F522" s="39">
        <f t="shared" si="32"/>
        <v>869.6719979999998</v>
      </c>
      <c r="G522" s="123"/>
      <c r="H522" s="124"/>
      <c r="I522" s="45"/>
    </row>
    <row r="523" spans="1:12" s="2" customFormat="1" x14ac:dyDescent="0.25">
      <c r="A523" s="120">
        <v>3</v>
      </c>
      <c r="B523" s="120"/>
      <c r="C523" s="39" t="s">
        <v>167</v>
      </c>
      <c r="D523" s="61">
        <f>(51.038+2.825)*10.764</f>
        <v>579.78133199999991</v>
      </c>
      <c r="E523" s="39">
        <v>0</v>
      </c>
      <c r="F523" s="39">
        <f t="shared" si="32"/>
        <v>869.6719979999998</v>
      </c>
      <c r="G523" s="123"/>
      <c r="H523" s="124"/>
      <c r="I523" s="45"/>
    </row>
    <row r="524" spans="1:12" s="2" customFormat="1" x14ac:dyDescent="0.25">
      <c r="A524" s="120">
        <v>4</v>
      </c>
      <c r="B524" s="120"/>
      <c r="C524" s="39" t="s">
        <v>168</v>
      </c>
      <c r="D524" s="61">
        <f>(35.74+2.825)*10.764</f>
        <v>415.11366000000004</v>
      </c>
      <c r="E524" s="39">
        <v>0</v>
      </c>
      <c r="F524" s="39">
        <f t="shared" si="32"/>
        <v>622.67049000000009</v>
      </c>
      <c r="G524" s="123"/>
      <c r="H524" s="124"/>
      <c r="I524" s="45"/>
    </row>
    <row r="525" spans="1:12" s="2" customFormat="1" x14ac:dyDescent="0.25">
      <c r="A525" s="120">
        <v>5</v>
      </c>
      <c r="B525" s="120"/>
      <c r="C525" s="131" t="s">
        <v>171</v>
      </c>
      <c r="D525" s="134"/>
      <c r="E525" s="134"/>
      <c r="F525" s="132"/>
      <c r="G525" s="123"/>
      <c r="H525" s="124"/>
      <c r="I525" s="45"/>
    </row>
    <row r="526" spans="1:12" s="2" customFormat="1" x14ac:dyDescent="0.25">
      <c r="A526" s="120">
        <v>6</v>
      </c>
      <c r="B526" s="120"/>
      <c r="C526" s="39" t="s">
        <v>168</v>
      </c>
      <c r="D526" s="61">
        <f>(33.955+2.9)*10.764</f>
        <v>396.70721999999995</v>
      </c>
      <c r="E526" s="39">
        <v>0</v>
      </c>
      <c r="F526" s="39">
        <f t="shared" ref="F526:F533" si="33">D526*1.5+E526</f>
        <v>595.0608299999999</v>
      </c>
      <c r="G526" s="123"/>
      <c r="H526" s="124"/>
      <c r="I526" s="45"/>
    </row>
    <row r="527" spans="1:12" s="2" customFormat="1" x14ac:dyDescent="0.25">
      <c r="A527" s="120">
        <v>7</v>
      </c>
      <c r="B527" s="120"/>
      <c r="C527" s="39" t="s">
        <v>167</v>
      </c>
      <c r="D527" s="61">
        <f>(59.82+3.38+2.825)*10.764</f>
        <v>710.69310000000007</v>
      </c>
      <c r="E527" s="39">
        <v>0</v>
      </c>
      <c r="F527" s="39">
        <f t="shared" si="33"/>
        <v>1066.0396500000002</v>
      </c>
      <c r="G527" s="123"/>
      <c r="H527" s="124"/>
      <c r="I527" s="45"/>
    </row>
    <row r="528" spans="1:12" s="2" customFormat="1" x14ac:dyDescent="0.25">
      <c r="A528" s="120">
        <v>8</v>
      </c>
      <c r="B528" s="120"/>
      <c r="C528" s="39" t="s">
        <v>167</v>
      </c>
      <c r="D528" s="61">
        <f>(59.82+3.38+2.825)*10.764</f>
        <v>710.69310000000007</v>
      </c>
      <c r="E528" s="39">
        <v>0</v>
      </c>
      <c r="F528" s="39">
        <f t="shared" si="33"/>
        <v>1066.0396500000002</v>
      </c>
      <c r="G528" s="123"/>
      <c r="H528" s="124"/>
      <c r="I528" s="45"/>
    </row>
    <row r="529" spans="1:12" s="2" customFormat="1" x14ac:dyDescent="0.25">
      <c r="A529" s="120">
        <v>9</v>
      </c>
      <c r="B529" s="120"/>
      <c r="C529" s="39" t="s">
        <v>168</v>
      </c>
      <c r="D529" s="61">
        <f>(35.71+2.825)*10.764</f>
        <v>414.79074000000003</v>
      </c>
      <c r="E529" s="39">
        <v>0</v>
      </c>
      <c r="F529" s="39">
        <f t="shared" si="33"/>
        <v>622.1861100000001</v>
      </c>
      <c r="G529" s="123"/>
      <c r="H529" s="124"/>
      <c r="I529" s="45"/>
    </row>
    <row r="530" spans="1:12" s="2" customFormat="1" x14ac:dyDescent="0.25">
      <c r="A530" s="120">
        <v>10</v>
      </c>
      <c r="B530" s="120"/>
      <c r="C530" s="39" t="s">
        <v>168</v>
      </c>
      <c r="D530" s="61">
        <f>(35.405+2.825)*10.764</f>
        <v>411.50772000000001</v>
      </c>
      <c r="E530" s="39">
        <v>0</v>
      </c>
      <c r="F530" s="39">
        <f t="shared" si="33"/>
        <v>617.26157999999998</v>
      </c>
      <c r="G530" s="123"/>
      <c r="H530" s="124"/>
      <c r="I530" s="45"/>
    </row>
    <row r="531" spans="1:12" s="2" customFormat="1" x14ac:dyDescent="0.25">
      <c r="A531" s="120">
        <v>11</v>
      </c>
      <c r="B531" s="120"/>
      <c r="C531" s="39" t="s">
        <v>168</v>
      </c>
      <c r="D531" s="61">
        <f>(35.405+2.825)*10.764</f>
        <v>411.50772000000001</v>
      </c>
      <c r="E531" s="39">
        <v>0</v>
      </c>
      <c r="F531" s="39">
        <f t="shared" si="33"/>
        <v>617.26157999999998</v>
      </c>
      <c r="G531" s="123"/>
      <c r="H531" s="124"/>
      <c r="I531" s="45"/>
    </row>
    <row r="532" spans="1:12" s="2" customFormat="1" x14ac:dyDescent="0.25">
      <c r="A532" s="120">
        <v>12</v>
      </c>
      <c r="B532" s="120"/>
      <c r="C532" s="39" t="s">
        <v>167</v>
      </c>
      <c r="D532" s="61">
        <f>(56.818+2.825)*10.764</f>
        <v>641.997252</v>
      </c>
      <c r="E532" s="39">
        <v>0</v>
      </c>
      <c r="F532" s="39">
        <f t="shared" si="33"/>
        <v>962.99587799999995</v>
      </c>
      <c r="G532" s="123"/>
      <c r="H532" s="124"/>
      <c r="I532" s="45"/>
    </row>
    <row r="533" spans="1:12" s="2" customFormat="1" x14ac:dyDescent="0.25">
      <c r="A533" s="120">
        <v>13</v>
      </c>
      <c r="B533" s="120"/>
      <c r="C533" s="39" t="s">
        <v>168</v>
      </c>
      <c r="D533" s="61">
        <f>(34.809+2.75)*10.764</f>
        <v>404.28507599999995</v>
      </c>
      <c r="E533" s="39">
        <v>0</v>
      </c>
      <c r="F533" s="39">
        <f t="shared" si="33"/>
        <v>606.42761399999995</v>
      </c>
      <c r="G533" s="125"/>
      <c r="H533" s="126"/>
      <c r="I533" s="45"/>
    </row>
    <row r="534" spans="1:12" s="2" customFormat="1" x14ac:dyDescent="0.25">
      <c r="A534" s="119" t="s">
        <v>224</v>
      </c>
      <c r="B534" s="119"/>
      <c r="C534" s="119"/>
      <c r="D534" s="119"/>
      <c r="E534" s="119"/>
      <c r="F534" s="119"/>
      <c r="G534" s="119"/>
      <c r="H534" s="119"/>
    </row>
    <row r="535" spans="1:12" s="2" customFormat="1" x14ac:dyDescent="0.25">
      <c r="A535" s="119" t="s">
        <v>225</v>
      </c>
      <c r="B535" s="119"/>
      <c r="C535" s="119"/>
      <c r="D535" s="119"/>
      <c r="E535" s="119"/>
      <c r="F535" s="119"/>
      <c r="G535" s="119"/>
      <c r="H535" s="119"/>
    </row>
    <row r="536" spans="1:12" s="2" customFormat="1" ht="15.75" customHeight="1" x14ac:dyDescent="0.25">
      <c r="A536" s="120">
        <v>1</v>
      </c>
      <c r="B536" s="120"/>
      <c r="C536" s="39" t="s">
        <v>168</v>
      </c>
      <c r="D536" s="61">
        <f>(36.337+2.75)*10.764</f>
        <v>420.73246799999998</v>
      </c>
      <c r="E536" s="61">
        <f>(8.3*4.85+0.45*2.75+1*2.75+1.7*4.2)*10.764</f>
        <v>553.08123000000001</v>
      </c>
      <c r="F536" s="39">
        <f t="shared" ref="F536:F546" si="34">D536*1.5+E536</f>
        <v>1184.179932</v>
      </c>
      <c r="G536" s="121" t="str">
        <f>A535</f>
        <v>1st Floor For Residential</v>
      </c>
      <c r="H536" s="122"/>
      <c r="I536" s="45"/>
      <c r="L536" s="61">
        <v>10.763999999999999</v>
      </c>
    </row>
    <row r="537" spans="1:12" s="2" customFormat="1" x14ac:dyDescent="0.25">
      <c r="A537" s="120">
        <v>2</v>
      </c>
      <c r="B537" s="120"/>
      <c r="C537" s="39" t="s">
        <v>168</v>
      </c>
      <c r="D537" s="61">
        <f>(38.518+2.825)*10.764</f>
        <v>445.016052</v>
      </c>
      <c r="E537" s="61">
        <f>(8.2*4.8+0.45*2.75+0.45*2.75)*10.764</f>
        <v>450.31193999999982</v>
      </c>
      <c r="F537" s="39">
        <f t="shared" si="34"/>
        <v>1117.836018</v>
      </c>
      <c r="G537" s="123"/>
      <c r="H537" s="124"/>
      <c r="I537" s="45"/>
    </row>
    <row r="538" spans="1:12" s="2" customFormat="1" x14ac:dyDescent="0.25">
      <c r="A538" s="120">
        <v>3</v>
      </c>
      <c r="B538" s="120"/>
      <c r="C538" s="39" t="s">
        <v>167</v>
      </c>
      <c r="D538" s="61">
        <f>(53.63+2.825)*10.764</f>
        <v>607.68162000000007</v>
      </c>
      <c r="E538" s="61">
        <f>(8.7*3.1+0.45*2.75+2.75*2.05)*10.764</f>
        <v>364.30757999999997</v>
      </c>
      <c r="F538" s="39">
        <f t="shared" si="34"/>
        <v>1275.8300100000001</v>
      </c>
      <c r="G538" s="123"/>
      <c r="H538" s="124"/>
      <c r="I538" s="45"/>
    </row>
    <row r="539" spans="1:12" s="2" customFormat="1" x14ac:dyDescent="0.25">
      <c r="A539" s="120">
        <v>4</v>
      </c>
      <c r="B539" s="120"/>
      <c r="C539" s="39" t="s">
        <v>167</v>
      </c>
      <c r="D539" s="61">
        <f>(53.92+2.825)*10.764</f>
        <v>610.80318</v>
      </c>
      <c r="E539" s="61">
        <v>0</v>
      </c>
      <c r="F539" s="39">
        <f t="shared" si="34"/>
        <v>916.20477000000005</v>
      </c>
      <c r="G539" s="123"/>
      <c r="H539" s="124"/>
      <c r="I539" s="45"/>
    </row>
    <row r="540" spans="1:12" s="2" customFormat="1" x14ac:dyDescent="0.25">
      <c r="A540" s="120">
        <v>5</v>
      </c>
      <c r="B540" s="120"/>
      <c r="C540" s="39" t="s">
        <v>168</v>
      </c>
      <c r="D540" s="61">
        <f>(38.842+2.825)*10.764</f>
        <v>448.50358799999998</v>
      </c>
      <c r="E540" s="61">
        <v>0</v>
      </c>
      <c r="F540" s="39">
        <f t="shared" si="34"/>
        <v>672.75538199999994</v>
      </c>
      <c r="G540" s="123"/>
      <c r="H540" s="124"/>
      <c r="I540" s="45"/>
    </row>
    <row r="541" spans="1:12" s="2" customFormat="1" x14ac:dyDescent="0.25">
      <c r="A541" s="120">
        <v>6</v>
      </c>
      <c r="B541" s="120"/>
      <c r="C541" s="39" t="s">
        <v>168</v>
      </c>
      <c r="D541" s="61">
        <f>(36.372+2.75)*10.764</f>
        <v>421.10920799999997</v>
      </c>
      <c r="E541" s="61">
        <v>0</v>
      </c>
      <c r="F541" s="39">
        <f t="shared" si="34"/>
        <v>631.66381200000001</v>
      </c>
      <c r="G541" s="123"/>
      <c r="H541" s="124"/>
      <c r="I541" s="45"/>
    </row>
    <row r="542" spans="1:12" s="2" customFormat="1" x14ac:dyDescent="0.25">
      <c r="A542" s="120">
        <v>7</v>
      </c>
      <c r="B542" s="120"/>
      <c r="C542" s="39" t="s">
        <v>213</v>
      </c>
      <c r="D542" s="61">
        <f>(59.915+10.607+3.05)*10.764</f>
        <v>791.92900799999984</v>
      </c>
      <c r="E542" s="61">
        <v>0</v>
      </c>
      <c r="F542" s="39">
        <f t="shared" si="34"/>
        <v>1187.8935119999996</v>
      </c>
      <c r="G542" s="123"/>
      <c r="H542" s="124"/>
      <c r="I542" s="45"/>
    </row>
    <row r="543" spans="1:12" s="2" customFormat="1" x14ac:dyDescent="0.25">
      <c r="A543" s="120">
        <v>8</v>
      </c>
      <c r="B543" s="120"/>
      <c r="C543" s="39" t="s">
        <v>213</v>
      </c>
      <c r="D543" s="61">
        <f>(59.98+10.607+3.05)*10.764</f>
        <v>792.62866799999983</v>
      </c>
      <c r="E543" s="61">
        <v>0</v>
      </c>
      <c r="F543" s="39">
        <f t="shared" si="34"/>
        <v>1188.9430019999998</v>
      </c>
      <c r="G543" s="123"/>
      <c r="H543" s="124"/>
      <c r="I543" s="45"/>
    </row>
    <row r="544" spans="1:12" s="2" customFormat="1" x14ac:dyDescent="0.25">
      <c r="A544" s="120">
        <v>9</v>
      </c>
      <c r="B544" s="120"/>
      <c r="C544" s="39" t="s">
        <v>168</v>
      </c>
      <c r="D544" s="61">
        <f>(38.938+2.825)*10.764</f>
        <v>449.53693200000004</v>
      </c>
      <c r="E544" s="61">
        <v>0</v>
      </c>
      <c r="F544" s="39">
        <f t="shared" si="34"/>
        <v>674.30539800000008</v>
      </c>
      <c r="G544" s="123"/>
      <c r="H544" s="124"/>
      <c r="I544" s="45"/>
    </row>
    <row r="545" spans="1:12" s="2" customFormat="1" x14ac:dyDescent="0.25">
      <c r="A545" s="120">
        <v>10</v>
      </c>
      <c r="B545" s="120"/>
      <c r="C545" s="39" t="s">
        <v>167</v>
      </c>
      <c r="D545" s="61">
        <f>(59.023+2.968+2.825)*10.764</f>
        <v>697.67942400000004</v>
      </c>
      <c r="E545" s="61">
        <f>(8.5*3.7+0.45*2.8)*10.764</f>
        <v>352.09044</v>
      </c>
      <c r="F545" s="39">
        <f t="shared" si="34"/>
        <v>1398.6095760000001</v>
      </c>
      <c r="G545" s="123"/>
      <c r="H545" s="124"/>
      <c r="I545" s="45"/>
    </row>
    <row r="546" spans="1:12" s="2" customFormat="1" x14ac:dyDescent="0.25">
      <c r="A546" s="120">
        <v>11</v>
      </c>
      <c r="B546" s="120"/>
      <c r="C546" s="39" t="s">
        <v>168</v>
      </c>
      <c r="D546" s="61">
        <f>(37.085+2.75)*10.764</f>
        <v>428.78393999999997</v>
      </c>
      <c r="E546" s="61">
        <f>(9.95*3.7+0.45*2.75+2.75*2.2+0.5*1.7)*10.764</f>
        <v>483.86870999999991</v>
      </c>
      <c r="F546" s="39">
        <f t="shared" si="34"/>
        <v>1127.0446199999999</v>
      </c>
      <c r="G546" s="125"/>
      <c r="H546" s="126"/>
      <c r="I546" s="45"/>
    </row>
    <row r="547" spans="1:12" s="2" customFormat="1" x14ac:dyDescent="0.25">
      <c r="A547" s="119" t="s">
        <v>226</v>
      </c>
      <c r="B547" s="119"/>
      <c r="C547" s="119"/>
      <c r="D547" s="119"/>
      <c r="E547" s="119"/>
      <c r="F547" s="119"/>
      <c r="G547" s="119"/>
      <c r="H547" s="119"/>
    </row>
    <row r="548" spans="1:12" s="2" customFormat="1" ht="15.75" customHeight="1" x14ac:dyDescent="0.25">
      <c r="A548" s="120">
        <v>1</v>
      </c>
      <c r="B548" s="120"/>
      <c r="C548" s="39" t="s">
        <v>168</v>
      </c>
      <c r="D548" s="61">
        <f>(36.337+2.75)*10.764</f>
        <v>420.73246799999998</v>
      </c>
      <c r="E548" s="39">
        <v>0</v>
      </c>
      <c r="F548" s="39">
        <f t="shared" ref="F548:F558" si="35">D548*1.5+E548</f>
        <v>631.098702</v>
      </c>
      <c r="G548" s="121" t="str">
        <f>A547</f>
        <v>2nd to 7th, 9th to 12th, 14th &amp; 15th Floor</v>
      </c>
      <c r="H548" s="122"/>
      <c r="I548" s="45"/>
      <c r="L548" s="61">
        <v>10.763999999999999</v>
      </c>
    </row>
    <row r="549" spans="1:12" s="2" customFormat="1" x14ac:dyDescent="0.25">
      <c r="A549" s="120">
        <v>2</v>
      </c>
      <c r="B549" s="120"/>
      <c r="C549" s="39" t="s">
        <v>168</v>
      </c>
      <c r="D549" s="61">
        <f>(38.518+2.825)*10.764</f>
        <v>445.016052</v>
      </c>
      <c r="E549" s="39">
        <v>0</v>
      </c>
      <c r="F549" s="39">
        <f t="shared" si="35"/>
        <v>667.52407800000003</v>
      </c>
      <c r="G549" s="123"/>
      <c r="H549" s="124"/>
      <c r="I549" s="45"/>
    </row>
    <row r="550" spans="1:12" s="2" customFormat="1" x14ac:dyDescent="0.25">
      <c r="A550" s="120">
        <v>3</v>
      </c>
      <c r="B550" s="120"/>
      <c r="C550" s="39" t="s">
        <v>167</v>
      </c>
      <c r="D550" s="61">
        <f>(53.63+2.825)*10.764</f>
        <v>607.68162000000007</v>
      </c>
      <c r="E550" s="39">
        <v>0</v>
      </c>
      <c r="F550" s="39">
        <f t="shared" si="35"/>
        <v>911.5224300000001</v>
      </c>
      <c r="G550" s="123"/>
      <c r="H550" s="124"/>
      <c r="I550" s="45"/>
    </row>
    <row r="551" spans="1:12" s="2" customFormat="1" x14ac:dyDescent="0.25">
      <c r="A551" s="120">
        <v>4</v>
      </c>
      <c r="B551" s="120"/>
      <c r="C551" s="39" t="s">
        <v>167</v>
      </c>
      <c r="D551" s="61">
        <f>(53.92+2.825)*10.764</f>
        <v>610.80318</v>
      </c>
      <c r="E551" s="39">
        <v>0</v>
      </c>
      <c r="F551" s="39">
        <f t="shared" si="35"/>
        <v>916.20477000000005</v>
      </c>
      <c r="G551" s="123"/>
      <c r="H551" s="124"/>
      <c r="I551" s="45"/>
    </row>
    <row r="552" spans="1:12" s="2" customFormat="1" x14ac:dyDescent="0.25">
      <c r="A552" s="120">
        <v>5</v>
      </c>
      <c r="B552" s="120"/>
      <c r="C552" s="39" t="s">
        <v>168</v>
      </c>
      <c r="D552" s="61">
        <f>(38.842+2.825)*10.764</f>
        <v>448.50358799999998</v>
      </c>
      <c r="E552" s="39">
        <v>0</v>
      </c>
      <c r="F552" s="39">
        <f t="shared" si="35"/>
        <v>672.75538199999994</v>
      </c>
      <c r="G552" s="123"/>
      <c r="H552" s="124"/>
      <c r="I552" s="45"/>
    </row>
    <row r="553" spans="1:12" s="2" customFormat="1" x14ac:dyDescent="0.25">
      <c r="A553" s="120">
        <v>6</v>
      </c>
      <c r="B553" s="120"/>
      <c r="C553" s="39" t="s">
        <v>168</v>
      </c>
      <c r="D553" s="61">
        <f>(36.372+2.75)*10.764</f>
        <v>421.10920799999997</v>
      </c>
      <c r="E553" s="39">
        <v>0</v>
      </c>
      <c r="F553" s="39">
        <f t="shared" si="35"/>
        <v>631.66381200000001</v>
      </c>
      <c r="G553" s="123"/>
      <c r="H553" s="124"/>
      <c r="I553" s="45"/>
    </row>
    <row r="554" spans="1:12" s="2" customFormat="1" x14ac:dyDescent="0.25">
      <c r="A554" s="120">
        <v>7</v>
      </c>
      <c r="B554" s="120"/>
      <c r="C554" s="39" t="s">
        <v>213</v>
      </c>
      <c r="D554" s="61">
        <f>(59.915+10.607+3.05)*10.764</f>
        <v>791.92900799999984</v>
      </c>
      <c r="E554" s="39">
        <v>0</v>
      </c>
      <c r="F554" s="39">
        <f t="shared" si="35"/>
        <v>1187.8935119999996</v>
      </c>
      <c r="G554" s="123"/>
      <c r="H554" s="124"/>
      <c r="I554" s="45"/>
    </row>
    <row r="555" spans="1:12" s="2" customFormat="1" x14ac:dyDescent="0.25">
      <c r="A555" s="120">
        <v>8</v>
      </c>
      <c r="B555" s="120"/>
      <c r="C555" s="39" t="s">
        <v>213</v>
      </c>
      <c r="D555" s="61">
        <f>(59.98+10.607+3.05)*10.764</f>
        <v>792.62866799999983</v>
      </c>
      <c r="E555" s="39">
        <v>0</v>
      </c>
      <c r="F555" s="39">
        <f t="shared" si="35"/>
        <v>1188.9430019999998</v>
      </c>
      <c r="G555" s="123"/>
      <c r="H555" s="124"/>
      <c r="I555" s="45"/>
    </row>
    <row r="556" spans="1:12" s="2" customFormat="1" x14ac:dyDescent="0.25">
      <c r="A556" s="120">
        <v>9</v>
      </c>
      <c r="B556" s="120"/>
      <c r="C556" s="39" t="s">
        <v>168</v>
      </c>
      <c r="D556" s="61">
        <f>(38.938+2.825)*10.764</f>
        <v>449.53693200000004</v>
      </c>
      <c r="E556" s="39">
        <v>0</v>
      </c>
      <c r="F556" s="39">
        <f t="shared" si="35"/>
        <v>674.30539800000008</v>
      </c>
      <c r="G556" s="123"/>
      <c r="H556" s="124"/>
      <c r="I556" s="45"/>
    </row>
    <row r="557" spans="1:12" s="2" customFormat="1" x14ac:dyDescent="0.25">
      <c r="A557" s="120">
        <v>10</v>
      </c>
      <c r="B557" s="120"/>
      <c r="C557" s="39" t="s">
        <v>167</v>
      </c>
      <c r="D557" s="61">
        <f>(59.023+2.968+2.825)*10.764</f>
        <v>697.67942400000004</v>
      </c>
      <c r="E557" s="39">
        <v>0</v>
      </c>
      <c r="F557" s="39">
        <f t="shared" si="35"/>
        <v>1046.5191360000001</v>
      </c>
      <c r="G557" s="123"/>
      <c r="H557" s="124"/>
      <c r="I557" s="45"/>
    </row>
    <row r="558" spans="1:12" s="2" customFormat="1" x14ac:dyDescent="0.25">
      <c r="A558" s="120">
        <v>11</v>
      </c>
      <c r="B558" s="120"/>
      <c r="C558" s="39" t="s">
        <v>168</v>
      </c>
      <c r="D558" s="61">
        <f>(37.085+2.75)*10.764</f>
        <v>428.78393999999997</v>
      </c>
      <c r="E558" s="39">
        <v>0</v>
      </c>
      <c r="F558" s="39">
        <f t="shared" si="35"/>
        <v>643.17590999999993</v>
      </c>
      <c r="G558" s="125"/>
      <c r="H558" s="126"/>
      <c r="I558" s="45"/>
    </row>
    <row r="559" spans="1:12" s="2" customFormat="1" x14ac:dyDescent="0.25">
      <c r="A559" s="119" t="s">
        <v>228</v>
      </c>
      <c r="B559" s="119"/>
      <c r="C559" s="119"/>
      <c r="D559" s="119"/>
      <c r="E559" s="119"/>
      <c r="F559" s="119"/>
      <c r="G559" s="119"/>
      <c r="H559" s="119"/>
    </row>
    <row r="560" spans="1:12" s="2" customFormat="1" ht="15.75" customHeight="1" x14ac:dyDescent="0.25">
      <c r="A560" s="120">
        <v>1</v>
      </c>
      <c r="B560" s="120"/>
      <c r="C560" s="39" t="s">
        <v>168</v>
      </c>
      <c r="D560" s="61">
        <f>(36.337+2.75)*10.764</f>
        <v>420.73246799999998</v>
      </c>
      <c r="E560" s="39">
        <v>0</v>
      </c>
      <c r="F560" s="39">
        <f t="shared" ref="F560:F564" si="36">D560*1.5+E560</f>
        <v>631.098702</v>
      </c>
      <c r="G560" s="121" t="str">
        <f>A559</f>
        <v>8th &amp; 13th Floor (Part Reffuge Area)</v>
      </c>
      <c r="H560" s="122"/>
      <c r="I560" s="45"/>
      <c r="L560" s="61">
        <v>10.763999999999999</v>
      </c>
    </row>
    <row r="561" spans="1:12" s="2" customFormat="1" x14ac:dyDescent="0.25">
      <c r="A561" s="120">
        <v>2</v>
      </c>
      <c r="B561" s="120"/>
      <c r="C561" s="39" t="s">
        <v>168</v>
      </c>
      <c r="D561" s="61">
        <f>(38.518+2.825)*10.764</f>
        <v>445.016052</v>
      </c>
      <c r="E561" s="39">
        <v>0</v>
      </c>
      <c r="F561" s="39">
        <f t="shared" si="36"/>
        <v>667.52407800000003</v>
      </c>
      <c r="G561" s="123"/>
      <c r="H561" s="124"/>
      <c r="I561" s="45"/>
      <c r="L561" s="68"/>
    </row>
    <row r="562" spans="1:12" s="2" customFormat="1" x14ac:dyDescent="0.25">
      <c r="A562" s="120">
        <v>3</v>
      </c>
      <c r="B562" s="120"/>
      <c r="C562" s="39" t="s">
        <v>167</v>
      </c>
      <c r="D562" s="61">
        <f>(53.63+2.825)*10.764</f>
        <v>607.68162000000007</v>
      </c>
      <c r="E562" s="39">
        <v>0</v>
      </c>
      <c r="F562" s="39">
        <f t="shared" si="36"/>
        <v>911.5224300000001</v>
      </c>
      <c r="G562" s="123"/>
      <c r="H562" s="124"/>
      <c r="I562" s="45"/>
    </row>
    <row r="563" spans="1:12" s="2" customFormat="1" x14ac:dyDescent="0.25">
      <c r="A563" s="120">
        <v>4</v>
      </c>
      <c r="B563" s="120"/>
      <c r="C563" s="39" t="s">
        <v>167</v>
      </c>
      <c r="D563" s="61">
        <f>(53.92+2.825)*10.764</f>
        <v>610.80318</v>
      </c>
      <c r="E563" s="39">
        <v>0</v>
      </c>
      <c r="F563" s="39">
        <f t="shared" si="36"/>
        <v>916.20477000000005</v>
      </c>
      <c r="G563" s="123"/>
      <c r="H563" s="124"/>
      <c r="I563" s="45"/>
    </row>
    <row r="564" spans="1:12" s="2" customFormat="1" x14ac:dyDescent="0.25">
      <c r="A564" s="120">
        <v>5</v>
      </c>
      <c r="B564" s="120"/>
      <c r="C564" s="39" t="s">
        <v>168</v>
      </c>
      <c r="D564" s="61">
        <f>(38.842+2.825)*10.764</f>
        <v>448.50358799999998</v>
      </c>
      <c r="E564" s="39">
        <v>0</v>
      </c>
      <c r="F564" s="39">
        <f t="shared" si="36"/>
        <v>672.75538199999994</v>
      </c>
      <c r="G564" s="123"/>
      <c r="H564" s="124"/>
      <c r="I564" s="45"/>
    </row>
    <row r="565" spans="1:12" s="2" customFormat="1" x14ac:dyDescent="0.25">
      <c r="A565" s="120">
        <v>6</v>
      </c>
      <c r="B565" s="120"/>
      <c r="C565" s="131" t="s">
        <v>171</v>
      </c>
      <c r="D565" s="134"/>
      <c r="E565" s="134"/>
      <c r="F565" s="132"/>
      <c r="G565" s="123"/>
      <c r="H565" s="124"/>
      <c r="I565" s="45"/>
    </row>
    <row r="566" spans="1:12" s="2" customFormat="1" x14ac:dyDescent="0.25">
      <c r="A566" s="120">
        <v>7</v>
      </c>
      <c r="B566" s="120"/>
      <c r="C566" s="39" t="s">
        <v>213</v>
      </c>
      <c r="D566" s="61">
        <f>(59.915+10.607+3.05)*10.764</f>
        <v>791.92900799999984</v>
      </c>
      <c r="E566" s="39">
        <v>0</v>
      </c>
      <c r="F566" s="39">
        <f t="shared" ref="F566:F570" si="37">D566*1.5+E566</f>
        <v>1187.8935119999996</v>
      </c>
      <c r="G566" s="123"/>
      <c r="H566" s="124"/>
      <c r="I566" s="45"/>
    </row>
    <row r="567" spans="1:12" s="2" customFormat="1" x14ac:dyDescent="0.25">
      <c r="A567" s="120">
        <v>8</v>
      </c>
      <c r="B567" s="120"/>
      <c r="C567" s="39" t="s">
        <v>213</v>
      </c>
      <c r="D567" s="61">
        <f>(59.98+10.607+3.05)*10.764</f>
        <v>792.62866799999983</v>
      </c>
      <c r="E567" s="39">
        <v>0</v>
      </c>
      <c r="F567" s="39">
        <f t="shared" si="37"/>
        <v>1188.9430019999998</v>
      </c>
      <c r="G567" s="123"/>
      <c r="H567" s="124"/>
      <c r="I567" s="45"/>
    </row>
    <row r="568" spans="1:12" s="2" customFormat="1" x14ac:dyDescent="0.25">
      <c r="A568" s="120">
        <v>9</v>
      </c>
      <c r="B568" s="120"/>
      <c r="C568" s="39" t="s">
        <v>168</v>
      </c>
      <c r="D568" s="61">
        <f>(38.938+2.825)*10.764</f>
        <v>449.53693200000004</v>
      </c>
      <c r="E568" s="39">
        <v>0</v>
      </c>
      <c r="F568" s="39">
        <f t="shared" si="37"/>
        <v>674.30539800000008</v>
      </c>
      <c r="G568" s="123"/>
      <c r="H568" s="124"/>
      <c r="I568" s="45"/>
    </row>
    <row r="569" spans="1:12" s="2" customFormat="1" x14ac:dyDescent="0.25">
      <c r="A569" s="120">
        <v>10</v>
      </c>
      <c r="B569" s="120"/>
      <c r="C569" s="39" t="s">
        <v>167</v>
      </c>
      <c r="D569" s="61">
        <f>(59.023+2.968+2.825)*10.764</f>
        <v>697.67942400000004</v>
      </c>
      <c r="E569" s="39">
        <v>0</v>
      </c>
      <c r="F569" s="39">
        <f t="shared" si="37"/>
        <v>1046.5191360000001</v>
      </c>
      <c r="G569" s="123"/>
      <c r="H569" s="124"/>
      <c r="I569" s="45"/>
    </row>
    <row r="570" spans="1:12" s="2" customFormat="1" x14ac:dyDescent="0.25">
      <c r="A570" s="120">
        <v>11</v>
      </c>
      <c r="B570" s="120"/>
      <c r="C570" s="39" t="s">
        <v>168</v>
      </c>
      <c r="D570" s="61">
        <f>(37.085+2.75)*10.764</f>
        <v>428.78393999999997</v>
      </c>
      <c r="E570" s="39">
        <v>0</v>
      </c>
      <c r="F570" s="39">
        <f t="shared" si="37"/>
        <v>643.17590999999993</v>
      </c>
      <c r="G570" s="125"/>
      <c r="H570" s="126"/>
      <c r="I570" s="45"/>
    </row>
    <row r="571" spans="1:12" s="2" customFormat="1" x14ac:dyDescent="0.25">
      <c r="A571" s="119" t="s">
        <v>227</v>
      </c>
      <c r="B571" s="119"/>
      <c r="C571" s="119"/>
      <c r="D571" s="119"/>
      <c r="E571" s="119"/>
      <c r="F571" s="119"/>
      <c r="G571" s="119"/>
      <c r="H571" s="119"/>
    </row>
    <row r="572" spans="1:12" s="2" customFormat="1" x14ac:dyDescent="0.25">
      <c r="A572" s="119" t="s">
        <v>225</v>
      </c>
      <c r="B572" s="119"/>
      <c r="C572" s="119"/>
      <c r="D572" s="119"/>
      <c r="E572" s="119"/>
      <c r="F572" s="119"/>
      <c r="G572" s="119"/>
      <c r="H572" s="119"/>
    </row>
    <row r="573" spans="1:12" s="2" customFormat="1" ht="15.75" customHeight="1" x14ac:dyDescent="0.25">
      <c r="A573" s="120">
        <v>1</v>
      </c>
      <c r="B573" s="120"/>
      <c r="C573" s="39" t="s">
        <v>168</v>
      </c>
      <c r="D573" s="61">
        <f>(37.085+2.75)*10.764</f>
        <v>428.78393999999997</v>
      </c>
      <c r="E573" s="61">
        <f>(8.7*3.5+0.45*2.75+2.25*1.7+1.8*4.2)*10.764</f>
        <v>463.63238999999993</v>
      </c>
      <c r="F573" s="39">
        <f t="shared" ref="F573:F581" si="38">D573*1.5+E573</f>
        <v>1106.8082999999999</v>
      </c>
      <c r="G573" s="121" t="str">
        <f>A572</f>
        <v>1st Floor For Residential</v>
      </c>
      <c r="H573" s="122"/>
      <c r="I573" s="45"/>
      <c r="L573" s="61">
        <v>10.763999999999999</v>
      </c>
    </row>
    <row r="574" spans="1:12" s="2" customFormat="1" x14ac:dyDescent="0.25">
      <c r="A574" s="120">
        <v>2</v>
      </c>
      <c r="B574" s="120"/>
      <c r="C574" s="39" t="s">
        <v>167</v>
      </c>
      <c r="D574" s="61">
        <f>(58.61+3.402+2.825)*10.764</f>
        <v>697.90546800000004</v>
      </c>
      <c r="E574" s="61">
        <f>(8.6*3.6+0.45*2.8)*10.764</f>
        <v>346.81607999999994</v>
      </c>
      <c r="F574" s="39">
        <f t="shared" si="38"/>
        <v>1393.6742819999999</v>
      </c>
      <c r="G574" s="123"/>
      <c r="H574" s="124"/>
      <c r="I574" s="45"/>
    </row>
    <row r="575" spans="1:12" s="2" customFormat="1" x14ac:dyDescent="0.25">
      <c r="A575" s="120">
        <v>3</v>
      </c>
      <c r="B575" s="120"/>
      <c r="C575" s="39" t="s">
        <v>213</v>
      </c>
      <c r="D575" s="61">
        <f>(59.965+13.532+2.825)*10.764</f>
        <v>821.53000799999995</v>
      </c>
      <c r="E575" s="61">
        <v>0</v>
      </c>
      <c r="F575" s="39">
        <f t="shared" si="38"/>
        <v>1232.295012</v>
      </c>
      <c r="G575" s="123"/>
      <c r="H575" s="124"/>
      <c r="I575" s="45"/>
    </row>
    <row r="576" spans="1:12" s="2" customFormat="1" x14ac:dyDescent="0.25">
      <c r="A576" s="120">
        <v>4</v>
      </c>
      <c r="B576" s="120"/>
      <c r="C576" s="39" t="s">
        <v>168</v>
      </c>
      <c r="D576" s="61">
        <f>(36.371+2.75)*10.764</f>
        <v>421.09844399999997</v>
      </c>
      <c r="E576" s="61">
        <v>0</v>
      </c>
      <c r="F576" s="39">
        <f t="shared" si="38"/>
        <v>631.64766599999996</v>
      </c>
      <c r="G576" s="123"/>
      <c r="H576" s="124"/>
      <c r="I576" s="45"/>
    </row>
    <row r="577" spans="1:12" s="2" customFormat="1" x14ac:dyDescent="0.25">
      <c r="A577" s="120">
        <v>5</v>
      </c>
      <c r="B577" s="120"/>
      <c r="C577" s="39" t="s">
        <v>168</v>
      </c>
      <c r="D577" s="61">
        <f>(38.842+2.825)*10.764</f>
        <v>448.50358799999998</v>
      </c>
      <c r="E577" s="61">
        <v>0</v>
      </c>
      <c r="F577" s="39">
        <f t="shared" si="38"/>
        <v>672.75538199999994</v>
      </c>
      <c r="G577" s="123"/>
      <c r="H577" s="124"/>
      <c r="I577" s="45"/>
    </row>
    <row r="578" spans="1:12" s="2" customFormat="1" x14ac:dyDescent="0.25">
      <c r="A578" s="120">
        <v>6</v>
      </c>
      <c r="B578" s="120"/>
      <c r="C578" s="39" t="s">
        <v>167</v>
      </c>
      <c r="D578" s="61">
        <f>(53.92+2.825)*10.764</f>
        <v>610.80318</v>
      </c>
      <c r="E578" s="61">
        <v>0</v>
      </c>
      <c r="F578" s="39">
        <f t="shared" si="38"/>
        <v>916.20477000000005</v>
      </c>
      <c r="G578" s="123"/>
      <c r="H578" s="124"/>
      <c r="I578" s="45"/>
    </row>
    <row r="579" spans="1:12" s="2" customFormat="1" x14ac:dyDescent="0.25">
      <c r="A579" s="120">
        <v>7</v>
      </c>
      <c r="B579" s="120"/>
      <c r="C579" s="39" t="s">
        <v>167</v>
      </c>
      <c r="D579" s="61">
        <f>(53.63+2.825)*10.764</f>
        <v>607.68162000000007</v>
      </c>
      <c r="E579" s="61">
        <f>(8.7*3.1+0.45*2.75+2.75*2)*10.764</f>
        <v>362.82752999999991</v>
      </c>
      <c r="F579" s="39">
        <f t="shared" si="38"/>
        <v>1274.34996</v>
      </c>
      <c r="G579" s="123"/>
      <c r="H579" s="124"/>
      <c r="I579" s="45"/>
    </row>
    <row r="580" spans="1:12" s="2" customFormat="1" x14ac:dyDescent="0.25">
      <c r="A580" s="120">
        <v>8</v>
      </c>
      <c r="B580" s="120"/>
      <c r="C580" s="39" t="s">
        <v>168</v>
      </c>
      <c r="D580" s="61">
        <f>(38.517+2.825)*10.764</f>
        <v>445.00528800000006</v>
      </c>
      <c r="E580" s="61">
        <f>(8.3*4.8+0.45*2.75+0.45*2.75)*10.764</f>
        <v>455.47865999999993</v>
      </c>
      <c r="F580" s="39">
        <f t="shared" si="38"/>
        <v>1122.986592</v>
      </c>
      <c r="G580" s="123"/>
      <c r="H580" s="124"/>
      <c r="I580" s="45"/>
    </row>
    <row r="581" spans="1:12" s="2" customFormat="1" x14ac:dyDescent="0.25">
      <c r="A581" s="120">
        <v>9</v>
      </c>
      <c r="B581" s="120"/>
      <c r="C581" s="39" t="s">
        <v>168</v>
      </c>
      <c r="D581" s="61">
        <f>(36.337+2.75)*10.764</f>
        <v>420.73246799999998</v>
      </c>
      <c r="E581" s="61">
        <f>(10*4.85+0.45*2.75+1*2.75-1.1*0.75)*10.764</f>
        <v>556.09514999999988</v>
      </c>
      <c r="F581" s="39">
        <f t="shared" si="38"/>
        <v>1187.1938519999999</v>
      </c>
      <c r="G581" s="125"/>
      <c r="H581" s="126"/>
      <c r="I581" s="45"/>
    </row>
    <row r="582" spans="1:12" s="2" customFormat="1" ht="15.75" customHeight="1" x14ac:dyDescent="0.25">
      <c r="A582" s="119" t="s">
        <v>226</v>
      </c>
      <c r="B582" s="119"/>
      <c r="C582" s="119"/>
      <c r="D582" s="119"/>
      <c r="E582" s="119"/>
      <c r="F582" s="119"/>
      <c r="G582" s="119"/>
      <c r="H582" s="119"/>
    </row>
    <row r="583" spans="1:12" s="2" customFormat="1" ht="15.75" customHeight="1" x14ac:dyDescent="0.25">
      <c r="A583" s="120">
        <v>1</v>
      </c>
      <c r="B583" s="120"/>
      <c r="C583" s="39" t="s">
        <v>168</v>
      </c>
      <c r="D583" s="61">
        <f>(37.085+2.75)*10.764</f>
        <v>428.78393999999997</v>
      </c>
      <c r="E583" s="61">
        <v>0</v>
      </c>
      <c r="F583" s="39">
        <f t="shared" ref="F583:F591" si="39">D583*1.5+E583</f>
        <v>643.17590999999993</v>
      </c>
      <c r="G583" s="121" t="str">
        <f>A582</f>
        <v>2nd to 7th, 9th to 12th, 14th &amp; 15th Floor</v>
      </c>
      <c r="H583" s="122"/>
      <c r="I583" s="45"/>
      <c r="L583" s="61">
        <v>10.763999999999999</v>
      </c>
    </row>
    <row r="584" spans="1:12" s="2" customFormat="1" x14ac:dyDescent="0.25">
      <c r="A584" s="120">
        <v>2</v>
      </c>
      <c r="B584" s="120"/>
      <c r="C584" s="39" t="s">
        <v>167</v>
      </c>
      <c r="D584" s="61">
        <f>(58.61+3.402+2.825)*10.764</f>
        <v>697.90546800000004</v>
      </c>
      <c r="E584" s="61">
        <v>0</v>
      </c>
      <c r="F584" s="39">
        <f t="shared" si="39"/>
        <v>1046.8582020000001</v>
      </c>
      <c r="G584" s="123"/>
      <c r="H584" s="124"/>
      <c r="I584" s="45"/>
    </row>
    <row r="585" spans="1:12" s="2" customFormat="1" x14ac:dyDescent="0.25">
      <c r="A585" s="120">
        <v>3</v>
      </c>
      <c r="B585" s="120"/>
      <c r="C585" s="39" t="s">
        <v>213</v>
      </c>
      <c r="D585" s="61">
        <f>(59.965+13.532+2.825)*10.764</f>
        <v>821.53000799999995</v>
      </c>
      <c r="E585" s="61">
        <v>0</v>
      </c>
      <c r="F585" s="39">
        <f t="shared" si="39"/>
        <v>1232.295012</v>
      </c>
      <c r="G585" s="123"/>
      <c r="H585" s="124"/>
      <c r="I585" s="45"/>
    </row>
    <row r="586" spans="1:12" s="2" customFormat="1" x14ac:dyDescent="0.25">
      <c r="A586" s="120">
        <v>4</v>
      </c>
      <c r="B586" s="120"/>
      <c r="C586" s="39" t="s">
        <v>168</v>
      </c>
      <c r="D586" s="61">
        <f>(36.371+2.75)*10.764</f>
        <v>421.09844399999997</v>
      </c>
      <c r="E586" s="61">
        <v>0</v>
      </c>
      <c r="F586" s="39">
        <f t="shared" si="39"/>
        <v>631.64766599999996</v>
      </c>
      <c r="G586" s="123"/>
      <c r="H586" s="124"/>
      <c r="I586" s="45"/>
    </row>
    <row r="587" spans="1:12" s="2" customFormat="1" x14ac:dyDescent="0.25">
      <c r="A587" s="120">
        <v>5</v>
      </c>
      <c r="B587" s="120"/>
      <c r="C587" s="39" t="s">
        <v>168</v>
      </c>
      <c r="D587" s="61">
        <f>(38.842+2.825)*10.764</f>
        <v>448.50358799999998</v>
      </c>
      <c r="E587" s="61">
        <v>0</v>
      </c>
      <c r="F587" s="39">
        <f t="shared" si="39"/>
        <v>672.75538199999994</v>
      </c>
      <c r="G587" s="123"/>
      <c r="H587" s="124"/>
      <c r="I587" s="45"/>
    </row>
    <row r="588" spans="1:12" s="2" customFormat="1" x14ac:dyDescent="0.25">
      <c r="A588" s="120">
        <v>6</v>
      </c>
      <c r="B588" s="120"/>
      <c r="C588" s="39" t="s">
        <v>167</v>
      </c>
      <c r="D588" s="61">
        <f>(53.92+2.825)*10.764</f>
        <v>610.80318</v>
      </c>
      <c r="E588" s="61">
        <v>0</v>
      </c>
      <c r="F588" s="39">
        <f t="shared" si="39"/>
        <v>916.20477000000005</v>
      </c>
      <c r="G588" s="123"/>
      <c r="H588" s="124"/>
      <c r="I588" s="45"/>
    </row>
    <row r="589" spans="1:12" s="2" customFormat="1" x14ac:dyDescent="0.25">
      <c r="A589" s="120">
        <v>7</v>
      </c>
      <c r="B589" s="120"/>
      <c r="C589" s="39" t="s">
        <v>167</v>
      </c>
      <c r="D589" s="61">
        <f>(53.63+2.825)*10.764</f>
        <v>607.68162000000007</v>
      </c>
      <c r="E589" s="61">
        <v>0</v>
      </c>
      <c r="F589" s="39">
        <f t="shared" si="39"/>
        <v>911.5224300000001</v>
      </c>
      <c r="G589" s="123"/>
      <c r="H589" s="124"/>
      <c r="I589" s="45"/>
    </row>
    <row r="590" spans="1:12" s="2" customFormat="1" x14ac:dyDescent="0.25">
      <c r="A590" s="120">
        <v>8</v>
      </c>
      <c r="B590" s="120"/>
      <c r="C590" s="39" t="s">
        <v>168</v>
      </c>
      <c r="D590" s="61">
        <f>(38.517+2.825)*10.764</f>
        <v>445.00528800000006</v>
      </c>
      <c r="E590" s="61">
        <v>0</v>
      </c>
      <c r="F590" s="39">
        <f t="shared" si="39"/>
        <v>667.5079320000001</v>
      </c>
      <c r="G590" s="123"/>
      <c r="H590" s="124"/>
      <c r="I590" s="45"/>
    </row>
    <row r="591" spans="1:12" s="2" customFormat="1" x14ac:dyDescent="0.25">
      <c r="A591" s="120">
        <v>9</v>
      </c>
      <c r="B591" s="120"/>
      <c r="C591" s="39" t="s">
        <v>168</v>
      </c>
      <c r="D591" s="61">
        <f>(36.337+2.75)*10.764</f>
        <v>420.73246799999998</v>
      </c>
      <c r="E591" s="61">
        <v>0</v>
      </c>
      <c r="F591" s="39">
        <f t="shared" si="39"/>
        <v>631.098702</v>
      </c>
      <c r="G591" s="125"/>
      <c r="H591" s="126"/>
      <c r="I591" s="45"/>
    </row>
    <row r="592" spans="1:12" s="2" customFormat="1" ht="15.75" customHeight="1" x14ac:dyDescent="0.25">
      <c r="A592" s="119" t="s">
        <v>228</v>
      </c>
      <c r="B592" s="119"/>
      <c r="C592" s="119"/>
      <c r="D592" s="119"/>
      <c r="E592" s="119"/>
      <c r="F592" s="119"/>
      <c r="G592" s="119"/>
      <c r="H592" s="119"/>
    </row>
    <row r="593" spans="1:12" s="2" customFormat="1" ht="15.75" customHeight="1" x14ac:dyDescent="0.25">
      <c r="A593" s="120">
        <v>1</v>
      </c>
      <c r="B593" s="120"/>
      <c r="C593" s="39" t="s">
        <v>168</v>
      </c>
      <c r="D593" s="61">
        <f>(37.085+2.75)*10.764</f>
        <v>428.78393999999997</v>
      </c>
      <c r="E593" s="61">
        <v>0</v>
      </c>
      <c r="F593" s="39">
        <f t="shared" ref="F593:F595" si="40">D593*1.5+E593</f>
        <v>643.17590999999993</v>
      </c>
      <c r="G593" s="121" t="str">
        <f>A592</f>
        <v>8th &amp; 13th Floor (Part Reffuge Area)</v>
      </c>
      <c r="H593" s="122"/>
      <c r="I593" s="45"/>
      <c r="L593" s="61">
        <v>10.763999999999999</v>
      </c>
    </row>
    <row r="594" spans="1:12" s="2" customFormat="1" x14ac:dyDescent="0.25">
      <c r="A594" s="120">
        <v>2</v>
      </c>
      <c r="B594" s="120"/>
      <c r="C594" s="39" t="s">
        <v>167</v>
      </c>
      <c r="D594" s="61">
        <f>(58.61+3.402+2.825)*10.764</f>
        <v>697.90546800000004</v>
      </c>
      <c r="E594" s="61">
        <v>0</v>
      </c>
      <c r="F594" s="39">
        <f t="shared" si="40"/>
        <v>1046.8582020000001</v>
      </c>
      <c r="G594" s="123"/>
      <c r="H594" s="124"/>
      <c r="I594" s="45"/>
    </row>
    <row r="595" spans="1:12" s="2" customFormat="1" x14ac:dyDescent="0.25">
      <c r="A595" s="120">
        <v>3</v>
      </c>
      <c r="B595" s="120"/>
      <c r="C595" s="39" t="s">
        <v>213</v>
      </c>
      <c r="D595" s="61">
        <f>(59.965+13.532+2.825)*10.764</f>
        <v>821.53000799999995</v>
      </c>
      <c r="E595" s="61">
        <v>0</v>
      </c>
      <c r="F595" s="39">
        <f t="shared" si="40"/>
        <v>1232.295012</v>
      </c>
      <c r="G595" s="123"/>
      <c r="H595" s="124"/>
      <c r="I595" s="45"/>
    </row>
    <row r="596" spans="1:12" s="2" customFormat="1" x14ac:dyDescent="0.25">
      <c r="A596" s="120">
        <v>4</v>
      </c>
      <c r="B596" s="120"/>
      <c r="C596" s="131" t="s">
        <v>171</v>
      </c>
      <c r="D596" s="134"/>
      <c r="E596" s="134"/>
      <c r="F596" s="132"/>
      <c r="G596" s="123"/>
      <c r="H596" s="124"/>
      <c r="I596" s="45"/>
    </row>
    <row r="597" spans="1:12" s="2" customFormat="1" x14ac:dyDescent="0.25">
      <c r="A597" s="120">
        <v>5</v>
      </c>
      <c r="B597" s="120"/>
      <c r="C597" s="39" t="s">
        <v>168</v>
      </c>
      <c r="D597" s="61">
        <f>(50.425+2.825)*10.764</f>
        <v>573.18299999999999</v>
      </c>
      <c r="E597" s="61">
        <v>0</v>
      </c>
      <c r="F597" s="39">
        <f t="shared" ref="F597:F601" si="41">D597*1.5+E597</f>
        <v>859.77449999999999</v>
      </c>
      <c r="G597" s="123"/>
      <c r="H597" s="124"/>
      <c r="I597" s="45"/>
    </row>
    <row r="598" spans="1:12" s="2" customFormat="1" x14ac:dyDescent="0.25">
      <c r="A598" s="120">
        <v>6</v>
      </c>
      <c r="B598" s="120"/>
      <c r="C598" s="39" t="s">
        <v>167</v>
      </c>
      <c r="D598" s="61">
        <f>(53.92+2.825)*10.764</f>
        <v>610.80318</v>
      </c>
      <c r="E598" s="61">
        <v>0</v>
      </c>
      <c r="F598" s="39">
        <f t="shared" si="41"/>
        <v>916.20477000000005</v>
      </c>
      <c r="G598" s="123"/>
      <c r="H598" s="124"/>
      <c r="I598" s="45"/>
    </row>
    <row r="599" spans="1:12" s="2" customFormat="1" x14ac:dyDescent="0.25">
      <c r="A599" s="120">
        <v>7</v>
      </c>
      <c r="B599" s="120"/>
      <c r="C599" s="39" t="s">
        <v>167</v>
      </c>
      <c r="D599" s="61">
        <f>(53.63+2.825)*10.764</f>
        <v>607.68162000000007</v>
      </c>
      <c r="E599" s="61">
        <v>0</v>
      </c>
      <c r="F599" s="39">
        <f t="shared" si="41"/>
        <v>911.5224300000001</v>
      </c>
      <c r="G599" s="123"/>
      <c r="H599" s="124"/>
      <c r="I599" s="45"/>
    </row>
    <row r="600" spans="1:12" s="2" customFormat="1" x14ac:dyDescent="0.25">
      <c r="A600" s="120">
        <v>8</v>
      </c>
      <c r="B600" s="120"/>
      <c r="C600" s="39" t="s">
        <v>168</v>
      </c>
      <c r="D600" s="61">
        <f>(38.517+2.825)*10.764</f>
        <v>445.00528800000006</v>
      </c>
      <c r="E600" s="61">
        <v>0</v>
      </c>
      <c r="F600" s="39">
        <f t="shared" si="41"/>
        <v>667.5079320000001</v>
      </c>
      <c r="G600" s="123"/>
      <c r="H600" s="124"/>
      <c r="I600" s="45"/>
      <c r="J600" s="8"/>
      <c r="K600" s="8"/>
    </row>
    <row r="601" spans="1:12" s="2" customFormat="1" x14ac:dyDescent="0.25">
      <c r="A601" s="120">
        <v>9</v>
      </c>
      <c r="B601" s="120"/>
      <c r="C601" s="39" t="s">
        <v>168</v>
      </c>
      <c r="D601" s="61">
        <f>(36.337+2.75)*10.764</f>
        <v>420.73246799999998</v>
      </c>
      <c r="E601" s="61">
        <v>0</v>
      </c>
      <c r="F601" s="39">
        <f t="shared" si="41"/>
        <v>631.098702</v>
      </c>
      <c r="G601" s="125"/>
      <c r="H601" s="126"/>
      <c r="I601" s="45"/>
      <c r="J601" s="8"/>
      <c r="K601" s="8"/>
    </row>
    <row r="602" spans="1:12" x14ac:dyDescent="0.25">
      <c r="A602" s="200" t="s">
        <v>79</v>
      </c>
      <c r="B602" s="200"/>
      <c r="C602" s="200"/>
      <c r="D602" s="200"/>
      <c r="E602" s="200"/>
      <c r="F602" s="200"/>
      <c r="G602" s="200"/>
      <c r="H602" s="200"/>
    </row>
    <row r="603" spans="1:12" ht="271.14999999999998" customHeight="1" x14ac:dyDescent="0.25">
      <c r="A603" s="201" t="s">
        <v>293</v>
      </c>
      <c r="B603" s="201"/>
      <c r="C603" s="201"/>
      <c r="D603" s="201"/>
      <c r="E603" s="201"/>
      <c r="F603" s="201"/>
      <c r="G603" s="201"/>
      <c r="H603" s="201"/>
    </row>
    <row r="604" spans="1:12" x14ac:dyDescent="0.25">
      <c r="A604" s="202" t="s">
        <v>70</v>
      </c>
      <c r="B604" s="202"/>
      <c r="C604" s="202"/>
      <c r="D604" s="202"/>
      <c r="E604" s="202"/>
      <c r="F604" s="202"/>
      <c r="G604" s="202"/>
      <c r="H604" s="202"/>
    </row>
    <row r="605" spans="1:12" x14ac:dyDescent="0.25">
      <c r="A605" s="80" t="s">
        <v>71</v>
      </c>
      <c r="B605" s="80"/>
      <c r="C605" s="80"/>
      <c r="D605" s="80"/>
      <c r="E605" s="80"/>
      <c r="F605" s="80"/>
      <c r="G605" s="80"/>
      <c r="H605" s="80"/>
    </row>
    <row r="606" spans="1:12" x14ac:dyDescent="0.25">
      <c r="A606" s="202" t="s">
        <v>72</v>
      </c>
      <c r="B606" s="202"/>
      <c r="C606" s="202"/>
      <c r="D606" s="202"/>
      <c r="E606" s="202"/>
      <c r="F606" s="202"/>
      <c r="G606" s="202"/>
      <c r="H606" s="202"/>
    </row>
    <row r="607" spans="1:12" x14ac:dyDescent="0.25">
      <c r="A607" s="80" t="s">
        <v>73</v>
      </c>
      <c r="B607" s="80"/>
      <c r="C607" s="80"/>
      <c r="D607" s="80"/>
      <c r="E607" s="80"/>
      <c r="F607" s="80"/>
      <c r="G607" s="80"/>
      <c r="H607" s="80"/>
    </row>
    <row r="608" spans="1:12" hidden="1" x14ac:dyDescent="0.25">
      <c r="A608" s="80" t="s">
        <v>74</v>
      </c>
      <c r="B608" s="80"/>
      <c r="C608" s="80"/>
      <c r="D608" s="80"/>
      <c r="E608" s="80"/>
      <c r="F608" s="80"/>
      <c r="G608" s="80"/>
      <c r="H608" s="80"/>
    </row>
    <row r="609" spans="1:8" hidden="1" x14ac:dyDescent="0.25">
      <c r="A609" s="80" t="s">
        <v>75</v>
      </c>
      <c r="B609" s="80"/>
      <c r="C609" s="80"/>
      <c r="D609" s="80"/>
      <c r="E609" s="80"/>
      <c r="F609" s="80"/>
      <c r="G609" s="80"/>
      <c r="H609" s="80"/>
    </row>
    <row r="610" spans="1:8" hidden="1" x14ac:dyDescent="0.25">
      <c r="A610" s="136" t="s">
        <v>76</v>
      </c>
      <c r="B610" s="136"/>
      <c r="C610" s="136"/>
      <c r="D610" s="136"/>
      <c r="E610" s="136"/>
      <c r="F610" s="136"/>
      <c r="G610" s="136"/>
      <c r="H610" s="136"/>
    </row>
    <row r="611" spans="1:8" x14ac:dyDescent="0.25">
      <c r="A611" s="203" t="s">
        <v>114</v>
      </c>
      <c r="B611" s="203"/>
      <c r="C611" s="203" t="s">
        <v>295</v>
      </c>
      <c r="D611" s="203"/>
      <c r="E611" s="203" t="s">
        <v>142</v>
      </c>
      <c r="F611" s="203"/>
      <c r="G611" s="203" t="s">
        <v>294</v>
      </c>
      <c r="H611" s="203"/>
    </row>
    <row r="612" spans="1:8" ht="15.75" customHeight="1" x14ac:dyDescent="0.25">
      <c r="A612" s="204" t="s">
        <v>116</v>
      </c>
      <c r="B612" s="205"/>
      <c r="C612" s="205"/>
      <c r="D612" s="205"/>
      <c r="E612" s="205"/>
      <c r="F612" s="205"/>
      <c r="G612" s="205"/>
      <c r="H612" s="206"/>
    </row>
    <row r="613" spans="1:8" x14ac:dyDescent="0.25">
      <c r="A613" s="207"/>
      <c r="B613" s="208"/>
      <c r="C613" s="208"/>
      <c r="D613" s="208"/>
      <c r="E613" s="208"/>
      <c r="F613" s="208"/>
      <c r="G613" s="208"/>
      <c r="H613" s="209"/>
    </row>
    <row r="614" spans="1:8" ht="30.75" customHeight="1" x14ac:dyDescent="0.25">
      <c r="A614" s="210"/>
      <c r="B614" s="211"/>
      <c r="C614" s="211"/>
      <c r="D614" s="211"/>
      <c r="E614" s="211"/>
      <c r="F614" s="211"/>
      <c r="G614" s="211"/>
      <c r="H614" s="212"/>
    </row>
    <row r="615" spans="1:8" ht="15" customHeight="1" x14ac:dyDescent="0.25">
      <c r="A615" s="17" t="s">
        <v>77</v>
      </c>
      <c r="B615" s="18"/>
      <c r="C615" s="18"/>
      <c r="D615" s="17" t="str">
        <f>E8</f>
        <v>Vrindavan Flora</v>
      </c>
      <c r="F615" s="18"/>
      <c r="G615" s="18"/>
      <c r="H615" s="18"/>
    </row>
    <row r="616" spans="1:8" x14ac:dyDescent="0.25">
      <c r="A616" s="18"/>
      <c r="B616" s="18"/>
      <c r="C616" s="18"/>
      <c r="D616" s="18"/>
      <c r="E616" s="18"/>
      <c r="F616" s="18"/>
      <c r="G616" s="18"/>
      <c r="H616" s="18"/>
    </row>
    <row r="617" spans="1:8" x14ac:dyDescent="0.25">
      <c r="A617" s="18"/>
      <c r="B617" s="18"/>
      <c r="C617" s="18"/>
      <c r="D617" s="18"/>
      <c r="E617" s="18"/>
      <c r="F617" s="18"/>
      <c r="G617" s="18"/>
      <c r="H617" s="18"/>
    </row>
    <row r="622" spans="1:8" ht="14.25" customHeight="1" x14ac:dyDescent="0.25"/>
    <row r="628" spans="4:4" x14ac:dyDescent="0.25">
      <c r="D628"/>
    </row>
    <row r="658" spans="1:1" x14ac:dyDescent="0.25">
      <c r="A658" s="20" t="s">
        <v>245</v>
      </c>
    </row>
    <row r="694" spans="1:11" hidden="1" x14ac:dyDescent="0.25"/>
    <row r="695" spans="1:11" hidden="1" x14ac:dyDescent="0.25"/>
    <row r="696" spans="1:11" hidden="1" x14ac:dyDescent="0.25"/>
    <row r="697" spans="1:11" hidden="1" x14ac:dyDescent="0.25">
      <c r="K697" s="19"/>
    </row>
    <row r="698" spans="1:11" hidden="1" x14ac:dyDescent="0.25"/>
    <row r="699" spans="1:11" x14ac:dyDescent="0.25">
      <c r="A699" s="20" t="s">
        <v>292</v>
      </c>
    </row>
    <row r="731" spans="1:1" x14ac:dyDescent="0.25">
      <c r="A731" s="20" t="s">
        <v>265</v>
      </c>
    </row>
    <row r="763" spans="1:11" s="19" customFormat="1" x14ac:dyDescent="0.25">
      <c r="A763" s="20" t="s">
        <v>78</v>
      </c>
      <c r="I763" s="8"/>
      <c r="J763" s="8"/>
      <c r="K763" s="8"/>
    </row>
  </sheetData>
  <mergeCells count="971">
    <mergeCell ref="I10:L10"/>
    <mergeCell ref="A488:H488"/>
    <mergeCell ref="A489:B489"/>
    <mergeCell ref="G489:H501"/>
    <mergeCell ref="A490:B490"/>
    <mergeCell ref="A491:B491"/>
    <mergeCell ref="A492:B492"/>
    <mergeCell ref="A493:B493"/>
    <mergeCell ref="A494:B494"/>
    <mergeCell ref="A495:B495"/>
    <mergeCell ref="A496:B496"/>
    <mergeCell ref="A497:B497"/>
    <mergeCell ref="A498:B498"/>
    <mergeCell ref="A499:B499"/>
    <mergeCell ref="A500:B500"/>
    <mergeCell ref="A501:B501"/>
    <mergeCell ref="C491:F491"/>
    <mergeCell ref="A412:B412"/>
    <mergeCell ref="A445:H445"/>
    <mergeCell ref="A446:B446"/>
    <mergeCell ref="G446:H456"/>
    <mergeCell ref="A447:B447"/>
    <mergeCell ref="A448:B448"/>
    <mergeCell ref="A449:B449"/>
    <mergeCell ref="A450:B450"/>
    <mergeCell ref="A451:B451"/>
    <mergeCell ref="A452:B452"/>
    <mergeCell ref="A453:B453"/>
    <mergeCell ref="A454:B454"/>
    <mergeCell ref="A455:B455"/>
    <mergeCell ref="A456:B456"/>
    <mergeCell ref="A425:B425"/>
    <mergeCell ref="A426:B426"/>
    <mergeCell ref="A427:B427"/>
    <mergeCell ref="A423:B423"/>
    <mergeCell ref="A424:B424"/>
    <mergeCell ref="A413:H413"/>
    <mergeCell ref="A428:B428"/>
    <mergeCell ref="A442:B442"/>
    <mergeCell ref="A443:B443"/>
    <mergeCell ref="A444:B444"/>
    <mergeCell ref="A403:B403"/>
    <mergeCell ref="A404:B404"/>
    <mergeCell ref="A405:B405"/>
    <mergeCell ref="A406:B406"/>
    <mergeCell ref="A407:B407"/>
    <mergeCell ref="A408:B408"/>
    <mergeCell ref="A409:B409"/>
    <mergeCell ref="A410:B410"/>
    <mergeCell ref="A411:B411"/>
    <mergeCell ref="F196:H196"/>
    <mergeCell ref="A191:A193"/>
    <mergeCell ref="A194:A196"/>
    <mergeCell ref="D183:E183"/>
    <mergeCell ref="F183:H183"/>
    <mergeCell ref="D191:E191"/>
    <mergeCell ref="F191:H191"/>
    <mergeCell ref="D192:E192"/>
    <mergeCell ref="F192:H192"/>
    <mergeCell ref="A186:B186"/>
    <mergeCell ref="D186:E186"/>
    <mergeCell ref="F186:H186"/>
    <mergeCell ref="A187:H187"/>
    <mergeCell ref="A188:B188"/>
    <mergeCell ref="D188:E188"/>
    <mergeCell ref="F188:H188"/>
    <mergeCell ref="A182:A183"/>
    <mergeCell ref="D182:E182"/>
    <mergeCell ref="F182:H182"/>
    <mergeCell ref="A189:A190"/>
    <mergeCell ref="A306:B306"/>
    <mergeCell ref="G306:H306"/>
    <mergeCell ref="L306:M306"/>
    <mergeCell ref="D184:E184"/>
    <mergeCell ref="F184:H184"/>
    <mergeCell ref="D185:E185"/>
    <mergeCell ref="F185:H185"/>
    <mergeCell ref="A184:A185"/>
    <mergeCell ref="D193:E193"/>
    <mergeCell ref="F193:H193"/>
    <mergeCell ref="D194:E194"/>
    <mergeCell ref="F194:H194"/>
    <mergeCell ref="D195:E195"/>
    <mergeCell ref="F195:H195"/>
    <mergeCell ref="D196:E196"/>
    <mergeCell ref="A303:B303"/>
    <mergeCell ref="G303:H303"/>
    <mergeCell ref="L303:M303"/>
    <mergeCell ref="A304:B304"/>
    <mergeCell ref="G304:H304"/>
    <mergeCell ref="L304:M304"/>
    <mergeCell ref="A305:B305"/>
    <mergeCell ref="G305:H305"/>
    <mergeCell ref="L305:M305"/>
    <mergeCell ref="A300:B300"/>
    <mergeCell ref="G300:H300"/>
    <mergeCell ref="L300:M300"/>
    <mergeCell ref="A301:B301"/>
    <mergeCell ref="G301:H301"/>
    <mergeCell ref="L301:M301"/>
    <mergeCell ref="A302:B302"/>
    <mergeCell ref="G302:H302"/>
    <mergeCell ref="L302:M302"/>
    <mergeCell ref="A297:B297"/>
    <mergeCell ref="G297:H297"/>
    <mergeCell ref="L297:M297"/>
    <mergeCell ref="A298:B298"/>
    <mergeCell ref="G298:H298"/>
    <mergeCell ref="L298:M298"/>
    <mergeCell ref="A299:B299"/>
    <mergeCell ref="G299:H299"/>
    <mergeCell ref="L299:M299"/>
    <mergeCell ref="A294:B294"/>
    <mergeCell ref="G294:H294"/>
    <mergeCell ref="L294:M294"/>
    <mergeCell ref="A295:B295"/>
    <mergeCell ref="G295:H295"/>
    <mergeCell ref="L295:M295"/>
    <mergeCell ref="A296:B296"/>
    <mergeCell ref="G296:H296"/>
    <mergeCell ref="L296:M296"/>
    <mergeCell ref="A290:B290"/>
    <mergeCell ref="G290:H290"/>
    <mergeCell ref="L290:M290"/>
    <mergeCell ref="A291:B291"/>
    <mergeCell ref="G291:H291"/>
    <mergeCell ref="L291:M291"/>
    <mergeCell ref="A292:H292"/>
    <mergeCell ref="A293:B293"/>
    <mergeCell ref="G293:H293"/>
    <mergeCell ref="L293:M293"/>
    <mergeCell ref="A287:B287"/>
    <mergeCell ref="G287:H287"/>
    <mergeCell ref="L287:M287"/>
    <mergeCell ref="A288:B288"/>
    <mergeCell ref="G288:H288"/>
    <mergeCell ref="L288:M288"/>
    <mergeCell ref="A289:B289"/>
    <mergeCell ref="G289:H289"/>
    <mergeCell ref="L289:M289"/>
    <mergeCell ref="A284:B284"/>
    <mergeCell ref="G284:H284"/>
    <mergeCell ref="L284:M284"/>
    <mergeCell ref="A285:B285"/>
    <mergeCell ref="G285:H285"/>
    <mergeCell ref="L285:M285"/>
    <mergeCell ref="A286:B286"/>
    <mergeCell ref="G286:H286"/>
    <mergeCell ref="L286:M286"/>
    <mergeCell ref="A281:B281"/>
    <mergeCell ref="G281:H281"/>
    <mergeCell ref="L281:M281"/>
    <mergeCell ref="A282:B282"/>
    <mergeCell ref="G282:H282"/>
    <mergeCell ref="L282:M282"/>
    <mergeCell ref="A283:B283"/>
    <mergeCell ref="G283:H283"/>
    <mergeCell ref="L283:M283"/>
    <mergeCell ref="A558:B558"/>
    <mergeCell ref="A544:B544"/>
    <mergeCell ref="A545:B545"/>
    <mergeCell ref="A546:B546"/>
    <mergeCell ref="A549:B549"/>
    <mergeCell ref="A550:B550"/>
    <mergeCell ref="A592:H592"/>
    <mergeCell ref="A593:B593"/>
    <mergeCell ref="G593:H601"/>
    <mergeCell ref="A594:B594"/>
    <mergeCell ref="A595:B595"/>
    <mergeCell ref="A596:B596"/>
    <mergeCell ref="A597:B597"/>
    <mergeCell ref="A598:B598"/>
    <mergeCell ref="A599:B599"/>
    <mergeCell ref="A600:B600"/>
    <mergeCell ref="A601:B601"/>
    <mergeCell ref="C596:F596"/>
    <mergeCell ref="A559:H559"/>
    <mergeCell ref="A560:B560"/>
    <mergeCell ref="G560:H570"/>
    <mergeCell ref="A561:B561"/>
    <mergeCell ref="A562:B562"/>
    <mergeCell ref="A563:B563"/>
    <mergeCell ref="A564:B564"/>
    <mergeCell ref="A565:B565"/>
    <mergeCell ref="A566:B566"/>
    <mergeCell ref="A567:B567"/>
    <mergeCell ref="A568:B568"/>
    <mergeCell ref="A569:B569"/>
    <mergeCell ref="A570:B570"/>
    <mergeCell ref="C565:F565"/>
    <mergeCell ref="A579:B579"/>
    <mergeCell ref="A571:H571"/>
    <mergeCell ref="A572:H572"/>
    <mergeCell ref="A580:B580"/>
    <mergeCell ref="A581:B581"/>
    <mergeCell ref="G573:H581"/>
    <mergeCell ref="A582:H582"/>
    <mergeCell ref="A583:B583"/>
    <mergeCell ref="G583:H591"/>
    <mergeCell ref="A584:B584"/>
    <mergeCell ref="A585:B585"/>
    <mergeCell ref="A586:B586"/>
    <mergeCell ref="A587:B587"/>
    <mergeCell ref="A588:B588"/>
    <mergeCell ref="A589:B589"/>
    <mergeCell ref="A590:B590"/>
    <mergeCell ref="A591:B591"/>
    <mergeCell ref="A573:B573"/>
    <mergeCell ref="A574:B574"/>
    <mergeCell ref="A575:B575"/>
    <mergeCell ref="A576:B576"/>
    <mergeCell ref="A577:B577"/>
    <mergeCell ref="A578:B578"/>
    <mergeCell ref="A511:B511"/>
    <mergeCell ref="A512:B512"/>
    <mergeCell ref="A538:B538"/>
    <mergeCell ref="A539:B539"/>
    <mergeCell ref="A540:B540"/>
    <mergeCell ref="A541:B541"/>
    <mergeCell ref="A542:B542"/>
    <mergeCell ref="A543:B543"/>
    <mergeCell ref="G521:H533"/>
    <mergeCell ref="A522:B522"/>
    <mergeCell ref="A523:B523"/>
    <mergeCell ref="A524:B524"/>
    <mergeCell ref="A525:B525"/>
    <mergeCell ref="A526:B526"/>
    <mergeCell ref="A527:B527"/>
    <mergeCell ref="A528:B528"/>
    <mergeCell ref="A529:B529"/>
    <mergeCell ref="A530:B530"/>
    <mergeCell ref="A531:B531"/>
    <mergeCell ref="A532:B532"/>
    <mergeCell ref="A533:B533"/>
    <mergeCell ref="C525:F525"/>
    <mergeCell ref="A521:B521"/>
    <mergeCell ref="A551:B551"/>
    <mergeCell ref="A552:B552"/>
    <mergeCell ref="A553:B553"/>
    <mergeCell ref="A554:B554"/>
    <mergeCell ref="A555:B555"/>
    <mergeCell ref="A556:B556"/>
    <mergeCell ref="A557:B557"/>
    <mergeCell ref="A274:B274"/>
    <mergeCell ref="G274:H274"/>
    <mergeCell ref="A414:H414"/>
    <mergeCell ref="G507:H519"/>
    <mergeCell ref="A534:H534"/>
    <mergeCell ref="A535:H535"/>
    <mergeCell ref="A536:B536"/>
    <mergeCell ref="A537:B537"/>
    <mergeCell ref="G536:H546"/>
    <mergeCell ref="A547:H547"/>
    <mergeCell ref="A548:B548"/>
    <mergeCell ref="G548:H558"/>
    <mergeCell ref="A351:B351"/>
    <mergeCell ref="A352:B352"/>
    <mergeCell ref="A353:B353"/>
    <mergeCell ref="C353:F353"/>
    <mergeCell ref="A520:H520"/>
    <mergeCell ref="L274:M274"/>
    <mergeCell ref="A515:B515"/>
    <mergeCell ref="A516:B516"/>
    <mergeCell ref="A517:B517"/>
    <mergeCell ref="A518:B518"/>
    <mergeCell ref="A519:B519"/>
    <mergeCell ref="A275:H275"/>
    <mergeCell ref="A276:H276"/>
    <mergeCell ref="A277:B277"/>
    <mergeCell ref="G277:H277"/>
    <mergeCell ref="L277:M277"/>
    <mergeCell ref="A278:B278"/>
    <mergeCell ref="G278:H278"/>
    <mergeCell ref="L278:M278"/>
    <mergeCell ref="A279:B279"/>
    <mergeCell ref="G279:H279"/>
    <mergeCell ref="L279:M279"/>
    <mergeCell ref="A280:B280"/>
    <mergeCell ref="G280:H280"/>
    <mergeCell ref="L280:M280"/>
    <mergeCell ref="A509:B509"/>
    <mergeCell ref="A510:B510"/>
    <mergeCell ref="A421:H421"/>
    <mergeCell ref="A422:B422"/>
    <mergeCell ref="A271:B271"/>
    <mergeCell ref="G271:H271"/>
    <mergeCell ref="L271:M271"/>
    <mergeCell ref="A272:B272"/>
    <mergeCell ref="G272:H272"/>
    <mergeCell ref="L272:M272"/>
    <mergeCell ref="A273:B273"/>
    <mergeCell ref="G273:H273"/>
    <mergeCell ref="L273:M273"/>
    <mergeCell ref="A268:B268"/>
    <mergeCell ref="G268:H268"/>
    <mergeCell ref="L268:M268"/>
    <mergeCell ref="A269:B269"/>
    <mergeCell ref="G269:H269"/>
    <mergeCell ref="L269:M269"/>
    <mergeCell ref="A270:B270"/>
    <mergeCell ref="G270:H270"/>
    <mergeCell ref="L270:M270"/>
    <mergeCell ref="A265:B265"/>
    <mergeCell ref="G265:H265"/>
    <mergeCell ref="L265:M265"/>
    <mergeCell ref="A266:B266"/>
    <mergeCell ref="G266:H266"/>
    <mergeCell ref="L266:M266"/>
    <mergeCell ref="A267:B267"/>
    <mergeCell ref="G267:H267"/>
    <mergeCell ref="L267:M267"/>
    <mergeCell ref="A262:B262"/>
    <mergeCell ref="G262:H262"/>
    <mergeCell ref="L262:M262"/>
    <mergeCell ref="A263:B263"/>
    <mergeCell ref="G263:H263"/>
    <mergeCell ref="L263:M263"/>
    <mergeCell ref="A264:B264"/>
    <mergeCell ref="G264:H264"/>
    <mergeCell ref="L264:M264"/>
    <mergeCell ref="A257:H257"/>
    <mergeCell ref="A258:H258"/>
    <mergeCell ref="A259:H259"/>
    <mergeCell ref="A260:B260"/>
    <mergeCell ref="G260:H260"/>
    <mergeCell ref="L260:M260"/>
    <mergeCell ref="A261:B261"/>
    <mergeCell ref="G261:H261"/>
    <mergeCell ref="L261:M261"/>
    <mergeCell ref="A255:B255"/>
    <mergeCell ref="G255:H255"/>
    <mergeCell ref="L255:M255"/>
    <mergeCell ref="A256:B256"/>
    <mergeCell ref="G256:H256"/>
    <mergeCell ref="L256:M256"/>
    <mergeCell ref="A203:H203"/>
    <mergeCell ref="A239:H239"/>
    <mergeCell ref="A252:B252"/>
    <mergeCell ref="G252:H252"/>
    <mergeCell ref="L252:M252"/>
    <mergeCell ref="A253:B253"/>
    <mergeCell ref="G253:H253"/>
    <mergeCell ref="L253:M253"/>
    <mergeCell ref="A254:B254"/>
    <mergeCell ref="G254:H254"/>
    <mergeCell ref="L254:M254"/>
    <mergeCell ref="G248:H248"/>
    <mergeCell ref="L248:M248"/>
    <mergeCell ref="A249:B249"/>
    <mergeCell ref="G249:H249"/>
    <mergeCell ref="L249:M249"/>
    <mergeCell ref="A250:B250"/>
    <mergeCell ref="G250:H250"/>
    <mergeCell ref="L250:M250"/>
    <mergeCell ref="A251:B251"/>
    <mergeCell ref="G251:H251"/>
    <mergeCell ref="L251:M251"/>
    <mergeCell ref="A513:B513"/>
    <mergeCell ref="A514:B514"/>
    <mergeCell ref="A240:H240"/>
    <mergeCell ref="A241:H241"/>
    <mergeCell ref="A242:B242"/>
    <mergeCell ref="G242:H242"/>
    <mergeCell ref="L242:M242"/>
    <mergeCell ref="A243:B243"/>
    <mergeCell ref="G243:H243"/>
    <mergeCell ref="L243:M243"/>
    <mergeCell ref="A244:B244"/>
    <mergeCell ref="G244:H244"/>
    <mergeCell ref="L244:M244"/>
    <mergeCell ref="A245:B245"/>
    <mergeCell ref="G245:H245"/>
    <mergeCell ref="L245:M245"/>
    <mergeCell ref="A246:B246"/>
    <mergeCell ref="G246:H246"/>
    <mergeCell ref="L246:M246"/>
    <mergeCell ref="A247:B247"/>
    <mergeCell ref="G247:H247"/>
    <mergeCell ref="L247:M247"/>
    <mergeCell ref="A248:B248"/>
    <mergeCell ref="A504:H504"/>
    <mergeCell ref="A505:H505"/>
    <mergeCell ref="A506:H506"/>
    <mergeCell ref="A507:B507"/>
    <mergeCell ref="A508:B508"/>
    <mergeCell ref="A415:B415"/>
    <mergeCell ref="A416:B416"/>
    <mergeCell ref="A417:B417"/>
    <mergeCell ref="A418:B418"/>
    <mergeCell ref="A419:B419"/>
    <mergeCell ref="A420:B420"/>
    <mergeCell ref="G415:H420"/>
    <mergeCell ref="A502:H502"/>
    <mergeCell ref="A503:H503"/>
    <mergeCell ref="A346:H346"/>
    <mergeCell ref="A347:B347"/>
    <mergeCell ref="G347:H359"/>
    <mergeCell ref="A348:B348"/>
    <mergeCell ref="A349:B349"/>
    <mergeCell ref="A350:B350"/>
    <mergeCell ref="A339:B339"/>
    <mergeCell ref="A238:B238"/>
    <mergeCell ref="G238:H238"/>
    <mergeCell ref="L238:M238"/>
    <mergeCell ref="A221:H221"/>
    <mergeCell ref="A222:H222"/>
    <mergeCell ref="A223:H223"/>
    <mergeCell ref="A360:H360"/>
    <mergeCell ref="A361:H361"/>
    <mergeCell ref="A235:B235"/>
    <mergeCell ref="G235:H235"/>
    <mergeCell ref="L235:M235"/>
    <mergeCell ref="A236:B236"/>
    <mergeCell ref="G236:H236"/>
    <mergeCell ref="L236:M236"/>
    <mergeCell ref="A237:B237"/>
    <mergeCell ref="G237:H237"/>
    <mergeCell ref="L237:M237"/>
    <mergeCell ref="A232:B232"/>
    <mergeCell ref="G232:H232"/>
    <mergeCell ref="L232:M232"/>
    <mergeCell ref="A233:B233"/>
    <mergeCell ref="G233:H233"/>
    <mergeCell ref="L233:M233"/>
    <mergeCell ref="A234:B234"/>
    <mergeCell ref="A228:B228"/>
    <mergeCell ref="G228:H228"/>
    <mergeCell ref="L228:M228"/>
    <mergeCell ref="G234:H234"/>
    <mergeCell ref="L234:M234"/>
    <mergeCell ref="A229:B229"/>
    <mergeCell ref="G229:H229"/>
    <mergeCell ref="L229:M229"/>
    <mergeCell ref="A230:B230"/>
    <mergeCell ref="G230:H230"/>
    <mergeCell ref="L230:M230"/>
    <mergeCell ref="A231:B231"/>
    <mergeCell ref="G231:H231"/>
    <mergeCell ref="L231:M231"/>
    <mergeCell ref="A225:B225"/>
    <mergeCell ref="G225:H225"/>
    <mergeCell ref="L225:M225"/>
    <mergeCell ref="A226:B226"/>
    <mergeCell ref="G226:H226"/>
    <mergeCell ref="L226:M226"/>
    <mergeCell ref="A227:B227"/>
    <mergeCell ref="G227:H227"/>
    <mergeCell ref="L227:M227"/>
    <mergeCell ref="L218:M218"/>
    <mergeCell ref="A219:B219"/>
    <mergeCell ref="G219:H219"/>
    <mergeCell ref="L219:M219"/>
    <mergeCell ref="A220:B220"/>
    <mergeCell ref="G220:H220"/>
    <mergeCell ref="L220:M220"/>
    <mergeCell ref="A224:B224"/>
    <mergeCell ref="G224:H224"/>
    <mergeCell ref="L224:M224"/>
    <mergeCell ref="A611:B611"/>
    <mergeCell ref="C611:D611"/>
    <mergeCell ref="E611:F611"/>
    <mergeCell ref="G611:H611"/>
    <mergeCell ref="A612:H614"/>
    <mergeCell ref="A605:H605"/>
    <mergeCell ref="A606:H606"/>
    <mergeCell ref="A607:H607"/>
    <mergeCell ref="A608:H608"/>
    <mergeCell ref="A609:H609"/>
    <mergeCell ref="A610:H610"/>
    <mergeCell ref="A602:H602"/>
    <mergeCell ref="A603:H603"/>
    <mergeCell ref="A604:H604"/>
    <mergeCell ref="A354:B354"/>
    <mergeCell ref="A355:B355"/>
    <mergeCell ref="A356:B356"/>
    <mergeCell ref="A357:B357"/>
    <mergeCell ref="A358:B358"/>
    <mergeCell ref="A359:B359"/>
    <mergeCell ref="A362:H362"/>
    <mergeCell ref="A363:B363"/>
    <mergeCell ref="A364:B364"/>
    <mergeCell ref="A365:B365"/>
    <mergeCell ref="A366:B366"/>
    <mergeCell ref="A367:B367"/>
    <mergeCell ref="A368:B368"/>
    <mergeCell ref="A369:B369"/>
    <mergeCell ref="A370:B370"/>
    <mergeCell ref="G363:H370"/>
    <mergeCell ref="A462:B462"/>
    <mergeCell ref="A463:B463"/>
    <mergeCell ref="A464:B464"/>
    <mergeCell ref="A465:B465"/>
    <mergeCell ref="G422:H432"/>
    <mergeCell ref="A344:B344"/>
    <mergeCell ref="A330:H330"/>
    <mergeCell ref="A331:H331"/>
    <mergeCell ref="A332:H332"/>
    <mergeCell ref="A333:B333"/>
    <mergeCell ref="G333:H345"/>
    <mergeCell ref="A334:B334"/>
    <mergeCell ref="A335:B335"/>
    <mergeCell ref="A336:B336"/>
    <mergeCell ref="A337:B337"/>
    <mergeCell ref="A338:B338"/>
    <mergeCell ref="A345:B345"/>
    <mergeCell ref="A197:B197"/>
    <mergeCell ref="D197:E197"/>
    <mergeCell ref="F197:H197"/>
    <mergeCell ref="A308:H308"/>
    <mergeCell ref="A309:H309"/>
    <mergeCell ref="A310:B310"/>
    <mergeCell ref="G310:H310"/>
    <mergeCell ref="D189:E189"/>
    <mergeCell ref="F189:H189"/>
    <mergeCell ref="D190:E190"/>
    <mergeCell ref="F190:H190"/>
    <mergeCell ref="A198:H198"/>
    <mergeCell ref="A199:H199"/>
    <mergeCell ref="A200:A201"/>
    <mergeCell ref="B200:B201"/>
    <mergeCell ref="C200:C201"/>
    <mergeCell ref="D200:D201"/>
    <mergeCell ref="E200:E201"/>
    <mergeCell ref="G200:H201"/>
    <mergeCell ref="A205:H205"/>
    <mergeCell ref="A206:B206"/>
    <mergeCell ref="G206:H206"/>
    <mergeCell ref="A217:B217"/>
    <mergeCell ref="G217:H217"/>
    <mergeCell ref="A177:E177"/>
    <mergeCell ref="F177:H177"/>
    <mergeCell ref="A178:H178"/>
    <mergeCell ref="A179:B179"/>
    <mergeCell ref="D179:E179"/>
    <mergeCell ref="F179:H179"/>
    <mergeCell ref="A180:A181"/>
    <mergeCell ref="D180:E180"/>
    <mergeCell ref="F180:H180"/>
    <mergeCell ref="D181:E181"/>
    <mergeCell ref="F181:H181"/>
    <mergeCell ref="A175:E175"/>
    <mergeCell ref="F175:H175"/>
    <mergeCell ref="A176:E176"/>
    <mergeCell ref="F176:H176"/>
    <mergeCell ref="A174:E174"/>
    <mergeCell ref="F174:H174"/>
    <mergeCell ref="A170:E170"/>
    <mergeCell ref="F170:H170"/>
    <mergeCell ref="A173:E173"/>
    <mergeCell ref="F173:H173"/>
    <mergeCell ref="A172:E172"/>
    <mergeCell ref="F172:H172"/>
    <mergeCell ref="A165:H165"/>
    <mergeCell ref="A166:H166"/>
    <mergeCell ref="A167:B167"/>
    <mergeCell ref="C167:H167"/>
    <mergeCell ref="A168:H168"/>
    <mergeCell ref="A169:E169"/>
    <mergeCell ref="F169:H169"/>
    <mergeCell ref="A171:E171"/>
    <mergeCell ref="F171:H171"/>
    <mergeCell ref="A74:B74"/>
    <mergeCell ref="A78:B78"/>
    <mergeCell ref="A68:B68"/>
    <mergeCell ref="E68:F68"/>
    <mergeCell ref="G68:H68"/>
    <mergeCell ref="A69:B69"/>
    <mergeCell ref="E69:F78"/>
    <mergeCell ref="G69:H78"/>
    <mergeCell ref="A70:B70"/>
    <mergeCell ref="A71:B71"/>
    <mergeCell ref="A72:B72"/>
    <mergeCell ref="A73:B73"/>
    <mergeCell ref="A75:B75"/>
    <mergeCell ref="A76:B76"/>
    <mergeCell ref="A77:B77"/>
    <mergeCell ref="A61:C61"/>
    <mergeCell ref="D61:H61"/>
    <mergeCell ref="A62:C62"/>
    <mergeCell ref="D62:H62"/>
    <mergeCell ref="A65:B65"/>
    <mergeCell ref="C65:H65"/>
    <mergeCell ref="D55:H55"/>
    <mergeCell ref="A59:C59"/>
    <mergeCell ref="D59:H59"/>
    <mergeCell ref="A60:C60"/>
    <mergeCell ref="D60:H60"/>
    <mergeCell ref="A63:B63"/>
    <mergeCell ref="C63:H63"/>
    <mergeCell ref="D58:H58"/>
    <mergeCell ref="D56:H56"/>
    <mergeCell ref="D57:H57"/>
    <mergeCell ref="A55:C58"/>
    <mergeCell ref="A51:H51"/>
    <mergeCell ref="A52:C52"/>
    <mergeCell ref="D52:H52"/>
    <mergeCell ref="A53:C53"/>
    <mergeCell ref="D53:H53"/>
    <mergeCell ref="A54:C54"/>
    <mergeCell ref="D54:H54"/>
    <mergeCell ref="A48:B49"/>
    <mergeCell ref="C48:E48"/>
    <mergeCell ref="G48:H48"/>
    <mergeCell ref="C49:H49"/>
    <mergeCell ref="A50:B50"/>
    <mergeCell ref="C50:E50"/>
    <mergeCell ref="G50:H50"/>
    <mergeCell ref="A45:H45"/>
    <mergeCell ref="A46:B46"/>
    <mergeCell ref="C46:E46"/>
    <mergeCell ref="G46:H46"/>
    <mergeCell ref="A47:B47"/>
    <mergeCell ref="C47:E47"/>
    <mergeCell ref="G47:H47"/>
    <mergeCell ref="A42:D42"/>
    <mergeCell ref="E42:H42"/>
    <mergeCell ref="A43:D43"/>
    <mergeCell ref="E43:H43"/>
    <mergeCell ref="A44:D44"/>
    <mergeCell ref="E44:H44"/>
    <mergeCell ref="A39:D39"/>
    <mergeCell ref="E39:H39"/>
    <mergeCell ref="A40:D40"/>
    <mergeCell ref="E40:H40"/>
    <mergeCell ref="A41:D41"/>
    <mergeCell ref="E41:H41"/>
    <mergeCell ref="A35:H35"/>
    <mergeCell ref="A37:B37"/>
    <mergeCell ref="A38:H38"/>
    <mergeCell ref="A36:B36"/>
    <mergeCell ref="C36:H36"/>
    <mergeCell ref="C37:H37"/>
    <mergeCell ref="A33:B33"/>
    <mergeCell ref="C33:E33"/>
    <mergeCell ref="F33:H33"/>
    <mergeCell ref="A34:B34"/>
    <mergeCell ref="C34:E34"/>
    <mergeCell ref="F34:H34"/>
    <mergeCell ref="A31:B31"/>
    <mergeCell ref="C31:E31"/>
    <mergeCell ref="F31:H31"/>
    <mergeCell ref="A32:B32"/>
    <mergeCell ref="C32:E32"/>
    <mergeCell ref="F32:H32"/>
    <mergeCell ref="A28:D28"/>
    <mergeCell ref="E28:H28"/>
    <mergeCell ref="A29:D29"/>
    <mergeCell ref="E29:H29"/>
    <mergeCell ref="A30:B30"/>
    <mergeCell ref="C30:E30"/>
    <mergeCell ref="F30:H30"/>
    <mergeCell ref="A25:D25"/>
    <mergeCell ref="E25:H25"/>
    <mergeCell ref="A26:D26"/>
    <mergeCell ref="E26:H26"/>
    <mergeCell ref="A27:D27"/>
    <mergeCell ref="E27:H27"/>
    <mergeCell ref="A22:D22"/>
    <mergeCell ref="E22:H22"/>
    <mergeCell ref="A23:D23"/>
    <mergeCell ref="E23:H23"/>
    <mergeCell ref="A24:D24"/>
    <mergeCell ref="E24:H24"/>
    <mergeCell ref="A19:B19"/>
    <mergeCell ref="C19:D19"/>
    <mergeCell ref="E19:F19"/>
    <mergeCell ref="G19:H19"/>
    <mergeCell ref="A20:D21"/>
    <mergeCell ref="E20:H21"/>
    <mergeCell ref="A11:D11"/>
    <mergeCell ref="E11:H11"/>
    <mergeCell ref="A17:B17"/>
    <mergeCell ref="C17:D17"/>
    <mergeCell ref="E17:F17"/>
    <mergeCell ref="G17:H17"/>
    <mergeCell ref="A18:B18"/>
    <mergeCell ref="C18:D18"/>
    <mergeCell ref="E18:F18"/>
    <mergeCell ref="G18:H18"/>
    <mergeCell ref="A15:B15"/>
    <mergeCell ref="C15:H15"/>
    <mergeCell ref="A16:B16"/>
    <mergeCell ref="C16:D16"/>
    <mergeCell ref="E16:F16"/>
    <mergeCell ref="G16:H16"/>
    <mergeCell ref="A12:D12"/>
    <mergeCell ref="E12:H12"/>
    <mergeCell ref="A13:D13"/>
    <mergeCell ref="E13:H13"/>
    <mergeCell ref="A14:B14"/>
    <mergeCell ref="C14:H14"/>
    <mergeCell ref="A5:D5"/>
    <mergeCell ref="E5:H5"/>
    <mergeCell ref="A6:D6"/>
    <mergeCell ref="E6:H6"/>
    <mergeCell ref="A7:D7"/>
    <mergeCell ref="E7:H7"/>
    <mergeCell ref="A1:H1"/>
    <mergeCell ref="A2:H2"/>
    <mergeCell ref="A3:D3"/>
    <mergeCell ref="E3:H3"/>
    <mergeCell ref="A4:D4"/>
    <mergeCell ref="E4:H4"/>
    <mergeCell ref="A8:D8"/>
    <mergeCell ref="E8:H8"/>
    <mergeCell ref="A9:D9"/>
    <mergeCell ref="E9:H9"/>
    <mergeCell ref="A441:B441"/>
    <mergeCell ref="A307:H307"/>
    <mergeCell ref="A204:H204"/>
    <mergeCell ref="A202:H202"/>
    <mergeCell ref="A210:B210"/>
    <mergeCell ref="G210:H210"/>
    <mergeCell ref="A430:B430"/>
    <mergeCell ref="A431:B431"/>
    <mergeCell ref="A432:B432"/>
    <mergeCell ref="A433:H433"/>
    <mergeCell ref="A434:B434"/>
    <mergeCell ref="G434:H444"/>
    <mergeCell ref="A435:B435"/>
    <mergeCell ref="A436:B436"/>
    <mergeCell ref="A437:B437"/>
    <mergeCell ref="A438:B438"/>
    <mergeCell ref="A439:B439"/>
    <mergeCell ref="A440:B440"/>
    <mergeCell ref="A394:B394"/>
    <mergeCell ref="A429:B429"/>
    <mergeCell ref="L206:M206"/>
    <mergeCell ref="A207:B207"/>
    <mergeCell ref="G207:H207"/>
    <mergeCell ref="L207:M207"/>
    <mergeCell ref="A208:B208"/>
    <mergeCell ref="G208:H208"/>
    <mergeCell ref="L208:M208"/>
    <mergeCell ref="A209:B209"/>
    <mergeCell ref="G209:H209"/>
    <mergeCell ref="L209:M209"/>
    <mergeCell ref="A389:B389"/>
    <mergeCell ref="A390:B390"/>
    <mergeCell ref="A391:B391"/>
    <mergeCell ref="A392:B392"/>
    <mergeCell ref="A393:B393"/>
    <mergeCell ref="A395:B395"/>
    <mergeCell ref="A396:B396"/>
    <mergeCell ref="A397:B397"/>
    <mergeCell ref="A398:B398"/>
    <mergeCell ref="A399:H399"/>
    <mergeCell ref="A400:B400"/>
    <mergeCell ref="G400:H412"/>
    <mergeCell ref="A401:B401"/>
    <mergeCell ref="A402:B402"/>
    <mergeCell ref="A380:B380"/>
    <mergeCell ref="A381:B381"/>
    <mergeCell ref="A382:B382"/>
    <mergeCell ref="A383:B383"/>
    <mergeCell ref="A384:B384"/>
    <mergeCell ref="G372:H384"/>
    <mergeCell ref="A385:H385"/>
    <mergeCell ref="A372:B372"/>
    <mergeCell ref="A373:B373"/>
    <mergeCell ref="A374:B374"/>
    <mergeCell ref="A375:B375"/>
    <mergeCell ref="A376:B376"/>
    <mergeCell ref="A377:B377"/>
    <mergeCell ref="A378:B378"/>
    <mergeCell ref="A379:B379"/>
    <mergeCell ref="A386:B386"/>
    <mergeCell ref="G386:H398"/>
    <mergeCell ref="A387:B387"/>
    <mergeCell ref="A388:B388"/>
    <mergeCell ref="L210:M210"/>
    <mergeCell ref="A211:B211"/>
    <mergeCell ref="G211:H211"/>
    <mergeCell ref="L211:M211"/>
    <mergeCell ref="A212:B212"/>
    <mergeCell ref="G212:H212"/>
    <mergeCell ref="L212:M212"/>
    <mergeCell ref="A311:H311"/>
    <mergeCell ref="A312:H312"/>
    <mergeCell ref="L213:M213"/>
    <mergeCell ref="A214:B214"/>
    <mergeCell ref="G214:H214"/>
    <mergeCell ref="L214:M214"/>
    <mergeCell ref="A215:B215"/>
    <mergeCell ref="G215:H215"/>
    <mergeCell ref="L215:M215"/>
    <mergeCell ref="A216:B216"/>
    <mergeCell ref="G216:H216"/>
    <mergeCell ref="L216:M216"/>
    <mergeCell ref="A213:B213"/>
    <mergeCell ref="G213:H213"/>
    <mergeCell ref="L217:M217"/>
    <mergeCell ref="A218:B218"/>
    <mergeCell ref="G218:H218"/>
    <mergeCell ref="A313:H313"/>
    <mergeCell ref="A314:H314"/>
    <mergeCell ref="A315:B315"/>
    <mergeCell ref="G315:H321"/>
    <mergeCell ref="A316:B316"/>
    <mergeCell ref="A317:B317"/>
    <mergeCell ref="A318:B318"/>
    <mergeCell ref="A319:B319"/>
    <mergeCell ref="A371:H371"/>
    <mergeCell ref="A320:B320"/>
    <mergeCell ref="A321:B321"/>
    <mergeCell ref="A322:H322"/>
    <mergeCell ref="A323:B323"/>
    <mergeCell ref="G323:H329"/>
    <mergeCell ref="A324:B324"/>
    <mergeCell ref="A325:B325"/>
    <mergeCell ref="A326:B326"/>
    <mergeCell ref="A327:B327"/>
    <mergeCell ref="A328:B328"/>
    <mergeCell ref="A329:B329"/>
    <mergeCell ref="A340:B340"/>
    <mergeCell ref="A341:B341"/>
    <mergeCell ref="A342:B342"/>
    <mergeCell ref="A343:B343"/>
    <mergeCell ref="A461:B461"/>
    <mergeCell ref="A466:B466"/>
    <mergeCell ref="A467:B467"/>
    <mergeCell ref="A469:B469"/>
    <mergeCell ref="A468:B468"/>
    <mergeCell ref="A457:H457"/>
    <mergeCell ref="A460:H460"/>
    <mergeCell ref="A458:H458"/>
    <mergeCell ref="A459:H459"/>
    <mergeCell ref="A475:B475"/>
    <mergeCell ref="G475:H487"/>
    <mergeCell ref="A476:B476"/>
    <mergeCell ref="A477:B477"/>
    <mergeCell ref="A478:B478"/>
    <mergeCell ref="A479:B479"/>
    <mergeCell ref="A480:B480"/>
    <mergeCell ref="A481:B481"/>
    <mergeCell ref="A482:B482"/>
    <mergeCell ref="A483:B483"/>
    <mergeCell ref="A484:B484"/>
    <mergeCell ref="A485:B485"/>
    <mergeCell ref="A486:B486"/>
    <mergeCell ref="A487:B487"/>
    <mergeCell ref="A474:H474"/>
    <mergeCell ref="A470:B470"/>
    <mergeCell ref="A471:B471"/>
    <mergeCell ref="A472:B472"/>
    <mergeCell ref="A473:B473"/>
    <mergeCell ref="G461:H473"/>
    <mergeCell ref="A79:B79"/>
    <mergeCell ref="C79:H79"/>
    <mergeCell ref="A81:B81"/>
    <mergeCell ref="C81:H81"/>
    <mergeCell ref="A82:B82"/>
    <mergeCell ref="E82:F82"/>
    <mergeCell ref="G82:H82"/>
    <mergeCell ref="A83:B83"/>
    <mergeCell ref="E83:F92"/>
    <mergeCell ref="G83:H92"/>
    <mergeCell ref="A84:B84"/>
    <mergeCell ref="A85:B85"/>
    <mergeCell ref="A86:B86"/>
    <mergeCell ref="A87:B87"/>
    <mergeCell ref="A88:B88"/>
    <mergeCell ref="A89:B89"/>
    <mergeCell ref="A90:B90"/>
    <mergeCell ref="A91:B91"/>
    <mergeCell ref="A92:B92"/>
    <mergeCell ref="A107:B107"/>
    <mergeCell ref="C107:H107"/>
    <mergeCell ref="A109:B109"/>
    <mergeCell ref="C109:H109"/>
    <mergeCell ref="A110:B110"/>
    <mergeCell ref="E110:F110"/>
    <mergeCell ref="G110:H110"/>
    <mergeCell ref="A111:B111"/>
    <mergeCell ref="E111:F120"/>
    <mergeCell ref="G111:H120"/>
    <mergeCell ref="A112:B112"/>
    <mergeCell ref="A113:B113"/>
    <mergeCell ref="A114:B114"/>
    <mergeCell ref="A115:B115"/>
    <mergeCell ref="A116:B116"/>
    <mergeCell ref="A117:B117"/>
    <mergeCell ref="A118:B118"/>
    <mergeCell ref="A119:B119"/>
    <mergeCell ref="A120:B120"/>
    <mergeCell ref="A93:B93"/>
    <mergeCell ref="C93:H93"/>
    <mergeCell ref="A95:B95"/>
    <mergeCell ref="C95:H95"/>
    <mergeCell ref="A106:B106"/>
    <mergeCell ref="A149:B149"/>
    <mergeCell ref="C149:H149"/>
    <mergeCell ref="A151:B151"/>
    <mergeCell ref="C151:H151"/>
    <mergeCell ref="A154:B154"/>
    <mergeCell ref="E154:F154"/>
    <mergeCell ref="G154:H154"/>
    <mergeCell ref="A155:B155"/>
    <mergeCell ref="E155:F164"/>
    <mergeCell ref="G155:H164"/>
    <mergeCell ref="A156:B156"/>
    <mergeCell ref="A157:B157"/>
    <mergeCell ref="A158:B158"/>
    <mergeCell ref="A159:B159"/>
    <mergeCell ref="A160:B160"/>
    <mergeCell ref="A161:B161"/>
    <mergeCell ref="A162:B162"/>
    <mergeCell ref="A163:B163"/>
    <mergeCell ref="A164:B164"/>
    <mergeCell ref="A152:B153"/>
    <mergeCell ref="C152:D153"/>
    <mergeCell ref="E152:F153"/>
    <mergeCell ref="G152:H153"/>
    <mergeCell ref="A139:B139"/>
    <mergeCell ref="E139:F148"/>
    <mergeCell ref="G139:H148"/>
    <mergeCell ref="A140:B140"/>
    <mergeCell ref="A141:B141"/>
    <mergeCell ref="A142:B142"/>
    <mergeCell ref="A143:B143"/>
    <mergeCell ref="A144:B144"/>
    <mergeCell ref="A145:B145"/>
    <mergeCell ref="A146:B146"/>
    <mergeCell ref="A147:B147"/>
    <mergeCell ref="A148:B148"/>
    <mergeCell ref="A138:B138"/>
    <mergeCell ref="E138:F138"/>
    <mergeCell ref="G138:H138"/>
    <mergeCell ref="A121:B121"/>
    <mergeCell ref="C121:H121"/>
    <mergeCell ref="A123:B123"/>
    <mergeCell ref="C123:H123"/>
    <mergeCell ref="A124:B124"/>
    <mergeCell ref="E124:F124"/>
    <mergeCell ref="G124:H124"/>
    <mergeCell ref="A125:B125"/>
    <mergeCell ref="E125:F134"/>
    <mergeCell ref="G125:H134"/>
    <mergeCell ref="A126:B126"/>
    <mergeCell ref="A127:B127"/>
    <mergeCell ref="A128:B128"/>
    <mergeCell ref="A129:B129"/>
    <mergeCell ref="A130:B130"/>
    <mergeCell ref="A131:B131"/>
    <mergeCell ref="A132:B132"/>
    <mergeCell ref="A133:B133"/>
    <mergeCell ref="A134:B134"/>
    <mergeCell ref="A10:D10"/>
    <mergeCell ref="E10:H10"/>
    <mergeCell ref="A66:B67"/>
    <mergeCell ref="C66:D67"/>
    <mergeCell ref="E66:F67"/>
    <mergeCell ref="G66:H67"/>
    <mergeCell ref="A135:B135"/>
    <mergeCell ref="C135:H135"/>
    <mergeCell ref="A137:B137"/>
    <mergeCell ref="C137:H137"/>
    <mergeCell ref="A96:B96"/>
    <mergeCell ref="E96:F96"/>
    <mergeCell ref="G96:H96"/>
    <mergeCell ref="A97:B97"/>
    <mergeCell ref="E97:F106"/>
    <mergeCell ref="G97:H106"/>
    <mergeCell ref="A98:B98"/>
    <mergeCell ref="A99:B99"/>
    <mergeCell ref="A100:B100"/>
    <mergeCell ref="A101:B101"/>
    <mergeCell ref="A102:B102"/>
    <mergeCell ref="A103:B103"/>
    <mergeCell ref="A104:B104"/>
    <mergeCell ref="A105:B105"/>
  </mergeCells>
  <hyperlinks>
    <hyperlink ref="C37" r:id="rId1" xr:uid="{00000000-0004-0000-0000-000000000000}"/>
    <hyperlink ref="I183" r:id="rId2" xr:uid="{00000000-0004-0000-0000-000001000000}"/>
    <hyperlink ref="I184" r:id="rId3" xr:uid="{00000000-0004-0000-0000-000002000000}"/>
  </hyperlinks>
  <printOptions horizontalCentered="1"/>
  <pageMargins left="0.31496062992126" right="0.31496062992126" top="0.78740157480314998" bottom="0.78740157480314998" header="0.196850393700787" footer="0.196850393700787"/>
  <pageSetup paperSize="2" scale="95" fitToHeight="0" orientation="portrait" r:id="rId4"/>
  <headerFooter>
    <oddHeader>&amp;C&amp;G</oddHeader>
    <oddFooter>&amp;L&amp;"Times New Roman,Bold"&amp;12Ref No: &amp;F&amp;C&amp;G</oddFooter>
  </headerFooter>
  <rowBreaks count="7" manualBreakCount="7">
    <brk id="62" max="16383" man="1"/>
    <brk id="120" max="16383" man="1"/>
    <brk id="614" max="16383" man="1"/>
    <brk id="657" max="16383" man="1"/>
    <brk id="698" max="16383" man="1"/>
    <brk id="730" max="16383" man="1"/>
    <brk id="762" max="16383" man="1"/>
  </rowBreaks>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workbookViewId="0">
      <selection activeCell="M197" sqref="M197"/>
    </sheetView>
  </sheetViews>
  <sheetFormatPr defaultRowHeight="15" x14ac:dyDescent="0.25"/>
  <cols>
    <col min="2" max="2" width="12.28515625" customWidth="1"/>
  </cols>
  <sheetData>
    <row r="2" spans="1:12" x14ac:dyDescent="0.25">
      <c r="B2" s="3" t="s">
        <v>80</v>
      </c>
      <c r="C2" s="227"/>
      <c r="D2" s="227"/>
    </row>
    <row r="3" spans="1:12" x14ac:dyDescent="0.25">
      <c r="D3" s="4"/>
      <c r="E3" s="4"/>
      <c r="F3" s="4"/>
      <c r="G3" s="4"/>
      <c r="H3" s="4"/>
      <c r="I3" s="4"/>
    </row>
    <row r="4" spans="1:12" x14ac:dyDescent="0.25">
      <c r="A4" s="3" t="s">
        <v>81</v>
      </c>
      <c r="B4" s="5" t="s">
        <v>82</v>
      </c>
      <c r="C4" s="228" t="s">
        <v>83</v>
      </c>
      <c r="D4" s="228"/>
      <c r="E4" s="228"/>
      <c r="F4" s="6"/>
      <c r="G4" s="228" t="s">
        <v>84</v>
      </c>
      <c r="H4" s="228"/>
      <c r="I4" s="228"/>
      <c r="J4" s="228" t="s">
        <v>85</v>
      </c>
      <c r="K4" s="228"/>
      <c r="L4" s="228"/>
    </row>
    <row r="5" spans="1:12" x14ac:dyDescent="0.25">
      <c r="A5" s="3">
        <v>202</v>
      </c>
      <c r="B5" s="5"/>
      <c r="C5" s="5" t="s">
        <v>86</v>
      </c>
      <c r="D5" s="5" t="s">
        <v>87</v>
      </c>
      <c r="E5" s="5" t="s">
        <v>62</v>
      </c>
      <c r="F5" s="5"/>
      <c r="G5" s="5" t="s">
        <v>86</v>
      </c>
      <c r="H5" s="5" t="s">
        <v>87</v>
      </c>
      <c r="I5" s="5" t="s">
        <v>62</v>
      </c>
      <c r="J5" s="5" t="s">
        <v>86</v>
      </c>
      <c r="K5" s="5" t="s">
        <v>87</v>
      </c>
      <c r="L5" s="5" t="s">
        <v>62</v>
      </c>
    </row>
    <row r="6" spans="1:12" x14ac:dyDescent="0.25">
      <c r="B6" s="7" t="s">
        <v>88</v>
      </c>
      <c r="C6" s="7">
        <v>4.5</v>
      </c>
      <c r="D6" s="7">
        <v>2.9</v>
      </c>
      <c r="E6" s="7">
        <f>C6*D6</f>
        <v>13.049999999999999</v>
      </c>
      <c r="F6" s="7" t="s">
        <v>89</v>
      </c>
      <c r="G6" s="7"/>
      <c r="H6" s="7"/>
      <c r="I6" s="7">
        <f>G6*H6</f>
        <v>0</v>
      </c>
      <c r="J6" s="7"/>
      <c r="K6" s="7"/>
      <c r="L6" s="7">
        <f>J6*K6</f>
        <v>0</v>
      </c>
    </row>
    <row r="7" spans="1:12" x14ac:dyDescent="0.25">
      <c r="B7" s="7"/>
      <c r="C7" s="7"/>
      <c r="D7" s="7"/>
      <c r="E7" s="7">
        <f t="shared" ref="E7:E33" si="0">C7*D7</f>
        <v>0</v>
      </c>
      <c r="F7" s="7" t="s">
        <v>90</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91</v>
      </c>
      <c r="C9" s="7">
        <v>1.88</v>
      </c>
      <c r="D9" s="7">
        <v>2.13</v>
      </c>
      <c r="E9" s="7">
        <f t="shared" si="0"/>
        <v>4.0043999999999995</v>
      </c>
      <c r="F9" s="7" t="s">
        <v>89</v>
      </c>
      <c r="G9" s="7"/>
      <c r="H9" s="7"/>
      <c r="I9" s="7">
        <f t="shared" si="1"/>
        <v>0</v>
      </c>
      <c r="J9" s="7"/>
      <c r="K9" s="7"/>
      <c r="L9" s="7">
        <f t="shared" si="2"/>
        <v>0</v>
      </c>
    </row>
    <row r="10" spans="1:12" x14ac:dyDescent="0.25">
      <c r="B10" s="7"/>
      <c r="C10" s="7"/>
      <c r="D10" s="7"/>
      <c r="E10" s="7">
        <f t="shared" si="0"/>
        <v>0</v>
      </c>
      <c r="F10" s="7" t="s">
        <v>90</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92</v>
      </c>
      <c r="C13" s="7"/>
      <c r="D13" s="7"/>
      <c r="E13" s="7">
        <f t="shared" si="0"/>
        <v>0</v>
      </c>
      <c r="F13" s="7" t="s">
        <v>89</v>
      </c>
      <c r="G13" s="7"/>
      <c r="H13" s="7"/>
      <c r="I13" s="7">
        <f t="shared" si="1"/>
        <v>0</v>
      </c>
      <c r="J13" s="7"/>
      <c r="K13" s="7"/>
      <c r="L13" s="7">
        <f t="shared" si="2"/>
        <v>0</v>
      </c>
    </row>
    <row r="14" spans="1:12" x14ac:dyDescent="0.25">
      <c r="B14" s="7"/>
      <c r="C14" s="7"/>
      <c r="D14" s="7"/>
      <c r="E14" s="7">
        <f t="shared" si="0"/>
        <v>0</v>
      </c>
      <c r="F14" s="7" t="s">
        <v>90</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93</v>
      </c>
      <c r="C17" s="7"/>
      <c r="D17" s="7"/>
      <c r="E17" s="7">
        <f t="shared" si="0"/>
        <v>0</v>
      </c>
      <c r="F17" s="7" t="s">
        <v>89</v>
      </c>
      <c r="G17" s="7"/>
      <c r="H17" s="7"/>
      <c r="I17" s="7">
        <f t="shared" si="1"/>
        <v>0</v>
      </c>
      <c r="J17" s="7"/>
      <c r="K17" s="7"/>
      <c r="L17" s="7">
        <f t="shared" si="2"/>
        <v>0</v>
      </c>
    </row>
    <row r="18" spans="2:12" x14ac:dyDescent="0.25">
      <c r="B18" s="7"/>
      <c r="C18" s="7"/>
      <c r="D18" s="7"/>
      <c r="E18" s="7">
        <f t="shared" si="0"/>
        <v>0</v>
      </c>
      <c r="F18" s="7" t="s">
        <v>90</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93</v>
      </c>
      <c r="C20" s="7"/>
      <c r="D20" s="7"/>
      <c r="E20" s="7">
        <f t="shared" si="0"/>
        <v>0</v>
      </c>
      <c r="F20" s="7" t="s">
        <v>89</v>
      </c>
      <c r="G20" s="7"/>
      <c r="H20" s="7"/>
      <c r="I20" s="7">
        <f t="shared" si="1"/>
        <v>0</v>
      </c>
      <c r="J20" s="7"/>
      <c r="K20" s="7"/>
      <c r="L20" s="7">
        <f t="shared" si="2"/>
        <v>0</v>
      </c>
    </row>
    <row r="21" spans="2:12" x14ac:dyDescent="0.25">
      <c r="B21" s="7"/>
      <c r="C21" s="7"/>
      <c r="D21" s="7"/>
      <c r="E21" s="7">
        <f t="shared" si="0"/>
        <v>0</v>
      </c>
      <c r="F21" s="7" t="s">
        <v>90</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94</v>
      </c>
      <c r="C23" s="7">
        <v>1.9</v>
      </c>
      <c r="D23" s="7">
        <v>1.07</v>
      </c>
      <c r="E23" s="7">
        <f t="shared" si="0"/>
        <v>2.0329999999999999</v>
      </c>
      <c r="F23" s="7" t="s">
        <v>95</v>
      </c>
      <c r="G23" s="7"/>
      <c r="H23" s="7"/>
      <c r="I23" s="7">
        <f t="shared" si="1"/>
        <v>0</v>
      </c>
      <c r="J23" s="7"/>
      <c r="K23" s="7"/>
      <c r="L23" s="7">
        <f t="shared" si="2"/>
        <v>0</v>
      </c>
    </row>
    <row r="24" spans="2:12" x14ac:dyDescent="0.25">
      <c r="B24" s="7" t="s">
        <v>96</v>
      </c>
      <c r="C24" s="7"/>
      <c r="D24" s="7"/>
      <c r="E24" s="7">
        <f t="shared" si="0"/>
        <v>0</v>
      </c>
      <c r="F24" s="7" t="s">
        <v>95</v>
      </c>
      <c r="G24" s="7"/>
      <c r="H24" s="7"/>
      <c r="I24" s="7">
        <f t="shared" si="1"/>
        <v>0</v>
      </c>
      <c r="J24" s="7"/>
      <c r="K24" s="7"/>
      <c r="L24" s="7">
        <f t="shared" si="2"/>
        <v>0</v>
      </c>
    </row>
    <row r="25" spans="2:12" x14ac:dyDescent="0.25">
      <c r="B25" s="7" t="s">
        <v>97</v>
      </c>
      <c r="C25" s="7"/>
      <c r="D25" s="7"/>
      <c r="E25" s="7">
        <f t="shared" si="0"/>
        <v>0</v>
      </c>
      <c r="F25" s="7" t="s">
        <v>95</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98</v>
      </c>
      <c r="C27" s="7"/>
      <c r="D27" s="7"/>
      <c r="E27" s="7">
        <f t="shared" si="0"/>
        <v>0</v>
      </c>
      <c r="F27" s="7"/>
      <c r="G27" s="7"/>
      <c r="H27" s="7"/>
      <c r="I27" s="7">
        <f t="shared" si="1"/>
        <v>0</v>
      </c>
      <c r="J27" s="7"/>
      <c r="K27" s="7"/>
      <c r="L27" s="7">
        <f t="shared" si="2"/>
        <v>0</v>
      </c>
    </row>
    <row r="28" spans="2:12" x14ac:dyDescent="0.25">
      <c r="B28" s="7" t="s">
        <v>99</v>
      </c>
      <c r="C28" s="7"/>
      <c r="D28" s="7"/>
      <c r="E28" s="7">
        <f t="shared" si="0"/>
        <v>0</v>
      </c>
      <c r="F28" s="7"/>
      <c r="G28" s="7"/>
      <c r="H28" s="7"/>
      <c r="I28" s="7">
        <f t="shared" si="1"/>
        <v>0</v>
      </c>
      <c r="J28" s="7"/>
      <c r="K28" s="7"/>
      <c r="L28" s="7">
        <f t="shared" si="2"/>
        <v>0</v>
      </c>
    </row>
    <row r="29" spans="2:12" x14ac:dyDescent="0.25">
      <c r="B29" s="7" t="s">
        <v>100</v>
      </c>
      <c r="C29" s="7"/>
      <c r="D29" s="7"/>
      <c r="E29" s="7">
        <f t="shared" si="0"/>
        <v>0</v>
      </c>
      <c r="F29" s="7"/>
      <c r="G29" s="7"/>
      <c r="H29" s="7"/>
      <c r="I29" s="7">
        <f t="shared" si="1"/>
        <v>0</v>
      </c>
      <c r="J29" s="7"/>
      <c r="K29" s="7"/>
      <c r="L29" s="7">
        <f t="shared" si="2"/>
        <v>0</v>
      </c>
    </row>
    <row r="30" spans="2:12" x14ac:dyDescent="0.25">
      <c r="B30" s="7" t="s">
        <v>101</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63</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6" sqref="C16"/>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
  <sheetViews>
    <sheetView topLeftCell="A25" zoomScale="85" zoomScaleNormal="85" workbookViewId="0">
      <selection activeCell="H7" sqref="H7"/>
    </sheetView>
  </sheetViews>
  <sheetFormatPr defaultColWidth="8.7109375" defaultRowHeight="15" x14ac:dyDescent="0.25"/>
  <cols>
    <col min="1" max="1" width="8.7109375" style="25"/>
    <col min="2" max="2" width="22.140625" style="25" customWidth="1"/>
    <col min="3" max="3" width="37" style="25" customWidth="1"/>
    <col min="4" max="5" width="11.42578125" style="25" customWidth="1"/>
    <col min="6" max="6" width="14" style="25" customWidth="1"/>
    <col min="7" max="7" width="20" style="25" customWidth="1"/>
    <col min="8" max="8" width="16.42578125" style="25" customWidth="1"/>
    <col min="9" max="16384" width="8.7109375" style="25"/>
  </cols>
  <sheetData>
    <row r="1" spans="1:9" ht="15" customHeight="1" x14ac:dyDescent="0.25"/>
    <row r="2" spans="1:9" ht="15" customHeight="1" x14ac:dyDescent="0.25">
      <c r="A2" s="26"/>
      <c r="B2" s="26"/>
      <c r="C2" s="26"/>
      <c r="D2" s="26"/>
      <c r="E2" s="26"/>
      <c r="F2" s="26"/>
      <c r="G2" s="26"/>
      <c r="H2" s="26"/>
    </row>
    <row r="3" spans="1:9" ht="15.75" customHeight="1" x14ac:dyDescent="0.25">
      <c r="A3" s="26"/>
      <c r="B3" s="229" t="s">
        <v>143</v>
      </c>
      <c r="C3" s="229"/>
      <c r="D3" s="229"/>
      <c r="E3" s="229"/>
      <c r="F3" s="229"/>
      <c r="G3" s="229"/>
      <c r="H3" s="229"/>
    </row>
    <row r="4" spans="1:9" x14ac:dyDescent="0.25">
      <c r="A4" s="26"/>
      <c r="B4" s="27" t="s">
        <v>144</v>
      </c>
      <c r="C4" s="27" t="s">
        <v>145</v>
      </c>
      <c r="D4" s="27" t="s">
        <v>81</v>
      </c>
      <c r="E4" s="27" t="s">
        <v>146</v>
      </c>
      <c r="F4" s="27" t="s">
        <v>150</v>
      </c>
      <c r="G4" s="27" t="s">
        <v>151</v>
      </c>
      <c r="H4" s="27" t="s">
        <v>147</v>
      </c>
    </row>
    <row r="5" spans="1:9" ht="15" customHeight="1" x14ac:dyDescent="0.25">
      <c r="A5" s="26"/>
      <c r="B5" s="47" t="s">
        <v>183</v>
      </c>
      <c r="C5" s="46" t="s">
        <v>182</v>
      </c>
      <c r="D5" s="47" t="s">
        <v>167</v>
      </c>
      <c r="E5" s="29">
        <v>624</v>
      </c>
      <c r="F5" s="30">
        <v>890</v>
      </c>
      <c r="G5" s="30">
        <f>H5/F5</f>
        <v>4719.1011235955057</v>
      </c>
      <c r="H5" s="31">
        <v>4200000</v>
      </c>
    </row>
    <row r="6" spans="1:9" x14ac:dyDescent="0.25">
      <c r="A6" s="26"/>
      <c r="B6" s="47" t="s">
        <v>183</v>
      </c>
      <c r="C6" s="46" t="s">
        <v>182</v>
      </c>
      <c r="D6" s="47" t="s">
        <v>168</v>
      </c>
      <c r="E6" s="29">
        <v>460</v>
      </c>
      <c r="F6" s="30">
        <v>650</v>
      </c>
      <c r="G6" s="30">
        <f t="shared" ref="G6:G8" si="0">H6/F6</f>
        <v>3846.1538461538462</v>
      </c>
      <c r="H6" s="31">
        <v>2500000</v>
      </c>
    </row>
    <row r="7" spans="1:9" ht="15" customHeight="1" x14ac:dyDescent="0.25">
      <c r="A7" s="26"/>
      <c r="B7" s="47" t="s">
        <v>183</v>
      </c>
      <c r="C7" s="46" t="s">
        <v>182</v>
      </c>
      <c r="D7" s="47" t="s">
        <v>167</v>
      </c>
      <c r="E7" s="29">
        <v>520</v>
      </c>
      <c r="F7" s="30">
        <v>900</v>
      </c>
      <c r="G7" s="30">
        <f t="shared" si="0"/>
        <v>3777.7777777777778</v>
      </c>
      <c r="H7" s="31">
        <v>3400000</v>
      </c>
    </row>
    <row r="8" spans="1:9" x14ac:dyDescent="0.25">
      <c r="A8" s="26"/>
      <c r="B8" s="47" t="s">
        <v>183</v>
      </c>
      <c r="C8" s="46" t="s">
        <v>182</v>
      </c>
      <c r="D8" s="47" t="s">
        <v>168</v>
      </c>
      <c r="E8" s="29">
        <v>450</v>
      </c>
      <c r="F8" s="30">
        <v>610</v>
      </c>
      <c r="G8" s="30">
        <f t="shared" si="0"/>
        <v>3688.5245901639346</v>
      </c>
      <c r="H8" s="31">
        <v>2250000</v>
      </c>
    </row>
    <row r="9" spans="1:9" ht="15" customHeight="1" x14ac:dyDescent="0.25">
      <c r="A9" s="26"/>
      <c r="B9" s="32" t="s">
        <v>148</v>
      </c>
      <c r="C9" s="29"/>
      <c r="D9" s="29"/>
      <c r="E9" s="29"/>
      <c r="F9" s="29"/>
      <c r="G9" s="33">
        <f>AVERAGE(G5:G8)</f>
        <v>4007.8893344227663</v>
      </c>
      <c r="H9" s="29"/>
    </row>
    <row r="10" spans="1:9" ht="15" customHeight="1" x14ac:dyDescent="0.25">
      <c r="B10" s="32" t="s">
        <v>149</v>
      </c>
      <c r="C10" s="29"/>
      <c r="D10" s="29"/>
      <c r="E10" s="29"/>
      <c r="F10" s="34"/>
      <c r="G10" s="32">
        <v>4000</v>
      </c>
      <c r="H10" s="32"/>
      <c r="I10" s="28"/>
    </row>
    <row r="11" spans="1:9" ht="15" customHeight="1" x14ac:dyDescent="0.25"/>
    <row r="12" spans="1:9" ht="15" customHeight="1" x14ac:dyDescent="0.25"/>
    <row r="13"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Jasmine</vt:lpstr>
      <vt:lpstr>Flat detail</vt:lpstr>
      <vt:lpstr>Note</vt:lpstr>
      <vt:lpstr>valuation</vt:lpstr>
      <vt:lpstr>Jasmine!Print_Area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2025-09-13T07:43:32Z</cp:lastPrinted>
  <dcterms:created xsi:type="dcterms:W3CDTF">2019-07-16T09:29:46Z</dcterms:created>
  <dcterms:modified xsi:type="dcterms:W3CDTF">2025-09-13T07:47:37Z</dcterms:modified>
</cp:coreProperties>
</file>