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A821074F-AD80-40CB-9587-B22A025DAF2D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0" i="1" l="1"/>
  <c r="J89" i="1"/>
  <c r="J88" i="1"/>
  <c r="J87" i="1"/>
  <c r="J104" i="1"/>
  <c r="J103" i="1"/>
  <c r="J102" i="1"/>
  <c r="J101" i="1"/>
  <c r="H80" i="1"/>
  <c r="J84" i="1" l="1"/>
  <c r="C83" i="1" s="1"/>
  <c r="D83" i="1" s="1"/>
  <c r="J82" i="1"/>
  <c r="J83" i="1"/>
  <c r="D92" i="1"/>
  <c r="D90" i="1"/>
  <c r="D88" i="1"/>
  <c r="D86" i="1"/>
  <c r="D91" i="1"/>
  <c r="D89" i="1"/>
  <c r="D87" i="1"/>
  <c r="D85" i="1"/>
  <c r="J79" i="1"/>
  <c r="J81" i="1" s="1"/>
  <c r="J85" i="1"/>
  <c r="J86" i="1" s="1"/>
  <c r="J91" i="1" s="1"/>
  <c r="J92" i="1" s="1"/>
  <c r="C84" i="1" s="1"/>
  <c r="K159" i="1"/>
  <c r="K160" i="1"/>
  <c r="K158" i="1"/>
  <c r="J161" i="1"/>
  <c r="J158" i="1"/>
  <c r="E208" i="1"/>
  <c r="E207" i="1"/>
  <c r="E181" i="1"/>
  <c r="E182" i="1"/>
  <c r="E183" i="1"/>
  <c r="E184" i="1"/>
  <c r="E169" i="1"/>
  <c r="E168" i="1"/>
  <c r="E167" i="1"/>
  <c r="E150" i="1"/>
  <c r="E149" i="1"/>
  <c r="E147" i="1"/>
  <c r="D203" i="1"/>
  <c r="D204" i="1"/>
  <c r="D202" i="1"/>
  <c r="D201" i="1"/>
  <c r="D182" i="1"/>
  <c r="D181" i="1"/>
  <c r="D162" i="1"/>
  <c r="D144" i="1"/>
  <c r="E144" i="1"/>
  <c r="J142" i="1"/>
  <c r="K138" i="1"/>
  <c r="G139" i="1"/>
  <c r="J129" i="1"/>
  <c r="E217" i="1"/>
  <c r="E216" i="1"/>
  <c r="E215" i="1"/>
  <c r="E214" i="1"/>
  <c r="E213" i="1"/>
  <c r="D217" i="1"/>
  <c r="D216" i="1"/>
  <c r="D215" i="1"/>
  <c r="D214" i="1"/>
  <c r="D213" i="1"/>
  <c r="E194" i="1"/>
  <c r="E193" i="1"/>
  <c r="E192" i="1"/>
  <c r="E191" i="1"/>
  <c r="D194" i="1"/>
  <c r="D193" i="1"/>
  <c r="D192" i="1"/>
  <c r="D191" i="1"/>
  <c r="E175" i="1"/>
  <c r="E174" i="1"/>
  <c r="E173" i="1"/>
  <c r="E172" i="1"/>
  <c r="D175" i="1"/>
  <c r="D174" i="1"/>
  <c r="D173" i="1"/>
  <c r="D172" i="1"/>
  <c r="G213" i="1"/>
  <c r="G191" i="1"/>
  <c r="G172" i="1"/>
  <c r="E155" i="1"/>
  <c r="E154" i="1"/>
  <c r="E153" i="1"/>
  <c r="E152" i="1"/>
  <c r="D155" i="1"/>
  <c r="D154" i="1"/>
  <c r="D153" i="1"/>
  <c r="D152" i="1"/>
  <c r="G152" i="1"/>
  <c r="E210" i="1"/>
  <c r="E209" i="1"/>
  <c r="D211" i="1"/>
  <c r="D210" i="1"/>
  <c r="D209" i="1"/>
  <c r="D208" i="1"/>
  <c r="D207" i="1"/>
  <c r="E189" i="1"/>
  <c r="E188" i="1"/>
  <c r="E187" i="1"/>
  <c r="E186" i="1"/>
  <c r="D189" i="1"/>
  <c r="D188" i="1"/>
  <c r="D187" i="1"/>
  <c r="D186" i="1"/>
  <c r="G186" i="1"/>
  <c r="E170" i="1"/>
  <c r="D170" i="1"/>
  <c r="D169" i="1"/>
  <c r="D168" i="1"/>
  <c r="G167" i="1"/>
  <c r="D167" i="1"/>
  <c r="E148" i="1"/>
  <c r="D150" i="1"/>
  <c r="D149" i="1"/>
  <c r="D148" i="1"/>
  <c r="D147" i="1"/>
  <c r="G147" i="1"/>
  <c r="D205" i="1"/>
  <c r="E205" i="1"/>
  <c r="E145" i="1"/>
  <c r="E143" i="1"/>
  <c r="E142" i="1"/>
  <c r="E165" i="1"/>
  <c r="E164" i="1"/>
  <c r="E163" i="1"/>
  <c r="E162" i="1"/>
  <c r="E204" i="1"/>
  <c r="E203" i="1"/>
  <c r="E202" i="1"/>
  <c r="E201" i="1"/>
  <c r="G201" i="1"/>
  <c r="A202" i="1"/>
  <c r="A203" i="1" s="1"/>
  <c r="A204" i="1" s="1"/>
  <c r="A205" i="1" s="1"/>
  <c r="D184" i="1"/>
  <c r="D183" i="1"/>
  <c r="D164" i="1"/>
  <c r="D165" i="1"/>
  <c r="G181" i="1"/>
  <c r="A182" i="1"/>
  <c r="A183" i="1" s="1"/>
  <c r="A184" i="1" s="1"/>
  <c r="D163" i="1"/>
  <c r="G162" i="1"/>
  <c r="A163" i="1"/>
  <c r="A164" i="1" s="1"/>
  <c r="A165" i="1" s="1"/>
  <c r="D145" i="1"/>
  <c r="D143" i="1"/>
  <c r="D142" i="1"/>
  <c r="G142" i="1"/>
  <c r="A143" i="1"/>
  <c r="A144" i="1" s="1"/>
  <c r="A145" i="1" s="1"/>
  <c r="D198" i="1"/>
  <c r="D197" i="1"/>
  <c r="D199" i="1"/>
  <c r="A198" i="1"/>
  <c r="A199" i="1" s="1"/>
  <c r="G197" i="1"/>
  <c r="D179" i="1"/>
  <c r="A179" i="1"/>
  <c r="G178" i="1"/>
  <c r="D178" i="1"/>
  <c r="D158" i="1"/>
  <c r="D160" i="1"/>
  <c r="D159" i="1"/>
  <c r="A159" i="1"/>
  <c r="A160" i="1" s="1"/>
  <c r="G158" i="1"/>
  <c r="D140" i="1"/>
  <c r="D139" i="1"/>
  <c r="J139" i="1" s="1"/>
  <c r="D134" i="1"/>
  <c r="D133" i="1"/>
  <c r="D132" i="1"/>
  <c r="D131" i="1"/>
  <c r="D130" i="1"/>
  <c r="J130" i="1" s="1"/>
  <c r="G49" i="1"/>
  <c r="G50" i="1" s="1"/>
  <c r="E83" i="1" l="1"/>
  <c r="D84" i="1"/>
  <c r="I80" i="1" s="1"/>
  <c r="I81" i="1" s="1"/>
  <c r="G83" i="1"/>
  <c r="J80" i="1"/>
  <c r="E120" i="1"/>
  <c r="C117" i="1"/>
  <c r="E117" i="1"/>
  <c r="C120" i="1"/>
  <c r="C121" i="1"/>
  <c r="E121" i="1"/>
  <c r="C123" i="1"/>
  <c r="E123" i="1"/>
  <c r="C122" i="1"/>
  <c r="E122" i="1"/>
  <c r="E42" i="1"/>
  <c r="E43" i="1" s="1"/>
  <c r="I79" i="1" l="1"/>
  <c r="C81" i="1" s="1"/>
  <c r="E124" i="1"/>
  <c r="J121" i="1" s="1"/>
  <c r="G122" i="1"/>
  <c r="G121" i="1"/>
  <c r="C124" i="1"/>
  <c r="C14" i="1"/>
  <c r="E29" i="1" l="1"/>
  <c r="A140" i="1" l="1"/>
  <c r="F114" i="1" l="1"/>
  <c r="G117" i="1" l="1"/>
  <c r="B220" i="1"/>
  <c r="G123" i="1" l="1"/>
  <c r="B22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1" i="1"/>
  <c r="G207" i="1"/>
  <c r="A131" i="1"/>
  <c r="A132" i="1" s="1"/>
  <c r="A133" i="1" s="1"/>
  <c r="A134" i="1" s="1"/>
  <c r="G130" i="1"/>
  <c r="J76" i="1"/>
  <c r="J75" i="1"/>
  <c r="J74" i="1"/>
  <c r="J73" i="1"/>
  <c r="D54" i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H94" i="1"/>
  <c r="J98" i="1" l="1"/>
  <c r="C97" i="1" s="1"/>
  <c r="D97" i="1" s="1"/>
  <c r="J96" i="1"/>
  <c r="D106" i="1"/>
  <c r="D102" i="1"/>
  <c r="D105" i="1"/>
  <c r="D101" i="1"/>
  <c r="J97" i="1"/>
  <c r="D99" i="1"/>
  <c r="D104" i="1"/>
  <c r="D100" i="1"/>
  <c r="J99" i="1"/>
  <c r="J100" i="1" s="1"/>
  <c r="J105" i="1" s="1"/>
  <c r="J106" i="1" s="1"/>
  <c r="C98" i="1" s="1"/>
  <c r="D103" i="1"/>
  <c r="J93" i="1"/>
  <c r="J95" i="1" s="1"/>
  <c r="I66" i="1"/>
  <c r="J66" i="1"/>
  <c r="F64" i="1"/>
  <c r="E97" i="1" l="1"/>
  <c r="D98" i="1"/>
  <c r="I94" i="1" s="1"/>
  <c r="I95" i="1" s="1"/>
  <c r="G97" i="1"/>
  <c r="J94" i="1"/>
  <c r="I67" i="1"/>
  <c r="I65" i="1" s="1"/>
  <c r="C67" i="1" s="1"/>
  <c r="G120" i="1"/>
  <c r="G124" i="1" s="1"/>
  <c r="I93" i="1" l="1"/>
  <c r="C95" i="1" s="1"/>
</calcChain>
</file>

<file path=xl/sharedStrings.xml><?xml version="1.0" encoding="utf-8"?>
<sst xmlns="http://schemas.openxmlformats.org/spreadsheetml/2006/main" count="426" uniqueCount="229">
  <si>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</si>
  <si>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</si>
  <si>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</si>
  <si>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</si>
  <si>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</si>
  <si>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</si>
  <si>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</si>
  <si>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</si>
  <si>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</si>
  <si>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</si>
  <si>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</si>
  <si>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</si>
  <si>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</si>
  <si>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</si>
  <si>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</si>
  <si>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</si>
  <si>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</si>
  <si>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</si>
  <si>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</si>
  <si>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</si>
  <si>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</si>
  <si>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</si>
  <si>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</si>
  <si>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</si>
  <si>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</si>
  <si>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</si>
  <si>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</si>
  <si>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</si>
  <si>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</si>
  <si>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</si>
  <si>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</si>
  <si>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</si>
  <si>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</si>
  <si>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</si>
  <si>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</si>
  <si>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</si>
  <si>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</si>
  <si>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</si>
  <si>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</si>
  <si>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</si>
  <si>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</si>
  <si>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</si>
  <si>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</si>
  <si>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</si>
  <si>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</si>
  <si>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</si>
  <si>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</si>
  <si>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</si>
  <si>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</si>
  <si>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</si>
  <si>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</si>
  <si>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</si>
  <si>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</si>
  <si>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</si>
  <si>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</si>
  <si>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</si>
  <si>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</si>
  <si>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</si>
  <si>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</si>
  <si>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</si>
  <si>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</si>
  <si>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</si>
  <si>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</si>
  <si>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</si>
  <si>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</si>
  <si>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</si>
  <si>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</si>
  <si>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</si>
  <si>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</si>
  <si>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</si>
  <si>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</si>
  <si>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</si>
  <si>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</si>
  <si>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</si>
  <si>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</si>
  <si>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</si>
  <si>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</si>
  <si>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</si>
  <si>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</si>
  <si>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</si>
  <si>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</si>
  <si>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</si>
  <si>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</si>
  <si>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</si>
  <si>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</si>
  <si>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</si>
  <si>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</si>
  <si>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</si>
  <si>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</si>
  <si>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</si>
  <si>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</si>
  <si>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</si>
  <si>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</si>
  <si>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</si>
  <si>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</si>
  <si>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</si>
  <si>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</si>
  <si>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</si>
  <si>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</si>
  <si>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</si>
  <si>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</si>
  <si>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</si>
  <si>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</si>
  <si>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</si>
  <si>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</si>
  <si>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</si>
  <si>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</si>
  <si>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</si>
  <si>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</si>
  <si>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</si>
  <si>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</si>
  <si>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</si>
  <si>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</si>
  <si>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</si>
  <si>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</si>
  <si>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</si>
  <si>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</si>
  <si>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</si>
  <si>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</si>
  <si>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</si>
  <si>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</si>
  <si>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</si>
  <si>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</si>
  <si>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</si>
  <si>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</si>
  <si>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</si>
  <si>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</si>
  <si>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</si>
  <si>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</si>
  <si>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</si>
  <si>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</si>
  <si>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</si>
  <si>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</si>
  <si>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</si>
  <si>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</si>
  <si>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</si>
  <si>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</si>
  <si>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</si>
  <si>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</si>
  <si>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</si>
  <si>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</si>
  <si>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</si>
  <si>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</si>
  <si>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</si>
  <si>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</si>
  <si>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</si>
  <si>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</si>
  <si>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</si>
  <si>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</si>
  <si>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</si>
  <si>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</si>
  <si>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</si>
  <si>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</si>
  <si>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</si>
  <si>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</si>
  <si>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</si>
  <si>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</si>
  <si>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</si>
  <si>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</si>
  <si>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</si>
  <si>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</si>
  <si>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</si>
  <si>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</si>
  <si>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</si>
  <si>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</si>
  <si>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</si>
  <si>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</si>
  <si>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</si>
  <si>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</si>
  <si>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Sanpada</t>
  </si>
  <si>
    <t>P52000046863</t>
  </si>
  <si>
    <t>Trinetram Realty</t>
  </si>
  <si>
    <t>Vinayak Greens</t>
  </si>
  <si>
    <t>Kasap</t>
  </si>
  <si>
    <t>Raigad</t>
  </si>
  <si>
    <t>Panvel</t>
  </si>
  <si>
    <t>Survey No</t>
  </si>
  <si>
    <t>19/1D</t>
  </si>
  <si>
    <t>https://goo.gl/maps/1xEnt982AGE6Suio6</t>
  </si>
  <si>
    <t>Savroli - Kharpada Road</t>
  </si>
  <si>
    <t>Open Plot</t>
  </si>
  <si>
    <t>5.6KM from Rasayani Railway Station</t>
  </si>
  <si>
    <t>Rasayani</t>
  </si>
  <si>
    <t>A, B, C &amp; D Wing</t>
  </si>
  <si>
    <t>04 Building</t>
  </si>
  <si>
    <t>Collector of raigad</t>
  </si>
  <si>
    <t>MS/LNA-1SR/192/20018</t>
  </si>
  <si>
    <t>KMS/LNA.1(B)/TN.14106/SR.192/2018</t>
  </si>
  <si>
    <t xml:space="preserve">As per RERA -31/12/2027 </t>
  </si>
  <si>
    <t>A to D Wing = G + 1st to 7th Floor</t>
  </si>
  <si>
    <t>Escon Elevators Factory</t>
  </si>
  <si>
    <t>Shop</t>
  </si>
  <si>
    <t>Ground Floor For Part Commercial &amp; Parking</t>
  </si>
  <si>
    <t>1RK</t>
  </si>
  <si>
    <t>A Wing</t>
  </si>
  <si>
    <t>B Wing</t>
  </si>
  <si>
    <t>C Wing</t>
  </si>
  <si>
    <t>D Wing</t>
  </si>
  <si>
    <t>Ground Floor For Residential &amp; Parking</t>
  </si>
  <si>
    <t>1st Floor For Residential</t>
  </si>
  <si>
    <t>2BHK</t>
  </si>
  <si>
    <t>1BHK</t>
  </si>
  <si>
    <t>`</t>
  </si>
  <si>
    <t>2nd, 4th &amp; 6th Floor</t>
  </si>
  <si>
    <t>3rd, 5th &amp; 7th Floor</t>
  </si>
  <si>
    <t>Flats - 129, Shops - 5</t>
  </si>
  <si>
    <t>We considered Gross carpet area = Net carpet + Enclose balcony.</t>
  </si>
  <si>
    <t xml:space="preserve"> Builder Saleable area</t>
  </si>
  <si>
    <t>Internal Road</t>
  </si>
  <si>
    <t>Ground Floor For Part Commercial, Part Residential &amp; Parking</t>
  </si>
  <si>
    <t>Water, MSEB, Development Charges</t>
  </si>
  <si>
    <t>Club Membership Charges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</si>
  <si>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</si>
  <si>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3500 to 3800</t>
  </si>
  <si>
    <t xml:space="preserve">Recommended Rates/Other Charges of the Property have been revised on 08/01/2024
</t>
  </si>
  <si>
    <t>smith</t>
  </si>
  <si>
    <t xml:space="preserve">1L to 1.5L </t>
  </si>
  <si>
    <t>-</t>
  </si>
  <si>
    <t>Nitesh Patil</t>
  </si>
  <si>
    <t>Mr.Mihir 9137003629</t>
  </si>
  <si>
    <t>Anil Kapadia 9699709000</t>
  </si>
  <si>
    <t>Construction work has incresed as compare to last visited date 12/12/2024 but at the time of visit no labour or no active work found on site.</t>
  </si>
  <si>
    <t xml:space="preserve">Wing A to D = Construction work has increased as compare to last visit dated 08/03/2025. (Very Slow Speed).
</t>
  </si>
  <si>
    <t>Ms. Nisha Mhatre 7249122920</t>
  </si>
  <si>
    <t>Gaurav Panchal</t>
  </si>
  <si>
    <t>C  Wing = G + 1st to 7th Floor</t>
  </si>
  <si>
    <t>D Wing = G + 1st to 7th Floor</t>
  </si>
  <si>
    <t>Wing A to C = Construction work is same as last visit dtd. 05/06/2025 but work is in process at the time of visit (Slow Speed).
Wing D = Construction work is in process at the time of visit.</t>
  </si>
  <si>
    <t>A &amp; B Wing = G + 1st to 7th Floor
C  Wing = G + 1st to 7th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</si>
</sst>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324</xdr:row>
      <xdr:rowOff>0</xdr:rowOff>
    </xdr:from>
    <xdr:to>
      <xdr:col>7</xdr:col>
      <xdr:colOff>274626</xdr:colOff>
      <xdr:row>340</xdr:row>
      <xdr:rowOff>39600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62122050"/>
          <a:ext cx="5570526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340</xdr:row>
      <xdr:rowOff>142875</xdr:rowOff>
    </xdr:from>
    <xdr:to>
      <xdr:col>7</xdr:col>
      <xdr:colOff>274626</xdr:colOff>
      <xdr:row>356</xdr:row>
      <xdr:rowOff>182475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67875150"/>
          <a:ext cx="5208576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762000</xdr:colOff>
      <xdr:row>283</xdr:row>
      <xdr:rowOff>0</xdr:rowOff>
    </xdr:from>
    <xdr:to>
      <xdr:col>7</xdr:col>
      <xdr:colOff>266082</xdr:colOff>
      <xdr:row>320</xdr:row>
      <xdr:rowOff>90893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762000" y="56226075"/>
          <a:ext cx="5200032" cy="7491818"/>
          <a:chOff x="762000" y="381000"/>
          <a:chExt cx="5619132" cy="7491818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62000" y="381000"/>
            <a:ext cx="5478263" cy="3600000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660222" y="4231909"/>
            <a:ext cx="3681819" cy="3600000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cxnSp macro="">
        <xdr:nvCxnSpPr>
          <xdr:cNvPr id="41" name="Straight Arrow Connector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/>
        </xdr:nvCxnSpPr>
        <xdr:spPr>
          <a:xfrm flipV="1">
            <a:off x="4876800" y="6781801"/>
            <a:ext cx="0" cy="481419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Arrow Connector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CxnSpPr/>
        </xdr:nvCxnSpPr>
        <xdr:spPr>
          <a:xfrm flipV="1">
            <a:off x="5943600" y="2971801"/>
            <a:ext cx="0" cy="481419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4330200" y="7263219"/>
            <a:ext cx="1080000" cy="36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0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North</a:t>
            </a:r>
            <a:endParaRPr lang="en-IN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5301132" y="3483218"/>
            <a:ext cx="1080000" cy="360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0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North</a:t>
            </a:r>
            <a:endParaRPr lang="en-IN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4</xdr:col>
      <xdr:colOff>495300</xdr:colOff>
      <xdr:row>292</xdr:row>
      <xdr:rowOff>133350</xdr:rowOff>
    </xdr:from>
    <xdr:to>
      <xdr:col>5</xdr:col>
      <xdr:colOff>304800</xdr:colOff>
      <xdr:row>295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848100" y="57864375"/>
          <a:ext cx="59055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A</a:t>
          </a:r>
        </a:p>
      </xdr:txBody>
    </xdr:sp>
    <xdr:clientData/>
  </xdr:twoCellAnchor>
  <xdr:twoCellAnchor>
    <xdr:from>
      <xdr:col>3</xdr:col>
      <xdr:colOff>866775</xdr:colOff>
      <xdr:row>292</xdr:row>
      <xdr:rowOff>123824</xdr:rowOff>
    </xdr:from>
    <xdr:to>
      <xdr:col>4</xdr:col>
      <xdr:colOff>504825</xdr:colOff>
      <xdr:row>294</xdr:row>
      <xdr:rowOff>152399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276600" y="57854849"/>
          <a:ext cx="581025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</a:p>
      </xdr:txBody>
    </xdr:sp>
    <xdr:clientData/>
  </xdr:twoCellAnchor>
  <xdr:twoCellAnchor>
    <xdr:from>
      <xdr:col>3</xdr:col>
      <xdr:colOff>333375</xdr:colOff>
      <xdr:row>292</xdr:row>
      <xdr:rowOff>171450</xdr:rowOff>
    </xdr:from>
    <xdr:to>
      <xdr:col>4</xdr:col>
      <xdr:colOff>0</xdr:colOff>
      <xdr:row>295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743200" y="57902475"/>
          <a:ext cx="609600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C</a:t>
          </a:r>
        </a:p>
      </xdr:txBody>
    </xdr:sp>
    <xdr:clientData/>
  </xdr:twoCellAnchor>
  <xdr:twoCellAnchor>
    <xdr:from>
      <xdr:col>2</xdr:col>
      <xdr:colOff>647700</xdr:colOff>
      <xdr:row>292</xdr:row>
      <xdr:rowOff>180975</xdr:rowOff>
    </xdr:from>
    <xdr:to>
      <xdr:col>3</xdr:col>
      <xdr:colOff>381000</xdr:colOff>
      <xdr:row>295</xdr:row>
      <xdr:rowOff>76200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209800" y="57912000"/>
          <a:ext cx="58102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D</a:t>
          </a:r>
        </a:p>
      </xdr:txBody>
    </xdr:sp>
    <xdr:clientData/>
  </xdr:twoCellAnchor>
  <xdr:oneCellAnchor>
    <xdr:from>
      <xdr:col>8</xdr:col>
      <xdr:colOff>429461</xdr:colOff>
      <xdr:row>255</xdr:row>
      <xdr:rowOff>121517</xdr:rowOff>
    </xdr:from>
    <xdr:ext cx="26629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954086" y="50251592"/>
          <a:ext cx="26629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10</xdr:col>
      <xdr:colOff>585117</xdr:colOff>
      <xdr:row>255</xdr:row>
      <xdr:rowOff>121517</xdr:rowOff>
    </xdr:from>
    <xdr:ext cx="271485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033792" y="50251592"/>
          <a:ext cx="2714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13</xdr:col>
      <xdr:colOff>306926</xdr:colOff>
      <xdr:row>255</xdr:row>
      <xdr:rowOff>121517</xdr:rowOff>
    </xdr:from>
    <xdr:ext cx="271485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1041601" y="50251592"/>
          <a:ext cx="271485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10</xdr:col>
      <xdr:colOff>0</xdr:colOff>
      <xdr:row>239</xdr:row>
      <xdr:rowOff>0</xdr:rowOff>
    </xdr:from>
    <xdr:ext cx="596574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448675" y="46739175"/>
          <a:ext cx="596574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oneCellAnchor>
  <xdr:twoCellAnchor>
    <xdr:from>
      <xdr:col>9</xdr:col>
      <xdr:colOff>245745</xdr:colOff>
      <xdr:row>238</xdr:row>
      <xdr:rowOff>30474</xdr:rowOff>
    </xdr:from>
    <xdr:to>
      <xdr:col>18</xdr:col>
      <xdr:colOff>28695</xdr:colOff>
      <xdr:row>274</xdr:row>
      <xdr:rowOff>106410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932420" y="47264949"/>
          <a:ext cx="6326625" cy="7267311"/>
          <a:chOff x="85725" y="47261139"/>
          <a:chExt cx="6362820" cy="7267311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85725" y="47261139"/>
            <a:ext cx="6362820" cy="7267311"/>
            <a:chOff x="95250" y="47242089"/>
            <a:chExt cx="6362820" cy="7267311"/>
          </a:xfrm>
        </xdr:grpSpPr>
        <xdr:pic>
          <xdr:nvPicPr>
            <xdr:cNvPr id="31" name="Picture 30" descr="https://vsjcllp.vsjadon.com/upload/insp-220695-1525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72025" y="52349400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20695-843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0" y="47242089"/>
              <a:ext cx="2070918" cy="276506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20695-845.jpg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62350" y="50088800"/>
              <a:ext cx="287599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20695-847.jp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67050" y="52339875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20695-861.jpg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5" y="47242089"/>
              <a:ext cx="2070918" cy="276506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20695-860.jpg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0" y="50091975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20695-880.jpg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38325" y="50082450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20695-871.jpg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90201" y="47244000"/>
              <a:ext cx="2067869" cy="27622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20695-849.jpg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4775" y="52339875"/>
              <a:ext cx="287599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1343025" y="47327814"/>
            <a:ext cx="72244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2266950" y="47308764"/>
            <a:ext cx="714298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4391025" y="47270664"/>
            <a:ext cx="70865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C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80975" y="50137689"/>
            <a:ext cx="726802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Wing D</a:t>
            </a:r>
          </a:p>
        </xdr:txBody>
      </xdr:sp>
    </xdr:grpSp>
    <xdr:clientData/>
  </xdr:twoCellAnchor>
  <xdr:twoCellAnchor>
    <xdr:from>
      <xdr:col>8</xdr:col>
      <xdr:colOff>962025</xdr:colOff>
      <xdr:row>240</xdr:row>
      <xdr:rowOff>34290</xdr:rowOff>
    </xdr:from>
    <xdr:to>
      <xdr:col>16</xdr:col>
      <xdr:colOff>257809</xdr:colOff>
      <xdr:row>276</xdr:row>
      <xdr:rowOff>119419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AB0556C7-1062-DFD2-A89C-DB4D351D25DC}"/>
            </a:ext>
          </a:extLst>
        </xdr:cNvPr>
        <xdr:cNvGrpSpPr/>
      </xdr:nvGrpSpPr>
      <xdr:grpSpPr>
        <a:xfrm>
          <a:off x="7486650" y="47668815"/>
          <a:ext cx="5782309" cy="7276504"/>
          <a:chOff x="-13741" y="234790"/>
          <a:chExt cx="5930899" cy="7209829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2B299384-2777-0B19-CA60-C783B3BC98F4}"/>
              </a:ext>
            </a:extLst>
          </xdr:cNvPr>
          <xdr:cNvGrpSpPr/>
        </xdr:nvGrpSpPr>
        <xdr:grpSpPr>
          <a:xfrm>
            <a:off x="270862" y="5644619"/>
            <a:ext cx="5361692" cy="1800000"/>
            <a:chOff x="-268387" y="5644619"/>
            <a:chExt cx="5361692" cy="180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73259C0B-D920-D026-956A-D0A0249443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45180" y="564461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E894719C-327C-C79D-0F08-2044B4E22A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68387" y="5644619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D6076832-DDB2-B649-BCED-6FC1FC32D1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2667" y="564461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6CFDF22-AA55-5E6F-078E-8AF23C087D80}"/>
              </a:ext>
            </a:extLst>
          </xdr:cNvPr>
          <xdr:cNvGrpSpPr/>
        </xdr:nvGrpSpPr>
        <xdr:grpSpPr>
          <a:xfrm>
            <a:off x="246044" y="2914650"/>
            <a:ext cx="5411329" cy="2520000"/>
            <a:chOff x="206671" y="2914650"/>
            <a:chExt cx="5411329" cy="252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71A8535B-258A-E5FA-A9E9-F0C0B54BA81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2667" y="2914650"/>
              <a:ext cx="335533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D303851-C317-FF51-C866-58C01C8A68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904" y="291465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9" name="TextBox 24">
              <a:extLst>
                <a:ext uri="{FF2B5EF4-FFF2-40B4-BE49-F238E27FC236}">
                  <a16:creationId xmlns:a16="http://schemas.microsoft.com/office/drawing/2014/main" id="{0E6D73F1-7AE1-30AB-CACA-6916E10BAC6C}"/>
                </a:ext>
              </a:extLst>
            </xdr:cNvPr>
            <xdr:cNvSpPr txBox="1"/>
          </xdr:nvSpPr>
          <xdr:spPr>
            <a:xfrm>
              <a:off x="206671" y="3154164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D</a:t>
              </a:r>
              <a:endParaRPr lang="en-IN" sz="1400" b="1"/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9C5A8A64-5370-5768-F7C6-FDC4736B9CC9}"/>
              </a:ext>
            </a:extLst>
          </xdr:cNvPr>
          <xdr:cNvGrpSpPr/>
        </xdr:nvGrpSpPr>
        <xdr:grpSpPr>
          <a:xfrm>
            <a:off x="-13741" y="234790"/>
            <a:ext cx="5930899" cy="2520000"/>
            <a:chOff x="240905" y="234790"/>
            <a:chExt cx="5930899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1E4F3D6D-1AC4-8E88-7D4C-1B011C5FB8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905" y="23479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1C5F284E-A1BF-9927-6B37-234D3EDA11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2667" y="23479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BE6AFE81-0D08-E1A3-A75C-2E5BC65757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4429" y="23479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TextBox 25">
              <a:extLst>
                <a:ext uri="{FF2B5EF4-FFF2-40B4-BE49-F238E27FC236}">
                  <a16:creationId xmlns:a16="http://schemas.microsoft.com/office/drawing/2014/main" id="{2EFE4BA1-0E7C-8340-E569-F31C125A8966}"/>
                </a:ext>
              </a:extLst>
            </xdr:cNvPr>
            <xdr:cNvSpPr txBox="1"/>
          </xdr:nvSpPr>
          <xdr:spPr>
            <a:xfrm>
              <a:off x="4565217" y="308094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C</a:t>
              </a:r>
              <a:endParaRPr lang="en-IN" sz="1400" b="1"/>
            </a:p>
          </xdr:txBody>
        </xdr:sp>
        <xdr:sp macro="" textlink="">
          <xdr:nvSpPr>
            <xdr:cNvPr id="15" name="TextBox 26">
              <a:extLst>
                <a:ext uri="{FF2B5EF4-FFF2-40B4-BE49-F238E27FC236}">
                  <a16:creationId xmlns:a16="http://schemas.microsoft.com/office/drawing/2014/main" id="{2225A883-BE9E-4E2F-BDC8-9715C0497243}"/>
                </a:ext>
              </a:extLst>
            </xdr:cNvPr>
            <xdr:cNvSpPr txBox="1"/>
          </xdr:nvSpPr>
          <xdr:spPr>
            <a:xfrm>
              <a:off x="2558695" y="308094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B</a:t>
              </a:r>
              <a:endParaRPr lang="en-IN" sz="1400" b="1"/>
            </a:p>
          </xdr:txBody>
        </xdr:sp>
        <xdr:sp macro="" textlink="">
          <xdr:nvSpPr>
            <xdr:cNvPr id="16" name="TextBox 27">
              <a:extLst>
                <a:ext uri="{FF2B5EF4-FFF2-40B4-BE49-F238E27FC236}">
                  <a16:creationId xmlns:a16="http://schemas.microsoft.com/office/drawing/2014/main" id="{7E14DF8B-68DC-77B5-D448-F6B474325CFB}"/>
                </a:ext>
              </a:extLst>
            </xdr:cNvPr>
            <xdr:cNvSpPr txBox="1"/>
          </xdr:nvSpPr>
          <xdr:spPr>
            <a:xfrm>
              <a:off x="1191586" y="365244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/>
                <a:t>Wing A</a:t>
              </a:r>
              <a:endParaRPr lang="en-IN" sz="1400" b="1"/>
            </a:p>
          </xdr:txBody>
        </xdr:sp>
      </xdr:grpSp>
    </xdr:grpSp>
    <xdr:clientData/>
  </xdr:twoCellAnchor>
  <xdr:twoCellAnchor>
    <xdr:from>
      <xdr:col>0</xdr:col>
      <xdr:colOff>85725</xdr:colOff>
      <xdr:row>241</xdr:row>
      <xdr:rowOff>133350</xdr:rowOff>
    </xdr:from>
    <xdr:to>
      <xdr:col>7</xdr:col>
      <xdr:colOff>729250</xdr:colOff>
      <xdr:row>278</xdr:row>
      <xdr:rowOff>11126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528F52CE-7E01-41DC-BE67-A4669BD6CF89}"/>
            </a:ext>
          </a:extLst>
        </xdr:cNvPr>
        <xdr:cNvGrpSpPr/>
      </xdr:nvGrpSpPr>
      <xdr:grpSpPr>
        <a:xfrm>
          <a:off x="85725" y="47967900"/>
          <a:ext cx="6339475" cy="7269176"/>
          <a:chOff x="327492" y="519953"/>
          <a:chExt cx="6339475" cy="7269176"/>
        </a:xfrm>
      </xdr:grpSpPr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51F73FA7-F9BD-4A9E-9786-827C260E6144}"/>
              </a:ext>
            </a:extLst>
          </xdr:cNvPr>
          <xdr:cNvGrpSpPr/>
        </xdr:nvGrpSpPr>
        <xdr:grpSpPr>
          <a:xfrm>
            <a:off x="327492" y="519953"/>
            <a:ext cx="6339475" cy="7269176"/>
            <a:chOff x="327492" y="519953"/>
            <a:chExt cx="6339475" cy="7269176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403EB806-007B-4C57-AE42-D6203AEFB4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492" y="519953"/>
              <a:ext cx="2022187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A29F0590-819C-4676-A2BD-F894758DC3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6136" y="519953"/>
              <a:ext cx="2022187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3D8719F7-4208-4207-9B48-E55482F8CA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44780" y="519953"/>
              <a:ext cx="2022187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9E568AA9-61B1-49AF-BD90-C417447487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83089" y="3344541"/>
              <a:ext cx="1752563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34F5CE8C-2582-404C-BBF8-8A9AFD494D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15161" y="3344541"/>
              <a:ext cx="3115666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F3296472-746A-41BD-8980-DCAB17C98A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8591" y="5809129"/>
              <a:ext cx="263633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EE943E57-20A0-41A3-BDD8-5C5C24B9E8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98189" y="5809129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3C01C17F-8F5A-4647-8807-2B258B19E1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24392" y="5800660"/>
              <a:ext cx="1482938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7" name="TextBox 65">
            <a:extLst>
              <a:ext uri="{FF2B5EF4-FFF2-40B4-BE49-F238E27FC236}">
                <a16:creationId xmlns:a16="http://schemas.microsoft.com/office/drawing/2014/main" id="{E16EC639-993B-472B-8487-298E5BDBDA1B}"/>
              </a:ext>
            </a:extLst>
          </xdr:cNvPr>
          <xdr:cNvSpPr txBox="1"/>
        </xdr:nvSpPr>
        <xdr:spPr>
          <a:xfrm>
            <a:off x="1317582" y="655689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8" name="TextBox 66">
            <a:extLst>
              <a:ext uri="{FF2B5EF4-FFF2-40B4-BE49-F238E27FC236}">
                <a16:creationId xmlns:a16="http://schemas.microsoft.com/office/drawing/2014/main" id="{20C5FA4C-4AF1-4A3C-BA83-B81467E14067}"/>
              </a:ext>
            </a:extLst>
          </xdr:cNvPr>
          <xdr:cNvSpPr txBox="1"/>
        </xdr:nvSpPr>
        <xdr:spPr>
          <a:xfrm>
            <a:off x="2563608" y="519953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2" name="TextBox 67">
            <a:extLst>
              <a:ext uri="{FF2B5EF4-FFF2-40B4-BE49-F238E27FC236}">
                <a16:creationId xmlns:a16="http://schemas.microsoft.com/office/drawing/2014/main" id="{ED5F0710-99A3-4302-AEFA-C8561BD14606}"/>
              </a:ext>
            </a:extLst>
          </xdr:cNvPr>
          <xdr:cNvSpPr txBox="1"/>
        </xdr:nvSpPr>
        <xdr:spPr>
          <a:xfrm>
            <a:off x="4790300" y="571414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3" name="TextBox 68">
            <a:extLst>
              <a:ext uri="{FF2B5EF4-FFF2-40B4-BE49-F238E27FC236}">
                <a16:creationId xmlns:a16="http://schemas.microsoft.com/office/drawing/2014/main" id="{E31BAF65-1969-449E-AECA-CB4FCE6E3EC3}"/>
              </a:ext>
            </a:extLst>
          </xdr:cNvPr>
          <xdr:cNvSpPr txBox="1"/>
        </xdr:nvSpPr>
        <xdr:spPr>
          <a:xfrm>
            <a:off x="968476" y="3311727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301179</xdr:colOff>
      <xdr:row>30</xdr:row>
      <xdr:rowOff>163548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D4864-C34B-E48F-40F1-844E137B7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" t="16707"/>
        <a:stretch/>
      </xdr:blipFill>
      <xdr:spPr>
        <a:xfrm>
          <a:off x="582706" y="2678206"/>
          <a:ext cx="6699738" cy="3211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xEnt982AGE6Suio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23"/>
  <sheetViews>
    <sheetView tabSelected="1" view="pageBreakPreview" zoomScaleNormal="100" zoomScaleSheetLayoutView="100" workbookViewId="0">
      <selection activeCell="L6" sqref="L6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0" customWidth="1"/>
    <col min="10" max="10" width="11.42578125" style="20" customWidth="1"/>
    <col min="11" max="11" width="11.8554687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49" t="s">
        <v>212</v>
      </c>
      <c r="B1" s="149"/>
      <c r="C1" s="149"/>
      <c r="D1" s="149"/>
      <c r="E1" s="149"/>
      <c r="F1" s="149"/>
      <c r="G1" s="149"/>
      <c r="H1" s="149"/>
    </row>
    <row r="2" spans="1:12" ht="16.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12" x14ac:dyDescent="0.25">
      <c r="A3" s="128" t="s">
        <v>1</v>
      </c>
      <c r="B3" s="128"/>
      <c r="C3" s="128"/>
      <c r="D3" s="128"/>
      <c r="E3" s="128" t="str">
        <f ca="1">TEXT(TODAY(),"DD/MM/YYYY")</f>
        <v>13/09/2025</v>
      </c>
      <c r="F3" s="128"/>
      <c r="G3" s="128"/>
      <c r="H3" s="128"/>
    </row>
    <row r="4" spans="1:12" ht="15" customHeight="1" x14ac:dyDescent="0.25">
      <c r="A4" s="128" t="s">
        <v>2</v>
      </c>
      <c r="B4" s="128"/>
      <c r="C4" s="128"/>
      <c r="D4" s="128"/>
      <c r="E4" s="128" t="s">
        <v>169</v>
      </c>
      <c r="F4" s="128"/>
      <c r="G4" s="128"/>
      <c r="H4" s="128"/>
    </row>
    <row r="5" spans="1:12" x14ac:dyDescent="0.25">
      <c r="A5" s="128" t="s">
        <v>3</v>
      </c>
      <c r="B5" s="128"/>
      <c r="C5" s="128"/>
      <c r="D5" s="128"/>
      <c r="E5" s="150">
        <v>45907</v>
      </c>
      <c r="F5" s="128"/>
      <c r="G5" s="128"/>
      <c r="H5" s="128"/>
    </row>
    <row r="6" spans="1:12" ht="16.5" customHeight="1" x14ac:dyDescent="0.25">
      <c r="A6" s="128" t="s">
        <v>4</v>
      </c>
      <c r="B6" s="128"/>
      <c r="C6" s="128"/>
      <c r="D6" s="128"/>
      <c r="E6" s="128" t="s">
        <v>171</v>
      </c>
      <c r="F6" s="128"/>
      <c r="G6" s="128"/>
      <c r="H6" s="128"/>
    </row>
    <row r="7" spans="1:12" ht="15" customHeight="1" x14ac:dyDescent="0.25">
      <c r="A7" s="128" t="s">
        <v>5</v>
      </c>
      <c r="B7" s="128"/>
      <c r="C7" s="128"/>
      <c r="D7" s="128"/>
      <c r="E7" s="128" t="str">
        <f>E6</f>
        <v>Trinetram Realty</v>
      </c>
      <c r="F7" s="128"/>
      <c r="G7" s="128"/>
      <c r="H7" s="128"/>
    </row>
    <row r="8" spans="1:12" x14ac:dyDescent="0.25">
      <c r="A8" s="128" t="s">
        <v>6</v>
      </c>
      <c r="B8" s="128"/>
      <c r="C8" s="128"/>
      <c r="D8" s="128"/>
      <c r="E8" s="70" t="s">
        <v>172</v>
      </c>
      <c r="F8" s="70"/>
      <c r="G8" s="70"/>
      <c r="H8" s="70"/>
    </row>
    <row r="9" spans="1:12" x14ac:dyDescent="0.25">
      <c r="A9" s="128" t="s">
        <v>165</v>
      </c>
      <c r="B9" s="128"/>
      <c r="C9" s="128"/>
      <c r="D9" s="128"/>
      <c r="E9" s="128" t="s">
        <v>220</v>
      </c>
      <c r="F9" s="128"/>
      <c r="G9" s="128"/>
      <c r="H9" s="128"/>
    </row>
    <row r="10" spans="1:12" x14ac:dyDescent="0.25">
      <c r="A10" s="128" t="s">
        <v>166</v>
      </c>
      <c r="B10" s="128"/>
      <c r="C10" s="128"/>
      <c r="D10" s="128"/>
      <c r="E10" s="128" t="s">
        <v>223</v>
      </c>
      <c r="F10" s="128"/>
      <c r="G10" s="128"/>
      <c r="H10" s="128"/>
      <c r="I10" s="128" t="s">
        <v>219</v>
      </c>
      <c r="J10" s="128"/>
      <c r="K10" s="128"/>
      <c r="L10" s="128"/>
    </row>
    <row r="11" spans="1:12" x14ac:dyDescent="0.25">
      <c r="A11" s="128" t="s">
        <v>7</v>
      </c>
      <c r="B11" s="128"/>
      <c r="C11" s="128"/>
      <c r="D11" s="128"/>
      <c r="E11" s="128" t="s">
        <v>183</v>
      </c>
      <c r="F11" s="128"/>
      <c r="G11" s="128"/>
      <c r="H11" s="128"/>
    </row>
    <row r="12" spans="1:12" ht="32.25" customHeight="1" x14ac:dyDescent="0.25">
      <c r="A12" s="103" t="s">
        <v>8</v>
      </c>
      <c r="B12" s="103"/>
      <c r="C12" s="103"/>
      <c r="D12" s="103"/>
      <c r="E12" s="116" t="s">
        <v>106</v>
      </c>
      <c r="F12" s="116"/>
      <c r="G12" s="116"/>
      <c r="H12" s="116"/>
    </row>
    <row r="13" spans="1:12" x14ac:dyDescent="0.25">
      <c r="A13" s="103" t="s">
        <v>9</v>
      </c>
      <c r="B13" s="103"/>
      <c r="C13" s="103"/>
      <c r="D13" s="103"/>
      <c r="E13" s="116" t="s">
        <v>170</v>
      </c>
      <c r="F13" s="128"/>
      <c r="G13" s="128"/>
      <c r="H13" s="128"/>
    </row>
    <row r="14" spans="1:12" ht="36.75" customHeight="1" x14ac:dyDescent="0.2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Vinayak Greens, Survey No.19/1D, near Escon Elevators Factory, Savroli - Kharpada Road, , Kasap, Rasayani, Panvel, Raigad - 410220.</v>
      </c>
      <c r="D14" s="115"/>
      <c r="E14" s="115"/>
      <c r="F14" s="115"/>
      <c r="G14" s="115"/>
      <c r="H14" s="115"/>
    </row>
    <row r="15" spans="1:12" x14ac:dyDescent="0.25">
      <c r="A15" s="116" t="s">
        <v>176</v>
      </c>
      <c r="B15" s="116"/>
      <c r="C15" s="116" t="s">
        <v>177</v>
      </c>
      <c r="D15" s="116"/>
      <c r="E15" s="116"/>
      <c r="F15" s="116"/>
      <c r="G15" s="116"/>
      <c r="H15" s="116"/>
    </row>
    <row r="16" spans="1:12" ht="15.75" hidden="1" customHeight="1" x14ac:dyDescent="0.25">
      <c r="A16" s="116" t="s">
        <v>164</v>
      </c>
      <c r="B16" s="116"/>
      <c r="C16" s="116" t="s">
        <v>30</v>
      </c>
      <c r="D16" s="116"/>
      <c r="E16" s="116"/>
      <c r="F16" s="116"/>
      <c r="G16" s="116"/>
      <c r="H16" s="116"/>
    </row>
    <row r="17" spans="1:8" ht="15.75" customHeight="1" x14ac:dyDescent="0.25">
      <c r="A17" s="115" t="s">
        <v>11</v>
      </c>
      <c r="B17" s="115"/>
      <c r="C17" s="128" t="s">
        <v>179</v>
      </c>
      <c r="D17" s="128"/>
      <c r="E17" s="115" t="s">
        <v>77</v>
      </c>
      <c r="F17" s="115"/>
      <c r="G17" s="116" t="s">
        <v>173</v>
      </c>
      <c r="H17" s="116"/>
    </row>
    <row r="18" spans="1:8" x14ac:dyDescent="0.25">
      <c r="A18" s="103" t="s">
        <v>13</v>
      </c>
      <c r="B18" s="103"/>
      <c r="C18" s="116" t="s">
        <v>182</v>
      </c>
      <c r="D18" s="116"/>
      <c r="E18" s="115" t="s">
        <v>12</v>
      </c>
      <c r="F18" s="115"/>
      <c r="G18" s="151" t="s">
        <v>174</v>
      </c>
      <c r="H18" s="151"/>
    </row>
    <row r="19" spans="1:8" x14ac:dyDescent="0.25">
      <c r="A19" s="103" t="s">
        <v>78</v>
      </c>
      <c r="B19" s="103"/>
      <c r="C19" s="116" t="s">
        <v>175</v>
      </c>
      <c r="D19" s="116"/>
      <c r="E19" s="115" t="s">
        <v>14</v>
      </c>
      <c r="F19" s="115"/>
      <c r="G19" s="116">
        <v>410220</v>
      </c>
      <c r="H19" s="116"/>
    </row>
    <row r="20" spans="1:8" ht="32.25" customHeight="1" x14ac:dyDescent="0.25">
      <c r="A20" s="103" t="s">
        <v>125</v>
      </c>
      <c r="B20" s="103"/>
      <c r="C20" s="116" t="s">
        <v>190</v>
      </c>
      <c r="D20" s="116"/>
      <c r="E20" s="115" t="s">
        <v>15</v>
      </c>
      <c r="F20" s="115"/>
      <c r="G20" s="116" t="s">
        <v>181</v>
      </c>
      <c r="H20" s="116"/>
    </row>
    <row r="21" spans="1:8" ht="15" customHeight="1" x14ac:dyDescent="0.25">
      <c r="A21" s="115" t="s">
        <v>81</v>
      </c>
      <c r="B21" s="115"/>
      <c r="C21" s="115"/>
      <c r="D21" s="115"/>
      <c r="E21" s="128" t="s">
        <v>16</v>
      </c>
      <c r="F21" s="128"/>
      <c r="G21" s="128"/>
      <c r="H21" s="128"/>
    </row>
    <row r="22" spans="1:8" ht="18.75" customHeight="1" x14ac:dyDescent="0.25">
      <c r="A22" s="115"/>
      <c r="B22" s="115"/>
      <c r="C22" s="115"/>
      <c r="D22" s="115"/>
      <c r="E22" s="128"/>
      <c r="F22" s="128"/>
      <c r="G22" s="128"/>
      <c r="H22" s="128"/>
    </row>
    <row r="23" spans="1:8" ht="15" customHeight="1" x14ac:dyDescent="0.25">
      <c r="A23" s="115" t="s">
        <v>17</v>
      </c>
      <c r="B23" s="115"/>
      <c r="C23" s="115"/>
      <c r="D23" s="115"/>
      <c r="E23" s="116" t="s">
        <v>18</v>
      </c>
      <c r="F23" s="116"/>
      <c r="G23" s="116"/>
      <c r="H23" s="116"/>
    </row>
    <row r="24" spans="1:8" ht="15" customHeight="1" x14ac:dyDescent="0.25">
      <c r="A24" s="103" t="s">
        <v>19</v>
      </c>
      <c r="B24" s="103"/>
      <c r="C24" s="103"/>
      <c r="D24" s="103"/>
      <c r="E24" s="116" t="str">
        <f>IF(AND(G18="Mumbai"),"Upper Class","Middle Class")</f>
        <v>Middle Class</v>
      </c>
      <c r="F24" s="116"/>
      <c r="G24" s="116"/>
      <c r="H24" s="116"/>
    </row>
    <row r="25" spans="1:8" x14ac:dyDescent="0.25">
      <c r="A25" s="103" t="s">
        <v>20</v>
      </c>
      <c r="B25" s="103"/>
      <c r="C25" s="103"/>
      <c r="D25" s="103"/>
      <c r="E25" s="116" t="s">
        <v>21</v>
      </c>
      <c r="F25" s="116"/>
      <c r="G25" s="116"/>
      <c r="H25" s="116"/>
    </row>
    <row r="26" spans="1:8" ht="15.75" customHeight="1" x14ac:dyDescent="0.25">
      <c r="A26" s="103" t="s">
        <v>22</v>
      </c>
      <c r="B26" s="103"/>
      <c r="C26" s="103"/>
      <c r="D26" s="103"/>
      <c r="E26" s="116" t="str">
        <f>IF(AND(G18="Mumbai"),"Developed","Developing")</f>
        <v>Developing</v>
      </c>
      <c r="F26" s="116"/>
      <c r="G26" s="116"/>
      <c r="H26" s="116"/>
    </row>
    <row r="27" spans="1:8" x14ac:dyDescent="0.25">
      <c r="A27" s="103" t="s">
        <v>23</v>
      </c>
      <c r="B27" s="103"/>
      <c r="C27" s="103"/>
      <c r="D27" s="103"/>
      <c r="E27" s="116" t="s">
        <v>24</v>
      </c>
      <c r="F27" s="116"/>
      <c r="G27" s="116"/>
      <c r="H27" s="116"/>
    </row>
    <row r="28" spans="1:8" ht="15.75" customHeight="1" x14ac:dyDescent="0.25">
      <c r="A28" s="103" t="s">
        <v>86</v>
      </c>
      <c r="B28" s="103"/>
      <c r="C28" s="103"/>
      <c r="D28" s="103"/>
      <c r="E28" s="116" t="s">
        <v>87</v>
      </c>
      <c r="F28" s="116"/>
      <c r="G28" s="116"/>
      <c r="H28" s="116"/>
    </row>
    <row r="29" spans="1:8" ht="15" customHeight="1" x14ac:dyDescent="0.25">
      <c r="A29" s="103" t="s">
        <v>35</v>
      </c>
      <c r="B29" s="103"/>
      <c r="C29" s="103"/>
      <c r="D29" s="103"/>
      <c r="E29" s="11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6"/>
      <c r="G29" s="116"/>
      <c r="H29" s="116"/>
    </row>
    <row r="30" spans="1:8" ht="15.75" customHeight="1" x14ac:dyDescent="0.25">
      <c r="A30" s="103" t="s">
        <v>98</v>
      </c>
      <c r="B30" s="103"/>
      <c r="C30" s="103"/>
      <c r="D30" s="103"/>
      <c r="E30" s="116" t="s">
        <v>36</v>
      </c>
      <c r="F30" s="116"/>
      <c r="G30" s="116"/>
      <c r="H30" s="116"/>
    </row>
    <row r="31" spans="1:8" s="21" customFormat="1" x14ac:dyDescent="0.25">
      <c r="A31" s="165" t="s">
        <v>99</v>
      </c>
      <c r="B31" s="165"/>
      <c r="C31" s="154" t="s">
        <v>29</v>
      </c>
      <c r="D31" s="154"/>
      <c r="E31" s="154"/>
      <c r="F31" s="154" t="s">
        <v>31</v>
      </c>
      <c r="G31" s="154"/>
      <c r="H31" s="154"/>
    </row>
    <row r="32" spans="1:8" s="21" customFormat="1" x14ac:dyDescent="0.25">
      <c r="A32" s="152" t="s">
        <v>25</v>
      </c>
      <c r="B32" s="152" t="s">
        <v>30</v>
      </c>
      <c r="C32" s="153" t="s">
        <v>30</v>
      </c>
      <c r="D32" s="153"/>
      <c r="E32" s="153"/>
      <c r="F32" s="153" t="s">
        <v>180</v>
      </c>
      <c r="G32" s="153"/>
      <c r="H32" s="153"/>
    </row>
    <row r="33" spans="1:8" x14ac:dyDescent="0.25">
      <c r="A33" s="152" t="s">
        <v>26</v>
      </c>
      <c r="B33" s="152" t="s">
        <v>30</v>
      </c>
      <c r="C33" s="153" t="s">
        <v>30</v>
      </c>
      <c r="D33" s="153"/>
      <c r="E33" s="153"/>
      <c r="F33" s="153" t="s">
        <v>180</v>
      </c>
      <c r="G33" s="153"/>
      <c r="H33" s="153"/>
    </row>
    <row r="34" spans="1:8" s="21" customFormat="1" x14ac:dyDescent="0.25">
      <c r="A34" s="152" t="s">
        <v>28</v>
      </c>
      <c r="B34" s="152" t="s">
        <v>30</v>
      </c>
      <c r="C34" s="153" t="s">
        <v>30</v>
      </c>
      <c r="D34" s="153"/>
      <c r="E34" s="153"/>
      <c r="F34" s="153" t="s">
        <v>208</v>
      </c>
      <c r="G34" s="153"/>
      <c r="H34" s="153"/>
    </row>
    <row r="35" spans="1:8" x14ac:dyDescent="0.25">
      <c r="A35" s="152" t="s">
        <v>27</v>
      </c>
      <c r="B35" s="152" t="s">
        <v>30</v>
      </c>
      <c r="C35" s="153" t="s">
        <v>30</v>
      </c>
      <c r="D35" s="153"/>
      <c r="E35" s="153"/>
      <c r="F35" s="153" t="s">
        <v>180</v>
      </c>
      <c r="G35" s="153"/>
      <c r="H35" s="153"/>
    </row>
    <row r="36" spans="1:8" x14ac:dyDescent="0.25">
      <c r="A36" s="103" t="s">
        <v>32</v>
      </c>
      <c r="B36" s="103"/>
      <c r="C36" s="103"/>
      <c r="D36" s="103"/>
      <c r="E36" s="103"/>
      <c r="F36" s="103"/>
      <c r="G36" s="103"/>
      <c r="H36" s="103"/>
    </row>
    <row r="37" spans="1:8" ht="15.75" customHeight="1" x14ac:dyDescent="0.25">
      <c r="A37" s="131" t="s">
        <v>33</v>
      </c>
      <c r="B37" s="131"/>
      <c r="C37" s="169">
        <v>18.872013899999999</v>
      </c>
      <c r="D37" s="169"/>
      <c r="E37" s="131" t="s">
        <v>34</v>
      </c>
      <c r="F37" s="131"/>
      <c r="G37" s="164">
        <v>73.161368999999993</v>
      </c>
      <c r="H37" s="164"/>
    </row>
    <row r="38" spans="1:8" x14ac:dyDescent="0.25">
      <c r="A38" s="131" t="s">
        <v>163</v>
      </c>
      <c r="B38" s="131"/>
      <c r="C38" s="174" t="s">
        <v>178</v>
      </c>
      <c r="D38" s="116"/>
      <c r="E38" s="116"/>
      <c r="F38" s="116"/>
      <c r="G38" s="116"/>
      <c r="H38" s="116"/>
    </row>
    <row r="39" spans="1:8" x14ac:dyDescent="0.25">
      <c r="A39" s="146" t="s">
        <v>37</v>
      </c>
      <c r="B39" s="146"/>
      <c r="C39" s="146"/>
      <c r="D39" s="146"/>
      <c r="E39" s="146"/>
      <c r="F39" s="146"/>
      <c r="G39" s="146"/>
      <c r="H39" s="146"/>
    </row>
    <row r="40" spans="1:8" x14ac:dyDescent="0.25">
      <c r="A40" s="103" t="s">
        <v>38</v>
      </c>
      <c r="B40" s="103"/>
      <c r="C40" s="103"/>
      <c r="D40" s="103"/>
      <c r="E40" s="166">
        <v>3600</v>
      </c>
      <c r="F40" s="166"/>
      <c r="G40" s="166"/>
      <c r="H40" s="166"/>
    </row>
    <row r="41" spans="1:8" x14ac:dyDescent="0.25">
      <c r="A41" s="103" t="s">
        <v>39</v>
      </c>
      <c r="B41" s="103"/>
      <c r="C41" s="103"/>
      <c r="D41" s="103"/>
      <c r="E41" s="117">
        <v>1.1000000000000001</v>
      </c>
      <c r="F41" s="117"/>
      <c r="G41" s="117"/>
      <c r="H41" s="117"/>
    </row>
    <row r="42" spans="1:8" x14ac:dyDescent="0.25">
      <c r="A42" s="103" t="s">
        <v>40</v>
      </c>
      <c r="B42" s="103"/>
      <c r="C42" s="103"/>
      <c r="D42" s="103"/>
      <c r="E42" s="117">
        <f>E44/E40-E41</f>
        <v>0.19999999999999996</v>
      </c>
      <c r="F42" s="117"/>
      <c r="G42" s="117"/>
      <c r="H42" s="117"/>
    </row>
    <row r="43" spans="1:8" x14ac:dyDescent="0.25">
      <c r="A43" s="103" t="s">
        <v>41</v>
      </c>
      <c r="B43" s="103"/>
      <c r="C43" s="103"/>
      <c r="D43" s="103"/>
      <c r="E43" s="117">
        <f>E41+E42</f>
        <v>1.3</v>
      </c>
      <c r="F43" s="117"/>
      <c r="G43" s="117"/>
      <c r="H43" s="117"/>
    </row>
    <row r="44" spans="1:8" x14ac:dyDescent="0.25">
      <c r="A44" s="103" t="s">
        <v>97</v>
      </c>
      <c r="B44" s="103"/>
      <c r="C44" s="103"/>
      <c r="D44" s="103"/>
      <c r="E44" s="168">
        <v>4680</v>
      </c>
      <c r="F44" s="168"/>
      <c r="G44" s="168"/>
      <c r="H44" s="168"/>
    </row>
    <row r="45" spans="1:8" x14ac:dyDescent="0.25">
      <c r="A45" s="128" t="s">
        <v>42</v>
      </c>
      <c r="B45" s="128"/>
      <c r="C45" s="128"/>
      <c r="D45" s="128"/>
      <c r="E45" s="128" t="s">
        <v>184</v>
      </c>
      <c r="F45" s="128"/>
      <c r="G45" s="128"/>
      <c r="H45" s="128"/>
    </row>
    <row r="46" spans="1:8" x14ac:dyDescent="0.25">
      <c r="A46" s="146" t="s">
        <v>43</v>
      </c>
      <c r="B46" s="146"/>
      <c r="C46" s="146"/>
      <c r="D46" s="146"/>
      <c r="E46" s="146"/>
      <c r="F46" s="146"/>
      <c r="G46" s="146"/>
      <c r="H46" s="146"/>
    </row>
    <row r="47" spans="1:8" ht="33.75" customHeight="1" x14ac:dyDescent="0.25">
      <c r="A47" s="111" t="s">
        <v>153</v>
      </c>
      <c r="B47" s="112"/>
      <c r="C47" s="175" t="s">
        <v>185</v>
      </c>
      <c r="D47" s="176"/>
      <c r="E47" s="176"/>
      <c r="F47" s="176"/>
      <c r="G47" s="176"/>
      <c r="H47" s="177"/>
    </row>
    <row r="48" spans="1:8" ht="15.75" customHeight="1" x14ac:dyDescent="0.25">
      <c r="A48" s="111" t="s">
        <v>44</v>
      </c>
      <c r="B48" s="112"/>
      <c r="C48" s="111" t="s">
        <v>186</v>
      </c>
      <c r="D48" s="113"/>
      <c r="E48" s="112"/>
      <c r="F48" s="17" t="s">
        <v>45</v>
      </c>
      <c r="G48" s="114">
        <v>44553</v>
      </c>
      <c r="H48" s="112"/>
    </row>
    <row r="49" spans="1:14" x14ac:dyDescent="0.25">
      <c r="A49" s="111" t="s">
        <v>46</v>
      </c>
      <c r="B49" s="112"/>
      <c r="C49" s="111" t="str">
        <f>C48</f>
        <v>MS/LNA-1SR/192/20018</v>
      </c>
      <c r="D49" s="113"/>
      <c r="E49" s="112"/>
      <c r="F49" s="17" t="s">
        <v>45</v>
      </c>
      <c r="G49" s="114">
        <f>G48</f>
        <v>44553</v>
      </c>
      <c r="H49" s="118"/>
    </row>
    <row r="50" spans="1:14" s="22" customFormat="1" ht="15.75" customHeight="1" x14ac:dyDescent="0.25">
      <c r="A50" s="158" t="s">
        <v>157</v>
      </c>
      <c r="B50" s="159"/>
      <c r="C50" s="111" t="s">
        <v>187</v>
      </c>
      <c r="D50" s="113"/>
      <c r="E50" s="112"/>
      <c r="F50" s="17" t="s">
        <v>45</v>
      </c>
      <c r="G50" s="114">
        <f>G49</f>
        <v>44553</v>
      </c>
      <c r="H50" s="118"/>
    </row>
    <row r="51" spans="1:14" s="22" customFormat="1" x14ac:dyDescent="0.25">
      <c r="A51" s="160"/>
      <c r="B51" s="161"/>
      <c r="C51" s="111" t="s">
        <v>189</v>
      </c>
      <c r="D51" s="113"/>
      <c r="E51" s="113"/>
      <c r="F51" s="113"/>
      <c r="G51" s="113"/>
      <c r="H51" s="112"/>
    </row>
    <row r="52" spans="1:14" x14ac:dyDescent="0.25">
      <c r="A52" s="124" t="s">
        <v>47</v>
      </c>
      <c r="B52" s="125"/>
      <c r="C52" s="124" t="s">
        <v>107</v>
      </c>
      <c r="D52" s="126"/>
      <c r="E52" s="125"/>
      <c r="F52" s="45" t="s">
        <v>45</v>
      </c>
      <c r="G52" s="129" t="s">
        <v>30</v>
      </c>
      <c r="H52" s="130"/>
    </row>
    <row r="53" spans="1:14" x14ac:dyDescent="0.25">
      <c r="A53" s="127" t="s">
        <v>49</v>
      </c>
      <c r="B53" s="127"/>
      <c r="C53" s="127"/>
      <c r="D53" s="127"/>
      <c r="E53" s="127"/>
      <c r="F53" s="127"/>
      <c r="G53" s="127"/>
      <c r="H53" s="127"/>
    </row>
    <row r="54" spans="1:14" x14ac:dyDescent="0.25">
      <c r="A54" s="115" t="s">
        <v>96</v>
      </c>
      <c r="B54" s="115"/>
      <c r="C54" s="115"/>
      <c r="D54" s="103">
        <f>E44</f>
        <v>4680</v>
      </c>
      <c r="E54" s="103"/>
      <c r="F54" s="103"/>
      <c r="G54" s="103"/>
      <c r="H54" s="103"/>
    </row>
    <row r="55" spans="1:14" x14ac:dyDescent="0.25">
      <c r="A55" s="116" t="s">
        <v>50</v>
      </c>
      <c r="B55" s="128"/>
      <c r="C55" s="128"/>
      <c r="D55" s="128" t="s">
        <v>205</v>
      </c>
      <c r="E55" s="128"/>
      <c r="F55" s="128"/>
      <c r="G55" s="128"/>
      <c r="H55" s="128"/>
      <c r="I55" s="23"/>
    </row>
    <row r="56" spans="1:14" x14ac:dyDescent="0.25">
      <c r="A56" s="119" t="s">
        <v>51</v>
      </c>
      <c r="B56" s="120"/>
      <c r="C56" s="157"/>
      <c r="D56" s="155" t="s">
        <v>189</v>
      </c>
      <c r="E56" s="156"/>
      <c r="F56" s="156"/>
      <c r="G56" s="156"/>
      <c r="H56" s="156"/>
    </row>
    <row r="57" spans="1:14" ht="15.75" customHeight="1" x14ac:dyDescent="0.25">
      <c r="A57" s="119" t="s">
        <v>94</v>
      </c>
      <c r="B57" s="120"/>
      <c r="C57" s="120"/>
      <c r="D57" s="121" t="s">
        <v>189</v>
      </c>
      <c r="E57" s="122"/>
      <c r="F57" s="122"/>
      <c r="G57" s="122"/>
      <c r="H57" s="123"/>
    </row>
    <row r="58" spans="1:14" ht="15.75" customHeight="1" x14ac:dyDescent="0.25">
      <c r="A58" s="103" t="s">
        <v>48</v>
      </c>
      <c r="B58" s="103"/>
      <c r="C58" s="103"/>
      <c r="D58" s="115" t="s">
        <v>188</v>
      </c>
      <c r="E58" s="115"/>
      <c r="F58" s="115"/>
      <c r="G58" s="115"/>
      <c r="H58" s="115"/>
      <c r="J58" s="24"/>
      <c r="K58" s="23"/>
      <c r="N58" s="23"/>
    </row>
    <row r="59" spans="1:14" ht="15.75" customHeight="1" x14ac:dyDescent="0.25">
      <c r="A59" s="103" t="s">
        <v>92</v>
      </c>
      <c r="B59" s="103"/>
      <c r="C59" s="103"/>
      <c r="D59" s="167" t="str">
        <f>(IF(G52="NA","60 Years After Completion",IF(G52&lt;&gt;"NA",""&amp;60-ROUNDDOWN((E3-G52)/360,0)&amp;" Years"," ")))</f>
        <v>60 Years After Completion</v>
      </c>
      <c r="E59" s="167"/>
      <c r="F59" s="167"/>
      <c r="G59" s="167"/>
      <c r="H59" s="167"/>
      <c r="N59" s="23"/>
    </row>
    <row r="60" spans="1:14" ht="15.75" customHeight="1" x14ac:dyDescent="0.25">
      <c r="A60" s="103" t="s">
        <v>93</v>
      </c>
      <c r="B60" s="103"/>
      <c r="C60" s="103"/>
      <c r="D60" s="115" t="s">
        <v>24</v>
      </c>
      <c r="E60" s="115"/>
      <c r="F60" s="115"/>
      <c r="G60" s="115"/>
      <c r="H60" s="115"/>
      <c r="J60" s="25"/>
      <c r="K60" s="25"/>
    </row>
    <row r="61" spans="1:14" ht="30" hidden="1" customHeight="1" x14ac:dyDescent="0.25">
      <c r="A61" s="103" t="s">
        <v>79</v>
      </c>
      <c r="B61" s="103"/>
      <c r="C61" s="103"/>
      <c r="D61" s="116" t="s">
        <v>168</v>
      </c>
      <c r="E61" s="115"/>
      <c r="F61" s="115"/>
      <c r="G61" s="115"/>
      <c r="H61" s="115"/>
    </row>
    <row r="62" spans="1:14" x14ac:dyDescent="0.25">
      <c r="A62" s="115" t="s">
        <v>151</v>
      </c>
      <c r="B62" s="115"/>
      <c r="C62" s="115"/>
      <c r="D62" s="115" t="s">
        <v>30</v>
      </c>
      <c r="E62" s="115"/>
      <c r="F62" s="115"/>
      <c r="G62" s="115"/>
      <c r="H62" s="115"/>
      <c r="I62" s="26"/>
      <c r="J62" s="26"/>
      <c r="K62" s="26"/>
      <c r="L62" s="26"/>
      <c r="M62" s="26"/>
      <c r="N62" s="26"/>
    </row>
    <row r="63" spans="1:14" ht="15.75" customHeight="1" x14ac:dyDescent="0.25">
      <c r="A63" s="163" t="s">
        <v>91</v>
      </c>
      <c r="B63" s="163"/>
      <c r="C63" s="163"/>
      <c r="D63" s="155" t="str">
        <f ca="1">(IF(G69&gt;95%,"Nothing",IF(G69&gt;0%,"Cement, Aggregate, Steel, etc",IF(G69=0%,"Work not yet Started"))))</f>
        <v>Cement, Aggregate, Steel, etc</v>
      </c>
      <c r="E63" s="155"/>
      <c r="F63" s="155"/>
      <c r="G63" s="155"/>
      <c r="H63" s="155"/>
      <c r="J63" s="25"/>
    </row>
    <row r="64" spans="1:14" ht="33.75" customHeight="1" thickBot="1" x14ac:dyDescent="0.3">
      <c r="A64" s="162" t="s">
        <v>120</v>
      </c>
      <c r="B64" s="162"/>
      <c r="C64" s="162"/>
      <c r="D64" s="155" t="str">
        <f ca="1">(IF(D63="Nothing","Yes",IF(D63="Cement, Aggregate, Steel, etc","Under Construction",IF(D63="Work not yet Started","Work not yet Started"))))</f>
        <v>Under Construction</v>
      </c>
      <c r="E64" s="155"/>
      <c r="F64" s="155" t="str">
        <f ca="1">(IF(D63="Nothing","Yes",IF(D63="Cement, Aggregate, Steel, etc","Under Construction",IF(D63="Work not yet Started","Work not yet Started"))))</f>
        <v>Under Construction</v>
      </c>
      <c r="G64" s="155"/>
      <c r="H64" s="155"/>
    </row>
    <row r="65" spans="1:10" ht="32.25" customHeight="1" x14ac:dyDescent="0.25">
      <c r="A65" s="64" t="s">
        <v>143</v>
      </c>
      <c r="B65" s="65"/>
      <c r="C65" s="66" t="s">
        <v>228</v>
      </c>
      <c r="D65" s="67"/>
      <c r="E65" s="67"/>
      <c r="F65" s="67"/>
      <c r="G65" s="67"/>
      <c r="H65" s="68"/>
      <c r="I65" s="49" t="str">
        <f ca="1">IF(D78=100%,"All work Completed. Possession granted to the Building.",IF(D77=100%,"All work Completed, Waiting for OC",I66&amp;""&amp;I67&amp;""&amp;J66&amp;""&amp;J65&amp;" "&amp;J67))</f>
        <v>Excavation, Plinth Completed, RCC upto 4 Slab Completed</v>
      </c>
      <c r="J65" s="50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4 Slab</v>
      </c>
    </row>
    <row r="66" spans="1:10" x14ac:dyDescent="0.25">
      <c r="A66" s="15" t="s">
        <v>145</v>
      </c>
      <c r="B66" s="47">
        <v>0</v>
      </c>
      <c r="C66" s="47" t="s">
        <v>76</v>
      </c>
      <c r="D66" s="47">
        <v>1</v>
      </c>
      <c r="E66" s="47" t="s">
        <v>75</v>
      </c>
      <c r="F66" s="47">
        <v>0</v>
      </c>
      <c r="G66" s="48" t="s">
        <v>85</v>
      </c>
      <c r="H66" s="16">
        <f ca="1">--TRIM(RIGHT(SUBSTITUTE(LEFT(C65,_xlfn.AGGREGATE(16,6,FIND({0,1,2,3,4,5,6,7,8,9},C65,ROW(INDIRECT("1:"&amp;LEN(C65)))),1))," ",REPT(" ",LEN(C65))),LEN(C65)))</f>
        <v>7</v>
      </c>
      <c r="I66" s="5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25">
      <c r="A67" s="69" t="s">
        <v>95</v>
      </c>
      <c r="B67" s="70"/>
      <c r="C67" s="71" t="str">
        <f ca="1">I65</f>
        <v>Excavation, Plinth Completed, RCC upto 4 Slab Completed</v>
      </c>
      <c r="D67" s="71"/>
      <c r="E67" s="71"/>
      <c r="F67" s="71"/>
      <c r="G67" s="71"/>
      <c r="H67" s="72"/>
      <c r="I67" s="51" t="str">
        <f ca="1">IF(I66&lt;&gt;""," Completed","")</f>
        <v xml:space="preserve"> Completed</v>
      </c>
      <c r="J67" s="52" t="str">
        <f ca="1">IF(J65&lt;&gt;"","Completed","")</f>
        <v>Completed</v>
      </c>
    </row>
    <row r="68" spans="1:10" ht="15.75" customHeight="1" x14ac:dyDescent="0.25">
      <c r="A68" s="73" t="s">
        <v>52</v>
      </c>
      <c r="B68" s="74"/>
      <c r="C68" s="43" t="s">
        <v>142</v>
      </c>
      <c r="D68" s="43" t="s">
        <v>88</v>
      </c>
      <c r="E68" s="74" t="s">
        <v>90</v>
      </c>
      <c r="F68" s="74"/>
      <c r="G68" s="74" t="s">
        <v>89</v>
      </c>
      <c r="H68" s="75"/>
      <c r="I68" s="13" t="s">
        <v>144</v>
      </c>
      <c r="J68" s="27">
        <f ca="1">H66*25%</f>
        <v>1.75</v>
      </c>
    </row>
    <row r="69" spans="1:10" x14ac:dyDescent="0.25">
      <c r="A69" s="73" t="s">
        <v>131</v>
      </c>
      <c r="B69" s="74"/>
      <c r="C69" s="43">
        <f ca="1">J70</f>
        <v>7</v>
      </c>
      <c r="D69" s="18">
        <f ca="1">((100/H66)*C69)/100</f>
        <v>1</v>
      </c>
      <c r="E69" s="76">
        <f ca="1">(((C70/H66*10)+(40/(D66+F66+H66)*C71)+(7.5/(H66)*C72)+(7.5/(H66)*C73)+(10/H66*C74)+(10/H66*C75)+(5/H66*C76)+(5/H66*C77)+(5/H66*C78))/100)</f>
        <v>0.3</v>
      </c>
      <c r="F69" s="77"/>
      <c r="G69" s="76">
        <f ca="1">((((C69/H66)*20)+((C70/H66)*25)+(30/(H66+F66+D66)*C71)+(5/H66*C72)+(5/H66*C73)+(5/H66*C74)+(5/H66*C75)+(0/H66*C76)+(0/H66*C77)+(5/H66*C78))/100)</f>
        <v>0.6</v>
      </c>
      <c r="H69" s="82"/>
      <c r="I69" s="13" t="s">
        <v>101</v>
      </c>
      <c r="J69" s="28">
        <f ca="1">H66*50%</f>
        <v>3.5</v>
      </c>
    </row>
    <row r="70" spans="1:10" x14ac:dyDescent="0.25">
      <c r="A70" s="73" t="s">
        <v>53</v>
      </c>
      <c r="B70" s="74"/>
      <c r="C70" s="43">
        <f ca="1">J78</f>
        <v>7</v>
      </c>
      <c r="D70" s="18">
        <f ca="1">((100/H66)*C70)/100</f>
        <v>1</v>
      </c>
      <c r="E70" s="78"/>
      <c r="F70" s="79"/>
      <c r="G70" s="78"/>
      <c r="H70" s="83"/>
      <c r="I70" s="13" t="s">
        <v>102</v>
      </c>
      <c r="J70" s="28">
        <f ca="1">H66</f>
        <v>7</v>
      </c>
    </row>
    <row r="71" spans="1:10" ht="15.75" customHeight="1" x14ac:dyDescent="0.25">
      <c r="A71" s="73" t="s">
        <v>132</v>
      </c>
      <c r="B71" s="74"/>
      <c r="C71" s="43">
        <v>4</v>
      </c>
      <c r="D71" s="18">
        <f ca="1">((100/(D66+F66+H66))*C71)/100</f>
        <v>0.5</v>
      </c>
      <c r="E71" s="78"/>
      <c r="F71" s="79"/>
      <c r="G71" s="78"/>
      <c r="H71" s="83"/>
      <c r="I71" s="13" t="s">
        <v>103</v>
      </c>
      <c r="J71" s="29">
        <f ca="1">(IF(B66&gt;1,(H66/(B66+2)),H66/4))</f>
        <v>1.75</v>
      </c>
    </row>
    <row r="72" spans="1:10" ht="15.75" customHeight="1" x14ac:dyDescent="0.25">
      <c r="A72" s="73" t="s">
        <v>139</v>
      </c>
      <c r="B72" s="74" t="s">
        <v>133</v>
      </c>
      <c r="C72" s="43">
        <v>0</v>
      </c>
      <c r="D72" s="18">
        <f ca="1">((100/H66)*C72)/100</f>
        <v>0</v>
      </c>
      <c r="E72" s="78"/>
      <c r="F72" s="79"/>
      <c r="G72" s="78"/>
      <c r="H72" s="83"/>
      <c r="I72" s="13" t="s">
        <v>104</v>
      </c>
      <c r="J72" s="29">
        <f ca="1">(IF(B66&gt;1,(H66/(B66+2)+J71),H66/4+J71))</f>
        <v>3.5</v>
      </c>
    </row>
    <row r="73" spans="1:10" ht="15.75" customHeight="1" x14ac:dyDescent="0.25">
      <c r="A73" s="73" t="s">
        <v>140</v>
      </c>
      <c r="B73" s="74" t="s">
        <v>133</v>
      </c>
      <c r="C73" s="43">
        <v>0</v>
      </c>
      <c r="D73" s="18">
        <f ca="1">((100/H66)*C73)/100</f>
        <v>0</v>
      </c>
      <c r="E73" s="78"/>
      <c r="F73" s="79"/>
      <c r="G73" s="78"/>
      <c r="H73" s="83"/>
      <c r="I73" s="13" t="s">
        <v>149</v>
      </c>
      <c r="J73" s="29">
        <f>(IF(B66&gt;1,(H66/(B66+2)+J72),0))</f>
        <v>0</v>
      </c>
    </row>
    <row r="74" spans="1:10" ht="15" customHeight="1" x14ac:dyDescent="0.25">
      <c r="A74" s="73" t="s">
        <v>138</v>
      </c>
      <c r="B74" s="74" t="s">
        <v>135</v>
      </c>
      <c r="C74" s="43">
        <v>0</v>
      </c>
      <c r="D74" s="18">
        <f ca="1">((100/(H66))*C74)/100</f>
        <v>0</v>
      </c>
      <c r="E74" s="78"/>
      <c r="F74" s="79"/>
      <c r="G74" s="78"/>
      <c r="H74" s="83"/>
      <c r="I74" s="13" t="s">
        <v>146</v>
      </c>
      <c r="J74" s="29">
        <f>(IF(B66&gt;2,(H66/(B66+2)+J73),0))</f>
        <v>0</v>
      </c>
    </row>
    <row r="75" spans="1:10" ht="15.75" customHeight="1" x14ac:dyDescent="0.25">
      <c r="A75" s="73" t="s">
        <v>134</v>
      </c>
      <c r="B75" s="74" t="s">
        <v>134</v>
      </c>
      <c r="C75" s="43">
        <v>0</v>
      </c>
      <c r="D75" s="18">
        <f ca="1">((100/H66)*C75)/100</f>
        <v>0</v>
      </c>
      <c r="E75" s="78"/>
      <c r="F75" s="79"/>
      <c r="G75" s="78"/>
      <c r="H75" s="83"/>
      <c r="I75" s="13" t="s">
        <v>147</v>
      </c>
      <c r="J75" s="30">
        <f>(IF(B66&gt;3,(H66/(B66+2)+J74),0))</f>
        <v>0</v>
      </c>
    </row>
    <row r="76" spans="1:10" ht="15.75" customHeight="1" x14ac:dyDescent="0.25">
      <c r="A76" s="73" t="s">
        <v>141</v>
      </c>
      <c r="B76" s="74"/>
      <c r="C76" s="43">
        <v>0</v>
      </c>
      <c r="D76" s="18">
        <f ca="1">((100/H66)*C76)/100</f>
        <v>0</v>
      </c>
      <c r="E76" s="78"/>
      <c r="F76" s="79"/>
      <c r="G76" s="78"/>
      <c r="H76" s="83"/>
      <c r="I76" s="13" t="s">
        <v>148</v>
      </c>
      <c r="J76" s="29">
        <f>(IF(B66&gt;4,(H66/(B66+2)+J75),0))</f>
        <v>0</v>
      </c>
    </row>
    <row r="77" spans="1:10" ht="15.75" customHeight="1" x14ac:dyDescent="0.25">
      <c r="A77" s="73" t="s">
        <v>136</v>
      </c>
      <c r="B77" s="74" t="s">
        <v>136</v>
      </c>
      <c r="C77" s="43">
        <v>0</v>
      </c>
      <c r="D77" s="18">
        <f ca="1">((100/(H66))*C77)/100</f>
        <v>0</v>
      </c>
      <c r="E77" s="78"/>
      <c r="F77" s="79"/>
      <c r="G77" s="78"/>
      <c r="H77" s="83"/>
      <c r="I77" s="13" t="s">
        <v>150</v>
      </c>
      <c r="J77" s="29">
        <f ca="1">(IF(B66=1,(H66/(B66+3)+J72),IF(B66=0,(H66/4+J72),IF(B66&gt;1,0))))</f>
        <v>5.25</v>
      </c>
    </row>
    <row r="78" spans="1:10" ht="16.5" thickBot="1" x14ac:dyDescent="0.3">
      <c r="A78" s="85" t="s">
        <v>137</v>
      </c>
      <c r="B78" s="86"/>
      <c r="C78" s="44">
        <v>0</v>
      </c>
      <c r="D78" s="19">
        <f ca="1">((100/(H66))*C78)/100</f>
        <v>0</v>
      </c>
      <c r="E78" s="80"/>
      <c r="F78" s="81"/>
      <c r="G78" s="80"/>
      <c r="H78" s="84"/>
      <c r="I78" s="14" t="s">
        <v>105</v>
      </c>
      <c r="J78" s="31">
        <f ca="1">(IF(B66&gt;1.5,(H66/(B66+2)+J72+MAX(0,J73-J72)+MAX(0,J74-J73)+MAX(0,J75-J74)+MAX(0,J76-J75)+MAX(0,J77-J76)),IF(B66=1,(H66/(B66+3)+J77),IF(B66=0,H66/4+J77))))</f>
        <v>7</v>
      </c>
    </row>
    <row r="79" spans="1:10" ht="15.75" hidden="1" customHeight="1" x14ac:dyDescent="0.25">
      <c r="A79" s="64" t="s">
        <v>143</v>
      </c>
      <c r="B79" s="65"/>
      <c r="C79" s="66" t="s">
        <v>225</v>
      </c>
      <c r="D79" s="67"/>
      <c r="E79" s="67"/>
      <c r="F79" s="67"/>
      <c r="G79" s="67"/>
      <c r="H79" s="68"/>
      <c r="I79" s="49" t="str">
        <f ca="1">IF(D92=100%,"All work Completed. Possession granted to the Building.",IF(D91=100%,"All work Completed, Waiting for OC",I80&amp;""&amp;I81&amp;""&amp;J80&amp;""&amp;J79&amp;" "&amp;J81))</f>
        <v>Excavation, Plinth Completed, RCC upto 4 Slab Completed</v>
      </c>
      <c r="J79" s="50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RCC upto 4 Slab</v>
      </c>
    </row>
    <row r="80" spans="1:10" hidden="1" x14ac:dyDescent="0.25">
      <c r="A80" s="15" t="s">
        <v>145</v>
      </c>
      <c r="B80" s="62">
        <v>0</v>
      </c>
      <c r="C80" s="62" t="s">
        <v>76</v>
      </c>
      <c r="D80" s="62">
        <v>1</v>
      </c>
      <c r="E80" s="62" t="s">
        <v>75</v>
      </c>
      <c r="F80" s="62">
        <v>0</v>
      </c>
      <c r="G80" s="63" t="s">
        <v>85</v>
      </c>
      <c r="H80" s="16">
        <f ca="1">--TRIM(RIGHT(SUBSTITUTE(LEFT(C79,_xlfn.AGGREGATE(16,6,FIND({0,1,2,3,4,5,6,7,8,9},C79,ROW(INDIRECT("1:"&amp;LEN(C79)))),1))," ",REPT(" ",LEN(C79))),LEN(C79)))</f>
        <v>7</v>
      </c>
      <c r="I80" s="51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</v>
      </c>
      <c r="J80" s="52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idden="1" x14ac:dyDescent="0.25">
      <c r="A81" s="69" t="s">
        <v>95</v>
      </c>
      <c r="B81" s="70"/>
      <c r="C81" s="71" t="str">
        <f ca="1">I79</f>
        <v>Excavation, Plinth Completed, RCC upto 4 Slab Completed</v>
      </c>
      <c r="D81" s="71"/>
      <c r="E81" s="71"/>
      <c r="F81" s="71"/>
      <c r="G81" s="71"/>
      <c r="H81" s="72"/>
      <c r="I81" s="51" t="str">
        <f ca="1">IF(I80&lt;&gt;""," Completed","")</f>
        <v xml:space="preserve"> Completed</v>
      </c>
      <c r="J81" s="52" t="str">
        <f ca="1">IF(J79&lt;&gt;"","Completed","")</f>
        <v>Completed</v>
      </c>
    </row>
    <row r="82" spans="1:10" ht="15.75" hidden="1" customHeight="1" x14ac:dyDescent="0.25">
      <c r="A82" s="73" t="s">
        <v>52</v>
      </c>
      <c r="B82" s="74"/>
      <c r="C82" s="60" t="s">
        <v>142</v>
      </c>
      <c r="D82" s="60" t="s">
        <v>88</v>
      </c>
      <c r="E82" s="74" t="s">
        <v>90</v>
      </c>
      <c r="F82" s="74"/>
      <c r="G82" s="74" t="s">
        <v>89</v>
      </c>
      <c r="H82" s="75"/>
      <c r="I82" s="13" t="s">
        <v>144</v>
      </c>
      <c r="J82" s="27">
        <f ca="1">H80*25%</f>
        <v>1.75</v>
      </c>
    </row>
    <row r="83" spans="1:10" hidden="1" x14ac:dyDescent="0.25">
      <c r="A83" s="73" t="s">
        <v>131</v>
      </c>
      <c r="B83" s="74"/>
      <c r="C83" s="60">
        <f ca="1">J84</f>
        <v>7</v>
      </c>
      <c r="D83" s="18">
        <f ca="1">((100/H80)*C83)/100</f>
        <v>1</v>
      </c>
      <c r="E83" s="76">
        <f ca="1">(((C84/H80*10)+(40/(D80+F80+H80)*C85)+(7.5/(H80)*C86)+(7.5/(H80)*C87)+(10/H80*C88)+(10/H80*C89)+(5/H80*C90)+(5/H80*C91)+(5/H80*C92))/100)</f>
        <v>0.3</v>
      </c>
      <c r="F83" s="77"/>
      <c r="G83" s="76">
        <f ca="1">((((C83/H80)*20)+((C84/H80)*25)+(30/(H80+F80+D80)*C85)+(5/H80*C86)+(5/H80*C87)+(5/H80*C88)+(5/H80*C89)+(0/H80*C90)+(0/H80*C91)+(5/H80*C92))/100)</f>
        <v>0.6</v>
      </c>
      <c r="H83" s="82"/>
      <c r="I83" s="13" t="s">
        <v>101</v>
      </c>
      <c r="J83" s="28">
        <f ca="1">H80*50%</f>
        <v>3.5</v>
      </c>
    </row>
    <row r="84" spans="1:10" hidden="1" x14ac:dyDescent="0.25">
      <c r="A84" s="73" t="s">
        <v>53</v>
      </c>
      <c r="B84" s="74"/>
      <c r="C84" s="60">
        <f ca="1">J92</f>
        <v>7</v>
      </c>
      <c r="D84" s="18">
        <f ca="1">((100/H80)*C84)/100</f>
        <v>1</v>
      </c>
      <c r="E84" s="78"/>
      <c r="F84" s="79"/>
      <c r="G84" s="78"/>
      <c r="H84" s="83"/>
      <c r="I84" s="13" t="s">
        <v>102</v>
      </c>
      <c r="J84" s="28">
        <f ca="1">H80</f>
        <v>7</v>
      </c>
    </row>
    <row r="85" spans="1:10" ht="15.75" hidden="1" customHeight="1" x14ac:dyDescent="0.25">
      <c r="A85" s="73" t="s">
        <v>132</v>
      </c>
      <c r="B85" s="74"/>
      <c r="C85" s="60">
        <v>4</v>
      </c>
      <c r="D85" s="18">
        <f ca="1">((100/(D80+F80+H80))*C85)/100</f>
        <v>0.5</v>
      </c>
      <c r="E85" s="78"/>
      <c r="F85" s="79"/>
      <c r="G85" s="78"/>
      <c r="H85" s="83"/>
      <c r="I85" s="13" t="s">
        <v>103</v>
      </c>
      <c r="J85" s="29">
        <f ca="1">(IF(B80&gt;1,(H80/(B80+2)),H80/4))</f>
        <v>1.75</v>
      </c>
    </row>
    <row r="86" spans="1:10" ht="15.75" hidden="1" customHeight="1" x14ac:dyDescent="0.25">
      <c r="A86" s="73" t="s">
        <v>139</v>
      </c>
      <c r="B86" s="74" t="s">
        <v>133</v>
      </c>
      <c r="C86" s="60">
        <v>0</v>
      </c>
      <c r="D86" s="18">
        <f ca="1">((100/H80)*C86)/100</f>
        <v>0</v>
      </c>
      <c r="E86" s="78"/>
      <c r="F86" s="79"/>
      <c r="G86" s="78"/>
      <c r="H86" s="83"/>
      <c r="I86" s="13" t="s">
        <v>104</v>
      </c>
      <c r="J86" s="29">
        <f ca="1">(IF(B80&gt;1,(H80/(B80+2)+J85),H80/4+J85))</f>
        <v>3.5</v>
      </c>
    </row>
    <row r="87" spans="1:10" ht="15.75" hidden="1" customHeight="1" x14ac:dyDescent="0.25">
      <c r="A87" s="73" t="s">
        <v>140</v>
      </c>
      <c r="B87" s="74" t="s">
        <v>133</v>
      </c>
      <c r="C87" s="60">
        <v>0</v>
      </c>
      <c r="D87" s="18">
        <f ca="1">((100/H80)*C87)/100</f>
        <v>0</v>
      </c>
      <c r="E87" s="78"/>
      <c r="F87" s="79"/>
      <c r="G87" s="78"/>
      <c r="H87" s="83"/>
      <c r="I87" s="13" t="s">
        <v>149</v>
      </c>
      <c r="J87" s="29">
        <f>(IF(B80&gt;1,(H80/(B80+2)+J86),0))</f>
        <v>0</v>
      </c>
    </row>
    <row r="88" spans="1:10" ht="15" hidden="1" customHeight="1" x14ac:dyDescent="0.25">
      <c r="A88" s="73" t="s">
        <v>138</v>
      </c>
      <c r="B88" s="74" t="s">
        <v>135</v>
      </c>
      <c r="C88" s="60">
        <v>0</v>
      </c>
      <c r="D88" s="18">
        <f ca="1">((100/(H80))*C88)/100</f>
        <v>0</v>
      </c>
      <c r="E88" s="78"/>
      <c r="F88" s="79"/>
      <c r="G88" s="78"/>
      <c r="H88" s="83"/>
      <c r="I88" s="13" t="s">
        <v>146</v>
      </c>
      <c r="J88" s="29">
        <f>(IF(B80&gt;2,(H80/(B80+2)+J87),0))</f>
        <v>0</v>
      </c>
    </row>
    <row r="89" spans="1:10" ht="15.75" hidden="1" customHeight="1" x14ac:dyDescent="0.25">
      <c r="A89" s="73" t="s">
        <v>134</v>
      </c>
      <c r="B89" s="74" t="s">
        <v>134</v>
      </c>
      <c r="C89" s="60">
        <v>0</v>
      </c>
      <c r="D89" s="18">
        <f ca="1">((100/H80)*C89)/100</f>
        <v>0</v>
      </c>
      <c r="E89" s="78"/>
      <c r="F89" s="79"/>
      <c r="G89" s="78"/>
      <c r="H89" s="83"/>
      <c r="I89" s="13" t="s">
        <v>147</v>
      </c>
      <c r="J89" s="30">
        <f>(IF(B80&gt;3,(H80/(B80+2)+J88),0))</f>
        <v>0</v>
      </c>
    </row>
    <row r="90" spans="1:10" ht="15.75" hidden="1" customHeight="1" x14ac:dyDescent="0.25">
      <c r="A90" s="73" t="s">
        <v>141</v>
      </c>
      <c r="B90" s="74"/>
      <c r="C90" s="60">
        <v>0</v>
      </c>
      <c r="D90" s="18">
        <f ca="1">((100/H80)*C90)/100</f>
        <v>0</v>
      </c>
      <c r="E90" s="78"/>
      <c r="F90" s="79"/>
      <c r="G90" s="78"/>
      <c r="H90" s="83"/>
      <c r="I90" s="13" t="s">
        <v>148</v>
      </c>
      <c r="J90" s="29">
        <f>(IF(B80&gt;4,(H80/(B80+2)+J89),0))</f>
        <v>0</v>
      </c>
    </row>
    <row r="91" spans="1:10" ht="15.75" hidden="1" customHeight="1" x14ac:dyDescent="0.25">
      <c r="A91" s="73" t="s">
        <v>136</v>
      </c>
      <c r="B91" s="74" t="s">
        <v>136</v>
      </c>
      <c r="C91" s="60">
        <v>0</v>
      </c>
      <c r="D91" s="18">
        <f ca="1">((100/(H80))*C91)/100</f>
        <v>0</v>
      </c>
      <c r="E91" s="78"/>
      <c r="F91" s="79"/>
      <c r="G91" s="78"/>
      <c r="H91" s="83"/>
      <c r="I91" s="13" t="s">
        <v>150</v>
      </c>
      <c r="J91" s="29">
        <f ca="1">(IF(B80=1,(H80/(B80+3)+J86),IF(B80=0,(H80/4+J86),IF(B80&gt;1,0))))</f>
        <v>5.25</v>
      </c>
    </row>
    <row r="92" spans="1:10" ht="16.5" hidden="1" thickBot="1" x14ac:dyDescent="0.3">
      <c r="A92" s="85" t="s">
        <v>137</v>
      </c>
      <c r="B92" s="86"/>
      <c r="C92" s="61">
        <v>0</v>
      </c>
      <c r="D92" s="19">
        <f ca="1">((100/(H80))*C92)/100</f>
        <v>0</v>
      </c>
      <c r="E92" s="80"/>
      <c r="F92" s="81"/>
      <c r="G92" s="80"/>
      <c r="H92" s="84"/>
      <c r="I92" s="14" t="s">
        <v>105</v>
      </c>
      <c r="J92" s="31">
        <f ca="1">(IF(B80&gt;1.5,(H80/(B80+2)+J86+MAX(0,J87-J86)+MAX(0,J88-J87)+MAX(0,J89-J88)+MAX(0,J90-J89)+MAX(0,J91-J90)),IF(B80=1,(H80/(B80+3)+J91),IF(B80=0,H80/4+J91))))</f>
        <v>7</v>
      </c>
    </row>
    <row r="93" spans="1:10" ht="15.75" customHeight="1" x14ac:dyDescent="0.25">
      <c r="A93" s="64" t="s">
        <v>143</v>
      </c>
      <c r="B93" s="65"/>
      <c r="C93" s="66" t="s">
        <v>226</v>
      </c>
      <c r="D93" s="67"/>
      <c r="E93" s="67"/>
      <c r="F93" s="67"/>
      <c r="G93" s="67"/>
      <c r="H93" s="68"/>
      <c r="I93" s="49" t="str">
        <f ca="1">IF(D106=100%,"All work Completed. Possession granted to the Building.",IF(D105=100%,"All work Completed, Waiting for OC",I94&amp;""&amp;I95&amp;""&amp;J94&amp;""&amp;J93&amp;" "&amp;J95))</f>
        <v>Excavation, Plinth Completed, RCC upto 5 Slab Completed</v>
      </c>
      <c r="J93" s="50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RCC upto 5 Slab</v>
      </c>
    </row>
    <row r="94" spans="1:10" x14ac:dyDescent="0.25">
      <c r="A94" s="15" t="s">
        <v>145</v>
      </c>
      <c r="B94" s="47">
        <v>0</v>
      </c>
      <c r="C94" s="47" t="s">
        <v>76</v>
      </c>
      <c r="D94" s="47">
        <v>1</v>
      </c>
      <c r="E94" s="47" t="s">
        <v>75</v>
      </c>
      <c r="F94" s="47">
        <v>0</v>
      </c>
      <c r="G94" s="48" t="s">
        <v>85</v>
      </c>
      <c r="H94" s="16">
        <f ca="1">--TRIM(RIGHT(SUBSTITUTE(LEFT(C93,_xlfn.AGGREGATE(16,6,FIND({0,1,2,3,4,5,6,7,8,9},C93,ROW(INDIRECT("1:"&amp;LEN(C93)))),1))," ",REPT(" ",LEN(C93))),LEN(C93)))</f>
        <v>7</v>
      </c>
      <c r="I94" s="51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</v>
      </c>
      <c r="J94" s="52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x14ac:dyDescent="0.25">
      <c r="A95" s="69" t="s">
        <v>95</v>
      </c>
      <c r="B95" s="70"/>
      <c r="C95" s="71" t="str">
        <f ca="1">I93</f>
        <v>Excavation, Plinth Completed, RCC upto 5 Slab Completed</v>
      </c>
      <c r="D95" s="71"/>
      <c r="E95" s="71"/>
      <c r="F95" s="71"/>
      <c r="G95" s="71"/>
      <c r="H95" s="72"/>
      <c r="I95" s="51" t="str">
        <f ca="1">IF(I94&lt;&gt;""," Completed","")</f>
        <v xml:space="preserve"> Completed</v>
      </c>
      <c r="J95" s="52" t="str">
        <f ca="1">IF(J93&lt;&gt;"","Completed","")</f>
        <v>Completed</v>
      </c>
    </row>
    <row r="96" spans="1:10" ht="15.75" customHeight="1" x14ac:dyDescent="0.25">
      <c r="A96" s="73" t="s">
        <v>52</v>
      </c>
      <c r="B96" s="74"/>
      <c r="C96" s="43" t="s">
        <v>142</v>
      </c>
      <c r="D96" s="43" t="s">
        <v>88</v>
      </c>
      <c r="E96" s="74" t="s">
        <v>90</v>
      </c>
      <c r="F96" s="74"/>
      <c r="G96" s="74" t="s">
        <v>89</v>
      </c>
      <c r="H96" s="75"/>
      <c r="I96" s="13" t="s">
        <v>144</v>
      </c>
      <c r="J96" s="27">
        <f ca="1">H94*25%</f>
        <v>1.75</v>
      </c>
    </row>
    <row r="97" spans="1:11" x14ac:dyDescent="0.25">
      <c r="A97" s="73" t="s">
        <v>131</v>
      </c>
      <c r="B97" s="74"/>
      <c r="C97" s="43">
        <f ca="1">J98</f>
        <v>7</v>
      </c>
      <c r="D97" s="18">
        <f ca="1">((100/H94)*C97)/100</f>
        <v>1</v>
      </c>
      <c r="E97" s="76">
        <f ca="1">(((C98/H94*10)+(40/(D94+F94+H94)*C99)+(7.5/(H94)*C100)+(7.5/(H94)*C101)+(10/H94*C102)+(10/H94*C103)+(5/H94*C104)+(5/H94*C105)+(5/H94*C106))/100)</f>
        <v>0.35</v>
      </c>
      <c r="F97" s="77"/>
      <c r="G97" s="76">
        <f ca="1">((((C97/H94)*20)+((C98/H94)*25)+(30/(H94+F94+D94)*C99)+(5/H94*C100)+(5/H94*C101)+(5/H94*C102)+(5/H94*C103)+(0/H94*C104)+(0/H94*C105)+(5/H94*C106))/100)</f>
        <v>0.63749999999999996</v>
      </c>
      <c r="H97" s="82"/>
      <c r="I97" s="13" t="s">
        <v>101</v>
      </c>
      <c r="J97" s="28">
        <f ca="1">H94*50%</f>
        <v>3.5</v>
      </c>
    </row>
    <row r="98" spans="1:11" x14ac:dyDescent="0.25">
      <c r="A98" s="73" t="s">
        <v>53</v>
      </c>
      <c r="B98" s="74"/>
      <c r="C98" s="43">
        <f ca="1">J106</f>
        <v>7</v>
      </c>
      <c r="D98" s="18">
        <f ca="1">((100/H94)*C98)/100</f>
        <v>1</v>
      </c>
      <c r="E98" s="78"/>
      <c r="F98" s="79"/>
      <c r="G98" s="78"/>
      <c r="H98" s="83"/>
      <c r="I98" s="13" t="s">
        <v>102</v>
      </c>
      <c r="J98" s="28">
        <f ca="1">H94</f>
        <v>7</v>
      </c>
    </row>
    <row r="99" spans="1:11" ht="15.75" customHeight="1" x14ac:dyDescent="0.25">
      <c r="A99" s="73" t="s">
        <v>132</v>
      </c>
      <c r="B99" s="74"/>
      <c r="C99" s="43">
        <v>5</v>
      </c>
      <c r="D99" s="18">
        <f ca="1">((100/(D94+F94+H94))*C99)/100</f>
        <v>0.625</v>
      </c>
      <c r="E99" s="78"/>
      <c r="F99" s="79"/>
      <c r="G99" s="78"/>
      <c r="H99" s="83"/>
      <c r="I99" s="13" t="s">
        <v>103</v>
      </c>
      <c r="J99" s="29">
        <f ca="1">(IF(B94&gt;1,(H94/(B94+2)),H94/4))</f>
        <v>1.75</v>
      </c>
    </row>
    <row r="100" spans="1:11" ht="15.75" customHeight="1" x14ac:dyDescent="0.25">
      <c r="A100" s="73" t="s">
        <v>139</v>
      </c>
      <c r="B100" s="74" t="s">
        <v>133</v>
      </c>
      <c r="C100" s="43">
        <v>0</v>
      </c>
      <c r="D100" s="18">
        <f ca="1">((100/H94)*C100)/100</f>
        <v>0</v>
      </c>
      <c r="E100" s="78"/>
      <c r="F100" s="79"/>
      <c r="G100" s="78"/>
      <c r="H100" s="83"/>
      <c r="I100" s="13" t="s">
        <v>104</v>
      </c>
      <c r="J100" s="29">
        <f ca="1">(IF(B94&gt;1,(H94/(B94+2)+J99),H94/4+J99))</f>
        <v>3.5</v>
      </c>
    </row>
    <row r="101" spans="1:11" ht="15.75" customHeight="1" x14ac:dyDescent="0.25">
      <c r="A101" s="73" t="s">
        <v>140</v>
      </c>
      <c r="B101" s="74" t="s">
        <v>133</v>
      </c>
      <c r="C101" s="43">
        <v>0</v>
      </c>
      <c r="D101" s="18">
        <f ca="1">((100/H94)*C101)/100</f>
        <v>0</v>
      </c>
      <c r="E101" s="78"/>
      <c r="F101" s="79"/>
      <c r="G101" s="78"/>
      <c r="H101" s="83"/>
      <c r="I101" s="13" t="s">
        <v>149</v>
      </c>
      <c r="J101" s="29">
        <f>(IF(B94&gt;1,(H94/(B94+2)+J100),0))</f>
        <v>0</v>
      </c>
    </row>
    <row r="102" spans="1:11" ht="15" customHeight="1" x14ac:dyDescent="0.25">
      <c r="A102" s="73" t="s">
        <v>138</v>
      </c>
      <c r="B102" s="74" t="s">
        <v>135</v>
      </c>
      <c r="C102" s="43">
        <v>0</v>
      </c>
      <c r="D102" s="18">
        <f ca="1">((100/(H94))*C102)/100</f>
        <v>0</v>
      </c>
      <c r="E102" s="78"/>
      <c r="F102" s="79"/>
      <c r="G102" s="78"/>
      <c r="H102" s="83"/>
      <c r="I102" s="13" t="s">
        <v>146</v>
      </c>
      <c r="J102" s="29">
        <f>(IF(B94&gt;2,(H94/(B94+2)+J101),0))</f>
        <v>0</v>
      </c>
    </row>
    <row r="103" spans="1:11" ht="15.75" customHeight="1" x14ac:dyDescent="0.25">
      <c r="A103" s="73" t="s">
        <v>134</v>
      </c>
      <c r="B103" s="74" t="s">
        <v>134</v>
      </c>
      <c r="C103" s="43">
        <v>0</v>
      </c>
      <c r="D103" s="18">
        <f ca="1">((100/H94)*C103)/100</f>
        <v>0</v>
      </c>
      <c r="E103" s="78"/>
      <c r="F103" s="79"/>
      <c r="G103" s="78"/>
      <c r="H103" s="83"/>
      <c r="I103" s="13" t="s">
        <v>147</v>
      </c>
      <c r="J103" s="30">
        <f>(IF(B94&gt;3,(H94/(B94+2)+J102),0))</f>
        <v>0</v>
      </c>
    </row>
    <row r="104" spans="1:11" ht="15.75" customHeight="1" x14ac:dyDescent="0.25">
      <c r="A104" s="73" t="s">
        <v>141</v>
      </c>
      <c r="B104" s="74"/>
      <c r="C104" s="43">
        <v>0</v>
      </c>
      <c r="D104" s="18">
        <f ca="1">((100/H94)*C104)/100</f>
        <v>0</v>
      </c>
      <c r="E104" s="78"/>
      <c r="F104" s="79"/>
      <c r="G104" s="78"/>
      <c r="H104" s="83"/>
      <c r="I104" s="13" t="s">
        <v>148</v>
      </c>
      <c r="J104" s="29">
        <f>(IF(B94&gt;4,(H94/(B94+2)+J103),0))</f>
        <v>0</v>
      </c>
    </row>
    <row r="105" spans="1:11" ht="15.75" customHeight="1" x14ac:dyDescent="0.25">
      <c r="A105" s="73" t="s">
        <v>136</v>
      </c>
      <c r="B105" s="74" t="s">
        <v>136</v>
      </c>
      <c r="C105" s="43">
        <v>0</v>
      </c>
      <c r="D105" s="18">
        <f ca="1">((100/(H94))*C105)/100</f>
        <v>0</v>
      </c>
      <c r="E105" s="78"/>
      <c r="F105" s="79"/>
      <c r="G105" s="78"/>
      <c r="H105" s="83"/>
      <c r="I105" s="13" t="s">
        <v>150</v>
      </c>
      <c r="J105" s="29">
        <f ca="1">(IF(B94=1,(H94/(B94+3)+J100),IF(B94=0,(H94/4+J100),IF(B94&gt;1,0))))</f>
        <v>5.25</v>
      </c>
    </row>
    <row r="106" spans="1:11" ht="16.5" thickBot="1" x14ac:dyDescent="0.3">
      <c r="A106" s="85" t="s">
        <v>137</v>
      </c>
      <c r="B106" s="86"/>
      <c r="C106" s="44">
        <v>0</v>
      </c>
      <c r="D106" s="19">
        <f ca="1">((100/(H94))*C106)/100</f>
        <v>0</v>
      </c>
      <c r="E106" s="80"/>
      <c r="F106" s="81"/>
      <c r="G106" s="80"/>
      <c r="H106" s="84"/>
      <c r="I106" s="14" t="s">
        <v>105</v>
      </c>
      <c r="J106" s="31">
        <f ca="1">(IF(B94&gt;1.5,(H94/(B94+2)+J100+MAX(0,J101-J100)+MAX(0,J102-J101)+MAX(0,J103-J102)+MAX(0,J104-J103)+MAX(0,J105-J104)),IF(B94=1,(H94/(B94+3)+J105),IF(B94=0,H94/4+J105))))</f>
        <v>7</v>
      </c>
    </row>
    <row r="107" spans="1:11" x14ac:dyDescent="0.25">
      <c r="A107" s="173" t="s">
        <v>159</v>
      </c>
      <c r="B107" s="173"/>
      <c r="C107" s="173"/>
      <c r="D107" s="173"/>
      <c r="E107" s="173"/>
      <c r="F107" s="171" t="s">
        <v>162</v>
      </c>
      <c r="G107" s="171"/>
      <c r="H107" s="171"/>
    </row>
    <row r="108" spans="1:11" x14ac:dyDescent="0.25">
      <c r="A108" s="103" t="s">
        <v>161</v>
      </c>
      <c r="B108" s="103"/>
      <c r="C108" s="103"/>
      <c r="D108" s="103"/>
      <c r="E108" s="103"/>
      <c r="F108" s="108">
        <v>3800</v>
      </c>
      <c r="G108" s="108"/>
      <c r="H108" s="108"/>
      <c r="I108" s="20" t="s">
        <v>213</v>
      </c>
      <c r="J108" s="20" t="s">
        <v>215</v>
      </c>
      <c r="K108" s="24">
        <v>45299</v>
      </c>
    </row>
    <row r="109" spans="1:11" x14ac:dyDescent="0.25">
      <c r="A109" s="103" t="s">
        <v>160</v>
      </c>
      <c r="B109" s="103"/>
      <c r="C109" s="103"/>
      <c r="D109" s="103"/>
      <c r="E109" s="103"/>
      <c r="F109" s="108">
        <v>7000</v>
      </c>
      <c r="G109" s="108"/>
      <c r="H109" s="108"/>
    </row>
    <row r="110" spans="1:11" s="32" customFormat="1" x14ac:dyDescent="0.25">
      <c r="A110" s="103" t="s">
        <v>210</v>
      </c>
      <c r="B110" s="103"/>
      <c r="C110" s="103"/>
      <c r="D110" s="103"/>
      <c r="E110" s="103"/>
      <c r="F110" s="108">
        <v>154583</v>
      </c>
      <c r="G110" s="108"/>
      <c r="H110" s="108"/>
    </row>
    <row r="111" spans="1:11" s="32" customFormat="1" x14ac:dyDescent="0.25">
      <c r="A111" s="103" t="s">
        <v>211</v>
      </c>
      <c r="B111" s="103"/>
      <c r="C111" s="103"/>
      <c r="D111" s="103"/>
      <c r="E111" s="103"/>
      <c r="F111" s="108">
        <v>51183</v>
      </c>
      <c r="G111" s="108"/>
      <c r="H111" s="108"/>
    </row>
    <row r="112" spans="1:11" s="32" customFormat="1" x14ac:dyDescent="0.25">
      <c r="A112" s="103" t="s">
        <v>100</v>
      </c>
      <c r="B112" s="103"/>
      <c r="C112" s="103"/>
      <c r="D112" s="103"/>
      <c r="E112" s="103"/>
      <c r="F112" s="108">
        <v>51183</v>
      </c>
      <c r="G112" s="108"/>
      <c r="H112" s="108"/>
    </row>
    <row r="113" spans="1:10" x14ac:dyDescent="0.25">
      <c r="A113" s="103" t="s">
        <v>54</v>
      </c>
      <c r="B113" s="103"/>
      <c r="C113" s="103"/>
      <c r="D113" s="103"/>
      <c r="E113" s="103"/>
      <c r="F113" s="108">
        <v>150000</v>
      </c>
      <c r="G113" s="108"/>
      <c r="H113" s="108"/>
      <c r="I113" s="20" t="s">
        <v>216</v>
      </c>
      <c r="J113" s="24">
        <v>45299</v>
      </c>
    </row>
    <row r="114" spans="1:10" s="33" customFormat="1" x14ac:dyDescent="0.25">
      <c r="A114" s="146" t="s">
        <v>55</v>
      </c>
      <c r="B114" s="146"/>
      <c r="C114" s="146"/>
      <c r="D114" s="146"/>
      <c r="E114" s="146"/>
      <c r="F114" s="108">
        <f>F108*0.8</f>
        <v>3040</v>
      </c>
      <c r="G114" s="108"/>
      <c r="H114" s="108"/>
    </row>
    <row r="115" spans="1:10" s="34" customFormat="1" ht="15.75" customHeight="1" x14ac:dyDescent="0.25">
      <c r="A115" s="143" t="s">
        <v>80</v>
      </c>
      <c r="B115" s="143"/>
      <c r="C115" s="143"/>
      <c r="D115" s="143"/>
      <c r="E115" s="143"/>
      <c r="F115" s="143"/>
      <c r="G115" s="143"/>
      <c r="H115" s="143"/>
    </row>
    <row r="116" spans="1:10" s="34" customFormat="1" ht="15.75" customHeight="1" x14ac:dyDescent="0.25">
      <c r="A116" s="105" t="s">
        <v>56</v>
      </c>
      <c r="B116" s="105"/>
      <c r="C116" s="133" t="s">
        <v>83</v>
      </c>
      <c r="D116" s="133"/>
      <c r="E116" s="148" t="s">
        <v>57</v>
      </c>
      <c r="F116" s="148"/>
      <c r="G116" s="105" t="s">
        <v>58</v>
      </c>
      <c r="H116" s="105"/>
    </row>
    <row r="117" spans="1:10" s="34" customFormat="1" x14ac:dyDescent="0.25">
      <c r="A117" s="147" t="s">
        <v>194</v>
      </c>
      <c r="B117" s="147"/>
      <c r="C117" s="141">
        <f>COUNT(D130:D134)</f>
        <v>5</v>
      </c>
      <c r="D117" s="172"/>
      <c r="E117" s="109">
        <f>SUM(D130:D134)</f>
        <v>1186.0743959999998</v>
      </c>
      <c r="F117" s="110"/>
      <c r="G117" s="109">
        <f>SUM(F130:F134)</f>
        <v>2394.08</v>
      </c>
      <c r="H117" s="110"/>
    </row>
    <row r="118" spans="1:10" s="34" customFormat="1" x14ac:dyDescent="0.25">
      <c r="A118" s="143" t="s">
        <v>74</v>
      </c>
      <c r="B118" s="143"/>
      <c r="C118" s="143"/>
      <c r="D118" s="143"/>
      <c r="E118" s="143"/>
      <c r="F118" s="143"/>
      <c r="G118" s="143"/>
      <c r="H118" s="143"/>
    </row>
    <row r="119" spans="1:10" s="34" customFormat="1" ht="15.75" customHeight="1" x14ac:dyDescent="0.25">
      <c r="A119" s="105" t="s">
        <v>56</v>
      </c>
      <c r="B119" s="105"/>
      <c r="C119" s="133" t="s">
        <v>83</v>
      </c>
      <c r="D119" s="133"/>
      <c r="E119" s="148" t="s">
        <v>57</v>
      </c>
      <c r="F119" s="148"/>
      <c r="G119" s="105" t="s">
        <v>58</v>
      </c>
      <c r="H119" s="105"/>
    </row>
    <row r="120" spans="1:10" s="34" customFormat="1" x14ac:dyDescent="0.25">
      <c r="A120" s="147" t="s">
        <v>194</v>
      </c>
      <c r="B120" s="147"/>
      <c r="C120" s="141">
        <f>COUNT(D139:D140)+COUNT(D142:D145)+COUNT(D147:D150)*3+COUNT(D152:D155)*3</f>
        <v>30</v>
      </c>
      <c r="D120" s="141"/>
      <c r="E120" s="109">
        <f>SUM(D139:D140)+SUM(D142:D145)+SUM(D147:D150)*3+SUM(D152:D155)*3</f>
        <v>13024.343123999999</v>
      </c>
      <c r="F120" s="109"/>
      <c r="G120" s="109">
        <f>SUM(F139:F140)+SUM(F142:F145)+SUM(F147:F150)*3+SUM(F152:F155)*3</f>
        <v>23480</v>
      </c>
      <c r="H120" s="109"/>
    </row>
    <row r="121" spans="1:10" s="34" customFormat="1" x14ac:dyDescent="0.25">
      <c r="A121" s="147" t="s">
        <v>195</v>
      </c>
      <c r="B121" s="147"/>
      <c r="C121" s="141">
        <f>COUNT(D158:D160)+COUNT(D162:D165)+COUNT(D167:D170)*3+COUNT(D172:D175)*3</f>
        <v>31</v>
      </c>
      <c r="D121" s="141"/>
      <c r="E121" s="109">
        <f>SUM(D158:D160)+SUM(D162:D165)+SUM(D167:D170)*3+SUM(D172:D175)*3</f>
        <v>10573.875468000002</v>
      </c>
      <c r="F121" s="109"/>
      <c r="G121" s="109">
        <f>SUM(F158:F160)+SUM(F162:F165)+SUM(F167:F170)*3+SUM(F172:F175)*3</f>
        <v>18380</v>
      </c>
      <c r="H121" s="109"/>
      <c r="J121" s="58">
        <f>SUM(E117,E124)</f>
        <v>45769.701276</v>
      </c>
    </row>
    <row r="122" spans="1:10" s="34" customFormat="1" x14ac:dyDescent="0.25">
      <c r="A122" s="147" t="s">
        <v>196</v>
      </c>
      <c r="B122" s="147"/>
      <c r="C122" s="141">
        <f>COUNT(D178:D179)+COUNT(D181:D184)+COUNT(D186:D189)*3+COUNT(D191:D194)*3</f>
        <v>30</v>
      </c>
      <c r="D122" s="141"/>
      <c r="E122" s="109">
        <f>SUM(D178:D179)+SUM(D181:D184)+SUM(D186:D189)*3+SUM(D191:D194)*3</f>
        <v>10200.396959999998</v>
      </c>
      <c r="F122" s="109"/>
      <c r="G122" s="109">
        <f>SUM(F178:F179)+SUM(F181:F184)+SUM(F186:F189)*3+SUM(F191:F194)*3</f>
        <v>17635</v>
      </c>
      <c r="H122" s="109"/>
    </row>
    <row r="123" spans="1:10" s="34" customFormat="1" x14ac:dyDescent="0.25">
      <c r="A123" s="147" t="s">
        <v>197</v>
      </c>
      <c r="B123" s="147"/>
      <c r="C123" s="141">
        <f>COUNT(D197:D199)+COUNT(D201:D205)+COUNT(D207:D211)*3+COUNT(D213:D217)*3</f>
        <v>38</v>
      </c>
      <c r="D123" s="141"/>
      <c r="E123" s="109">
        <f>SUM(D197:D199)+SUM(D201:D205)+SUM(D207:D211)*3+SUM(D213:D217)*3</f>
        <v>10785.011327999999</v>
      </c>
      <c r="F123" s="109"/>
      <c r="G123" s="109">
        <f>SUM(F197:F199)+SUM(F201:F205)+SUM(F207:F211)*3+SUM(F213:F217)*3</f>
        <v>19130</v>
      </c>
      <c r="H123" s="109"/>
    </row>
    <row r="124" spans="1:10" s="34" customFormat="1" x14ac:dyDescent="0.25">
      <c r="A124" s="143" t="s">
        <v>152</v>
      </c>
      <c r="B124" s="143"/>
      <c r="C124" s="132">
        <f>SUM(C120:C123)</f>
        <v>129</v>
      </c>
      <c r="D124" s="133"/>
      <c r="E124" s="170">
        <f>SUM(E120:E123)</f>
        <v>44583.626880000003</v>
      </c>
      <c r="F124" s="148"/>
      <c r="G124" s="105">
        <f>SUM(G120:G123)</f>
        <v>78625</v>
      </c>
      <c r="H124" s="105"/>
    </row>
    <row r="125" spans="1:10" s="33" customFormat="1" x14ac:dyDescent="0.25">
      <c r="A125" s="131" t="s">
        <v>59</v>
      </c>
      <c r="B125" s="131"/>
      <c r="C125" s="131"/>
      <c r="D125" s="131"/>
      <c r="E125" s="131"/>
      <c r="F125" s="131"/>
      <c r="G125" s="131"/>
      <c r="H125" s="131"/>
    </row>
    <row r="126" spans="1:10" x14ac:dyDescent="0.25">
      <c r="A126" s="131" t="s">
        <v>60</v>
      </c>
      <c r="B126" s="131"/>
      <c r="C126" s="131"/>
      <c r="D126" s="131"/>
      <c r="E126" s="131"/>
      <c r="F126" s="131"/>
      <c r="G126" s="131"/>
      <c r="H126" s="131"/>
    </row>
    <row r="127" spans="1:10" ht="47.25" customHeight="1" x14ac:dyDescent="0.25">
      <c r="A127" s="42" t="s">
        <v>122</v>
      </c>
      <c r="B127" s="42" t="s">
        <v>121</v>
      </c>
      <c r="C127" s="42" t="s">
        <v>61</v>
      </c>
      <c r="D127" s="42" t="s">
        <v>62</v>
      </c>
      <c r="E127" s="54" t="s">
        <v>158</v>
      </c>
      <c r="F127" s="42" t="s">
        <v>207</v>
      </c>
      <c r="G127" s="106" t="s">
        <v>64</v>
      </c>
      <c r="H127" s="107"/>
    </row>
    <row r="128" spans="1:10" s="36" customFormat="1" x14ac:dyDescent="0.25">
      <c r="A128" s="95" t="s">
        <v>194</v>
      </c>
      <c r="B128" s="96"/>
      <c r="C128" s="96"/>
      <c r="D128" s="96"/>
      <c r="E128" s="96"/>
      <c r="F128" s="96"/>
      <c r="G128" s="96"/>
      <c r="H128" s="97"/>
      <c r="J128" s="35"/>
    </row>
    <row r="129" spans="1:14" s="36" customFormat="1" x14ac:dyDescent="0.25">
      <c r="A129" s="95" t="s">
        <v>192</v>
      </c>
      <c r="B129" s="96"/>
      <c r="C129" s="96"/>
      <c r="D129" s="96"/>
      <c r="E129" s="96"/>
      <c r="F129" s="96"/>
      <c r="G129" s="96"/>
      <c r="H129" s="97"/>
      <c r="J129" s="35">
        <f>6.45*2.9+1.3*1.3+1.2*1.5</f>
        <v>22.195</v>
      </c>
    </row>
    <row r="130" spans="1:14" s="36" customFormat="1" ht="15.75" customHeight="1" x14ac:dyDescent="0.25">
      <c r="A130" s="98">
        <v>1</v>
      </c>
      <c r="B130" s="99"/>
      <c r="C130" s="41" t="s">
        <v>191</v>
      </c>
      <c r="D130" s="56">
        <f>(22.27)*(10.764)</f>
        <v>239.71427999999997</v>
      </c>
      <c r="E130" s="41">
        <v>0</v>
      </c>
      <c r="F130" s="41">
        <v>483.82</v>
      </c>
      <c r="G130" s="89" t="str">
        <f>A129</f>
        <v>Ground Floor For Part Commercial &amp; Parking</v>
      </c>
      <c r="H130" s="100"/>
      <c r="I130" s="55"/>
      <c r="J130" s="36">
        <f>F130/D130</f>
        <v>2.0183194760028482</v>
      </c>
      <c r="L130" s="87"/>
      <c r="M130" s="87"/>
      <c r="N130" s="35"/>
    </row>
    <row r="131" spans="1:14" s="36" customFormat="1" ht="15.75" customHeight="1" x14ac:dyDescent="0.25">
      <c r="A131" s="98">
        <f t="shared" ref="A131:A134" si="0">A130+1</f>
        <v>2</v>
      </c>
      <c r="B131" s="99"/>
      <c r="C131" s="41" t="s">
        <v>191</v>
      </c>
      <c r="D131" s="56">
        <f>(21.883)*(10.764)</f>
        <v>235.54861199999996</v>
      </c>
      <c r="E131" s="41">
        <v>0</v>
      </c>
      <c r="F131" s="41">
        <v>475.48</v>
      </c>
      <c r="G131" s="91"/>
      <c r="H131" s="92"/>
      <c r="I131" s="55"/>
      <c r="L131" s="87"/>
      <c r="M131" s="87"/>
      <c r="N131" s="35"/>
    </row>
    <row r="132" spans="1:14" s="36" customFormat="1" ht="15.75" customHeight="1" x14ac:dyDescent="0.25">
      <c r="A132" s="98">
        <f t="shared" si="0"/>
        <v>3</v>
      </c>
      <c r="B132" s="99"/>
      <c r="C132" s="41" t="s">
        <v>191</v>
      </c>
      <c r="D132" s="56">
        <f>(21.883)*(10.764)</f>
        <v>235.54861199999996</v>
      </c>
      <c r="E132" s="41">
        <v>0</v>
      </c>
      <c r="F132" s="41">
        <v>475.48</v>
      </c>
      <c r="G132" s="91"/>
      <c r="H132" s="92"/>
      <c r="I132" s="55"/>
      <c r="L132" s="87"/>
      <c r="M132" s="87"/>
      <c r="N132" s="35"/>
    </row>
    <row r="133" spans="1:14" s="36" customFormat="1" ht="15.75" customHeight="1" x14ac:dyDescent="0.25">
      <c r="A133" s="98">
        <f t="shared" si="0"/>
        <v>4</v>
      </c>
      <c r="B133" s="99"/>
      <c r="C133" s="41" t="s">
        <v>191</v>
      </c>
      <c r="D133" s="56">
        <f>(21.883)*(10.764)</f>
        <v>235.54861199999996</v>
      </c>
      <c r="E133" s="41">
        <v>0</v>
      </c>
      <c r="F133" s="41">
        <v>475.48</v>
      </c>
      <c r="G133" s="91"/>
      <c r="H133" s="92"/>
      <c r="I133" s="55"/>
      <c r="L133" s="87"/>
      <c r="M133" s="87"/>
      <c r="N133" s="35"/>
    </row>
    <row r="134" spans="1:14" s="36" customFormat="1" ht="15.75" customHeight="1" x14ac:dyDescent="0.25">
      <c r="A134" s="98">
        <f t="shared" si="0"/>
        <v>5</v>
      </c>
      <c r="B134" s="99"/>
      <c r="C134" s="41" t="s">
        <v>191</v>
      </c>
      <c r="D134" s="56">
        <f>(22.27)*(10.764)</f>
        <v>239.71427999999997</v>
      </c>
      <c r="E134" s="41">
        <v>0</v>
      </c>
      <c r="F134" s="41">
        <v>483.82</v>
      </c>
      <c r="G134" s="93"/>
      <c r="H134" s="94"/>
      <c r="I134" s="55"/>
      <c r="L134" s="87"/>
      <c r="M134" s="87"/>
      <c r="N134" s="35"/>
    </row>
    <row r="135" spans="1:14" s="36" customFormat="1" x14ac:dyDescent="0.25">
      <c r="A135" s="98"/>
      <c r="B135" s="142"/>
      <c r="C135" s="142"/>
      <c r="D135" s="142"/>
      <c r="E135" s="142"/>
      <c r="F135" s="142"/>
      <c r="G135" s="142"/>
      <c r="H135" s="99"/>
      <c r="I135" s="35"/>
      <c r="N135" s="35"/>
    </row>
    <row r="136" spans="1:14" ht="47.25" customHeight="1" x14ac:dyDescent="0.25">
      <c r="A136" s="53" t="s">
        <v>123</v>
      </c>
      <c r="B136" s="53" t="s">
        <v>124</v>
      </c>
      <c r="C136" s="42" t="s">
        <v>61</v>
      </c>
      <c r="D136" s="42" t="s">
        <v>62</v>
      </c>
      <c r="E136" s="54" t="s">
        <v>63</v>
      </c>
      <c r="F136" s="42" t="s">
        <v>207</v>
      </c>
      <c r="G136" s="106" t="s">
        <v>64</v>
      </c>
      <c r="H136" s="107"/>
      <c r="I136" s="35"/>
    </row>
    <row r="137" spans="1:14" s="36" customFormat="1" x14ac:dyDescent="0.25">
      <c r="A137" s="95" t="s">
        <v>194</v>
      </c>
      <c r="B137" s="96"/>
      <c r="C137" s="96"/>
      <c r="D137" s="96"/>
      <c r="E137" s="96"/>
      <c r="F137" s="96"/>
      <c r="G137" s="96"/>
      <c r="H137" s="97"/>
      <c r="J137" s="35"/>
    </row>
    <row r="138" spans="1:14" s="36" customFormat="1" x14ac:dyDescent="0.25">
      <c r="A138" s="95" t="s">
        <v>209</v>
      </c>
      <c r="B138" s="96"/>
      <c r="C138" s="96"/>
      <c r="D138" s="96"/>
      <c r="E138" s="96"/>
      <c r="F138" s="96"/>
      <c r="G138" s="96"/>
      <c r="H138" s="97"/>
      <c r="J138" s="35"/>
      <c r="K138" s="36">
        <f>(3.2*4.2+1.95*2.1+1.95*1.05+1.2*1.4)</f>
        <v>21.262499999999999</v>
      </c>
    </row>
    <row r="139" spans="1:14" s="36" customFormat="1" ht="15.75" customHeight="1" x14ac:dyDescent="0.25">
      <c r="A139" s="98">
        <v>1</v>
      </c>
      <c r="B139" s="99"/>
      <c r="C139" s="41" t="s">
        <v>193</v>
      </c>
      <c r="D139" s="56">
        <f>(21.382)*(10.764)</f>
        <v>230.15584799999999</v>
      </c>
      <c r="E139" s="41">
        <v>0</v>
      </c>
      <c r="F139" s="41">
        <v>370</v>
      </c>
      <c r="G139" s="89" t="str">
        <f>A138</f>
        <v>Ground Floor For Part Commercial, Part Residential &amp; Parking</v>
      </c>
      <c r="H139" s="90"/>
      <c r="I139" s="55"/>
      <c r="J139" s="36">
        <f>F139/D139</f>
        <v>1.6076063381192036</v>
      </c>
      <c r="L139" s="87"/>
      <c r="M139" s="87"/>
      <c r="N139" s="35"/>
    </row>
    <row r="140" spans="1:14" s="36" customFormat="1" ht="15.75" customHeight="1" x14ac:dyDescent="0.25">
      <c r="A140" s="98">
        <f t="shared" ref="A140" si="1">A139+1</f>
        <v>2</v>
      </c>
      <c r="B140" s="99"/>
      <c r="C140" s="41" t="s">
        <v>193</v>
      </c>
      <c r="D140" s="56">
        <f>(19.847)*(10.764)</f>
        <v>213.63310799999999</v>
      </c>
      <c r="E140" s="41">
        <v>0</v>
      </c>
      <c r="F140" s="41">
        <v>350</v>
      </c>
      <c r="G140" s="93"/>
      <c r="H140" s="94"/>
      <c r="I140" s="55"/>
      <c r="L140" s="87"/>
      <c r="M140" s="87"/>
      <c r="N140" s="35"/>
    </row>
    <row r="141" spans="1:14" s="36" customFormat="1" x14ac:dyDescent="0.25">
      <c r="A141" s="102" t="s">
        <v>199</v>
      </c>
      <c r="B141" s="102"/>
      <c r="C141" s="102"/>
      <c r="D141" s="102"/>
      <c r="E141" s="102"/>
      <c r="F141" s="102"/>
      <c r="G141" s="102"/>
      <c r="H141" s="102"/>
      <c r="I141" s="55"/>
      <c r="L141" s="87"/>
      <c r="M141" s="87"/>
    </row>
    <row r="142" spans="1:14" s="36" customFormat="1" ht="15.75" customHeight="1" x14ac:dyDescent="0.25">
      <c r="A142" s="88">
        <v>1</v>
      </c>
      <c r="B142" s="88"/>
      <c r="C142" s="41" t="s">
        <v>200</v>
      </c>
      <c r="D142" s="56">
        <f>(36.645+3.2*1+0.7*1.95+0.7*3.4)*(10.764)</f>
        <v>469.20276000000007</v>
      </c>
      <c r="E142" s="56">
        <f>(4.65*1.925+1.8*2.5)*(10.764)</f>
        <v>144.789255</v>
      </c>
      <c r="F142" s="41">
        <v>975</v>
      </c>
      <c r="G142" s="89" t="str">
        <f>A141</f>
        <v>1st Floor For Residential</v>
      </c>
      <c r="H142" s="90"/>
      <c r="I142" s="55"/>
      <c r="J142" s="36">
        <f>2.95*3.95+1.95*2.25+1.1*1.8+1*1.8+2.4*2.9+2.75*2.4+1*2.1+3.2</f>
        <v>38.680000000000007</v>
      </c>
      <c r="N142" s="35"/>
    </row>
    <row r="143" spans="1:14" s="36" customFormat="1" ht="15.75" customHeight="1" x14ac:dyDescent="0.25">
      <c r="A143" s="88">
        <f>A142+1</f>
        <v>2</v>
      </c>
      <c r="B143" s="88"/>
      <c r="C143" s="41" t="s">
        <v>200</v>
      </c>
      <c r="D143" s="56">
        <f>(36.647+3.2*1+0.7*1.95+0.7*3.4)*(10.764)</f>
        <v>469.22428800000006</v>
      </c>
      <c r="E143" s="56">
        <f>(4.65*1.925+1.8*2.5)*(10.764)</f>
        <v>144.789255</v>
      </c>
      <c r="F143" s="41">
        <v>975</v>
      </c>
      <c r="G143" s="91"/>
      <c r="H143" s="92"/>
      <c r="I143" s="55"/>
      <c r="N143" s="35"/>
    </row>
    <row r="144" spans="1:14" s="36" customFormat="1" ht="15.75" customHeight="1" x14ac:dyDescent="0.25">
      <c r="A144" s="88">
        <f>A143+1</f>
        <v>3</v>
      </c>
      <c r="B144" s="88"/>
      <c r="C144" s="41" t="s">
        <v>200</v>
      </c>
      <c r="D144" s="56">
        <f>(39.202+2.975*1.1+0.7*1.95+0.7*2.75+0.7*2.975)*(10.764)</f>
        <v>515.02510799999993</v>
      </c>
      <c r="E144" s="56">
        <f>(2*2.2)*(10.764)</f>
        <v>47.361600000000003</v>
      </c>
      <c r="F144" s="41">
        <v>890</v>
      </c>
      <c r="G144" s="91"/>
      <c r="H144" s="92"/>
      <c r="I144" s="55"/>
      <c r="N144" s="35"/>
    </row>
    <row r="145" spans="1:14" s="36" customFormat="1" ht="15.75" customHeight="1" x14ac:dyDescent="0.25">
      <c r="A145" s="88">
        <f>A144+1</f>
        <v>4</v>
      </c>
      <c r="B145" s="88"/>
      <c r="C145" s="41" t="s">
        <v>201</v>
      </c>
      <c r="D145" s="56">
        <f>(26.537+2.975*1.1+0.7*2.975+0.7*1.95)*(10.764)</f>
        <v>357.97834799999998</v>
      </c>
      <c r="E145" s="56">
        <f>(1.85*2.2)*(10.764)</f>
        <v>43.809480000000001</v>
      </c>
      <c r="F145" s="41">
        <v>630</v>
      </c>
      <c r="G145" s="93"/>
      <c r="H145" s="94"/>
      <c r="I145" s="55"/>
      <c r="K145" s="55"/>
      <c r="L145" s="55"/>
      <c r="N145" s="35"/>
    </row>
    <row r="146" spans="1:14" s="36" customFormat="1" ht="15.75" customHeight="1" x14ac:dyDescent="0.25">
      <c r="A146" s="95" t="s">
        <v>203</v>
      </c>
      <c r="B146" s="96"/>
      <c r="C146" s="96"/>
      <c r="D146" s="96"/>
      <c r="E146" s="96"/>
      <c r="F146" s="96"/>
      <c r="G146" s="96"/>
      <c r="H146" s="97"/>
      <c r="I146" s="35"/>
      <c r="K146" s="55"/>
      <c r="L146" s="55"/>
    </row>
    <row r="147" spans="1:14" s="36" customFormat="1" ht="15.75" customHeight="1" x14ac:dyDescent="0.25">
      <c r="A147" s="98">
        <v>1</v>
      </c>
      <c r="B147" s="99"/>
      <c r="C147" s="41" t="s">
        <v>200</v>
      </c>
      <c r="D147" s="56">
        <f>(36.645+3.2*1+0.7*3.4)*(10.764)</f>
        <v>454.50990000000007</v>
      </c>
      <c r="E147" s="56">
        <f>(2.05*1.1+2.5*1)*(10.764)</f>
        <v>51.182819999999992</v>
      </c>
      <c r="F147" s="41">
        <v>830</v>
      </c>
      <c r="G147" s="89" t="str">
        <f>A146</f>
        <v>2nd, 4th &amp; 6th Floor</v>
      </c>
      <c r="H147" s="100"/>
      <c r="I147" s="35"/>
    </row>
    <row r="148" spans="1:14" s="36" customFormat="1" ht="15.75" customHeight="1" x14ac:dyDescent="0.25">
      <c r="A148" s="98">
        <v>2</v>
      </c>
      <c r="B148" s="99"/>
      <c r="C148" s="41" t="s">
        <v>200</v>
      </c>
      <c r="D148" s="56">
        <f>(36.647+3.2*1+0.7*3.4)*(10.764)</f>
        <v>454.53142800000001</v>
      </c>
      <c r="E148" s="56">
        <f>(2.05*1.1+2.5*1)*(10.764)</f>
        <v>51.182819999999992</v>
      </c>
      <c r="F148" s="41">
        <v>830</v>
      </c>
      <c r="G148" s="91"/>
      <c r="H148" s="92"/>
      <c r="I148" s="35"/>
    </row>
    <row r="149" spans="1:14" s="36" customFormat="1" ht="15.75" customHeight="1" x14ac:dyDescent="0.25">
      <c r="A149" s="98">
        <v>3</v>
      </c>
      <c r="B149" s="99"/>
      <c r="C149" s="41" t="s">
        <v>200</v>
      </c>
      <c r="D149" s="56">
        <f>(39.202+2.975*1.1+0.7*2.975+0.7*2)*(10.764)</f>
        <v>494.68114799999995</v>
      </c>
      <c r="E149" s="56">
        <f>(2.05*1.25+2.75*2.05)*(10.764)</f>
        <v>88.264799999999994</v>
      </c>
      <c r="F149" s="41">
        <v>925</v>
      </c>
      <c r="G149" s="91"/>
      <c r="H149" s="92"/>
      <c r="I149" s="55"/>
      <c r="K149" s="57"/>
    </row>
    <row r="150" spans="1:14" s="36" customFormat="1" ht="15.75" customHeight="1" x14ac:dyDescent="0.25">
      <c r="A150" s="98">
        <v>4</v>
      </c>
      <c r="B150" s="99"/>
      <c r="C150" s="41" t="s">
        <v>201</v>
      </c>
      <c r="D150" s="56">
        <f>(26.537+2.975*1.1+0.7*2.975+0.7*1.8)*(10.764)</f>
        <v>356.84812799999997</v>
      </c>
      <c r="E150" s="56">
        <f>(2.05*1.25)*(10.764)</f>
        <v>27.582749999999997</v>
      </c>
      <c r="F150" s="41">
        <v>600</v>
      </c>
      <c r="G150" s="93"/>
      <c r="H150" s="94"/>
      <c r="I150" s="55"/>
      <c r="K150" s="57"/>
    </row>
    <row r="151" spans="1:14" s="36" customFormat="1" ht="15.75" customHeight="1" x14ac:dyDescent="0.25">
      <c r="A151" s="95" t="s">
        <v>204</v>
      </c>
      <c r="B151" s="96"/>
      <c r="C151" s="96"/>
      <c r="D151" s="96"/>
      <c r="E151" s="96"/>
      <c r="F151" s="96"/>
      <c r="G151" s="96"/>
      <c r="H151" s="97"/>
      <c r="I151" s="55"/>
      <c r="K151" s="57"/>
    </row>
    <row r="152" spans="1:14" s="36" customFormat="1" ht="15.75" customHeight="1" x14ac:dyDescent="0.25">
      <c r="A152" s="98">
        <v>1</v>
      </c>
      <c r="B152" s="99"/>
      <c r="C152" s="41" t="s">
        <v>200</v>
      </c>
      <c r="D152" s="56">
        <f>(36.645+3.2*1+0.7*2.05+0.7*3.5+0.7*2.4)*(10.764)</f>
        <v>488.79324000000008</v>
      </c>
      <c r="E152" s="56">
        <f>(2.85*1.925)*(10.764)</f>
        <v>59.053995</v>
      </c>
      <c r="F152" s="41">
        <v>865</v>
      </c>
      <c r="G152" s="89" t="str">
        <f>A151</f>
        <v>3rd, 5th &amp; 7th Floor</v>
      </c>
      <c r="H152" s="100"/>
      <c r="I152" s="55"/>
      <c r="K152" s="57"/>
    </row>
    <row r="153" spans="1:14" s="36" customFormat="1" ht="15.75" customHeight="1" x14ac:dyDescent="0.25">
      <c r="A153" s="98">
        <v>2</v>
      </c>
      <c r="B153" s="99"/>
      <c r="C153" s="41" t="s">
        <v>200</v>
      </c>
      <c r="D153" s="56">
        <f>(36.647+3.2*1+0.7*1.95+0.7*3.5+0.7*2.4)*(10.764)</f>
        <v>488.06128800000005</v>
      </c>
      <c r="E153" s="56">
        <f>(2.85*1.925)*(10.764)</f>
        <v>59.053995</v>
      </c>
      <c r="F153" s="41">
        <v>865</v>
      </c>
      <c r="G153" s="91"/>
      <c r="H153" s="92"/>
      <c r="I153" s="55"/>
    </row>
    <row r="154" spans="1:14" s="36" customFormat="1" ht="15.75" customHeight="1" x14ac:dyDescent="0.25">
      <c r="A154" s="98">
        <v>3</v>
      </c>
      <c r="B154" s="99"/>
      <c r="C154" s="41" t="s">
        <v>200</v>
      </c>
      <c r="D154" s="56">
        <f>(39.202+2.975*1.1+0.7*2.975+0.7*1.95)*(10.764)</f>
        <v>494.30440800000002</v>
      </c>
      <c r="E154" s="56">
        <f>(1.85*2.2)*(10.764)</f>
        <v>43.809480000000001</v>
      </c>
      <c r="F154" s="41">
        <v>885</v>
      </c>
      <c r="G154" s="91"/>
      <c r="H154" s="92"/>
      <c r="I154" s="55"/>
    </row>
    <row r="155" spans="1:14" s="36" customFormat="1" ht="15.75" customHeight="1" x14ac:dyDescent="0.25">
      <c r="A155" s="98">
        <v>4</v>
      </c>
      <c r="B155" s="99"/>
      <c r="C155" s="41" t="s">
        <v>201</v>
      </c>
      <c r="D155" s="56">
        <f>(26.537+2.975*1.1+0.7*2.975+0.7*1.95)*(10.764)</f>
        <v>357.97834799999998</v>
      </c>
      <c r="E155" s="56">
        <f>(1.85*2.2)*(10.764)</f>
        <v>43.809480000000001</v>
      </c>
      <c r="F155" s="41">
        <v>630</v>
      </c>
      <c r="G155" s="93"/>
      <c r="H155" s="94"/>
      <c r="I155" s="55"/>
    </row>
    <row r="156" spans="1:14" s="36" customFormat="1" x14ac:dyDescent="0.25">
      <c r="A156" s="95" t="s">
        <v>195</v>
      </c>
      <c r="B156" s="96"/>
      <c r="C156" s="96"/>
      <c r="D156" s="96"/>
      <c r="E156" s="96"/>
      <c r="F156" s="96"/>
      <c r="G156" s="96"/>
      <c r="H156" s="97"/>
      <c r="I156" s="55"/>
      <c r="J156" s="35"/>
    </row>
    <row r="157" spans="1:14" s="36" customFormat="1" x14ac:dyDescent="0.25">
      <c r="A157" s="95" t="s">
        <v>198</v>
      </c>
      <c r="B157" s="96"/>
      <c r="C157" s="96"/>
      <c r="D157" s="96"/>
      <c r="E157" s="96"/>
      <c r="F157" s="96"/>
      <c r="G157" s="96"/>
      <c r="H157" s="97"/>
      <c r="I157" s="55"/>
      <c r="J157" s="35"/>
    </row>
    <row r="158" spans="1:14" s="36" customFormat="1" ht="15.75" customHeight="1" x14ac:dyDescent="0.25">
      <c r="A158" s="98">
        <v>1</v>
      </c>
      <c r="B158" s="99"/>
      <c r="C158" s="41" t="s">
        <v>193</v>
      </c>
      <c r="D158" s="56">
        <f>(19.847)*(10.764)</f>
        <v>213.63310799999999</v>
      </c>
      <c r="E158" s="41">
        <v>0</v>
      </c>
      <c r="F158" s="41">
        <v>360</v>
      </c>
      <c r="G158" s="89" t="str">
        <f>A157</f>
        <v>Ground Floor For Residential &amp; Parking</v>
      </c>
      <c r="H158" s="90"/>
      <c r="I158" s="35"/>
      <c r="J158" s="36">
        <f>1764000/F158</f>
        <v>4900</v>
      </c>
      <c r="K158" s="36">
        <f>3500*F158</f>
        <v>1260000</v>
      </c>
      <c r="L158" s="87"/>
      <c r="M158" s="87"/>
      <c r="N158" s="35"/>
    </row>
    <row r="159" spans="1:14" s="36" customFormat="1" ht="15.75" customHeight="1" x14ac:dyDescent="0.25">
      <c r="A159" s="98">
        <f t="shared" ref="A159:A160" si="2">A158+1</f>
        <v>2</v>
      </c>
      <c r="B159" s="99"/>
      <c r="C159" s="41" t="s">
        <v>193</v>
      </c>
      <c r="D159" s="56">
        <f>(19.847)*(10.764)</f>
        <v>213.63310799999999</v>
      </c>
      <c r="E159" s="41">
        <v>0</v>
      </c>
      <c r="F159" s="41">
        <v>360</v>
      </c>
      <c r="G159" s="91"/>
      <c r="H159" s="92"/>
      <c r="I159" s="55"/>
      <c r="K159" s="36">
        <f t="shared" ref="K159:K160" si="3">3500*F159</f>
        <v>1260000</v>
      </c>
      <c r="L159" s="87"/>
      <c r="M159" s="87"/>
      <c r="N159" s="35"/>
    </row>
    <row r="160" spans="1:14" s="36" customFormat="1" ht="15.75" customHeight="1" x14ac:dyDescent="0.25">
      <c r="A160" s="98">
        <f t="shared" si="2"/>
        <v>3</v>
      </c>
      <c r="B160" s="99"/>
      <c r="C160" s="41" t="s">
        <v>193</v>
      </c>
      <c r="D160" s="56">
        <f>(19.847)*(10.764)</f>
        <v>213.63310799999999</v>
      </c>
      <c r="E160" s="41">
        <v>0</v>
      </c>
      <c r="F160" s="41">
        <v>360</v>
      </c>
      <c r="G160" s="93"/>
      <c r="H160" s="94"/>
      <c r="I160" s="35"/>
      <c r="K160" s="36">
        <f t="shared" si="3"/>
        <v>1260000</v>
      </c>
      <c r="L160" s="87"/>
      <c r="M160" s="87"/>
      <c r="N160" s="35"/>
    </row>
    <row r="161" spans="1:14" s="36" customFormat="1" x14ac:dyDescent="0.25">
      <c r="A161" s="102" t="s">
        <v>199</v>
      </c>
      <c r="B161" s="102"/>
      <c r="C161" s="102"/>
      <c r="D161" s="102"/>
      <c r="E161" s="102"/>
      <c r="F161" s="102"/>
      <c r="G161" s="102"/>
      <c r="H161" s="102"/>
      <c r="I161" s="35"/>
      <c r="J161" s="36">
        <f>2369000/F162</f>
        <v>3730.7086614173227</v>
      </c>
      <c r="L161" s="87"/>
      <c r="M161" s="87"/>
    </row>
    <row r="162" spans="1:14" s="36" customFormat="1" ht="15.75" customHeight="1" x14ac:dyDescent="0.25">
      <c r="A162" s="88">
        <v>1</v>
      </c>
      <c r="B162" s="88"/>
      <c r="C162" s="41" t="s">
        <v>201</v>
      </c>
      <c r="D162" s="56">
        <f>(26.537+2.975*1.1+0.7*2.975+0.7*1.95)*(10.764)</f>
        <v>357.97834799999998</v>
      </c>
      <c r="E162" s="56">
        <f>(1.925*2.2)*(10.764)</f>
        <v>45.585540000000002</v>
      </c>
      <c r="F162" s="41">
        <v>635</v>
      </c>
      <c r="G162" s="89" t="str">
        <f>A161</f>
        <v>1st Floor For Residential</v>
      </c>
      <c r="H162" s="90"/>
      <c r="I162" s="35"/>
      <c r="J162" s="36" t="s">
        <v>202</v>
      </c>
      <c r="N162" s="35"/>
    </row>
    <row r="163" spans="1:14" s="36" customFormat="1" ht="15.75" customHeight="1" x14ac:dyDescent="0.25">
      <c r="A163" s="88">
        <f>A162+1</f>
        <v>2</v>
      </c>
      <c r="B163" s="88"/>
      <c r="C163" s="41" t="s">
        <v>201</v>
      </c>
      <c r="D163" s="56">
        <f>(26.537+2.975*1.1+0.7*2.975+0.7*1.95)*(10.764)</f>
        <v>357.97834799999998</v>
      </c>
      <c r="E163" s="56">
        <f>(1.925*2.2)*(10.764)</f>
        <v>45.585540000000002</v>
      </c>
      <c r="F163" s="41">
        <v>635</v>
      </c>
      <c r="G163" s="91"/>
      <c r="H163" s="92"/>
      <c r="I163" s="35"/>
      <c r="N163" s="35"/>
    </row>
    <row r="164" spans="1:14" s="36" customFormat="1" ht="15.75" customHeight="1" x14ac:dyDescent="0.25">
      <c r="A164" s="88">
        <f>A163+1</f>
        <v>3</v>
      </c>
      <c r="B164" s="88"/>
      <c r="C164" s="41" t="s">
        <v>201</v>
      </c>
      <c r="D164" s="56">
        <f>(26.537+2.975*1.1+0.7*2.975+0.7*1.95)*(10.764)</f>
        <v>357.97834799999998</v>
      </c>
      <c r="E164" s="56">
        <f>(1.925*2.2)*(10.764)</f>
        <v>45.585540000000002</v>
      </c>
      <c r="F164" s="41">
        <v>635</v>
      </c>
      <c r="G164" s="91"/>
      <c r="H164" s="92"/>
      <c r="I164" s="35"/>
      <c r="N164" s="35"/>
    </row>
    <row r="165" spans="1:14" s="36" customFormat="1" ht="15.75" customHeight="1" x14ac:dyDescent="0.25">
      <c r="A165" s="88">
        <f>A164+1</f>
        <v>4</v>
      </c>
      <c r="B165" s="88"/>
      <c r="C165" s="41" t="s">
        <v>201</v>
      </c>
      <c r="D165" s="56">
        <f>(26.537+2.975*1.1+0.7*2.975+0.7*1.95)*(10.764)</f>
        <v>357.97834799999998</v>
      </c>
      <c r="E165" s="56">
        <f>(1.925*2.2)*(10.764)</f>
        <v>45.585540000000002</v>
      </c>
      <c r="F165" s="41">
        <v>635</v>
      </c>
      <c r="G165" s="93"/>
      <c r="H165" s="94"/>
      <c r="I165" s="35"/>
      <c r="N165" s="35"/>
    </row>
    <row r="166" spans="1:14" s="36" customFormat="1" ht="15.75" customHeight="1" x14ac:dyDescent="0.25">
      <c r="A166" s="95" t="s">
        <v>203</v>
      </c>
      <c r="B166" s="96"/>
      <c r="C166" s="96"/>
      <c r="D166" s="96"/>
      <c r="E166" s="96"/>
      <c r="F166" s="96"/>
      <c r="G166" s="96"/>
      <c r="H166" s="97"/>
      <c r="I166" s="35"/>
    </row>
    <row r="167" spans="1:14" s="36" customFormat="1" ht="15.75" customHeight="1" x14ac:dyDescent="0.25">
      <c r="A167" s="98">
        <v>1</v>
      </c>
      <c r="B167" s="99"/>
      <c r="C167" s="41" t="s">
        <v>201</v>
      </c>
      <c r="D167" s="56">
        <f>(26.537+2.975*1.1+0.7*2.975)*(10.764)</f>
        <v>343.28548799999999</v>
      </c>
      <c r="E167" s="56">
        <f>(2.05*1.1)*(10.764)</f>
        <v>24.272819999999996</v>
      </c>
      <c r="F167" s="41">
        <v>600</v>
      </c>
      <c r="G167" s="89" t="str">
        <f>A166</f>
        <v>2nd, 4th &amp; 6th Floor</v>
      </c>
      <c r="H167" s="90"/>
      <c r="I167" s="35"/>
    </row>
    <row r="168" spans="1:14" s="36" customFormat="1" ht="15.75" customHeight="1" x14ac:dyDescent="0.25">
      <c r="A168" s="98">
        <v>2</v>
      </c>
      <c r="B168" s="99"/>
      <c r="C168" s="41" t="s">
        <v>201</v>
      </c>
      <c r="D168" s="56">
        <f>(26.537+2.975*1.1+0.7*2.975)*(10.764)</f>
        <v>343.28548799999999</v>
      </c>
      <c r="E168" s="56">
        <f>(2.05*1.1)*(10.764)</f>
        <v>24.272819999999996</v>
      </c>
      <c r="F168" s="41">
        <v>600</v>
      </c>
      <c r="G168" s="91"/>
      <c r="H168" s="92"/>
      <c r="I168" s="35"/>
    </row>
    <row r="169" spans="1:14" s="36" customFormat="1" ht="15.75" customHeight="1" x14ac:dyDescent="0.25">
      <c r="A169" s="98">
        <v>3</v>
      </c>
      <c r="B169" s="99"/>
      <c r="C169" s="41" t="s">
        <v>201</v>
      </c>
      <c r="D169" s="56">
        <f>(26.537+2.975*1.1+0.7*2.975+0.7*1.8)*(10.764)</f>
        <v>356.84812799999997</v>
      </c>
      <c r="E169" s="56">
        <f>(2.05*1.25)*(10.764)</f>
        <v>27.582749999999997</v>
      </c>
      <c r="F169" s="41">
        <v>600</v>
      </c>
      <c r="G169" s="91"/>
      <c r="H169" s="92"/>
      <c r="I169" s="35"/>
    </row>
    <row r="170" spans="1:14" s="36" customFormat="1" ht="15.75" customHeight="1" x14ac:dyDescent="0.25">
      <c r="A170" s="98">
        <v>4</v>
      </c>
      <c r="B170" s="99"/>
      <c r="C170" s="41" t="s">
        <v>201</v>
      </c>
      <c r="D170" s="56">
        <f>(26.537+2.975*1.1+0.7*2.975+0.7*1.8)*(10.764)</f>
        <v>356.84812799999997</v>
      </c>
      <c r="E170" s="56">
        <f>(2.05*1.25)*(10.764)</f>
        <v>27.582749999999997</v>
      </c>
      <c r="F170" s="41">
        <v>600</v>
      </c>
      <c r="G170" s="93"/>
      <c r="H170" s="94"/>
      <c r="I170" s="35"/>
    </row>
    <row r="171" spans="1:14" s="36" customFormat="1" ht="15.75" customHeight="1" x14ac:dyDescent="0.25">
      <c r="A171" s="95" t="s">
        <v>204</v>
      </c>
      <c r="B171" s="96"/>
      <c r="C171" s="96"/>
      <c r="D171" s="96"/>
      <c r="E171" s="96"/>
      <c r="F171" s="96"/>
      <c r="G171" s="96"/>
      <c r="H171" s="97"/>
      <c r="I171" s="35"/>
    </row>
    <row r="172" spans="1:14" s="36" customFormat="1" ht="15.75" customHeight="1" x14ac:dyDescent="0.25">
      <c r="A172" s="98">
        <v>1</v>
      </c>
      <c r="B172" s="99"/>
      <c r="C172" s="41" t="s">
        <v>201</v>
      </c>
      <c r="D172" s="56">
        <f>(26.537+2.975*1.1+0.7*2.975+0.7*2)*(10.764)</f>
        <v>358.35508800000002</v>
      </c>
      <c r="E172" s="56">
        <f>(1.925*2.2)*(10.764)</f>
        <v>45.585540000000002</v>
      </c>
      <c r="F172" s="41">
        <v>630</v>
      </c>
      <c r="G172" s="89" t="str">
        <f>A171</f>
        <v>3rd, 5th &amp; 7th Floor</v>
      </c>
      <c r="H172" s="100"/>
      <c r="I172" s="35"/>
    </row>
    <row r="173" spans="1:14" s="36" customFormat="1" ht="15.75" customHeight="1" x14ac:dyDescent="0.25">
      <c r="A173" s="98">
        <v>2</v>
      </c>
      <c r="B173" s="99"/>
      <c r="C173" s="41" t="s">
        <v>201</v>
      </c>
      <c r="D173" s="56">
        <f>(26.537+2.975*1.1+0.7*2.975+0.7*2)*(10.764)</f>
        <v>358.35508800000002</v>
      </c>
      <c r="E173" s="56">
        <f>(1.925*2.2)*(10.764)</f>
        <v>45.585540000000002</v>
      </c>
      <c r="F173" s="41">
        <v>630</v>
      </c>
      <c r="G173" s="91"/>
      <c r="H173" s="92"/>
      <c r="I173" s="35"/>
    </row>
    <row r="174" spans="1:14" s="36" customFormat="1" ht="15.75" customHeight="1" x14ac:dyDescent="0.25">
      <c r="A174" s="98">
        <v>3</v>
      </c>
      <c r="B174" s="99"/>
      <c r="C174" s="41" t="s">
        <v>201</v>
      </c>
      <c r="D174" s="56">
        <f>(26.537+2.975*1.1+0.7*2.975+0.7*2)*(10.764)</f>
        <v>358.35508800000002</v>
      </c>
      <c r="E174" s="56">
        <f>(1.925*2.2)*(10.764)</f>
        <v>45.585540000000002</v>
      </c>
      <c r="F174" s="41">
        <v>630</v>
      </c>
      <c r="G174" s="91"/>
      <c r="H174" s="92"/>
      <c r="I174" s="35"/>
    </row>
    <row r="175" spans="1:14" s="36" customFormat="1" ht="15.75" customHeight="1" x14ac:dyDescent="0.25">
      <c r="A175" s="98">
        <v>4</v>
      </c>
      <c r="B175" s="99"/>
      <c r="C175" s="41" t="s">
        <v>201</v>
      </c>
      <c r="D175" s="56">
        <f>(26.537+2.975*1.1+0.7*2.975+0.7*2)*(10.764)</f>
        <v>358.35508800000002</v>
      </c>
      <c r="E175" s="56">
        <f>(1.925*2.2)*(10.764)</f>
        <v>45.585540000000002</v>
      </c>
      <c r="F175" s="41">
        <v>630</v>
      </c>
      <c r="G175" s="93"/>
      <c r="H175" s="94"/>
      <c r="I175" s="35"/>
    </row>
    <row r="176" spans="1:14" s="36" customFormat="1" x14ac:dyDescent="0.25">
      <c r="A176" s="95" t="s">
        <v>196</v>
      </c>
      <c r="B176" s="96"/>
      <c r="C176" s="96"/>
      <c r="D176" s="96"/>
      <c r="E176" s="96"/>
      <c r="F176" s="96"/>
      <c r="G176" s="96"/>
      <c r="H176" s="97"/>
      <c r="J176" s="35" t="s">
        <v>202</v>
      </c>
    </row>
    <row r="177" spans="1:14" s="36" customFormat="1" x14ac:dyDescent="0.25">
      <c r="A177" s="95" t="s">
        <v>198</v>
      </c>
      <c r="B177" s="96"/>
      <c r="C177" s="96"/>
      <c r="D177" s="96"/>
      <c r="E177" s="96"/>
      <c r="F177" s="96"/>
      <c r="G177" s="96"/>
      <c r="H177" s="97"/>
      <c r="J177" s="35"/>
    </row>
    <row r="178" spans="1:14" s="36" customFormat="1" ht="15.75" customHeight="1" x14ac:dyDescent="0.25">
      <c r="A178" s="98">
        <v>1</v>
      </c>
      <c r="B178" s="99"/>
      <c r="C178" s="41" t="s">
        <v>193</v>
      </c>
      <c r="D178" s="56">
        <f>(19.847)*(10.764)</f>
        <v>213.63310799999999</v>
      </c>
      <c r="E178" s="41">
        <v>0</v>
      </c>
      <c r="F178" s="41">
        <v>355</v>
      </c>
      <c r="G178" s="89" t="str">
        <f>A177</f>
        <v>Ground Floor For Residential &amp; Parking</v>
      </c>
      <c r="H178" s="90"/>
      <c r="I178" s="35"/>
      <c r="L178" s="87"/>
      <c r="M178" s="87"/>
      <c r="N178" s="35"/>
    </row>
    <row r="179" spans="1:14" s="36" customFormat="1" ht="15.75" customHeight="1" x14ac:dyDescent="0.25">
      <c r="A179" s="98">
        <f t="shared" ref="A179" si="4">A178+1</f>
        <v>2</v>
      </c>
      <c r="B179" s="99"/>
      <c r="C179" s="41" t="s">
        <v>193</v>
      </c>
      <c r="D179" s="56">
        <f>(18.367)*(10.764)</f>
        <v>197.70238799999998</v>
      </c>
      <c r="E179" s="41">
        <v>0</v>
      </c>
      <c r="F179" s="41">
        <v>330</v>
      </c>
      <c r="G179" s="93"/>
      <c r="H179" s="94"/>
      <c r="I179" s="55"/>
      <c r="L179" s="87"/>
      <c r="M179" s="87"/>
      <c r="N179" s="35"/>
    </row>
    <row r="180" spans="1:14" s="36" customFormat="1" x14ac:dyDescent="0.25">
      <c r="A180" s="102" t="s">
        <v>199</v>
      </c>
      <c r="B180" s="102"/>
      <c r="C180" s="102"/>
      <c r="D180" s="102"/>
      <c r="E180" s="102"/>
      <c r="F180" s="102"/>
      <c r="G180" s="102"/>
      <c r="H180" s="102"/>
      <c r="I180" s="35"/>
      <c r="L180" s="87"/>
      <c r="M180" s="87"/>
    </row>
    <row r="181" spans="1:14" s="36" customFormat="1" ht="15.75" customHeight="1" x14ac:dyDescent="0.25">
      <c r="A181" s="88">
        <v>1</v>
      </c>
      <c r="B181" s="88"/>
      <c r="C181" s="41" t="s">
        <v>201</v>
      </c>
      <c r="D181" s="56">
        <f>(26.537+2.975*1.1+0.7*2.975+0.7*1.95)*(10.764)</f>
        <v>357.97834799999998</v>
      </c>
      <c r="E181" s="56">
        <f>(1.925*2.2)*(10.764)</f>
        <v>45.585540000000002</v>
      </c>
      <c r="F181" s="41">
        <v>630</v>
      </c>
      <c r="G181" s="89" t="str">
        <f>A180</f>
        <v>1st Floor For Residential</v>
      </c>
      <c r="H181" s="90"/>
      <c r="I181" s="35"/>
      <c r="N181" s="35"/>
    </row>
    <row r="182" spans="1:14" s="36" customFormat="1" ht="15.75" customHeight="1" x14ac:dyDescent="0.25">
      <c r="A182" s="88">
        <f>A181+1</f>
        <v>2</v>
      </c>
      <c r="B182" s="88"/>
      <c r="C182" s="41" t="s">
        <v>201</v>
      </c>
      <c r="D182" s="56">
        <f>(25.057+2.975*1.1+0.7*2.975+0.7*1.8)*(10.764)</f>
        <v>340.91740799999997</v>
      </c>
      <c r="E182" s="56">
        <f>(1.875*2.2)*(10.764)</f>
        <v>44.401499999999999</v>
      </c>
      <c r="F182" s="41">
        <v>600</v>
      </c>
      <c r="G182" s="91"/>
      <c r="H182" s="92"/>
      <c r="I182" s="35"/>
      <c r="N182" s="35"/>
    </row>
    <row r="183" spans="1:14" s="36" customFormat="1" ht="15.75" customHeight="1" x14ac:dyDescent="0.25">
      <c r="A183" s="88">
        <f>A182+1</f>
        <v>3</v>
      </c>
      <c r="B183" s="88"/>
      <c r="C183" s="41" t="s">
        <v>201</v>
      </c>
      <c r="D183" s="56">
        <f>(25.057+2.975*1.1+0.7*2.975+0.7*1.8)*(10.764)</f>
        <v>340.91740799999997</v>
      </c>
      <c r="E183" s="56">
        <f>(1.875*2.2)*(10.764)</f>
        <v>44.401499999999999</v>
      </c>
      <c r="F183" s="41">
        <v>600</v>
      </c>
      <c r="G183" s="91"/>
      <c r="H183" s="92"/>
      <c r="I183" s="35"/>
      <c r="N183" s="35"/>
    </row>
    <row r="184" spans="1:14" s="36" customFormat="1" ht="15.75" customHeight="1" x14ac:dyDescent="0.25">
      <c r="A184" s="88">
        <f>A183+1</f>
        <v>4</v>
      </c>
      <c r="B184" s="88"/>
      <c r="C184" s="41" t="s">
        <v>201</v>
      </c>
      <c r="D184" s="56">
        <f>(26.537+2.975*1.1+0.7*2.975+0.7*1.95)*(10.764)</f>
        <v>357.97834799999998</v>
      </c>
      <c r="E184" s="56">
        <f>(1.925*2.2)*(10.764)</f>
        <v>45.585540000000002</v>
      </c>
      <c r="F184" s="41">
        <v>630</v>
      </c>
      <c r="G184" s="93"/>
      <c r="H184" s="94"/>
      <c r="I184" s="35"/>
      <c r="N184" s="35"/>
    </row>
    <row r="185" spans="1:14" s="36" customFormat="1" ht="15.75" customHeight="1" x14ac:dyDescent="0.25">
      <c r="A185" s="95" t="s">
        <v>203</v>
      </c>
      <c r="B185" s="96"/>
      <c r="C185" s="96"/>
      <c r="D185" s="96"/>
      <c r="E185" s="96"/>
      <c r="F185" s="96"/>
      <c r="G185" s="96"/>
      <c r="H185" s="97"/>
      <c r="I185" s="35"/>
    </row>
    <row r="186" spans="1:14" s="36" customFormat="1" ht="15.75" customHeight="1" x14ac:dyDescent="0.25">
      <c r="A186" s="98">
        <v>1</v>
      </c>
      <c r="B186" s="99"/>
      <c r="C186" s="41" t="s">
        <v>201</v>
      </c>
      <c r="D186" s="56">
        <f>(26.537+2.975*1.1+0.7*2.975+0.7*1.8)*(10.764)</f>
        <v>356.84812799999997</v>
      </c>
      <c r="E186" s="56">
        <f>(2.05*1.25)*(10.764)</f>
        <v>27.582749999999997</v>
      </c>
      <c r="F186" s="41">
        <v>600</v>
      </c>
      <c r="G186" s="89" t="str">
        <f>A185</f>
        <v>2nd, 4th &amp; 6th Floor</v>
      </c>
      <c r="H186" s="90"/>
      <c r="I186" s="35"/>
    </row>
    <row r="187" spans="1:14" s="36" customFormat="1" ht="15.75" customHeight="1" x14ac:dyDescent="0.25">
      <c r="A187" s="98">
        <v>2</v>
      </c>
      <c r="B187" s="99"/>
      <c r="C187" s="41" t="s">
        <v>201</v>
      </c>
      <c r="D187" s="56">
        <f>(25.057+2.975*1.1+0.7*2.975+0.7*1.8)*(10.764)</f>
        <v>340.91740799999997</v>
      </c>
      <c r="E187" s="56">
        <f>(1.9*1.25)*(10.764)</f>
        <v>25.564499999999999</v>
      </c>
      <c r="F187" s="41">
        <v>585</v>
      </c>
      <c r="G187" s="91"/>
      <c r="H187" s="92"/>
      <c r="I187" s="35"/>
    </row>
    <row r="188" spans="1:14" s="36" customFormat="1" ht="15.75" customHeight="1" x14ac:dyDescent="0.25">
      <c r="A188" s="98">
        <v>3</v>
      </c>
      <c r="B188" s="99"/>
      <c r="C188" s="41" t="s">
        <v>201</v>
      </c>
      <c r="D188" s="56">
        <f>(25.057+2.975*1.1+0.7*2.975+0.7*1.8)*(10.764)</f>
        <v>340.91740799999997</v>
      </c>
      <c r="E188" s="56">
        <f>(1.9*1.25)*(10.764)</f>
        <v>25.564499999999999</v>
      </c>
      <c r="F188" s="41">
        <v>585</v>
      </c>
      <c r="G188" s="91"/>
      <c r="H188" s="92"/>
      <c r="I188" s="35"/>
    </row>
    <row r="189" spans="1:14" s="36" customFormat="1" ht="15.75" customHeight="1" x14ac:dyDescent="0.25">
      <c r="A189" s="98">
        <v>4</v>
      </c>
      <c r="B189" s="99"/>
      <c r="C189" s="41" t="s">
        <v>201</v>
      </c>
      <c r="D189" s="56">
        <f>(26.537+2.975*1.1+0.7*2.975+0.7*1.8)*(10.764)</f>
        <v>356.84812799999997</v>
      </c>
      <c r="E189" s="56">
        <f>(2.05*1.25)*(10.764)</f>
        <v>27.582749999999997</v>
      </c>
      <c r="F189" s="41">
        <v>600</v>
      </c>
      <c r="G189" s="91"/>
      <c r="H189" s="92"/>
      <c r="I189" s="35"/>
    </row>
    <row r="190" spans="1:14" s="36" customFormat="1" ht="15.75" customHeight="1" x14ac:dyDescent="0.25">
      <c r="A190" s="95" t="s">
        <v>204</v>
      </c>
      <c r="B190" s="96"/>
      <c r="C190" s="96"/>
      <c r="D190" s="96"/>
      <c r="E190" s="96"/>
      <c r="F190" s="96"/>
      <c r="G190" s="96"/>
      <c r="H190" s="97"/>
      <c r="I190" s="35"/>
    </row>
    <row r="191" spans="1:14" s="36" customFormat="1" ht="15.75" customHeight="1" x14ac:dyDescent="0.25">
      <c r="A191" s="98">
        <v>1</v>
      </c>
      <c r="B191" s="99"/>
      <c r="C191" s="41" t="s">
        <v>201</v>
      </c>
      <c r="D191" s="56">
        <f>(26.537+2.975*1.1+0.7*2.975+0.7*2)*(10.764)</f>
        <v>358.35508800000002</v>
      </c>
      <c r="E191" s="56">
        <f>(1.925*2.2)*(10.764)</f>
        <v>45.585540000000002</v>
      </c>
      <c r="F191" s="41">
        <v>630</v>
      </c>
      <c r="G191" s="89" t="str">
        <f>A190</f>
        <v>3rd, 5th &amp; 7th Floor</v>
      </c>
      <c r="H191" s="100"/>
      <c r="I191" s="35"/>
    </row>
    <row r="192" spans="1:14" s="36" customFormat="1" ht="15.75" customHeight="1" x14ac:dyDescent="0.25">
      <c r="A192" s="98">
        <v>2</v>
      </c>
      <c r="B192" s="99"/>
      <c r="C192" s="41" t="s">
        <v>201</v>
      </c>
      <c r="D192" s="56">
        <f>(25.057+2.975*1.1+0.7*2.975+0.7*2)*(10.764)</f>
        <v>342.42436799999996</v>
      </c>
      <c r="E192" s="56">
        <f>(1.875*2.2)*(10.764)</f>
        <v>44.401499999999999</v>
      </c>
      <c r="F192" s="41">
        <v>600</v>
      </c>
      <c r="G192" s="91"/>
      <c r="H192" s="92"/>
      <c r="I192" s="35"/>
    </row>
    <row r="193" spans="1:14" s="36" customFormat="1" ht="15.75" customHeight="1" x14ac:dyDescent="0.25">
      <c r="A193" s="98">
        <v>3</v>
      </c>
      <c r="B193" s="99"/>
      <c r="C193" s="41" t="s">
        <v>201</v>
      </c>
      <c r="D193" s="56">
        <f>(25.057+2.975*1.1+0.7*2.975+0.7*2)*(10.764)</f>
        <v>342.42436799999996</v>
      </c>
      <c r="E193" s="56">
        <f>(1.875*2.2)*(10.764)</f>
        <v>44.401499999999999</v>
      </c>
      <c r="F193" s="41">
        <v>600</v>
      </c>
      <c r="G193" s="91"/>
      <c r="H193" s="92"/>
      <c r="I193" s="35"/>
    </row>
    <row r="194" spans="1:14" s="36" customFormat="1" ht="15.75" customHeight="1" x14ac:dyDescent="0.25">
      <c r="A194" s="98">
        <v>4</v>
      </c>
      <c r="B194" s="99"/>
      <c r="C194" s="41" t="s">
        <v>201</v>
      </c>
      <c r="D194" s="56">
        <f>(26.537+2.975*1.1+0.7*2.975+0.7*2)*(10.764)</f>
        <v>358.35508800000002</v>
      </c>
      <c r="E194" s="56">
        <f>(1.925*2.2)*(10.764)</f>
        <v>45.585540000000002</v>
      </c>
      <c r="F194" s="41">
        <v>630</v>
      </c>
      <c r="G194" s="93"/>
      <c r="H194" s="94"/>
      <c r="I194" s="35"/>
    </row>
    <row r="195" spans="1:14" s="36" customFormat="1" x14ac:dyDescent="0.25">
      <c r="A195" s="95" t="s">
        <v>197</v>
      </c>
      <c r="B195" s="96"/>
      <c r="C195" s="96"/>
      <c r="D195" s="96"/>
      <c r="E195" s="96"/>
      <c r="F195" s="96"/>
      <c r="G195" s="96"/>
      <c r="H195" s="97"/>
      <c r="J195" s="35"/>
    </row>
    <row r="196" spans="1:14" s="36" customFormat="1" x14ac:dyDescent="0.25">
      <c r="A196" s="95" t="s">
        <v>198</v>
      </c>
      <c r="B196" s="96"/>
      <c r="C196" s="96"/>
      <c r="D196" s="96"/>
      <c r="E196" s="96"/>
      <c r="F196" s="96"/>
      <c r="G196" s="96"/>
      <c r="H196" s="97"/>
      <c r="J196" s="35"/>
    </row>
    <row r="197" spans="1:14" s="36" customFormat="1" ht="15.75" customHeight="1" x14ac:dyDescent="0.25">
      <c r="A197" s="98">
        <v>1</v>
      </c>
      <c r="B197" s="99"/>
      <c r="C197" s="41" t="s">
        <v>193</v>
      </c>
      <c r="D197" s="56">
        <f>(17.972+2.5*1)*(10.764)</f>
        <v>220.36060800000001</v>
      </c>
      <c r="E197" s="41">
        <v>0</v>
      </c>
      <c r="F197" s="41">
        <v>355</v>
      </c>
      <c r="G197" s="89" t="str">
        <f>A196</f>
        <v>Ground Floor For Residential &amp; Parking</v>
      </c>
      <c r="H197" s="90"/>
      <c r="I197" s="35"/>
      <c r="L197" s="87"/>
      <c r="M197" s="87"/>
      <c r="N197" s="35"/>
    </row>
    <row r="198" spans="1:14" s="36" customFormat="1" ht="15.75" customHeight="1" x14ac:dyDescent="0.25">
      <c r="A198" s="98">
        <f t="shared" ref="A198:A199" si="5">A197+1</f>
        <v>2</v>
      </c>
      <c r="B198" s="99"/>
      <c r="C198" s="41" t="s">
        <v>193</v>
      </c>
      <c r="D198" s="56">
        <f>(17.972+2.5*1)*(10.764)</f>
        <v>220.36060800000001</v>
      </c>
      <c r="E198" s="41">
        <v>0</v>
      </c>
      <c r="F198" s="41">
        <v>355</v>
      </c>
      <c r="G198" s="91"/>
      <c r="H198" s="92"/>
      <c r="I198" s="55"/>
      <c r="L198" s="87"/>
      <c r="M198" s="87"/>
      <c r="N198" s="35"/>
    </row>
    <row r="199" spans="1:14" s="36" customFormat="1" ht="15.75" customHeight="1" x14ac:dyDescent="0.25">
      <c r="A199" s="98">
        <f t="shared" si="5"/>
        <v>3</v>
      </c>
      <c r="B199" s="99"/>
      <c r="C199" s="41" t="s">
        <v>193</v>
      </c>
      <c r="D199" s="56">
        <f>(18.367)*(10.764)</f>
        <v>197.70238799999998</v>
      </c>
      <c r="E199" s="41">
        <v>0</v>
      </c>
      <c r="F199" s="41">
        <v>330</v>
      </c>
      <c r="G199" s="93"/>
      <c r="H199" s="94"/>
      <c r="I199" s="35"/>
      <c r="L199" s="87"/>
      <c r="M199" s="87"/>
      <c r="N199" s="35"/>
    </row>
    <row r="200" spans="1:14" s="36" customFormat="1" ht="15.75" customHeight="1" x14ac:dyDescent="0.25">
      <c r="A200" s="95" t="s">
        <v>199</v>
      </c>
      <c r="B200" s="96"/>
      <c r="C200" s="96"/>
      <c r="D200" s="96"/>
      <c r="E200" s="96"/>
      <c r="F200" s="96"/>
      <c r="G200" s="96"/>
      <c r="H200" s="97"/>
      <c r="I200" s="35"/>
      <c r="L200" s="87"/>
      <c r="M200" s="87"/>
    </row>
    <row r="201" spans="1:14" s="36" customFormat="1" ht="15.75" customHeight="1" x14ac:dyDescent="0.25">
      <c r="A201" s="98">
        <v>1</v>
      </c>
      <c r="B201" s="99"/>
      <c r="C201" s="41" t="s">
        <v>193</v>
      </c>
      <c r="D201" s="56">
        <f>(17.972+2.5*1+0.7*2.5+0.7*3.5)*(10.764)</f>
        <v>265.56940800000001</v>
      </c>
      <c r="E201" s="56">
        <f>(2.775*1.45)*(10.764)</f>
        <v>43.311644999999992</v>
      </c>
      <c r="F201" s="41">
        <v>490</v>
      </c>
      <c r="G201" s="89" t="str">
        <f>A200</f>
        <v>1st Floor For Residential</v>
      </c>
      <c r="H201" s="90"/>
      <c r="I201" s="35"/>
      <c r="N201" s="35"/>
    </row>
    <row r="202" spans="1:14" s="36" customFormat="1" ht="15.75" customHeight="1" x14ac:dyDescent="0.25">
      <c r="A202" s="98">
        <f>A201+1</f>
        <v>2</v>
      </c>
      <c r="B202" s="99"/>
      <c r="C202" s="41" t="s">
        <v>193</v>
      </c>
      <c r="D202" s="56">
        <f>(17.972+2.5*1+0.7*2.5)*(10.764)</f>
        <v>239.197608</v>
      </c>
      <c r="E202" s="56">
        <f>(2.775*1.45)*(10.764)</f>
        <v>43.311644999999992</v>
      </c>
      <c r="F202" s="41">
        <v>450</v>
      </c>
      <c r="G202" s="91"/>
      <c r="H202" s="101"/>
      <c r="I202" s="35"/>
      <c r="N202" s="35"/>
    </row>
    <row r="203" spans="1:14" s="36" customFormat="1" ht="15.75" customHeight="1" x14ac:dyDescent="0.25">
      <c r="A203" s="98">
        <f>A202+1</f>
        <v>3</v>
      </c>
      <c r="B203" s="99"/>
      <c r="C203" s="41" t="s">
        <v>193</v>
      </c>
      <c r="D203" s="56">
        <f>(19.287+2.2*0.7)*(10.764)</f>
        <v>224.18182799999997</v>
      </c>
      <c r="E203" s="56">
        <f>(2.85*1)*(10.764)</f>
        <v>30.677399999999999</v>
      </c>
      <c r="F203" s="41">
        <v>415</v>
      </c>
      <c r="G203" s="91"/>
      <c r="H203" s="92"/>
      <c r="I203" s="35"/>
      <c r="N203" s="35"/>
    </row>
    <row r="204" spans="1:14" s="36" customFormat="1" ht="15.75" customHeight="1" x14ac:dyDescent="0.25">
      <c r="A204" s="98">
        <f>A203+1</f>
        <v>4</v>
      </c>
      <c r="B204" s="99"/>
      <c r="C204" s="41" t="s">
        <v>201</v>
      </c>
      <c r="D204" s="56">
        <f>(25.057+2.975*1.1+0.7*2.975+0.7*1.8)*(10.764)</f>
        <v>340.91740799999997</v>
      </c>
      <c r="E204" s="56">
        <f>(1.8*2.2)*(10.764)</f>
        <v>42.625440000000005</v>
      </c>
      <c r="F204" s="41">
        <v>600</v>
      </c>
      <c r="G204" s="91"/>
      <c r="H204" s="92"/>
      <c r="I204" s="35"/>
      <c r="N204" s="35"/>
    </row>
    <row r="205" spans="1:14" s="36" customFormat="1" ht="15.75" customHeight="1" x14ac:dyDescent="0.25">
      <c r="A205" s="98">
        <f>A204+1</f>
        <v>5</v>
      </c>
      <c r="B205" s="99"/>
      <c r="C205" s="41" t="s">
        <v>201</v>
      </c>
      <c r="D205" s="56">
        <f>(25.04+2.975*1.1+0.7*2.975+0.7*1.8)*(10.764)</f>
        <v>340.73442</v>
      </c>
      <c r="E205" s="56">
        <f>(1.8*2.2)*(10.764)</f>
        <v>42.625440000000005</v>
      </c>
      <c r="F205" s="41">
        <v>610</v>
      </c>
      <c r="G205" s="93"/>
      <c r="H205" s="94"/>
      <c r="I205" s="35"/>
      <c r="N205" s="35"/>
    </row>
    <row r="206" spans="1:14" s="36" customFormat="1" ht="15.75" customHeight="1" x14ac:dyDescent="0.25">
      <c r="A206" s="95" t="s">
        <v>203</v>
      </c>
      <c r="B206" s="96"/>
      <c r="C206" s="96"/>
      <c r="D206" s="96"/>
      <c r="E206" s="96"/>
      <c r="F206" s="96"/>
      <c r="G206" s="96"/>
      <c r="H206" s="97"/>
      <c r="I206" s="35"/>
    </row>
    <row r="207" spans="1:14" s="36" customFormat="1" ht="15.75" customHeight="1" x14ac:dyDescent="0.25">
      <c r="A207" s="98">
        <v>1</v>
      </c>
      <c r="B207" s="99"/>
      <c r="C207" s="41" t="s">
        <v>193</v>
      </c>
      <c r="D207" s="56">
        <f>(17.972+2.5*1+0.7*2.5+0.7*3.5+0.7*2.5)*(10.764)</f>
        <v>284.406408</v>
      </c>
      <c r="E207" s="56">
        <f>(1.6*1.3)*(10.764)</f>
        <v>22.389119999999998</v>
      </c>
      <c r="F207" s="41">
        <v>475</v>
      </c>
      <c r="G207" s="89" t="str">
        <f>A206</f>
        <v>2nd, 4th &amp; 6th Floor</v>
      </c>
      <c r="H207" s="90"/>
      <c r="I207" s="35"/>
    </row>
    <row r="208" spans="1:14" s="36" customFormat="1" ht="15.75" customHeight="1" x14ac:dyDescent="0.25">
      <c r="A208" s="98">
        <v>2</v>
      </c>
      <c r="B208" s="99"/>
      <c r="C208" s="41" t="s">
        <v>193</v>
      </c>
      <c r="D208" s="56">
        <f>(17.972+2.5*1+0.7*2.5+0.7*2.5)*(10.764)</f>
        <v>258.03460799999999</v>
      </c>
      <c r="E208" s="56">
        <f>(2.15*2.75)*(10.764)</f>
        <v>63.642149999999994</v>
      </c>
      <c r="F208" s="41">
        <v>490</v>
      </c>
      <c r="G208" s="91"/>
      <c r="H208" s="92"/>
      <c r="I208" s="35"/>
    </row>
    <row r="209" spans="1:15" s="36" customFormat="1" ht="15.75" customHeight="1" x14ac:dyDescent="0.25">
      <c r="A209" s="98">
        <v>3</v>
      </c>
      <c r="B209" s="99"/>
      <c r="C209" s="41" t="s">
        <v>193</v>
      </c>
      <c r="D209" s="56">
        <f>(19.287+0.7*2.5+0.7*2.7)*(10.764)</f>
        <v>246.78622799999999</v>
      </c>
      <c r="E209" s="56">
        <f>(3.1*2.5)*(10.764)</f>
        <v>83.420999999999992</v>
      </c>
      <c r="F209" s="41">
        <v>510</v>
      </c>
      <c r="G209" s="91"/>
      <c r="H209" s="92"/>
      <c r="I209" s="35"/>
    </row>
    <row r="210" spans="1:15" s="36" customFormat="1" ht="15.75" customHeight="1" x14ac:dyDescent="0.25">
      <c r="A210" s="98">
        <v>4</v>
      </c>
      <c r="B210" s="99"/>
      <c r="C210" s="41" t="s">
        <v>201</v>
      </c>
      <c r="D210" s="56">
        <f>(25.057+2.975*1.1+0.7*2.975+0.7*1.8)*(10.764)</f>
        <v>340.91740799999997</v>
      </c>
      <c r="E210" s="56">
        <f>(1.9*1.25)*(10.764)</f>
        <v>25.564499999999999</v>
      </c>
      <c r="F210" s="41">
        <v>575</v>
      </c>
      <c r="G210" s="91"/>
      <c r="H210" s="92"/>
      <c r="I210" s="35"/>
    </row>
    <row r="211" spans="1:15" s="36" customFormat="1" ht="15.75" customHeight="1" x14ac:dyDescent="0.25">
      <c r="A211" s="98">
        <v>5</v>
      </c>
      <c r="B211" s="99"/>
      <c r="C211" s="41" t="s">
        <v>201</v>
      </c>
      <c r="D211" s="56">
        <f>(25.04+2.975*1.1+0.7*2.975+0.7*1.8+0.7*1.8)*(10.764)</f>
        <v>354.29705999999999</v>
      </c>
      <c r="E211" s="41">
        <v>0</v>
      </c>
      <c r="F211" s="41">
        <v>560</v>
      </c>
      <c r="G211" s="93"/>
      <c r="H211" s="94"/>
      <c r="I211" s="35"/>
    </row>
    <row r="212" spans="1:15" s="36" customFormat="1" ht="15.75" customHeight="1" x14ac:dyDescent="0.25">
      <c r="A212" s="95" t="s">
        <v>204</v>
      </c>
      <c r="B212" s="96"/>
      <c r="C212" s="96"/>
      <c r="D212" s="96"/>
      <c r="E212" s="96"/>
      <c r="F212" s="96"/>
      <c r="G212" s="96"/>
      <c r="H212" s="97"/>
      <c r="I212" s="35"/>
    </row>
    <row r="213" spans="1:15" s="36" customFormat="1" ht="15.75" customHeight="1" x14ac:dyDescent="0.25">
      <c r="A213" s="98">
        <v>1</v>
      </c>
      <c r="B213" s="99"/>
      <c r="C213" s="41" t="s">
        <v>193</v>
      </c>
      <c r="D213" s="56">
        <f>(17.972+2.5*1+0.7*2.5+0.7*3.5+0.7*1.6)*(10.764)</f>
        <v>277.62508800000001</v>
      </c>
      <c r="E213" s="56">
        <f>(2.77*1.45)*(10.764)</f>
        <v>43.233605999999995</v>
      </c>
      <c r="F213" s="41">
        <v>490</v>
      </c>
      <c r="G213" s="89" t="str">
        <f>A212</f>
        <v>3rd, 5th &amp; 7th Floor</v>
      </c>
      <c r="H213" s="100"/>
      <c r="I213" s="35"/>
    </row>
    <row r="214" spans="1:15" s="36" customFormat="1" ht="15.75" customHeight="1" x14ac:dyDescent="0.25">
      <c r="A214" s="98">
        <v>2</v>
      </c>
      <c r="B214" s="99"/>
      <c r="C214" s="41" t="s">
        <v>193</v>
      </c>
      <c r="D214" s="56">
        <f>(17.972+2.5*1+0.7*2.5)*(10.764)</f>
        <v>239.197608</v>
      </c>
      <c r="E214" s="56">
        <f>(2.77*1.45)*(10.764)</f>
        <v>43.233605999999995</v>
      </c>
      <c r="F214" s="41">
        <v>450</v>
      </c>
      <c r="G214" s="91"/>
      <c r="H214" s="92"/>
      <c r="I214" s="35"/>
    </row>
    <row r="215" spans="1:15" s="36" customFormat="1" ht="15.75" customHeight="1" x14ac:dyDescent="0.25">
      <c r="A215" s="98">
        <v>3</v>
      </c>
      <c r="B215" s="99"/>
      <c r="C215" s="41" t="s">
        <v>193</v>
      </c>
      <c r="D215" s="56">
        <f>(19.287+0.7*2.5)*(10.764)</f>
        <v>226.44226799999998</v>
      </c>
      <c r="E215" s="56">
        <f>(2.85*1.1)*(10.764)</f>
        <v>33.745139999999999</v>
      </c>
      <c r="F215" s="41">
        <v>415</v>
      </c>
      <c r="G215" s="91"/>
      <c r="H215" s="92"/>
      <c r="I215" s="35"/>
    </row>
    <row r="216" spans="1:15" s="36" customFormat="1" ht="15.75" customHeight="1" x14ac:dyDescent="0.25">
      <c r="A216" s="98">
        <v>4</v>
      </c>
      <c r="B216" s="99"/>
      <c r="C216" s="41" t="s">
        <v>201</v>
      </c>
      <c r="D216" s="56">
        <f>(25.057+2.975*1.1+0.7*2.975+0.7*1.9)*(10.764)</f>
        <v>341.67088799999993</v>
      </c>
      <c r="E216" s="56">
        <f>(1.8*2.2)*(10.764)</f>
        <v>42.625440000000005</v>
      </c>
      <c r="F216" s="41">
        <v>600</v>
      </c>
      <c r="G216" s="91"/>
      <c r="H216" s="92"/>
      <c r="I216" s="35"/>
    </row>
    <row r="217" spans="1:15" s="36" customFormat="1" ht="15.75" customHeight="1" x14ac:dyDescent="0.25">
      <c r="A217" s="98">
        <v>5</v>
      </c>
      <c r="B217" s="99"/>
      <c r="C217" s="41" t="s">
        <v>201</v>
      </c>
      <c r="D217" s="56">
        <f>(25.04+2.975*1.1+0.7*2.975+0.7*2.05)*(10.764)</f>
        <v>342.61811999999998</v>
      </c>
      <c r="E217" s="56">
        <f>(1.8*2.2)*(10.764)</f>
        <v>42.625440000000005</v>
      </c>
      <c r="F217" s="41">
        <v>610</v>
      </c>
      <c r="G217" s="93"/>
      <c r="H217" s="94"/>
      <c r="I217" s="35"/>
    </row>
    <row r="218" spans="1:15" s="34" customFormat="1" x14ac:dyDescent="0.25">
      <c r="A218" s="137" t="s">
        <v>72</v>
      </c>
      <c r="B218" s="137"/>
      <c r="C218" s="137"/>
      <c r="D218" s="137"/>
      <c r="E218" s="137"/>
      <c r="F218" s="137"/>
      <c r="G218" s="137"/>
      <c r="H218" s="137"/>
    </row>
    <row r="219" spans="1:15" s="34" customFormat="1" ht="54" customHeight="1" x14ac:dyDescent="0.25">
      <c r="A219" s="46" t="s">
        <v>155</v>
      </c>
      <c r="B219" s="138" t="s">
        <v>227</v>
      </c>
      <c r="C219" s="139"/>
      <c r="D219" s="139"/>
      <c r="E219" s="139"/>
      <c r="F219" s="139"/>
      <c r="G219" s="139"/>
      <c r="H219" s="140"/>
      <c r="I219" s="59" t="s">
        <v>221</v>
      </c>
    </row>
    <row r="220" spans="1:15" s="34" customFormat="1" x14ac:dyDescent="0.25">
      <c r="A220" s="46" t="s">
        <v>155</v>
      </c>
      <c r="B220" s="138" t="str">
        <f>(IF(F136="Saleable area Loading :","We have considered Saleable area of Flats as per our Calculation.","We considered Saleable area of Flat as per Builder area Sheet."))</f>
        <v>We considered Saleable area of Flat as per Builder area Sheet.</v>
      </c>
      <c r="C220" s="139"/>
      <c r="D220" s="139"/>
      <c r="E220" s="139"/>
      <c r="F220" s="139"/>
      <c r="G220" s="139"/>
      <c r="H220" s="140"/>
      <c r="I220" s="138" t="s">
        <v>222</v>
      </c>
      <c r="J220" s="139"/>
      <c r="K220" s="139"/>
      <c r="L220" s="139"/>
      <c r="M220" s="139"/>
      <c r="N220" s="139"/>
      <c r="O220" s="140"/>
    </row>
    <row r="221" spans="1:15" s="34" customFormat="1" x14ac:dyDescent="0.25">
      <c r="A221" s="46" t="s">
        <v>155</v>
      </c>
      <c r="B221" s="138" t="str">
        <f>(IF(F127="Saleable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1" s="139"/>
      <c r="D221" s="139"/>
      <c r="E221" s="139"/>
      <c r="F221" s="139"/>
      <c r="G221" s="139"/>
      <c r="H221" s="140"/>
    </row>
    <row r="222" spans="1:15" s="34" customFormat="1" x14ac:dyDescent="0.25">
      <c r="A222" s="46" t="s">
        <v>155</v>
      </c>
      <c r="B222" s="134" t="s">
        <v>126</v>
      </c>
      <c r="C222" s="135"/>
      <c r="D222" s="135"/>
      <c r="E222" s="135"/>
      <c r="F222" s="135"/>
      <c r="G222" s="135"/>
      <c r="H222" s="136"/>
    </row>
    <row r="223" spans="1:15" s="34" customFormat="1" x14ac:dyDescent="0.25">
      <c r="A223" s="46" t="s">
        <v>155</v>
      </c>
      <c r="B223" s="134" t="s">
        <v>206</v>
      </c>
      <c r="C223" s="135"/>
      <c r="D223" s="135"/>
      <c r="E223" s="135"/>
      <c r="F223" s="135"/>
      <c r="G223" s="135"/>
      <c r="H223" s="136"/>
    </row>
    <row r="224" spans="1:15" s="34" customFormat="1" x14ac:dyDescent="0.25">
      <c r="A224" s="46" t="s">
        <v>155</v>
      </c>
      <c r="B224" s="134" t="s">
        <v>154</v>
      </c>
      <c r="C224" s="135"/>
      <c r="D224" s="135"/>
      <c r="E224" s="135"/>
      <c r="F224" s="135"/>
      <c r="G224" s="135"/>
      <c r="H224" s="136"/>
    </row>
    <row r="225" spans="1:8" s="34" customFormat="1" x14ac:dyDescent="0.25">
      <c r="A225" s="46" t="s">
        <v>155</v>
      </c>
      <c r="B225" s="134" t="s">
        <v>127</v>
      </c>
      <c r="C225" s="135"/>
      <c r="D225" s="135"/>
      <c r="E225" s="135"/>
      <c r="F225" s="135"/>
      <c r="G225" s="135"/>
      <c r="H225" s="136"/>
    </row>
    <row r="226" spans="1:8" s="34" customFormat="1" ht="34.5" hidden="1" customHeight="1" x14ac:dyDescent="0.25">
      <c r="A226" s="46" t="s">
        <v>155</v>
      </c>
      <c r="B226" s="134" t="s">
        <v>156</v>
      </c>
      <c r="C226" s="135"/>
      <c r="D226" s="135"/>
      <c r="E226" s="135"/>
      <c r="F226" s="135"/>
      <c r="G226" s="135"/>
      <c r="H226" s="136"/>
    </row>
    <row r="227" spans="1:8" s="34" customFormat="1" x14ac:dyDescent="0.25">
      <c r="A227" s="46" t="s">
        <v>155</v>
      </c>
      <c r="B227" s="134" t="s">
        <v>128</v>
      </c>
      <c r="C227" s="135"/>
      <c r="D227" s="135"/>
      <c r="E227" s="135"/>
      <c r="F227" s="135"/>
      <c r="G227" s="135"/>
      <c r="H227" s="136"/>
    </row>
    <row r="228" spans="1:8" s="34" customFormat="1" x14ac:dyDescent="0.25">
      <c r="A228" s="46" t="s">
        <v>155</v>
      </c>
      <c r="B228" s="134" t="s">
        <v>214</v>
      </c>
      <c r="C228" s="135"/>
      <c r="D228" s="135"/>
      <c r="E228" s="135"/>
      <c r="F228" s="135"/>
      <c r="G228" s="135"/>
      <c r="H228" s="136"/>
    </row>
    <row r="229" spans="1:8" x14ac:dyDescent="0.25">
      <c r="A229" s="127" t="s">
        <v>65</v>
      </c>
      <c r="B229" s="127"/>
      <c r="C229" s="127"/>
      <c r="D229" s="127"/>
      <c r="E229" s="127"/>
      <c r="F229" s="127"/>
      <c r="G229" s="127"/>
      <c r="H229" s="127"/>
    </row>
    <row r="230" spans="1:8" x14ac:dyDescent="0.25">
      <c r="A230" s="103" t="s">
        <v>66</v>
      </c>
      <c r="B230" s="103"/>
      <c r="C230" s="103"/>
      <c r="D230" s="103"/>
      <c r="E230" s="103"/>
      <c r="F230" s="103"/>
      <c r="G230" s="103"/>
      <c r="H230" s="103"/>
    </row>
    <row r="231" spans="1:8" ht="15.75" customHeight="1" x14ac:dyDescent="0.25">
      <c r="A231" s="104" t="s">
        <v>67</v>
      </c>
      <c r="B231" s="104"/>
      <c r="C231" s="104"/>
      <c r="D231" s="104"/>
      <c r="E231" s="104"/>
      <c r="F231" s="104"/>
      <c r="G231" s="104"/>
      <c r="H231" s="104"/>
    </row>
    <row r="232" spans="1:8" x14ac:dyDescent="0.25">
      <c r="A232" s="103" t="s">
        <v>68</v>
      </c>
      <c r="B232" s="103"/>
      <c r="C232" s="103"/>
      <c r="D232" s="103"/>
      <c r="E232" s="103"/>
      <c r="F232" s="103"/>
      <c r="G232" s="103"/>
      <c r="H232" s="103"/>
    </row>
    <row r="233" spans="1:8" x14ac:dyDescent="0.25">
      <c r="A233" s="103" t="s">
        <v>69</v>
      </c>
      <c r="B233" s="103"/>
      <c r="C233" s="103"/>
      <c r="D233" s="103"/>
      <c r="E233" s="103"/>
      <c r="F233" s="103"/>
      <c r="G233" s="103"/>
      <c r="H233" s="103"/>
    </row>
    <row r="234" spans="1:8" x14ac:dyDescent="0.25">
      <c r="A234" s="103" t="s">
        <v>129</v>
      </c>
      <c r="B234" s="103"/>
      <c r="C234" s="103"/>
      <c r="D234" s="103"/>
      <c r="E234" s="103"/>
      <c r="F234" s="103"/>
      <c r="G234" s="103"/>
      <c r="H234" s="103"/>
    </row>
    <row r="235" spans="1:8" x14ac:dyDescent="0.25">
      <c r="A235" s="115" t="s">
        <v>130</v>
      </c>
      <c r="B235" s="115"/>
      <c r="C235" s="115"/>
      <c r="D235" s="115"/>
      <c r="E235" s="115"/>
      <c r="F235" s="115"/>
      <c r="G235" s="115"/>
      <c r="H235" s="115"/>
    </row>
    <row r="236" spans="1:8" x14ac:dyDescent="0.25">
      <c r="A236" s="145" t="s">
        <v>82</v>
      </c>
      <c r="B236" s="145"/>
      <c r="C236" s="145" t="s">
        <v>218</v>
      </c>
      <c r="D236" s="145"/>
      <c r="E236" s="145" t="s">
        <v>108</v>
      </c>
      <c r="F236" s="145"/>
      <c r="G236" s="145" t="s">
        <v>224</v>
      </c>
      <c r="H236" s="145"/>
    </row>
    <row r="237" spans="1:8" x14ac:dyDescent="0.25">
      <c r="A237" s="144" t="s">
        <v>84</v>
      </c>
      <c r="B237" s="144"/>
      <c r="C237" s="144"/>
      <c r="D237" s="144"/>
      <c r="E237" s="144"/>
      <c r="F237" s="144"/>
      <c r="G237" s="144"/>
      <c r="H237" s="144"/>
    </row>
    <row r="238" spans="1:8" x14ac:dyDescent="0.25">
      <c r="A238" s="144"/>
      <c r="B238" s="144"/>
      <c r="C238" s="144"/>
      <c r="D238" s="144"/>
      <c r="E238" s="144"/>
      <c r="F238" s="144"/>
      <c r="G238" s="144"/>
      <c r="H238" s="144"/>
    </row>
    <row r="239" spans="1:8" x14ac:dyDescent="0.25">
      <c r="A239" s="144"/>
      <c r="B239" s="144"/>
      <c r="C239" s="144"/>
      <c r="D239" s="144"/>
      <c r="E239" s="144"/>
      <c r="F239" s="144"/>
      <c r="G239" s="144"/>
      <c r="H239" s="144"/>
    </row>
    <row r="240" spans="1:8" x14ac:dyDescent="0.25">
      <c r="A240" s="144"/>
      <c r="B240" s="144"/>
      <c r="C240" s="144"/>
      <c r="D240" s="144"/>
      <c r="E240" s="144"/>
      <c r="F240" s="144"/>
      <c r="G240" s="144"/>
      <c r="H240" s="144"/>
    </row>
    <row r="241" spans="1:8" x14ac:dyDescent="0.25">
      <c r="A241" s="37" t="s">
        <v>70</v>
      </c>
      <c r="B241" s="38"/>
      <c r="C241" s="38"/>
      <c r="D241" s="37" t="str">
        <f>E8</f>
        <v>Vinayak Greens</v>
      </c>
      <c r="F241" s="38"/>
      <c r="G241" s="38"/>
      <c r="H241" s="38"/>
    </row>
    <row r="242" spans="1:8" x14ac:dyDescent="0.25">
      <c r="A242" s="38"/>
      <c r="B242" s="38"/>
      <c r="C242" s="38"/>
      <c r="D242" s="38"/>
      <c r="E242" s="38"/>
      <c r="F242" s="38"/>
      <c r="G242" s="38"/>
      <c r="H242" s="38"/>
    </row>
    <row r="243" spans="1:8" x14ac:dyDescent="0.25">
      <c r="A243" s="38"/>
      <c r="B243" s="38"/>
      <c r="C243" s="38"/>
      <c r="D243" s="38"/>
      <c r="E243" s="38"/>
      <c r="F243" s="38"/>
      <c r="G243" s="38"/>
      <c r="H243" s="38"/>
    </row>
    <row r="244" spans="1:8" ht="15" customHeight="1" x14ac:dyDescent="0.25"/>
    <row r="282" spans="1:8" x14ac:dyDescent="0.25">
      <c r="A282" s="40" t="s">
        <v>167</v>
      </c>
      <c r="B282" s="20"/>
      <c r="C282" s="20"/>
      <c r="D282" s="20"/>
      <c r="E282" s="20"/>
      <c r="F282" s="20"/>
      <c r="G282" s="20"/>
      <c r="H282" s="20"/>
    </row>
    <row r="321" spans="1:11" x14ac:dyDescent="0.25">
      <c r="K321" s="20" t="s">
        <v>217</v>
      </c>
    </row>
    <row r="323" spans="1:11" x14ac:dyDescent="0.25">
      <c r="A323" s="40" t="s">
        <v>71</v>
      </c>
      <c r="B323" s="20"/>
      <c r="C323" s="20"/>
      <c r="D323" s="20"/>
      <c r="E323" s="20"/>
      <c r="F323" s="20"/>
      <c r="G323" s="20"/>
      <c r="H323" s="20"/>
    </row>
  </sheetData>
  <mergeCells count="399">
    <mergeCell ref="I10:L10"/>
    <mergeCell ref="I220:O220"/>
    <mergeCell ref="B227:H227"/>
    <mergeCell ref="A38:B38"/>
    <mergeCell ref="C38:H38"/>
    <mergeCell ref="B226:H226"/>
    <mergeCell ref="A47:B47"/>
    <mergeCell ref="C47:H47"/>
    <mergeCell ref="B224:H224"/>
    <mergeCell ref="F109:H109"/>
    <mergeCell ref="A109:E109"/>
    <mergeCell ref="A130:B130"/>
    <mergeCell ref="A131:B131"/>
    <mergeCell ref="A132:B132"/>
    <mergeCell ref="A133:B133"/>
    <mergeCell ref="A110:E110"/>
    <mergeCell ref="A122:B122"/>
    <mergeCell ref="C122:D122"/>
    <mergeCell ref="E122:F122"/>
    <mergeCell ref="A121:B121"/>
    <mergeCell ref="C121:D121"/>
    <mergeCell ref="E121:F121"/>
    <mergeCell ref="G121:H121"/>
    <mergeCell ref="C119:D119"/>
    <mergeCell ref="E124:F124"/>
    <mergeCell ref="F107:H107"/>
    <mergeCell ref="F110:H110"/>
    <mergeCell ref="G124:H124"/>
    <mergeCell ref="C116:D116"/>
    <mergeCell ref="G116:H116"/>
    <mergeCell ref="A112:E112"/>
    <mergeCell ref="C117:D117"/>
    <mergeCell ref="E117:F117"/>
    <mergeCell ref="G119:H119"/>
    <mergeCell ref="G122:H122"/>
    <mergeCell ref="A123:B123"/>
    <mergeCell ref="C123:D123"/>
    <mergeCell ref="E123:F123"/>
    <mergeCell ref="G123:H123"/>
    <mergeCell ref="F112:H112"/>
    <mergeCell ref="E116:F116"/>
    <mergeCell ref="A116:B116"/>
    <mergeCell ref="A111:E111"/>
    <mergeCell ref="F111:H111"/>
    <mergeCell ref="A107:E107"/>
    <mergeCell ref="A108:E108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76:B76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4:D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7:B67"/>
    <mergeCell ref="A65:B65"/>
    <mergeCell ref="C65:H6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9:B69"/>
    <mergeCell ref="G68:H68"/>
    <mergeCell ref="A237:H240"/>
    <mergeCell ref="A236:B236"/>
    <mergeCell ref="E236:F236"/>
    <mergeCell ref="C236:D236"/>
    <mergeCell ref="G236:H236"/>
    <mergeCell ref="A115:H115"/>
    <mergeCell ref="A113:E113"/>
    <mergeCell ref="F113:H113"/>
    <mergeCell ref="A114:E114"/>
    <mergeCell ref="F114:H114"/>
    <mergeCell ref="A120:B120"/>
    <mergeCell ref="A209:B209"/>
    <mergeCell ref="A117:B117"/>
    <mergeCell ref="A232:H232"/>
    <mergeCell ref="A118:H118"/>
    <mergeCell ref="A235:H235"/>
    <mergeCell ref="A233:H233"/>
    <mergeCell ref="A229:H229"/>
    <mergeCell ref="A230:H230"/>
    <mergeCell ref="E119:F119"/>
    <mergeCell ref="B228:H228"/>
    <mergeCell ref="B225:H225"/>
    <mergeCell ref="A125:H125"/>
    <mergeCell ref="B219:H219"/>
    <mergeCell ref="B220:H220"/>
    <mergeCell ref="C120:D120"/>
    <mergeCell ref="E120:F120"/>
    <mergeCell ref="G120:H120"/>
    <mergeCell ref="A135:H135"/>
    <mergeCell ref="A194:B194"/>
    <mergeCell ref="A140:B140"/>
    <mergeCell ref="A211:B211"/>
    <mergeCell ref="A189:B189"/>
    <mergeCell ref="A200:H200"/>
    <mergeCell ref="G158:H160"/>
    <mergeCell ref="A124:B124"/>
    <mergeCell ref="A129:H129"/>
    <mergeCell ref="G127:H127"/>
    <mergeCell ref="A217:B217"/>
    <mergeCell ref="G213:H217"/>
    <mergeCell ref="A190:H190"/>
    <mergeCell ref="G191:H194"/>
    <mergeCell ref="A192:B192"/>
    <mergeCell ref="A212:H212"/>
    <mergeCell ref="A213:B213"/>
    <mergeCell ref="A214:B214"/>
    <mergeCell ref="A215:B215"/>
    <mergeCell ref="B222:H222"/>
    <mergeCell ref="B223:H223"/>
    <mergeCell ref="A218:H218"/>
    <mergeCell ref="A206:H206"/>
    <mergeCell ref="A139:B139"/>
    <mergeCell ref="A134:B134"/>
    <mergeCell ref="A208:B208"/>
    <mergeCell ref="A216:B216"/>
    <mergeCell ref="A178:B178"/>
    <mergeCell ref="G178:H179"/>
    <mergeCell ref="A210:B210"/>
    <mergeCell ref="A207:B207"/>
    <mergeCell ref="B221:H221"/>
    <mergeCell ref="A126:H126"/>
    <mergeCell ref="C124:D124"/>
    <mergeCell ref="A160:B160"/>
    <mergeCell ref="A195:H195"/>
    <mergeCell ref="A196:H196"/>
    <mergeCell ref="A197:B197"/>
    <mergeCell ref="G207:H211"/>
    <mergeCell ref="A151:H151"/>
    <mergeCell ref="A152:B152"/>
    <mergeCell ref="G152:H155"/>
    <mergeCell ref="A153:B153"/>
    <mergeCell ref="A154:B154"/>
    <mergeCell ref="A155:B155"/>
    <mergeCell ref="A185:H185"/>
    <mergeCell ref="A186:B186"/>
    <mergeCell ref="A187:B187"/>
    <mergeCell ref="A188:B188"/>
    <mergeCell ref="G147:H150"/>
    <mergeCell ref="G186:H189"/>
    <mergeCell ref="A156:H156"/>
    <mergeCell ref="A157:H157"/>
    <mergeCell ref="A158:B158"/>
    <mergeCell ref="A191:B191"/>
    <mergeCell ref="A177:H177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73:B73"/>
    <mergeCell ref="A60:C60"/>
    <mergeCell ref="D60:H60"/>
    <mergeCell ref="C67:H67"/>
    <mergeCell ref="A141:H141"/>
    <mergeCell ref="L141:M141"/>
    <mergeCell ref="A16:B16"/>
    <mergeCell ref="C16:H16"/>
    <mergeCell ref="E41:H41"/>
    <mergeCell ref="A41:D41"/>
    <mergeCell ref="L134:M134"/>
    <mergeCell ref="L132:M132"/>
    <mergeCell ref="L131:M131"/>
    <mergeCell ref="L130:M130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234:H234"/>
    <mergeCell ref="A231:H231"/>
    <mergeCell ref="A193:B193"/>
    <mergeCell ref="A119:B119"/>
    <mergeCell ref="G136:H136"/>
    <mergeCell ref="A74:B74"/>
    <mergeCell ref="F108:H108"/>
    <mergeCell ref="G117:H117"/>
    <mergeCell ref="A48:B48"/>
    <mergeCell ref="C48:E48"/>
    <mergeCell ref="G48:H48"/>
    <mergeCell ref="A142:B142"/>
    <mergeCell ref="A143:B143"/>
    <mergeCell ref="A144:B144"/>
    <mergeCell ref="A145:B145"/>
    <mergeCell ref="A161:H161"/>
    <mergeCell ref="A204:B204"/>
    <mergeCell ref="A205:B205"/>
    <mergeCell ref="A174:B174"/>
    <mergeCell ref="A175:B175"/>
    <mergeCell ref="G130:H134"/>
    <mergeCell ref="G139:H140"/>
    <mergeCell ref="A137:H137"/>
    <mergeCell ref="A128:H128"/>
    <mergeCell ref="L158:M158"/>
    <mergeCell ref="A138:H138"/>
    <mergeCell ref="G142:H145"/>
    <mergeCell ref="A146:H146"/>
    <mergeCell ref="A147:B147"/>
    <mergeCell ref="A148:B148"/>
    <mergeCell ref="A149:B149"/>
    <mergeCell ref="A150:B150"/>
    <mergeCell ref="L133:M133"/>
    <mergeCell ref="L139:M139"/>
    <mergeCell ref="L140:M140"/>
    <mergeCell ref="L160:M160"/>
    <mergeCell ref="A159:B159"/>
    <mergeCell ref="L159:M159"/>
    <mergeCell ref="L200:M200"/>
    <mergeCell ref="A201:B201"/>
    <mergeCell ref="A202:B202"/>
    <mergeCell ref="A203:B203"/>
    <mergeCell ref="G201:H205"/>
    <mergeCell ref="L180:M180"/>
    <mergeCell ref="A181:B181"/>
    <mergeCell ref="A182:B182"/>
    <mergeCell ref="A183:B183"/>
    <mergeCell ref="A184:B184"/>
    <mergeCell ref="G181:H184"/>
    <mergeCell ref="L197:M197"/>
    <mergeCell ref="A198:B198"/>
    <mergeCell ref="L198:M198"/>
    <mergeCell ref="A199:B199"/>
    <mergeCell ref="L199:M199"/>
    <mergeCell ref="G197:H199"/>
    <mergeCell ref="A180:H180"/>
    <mergeCell ref="A166:H166"/>
    <mergeCell ref="L178:M178"/>
    <mergeCell ref="A179:B179"/>
    <mergeCell ref="L161:M161"/>
    <mergeCell ref="A162:B162"/>
    <mergeCell ref="L179:M179"/>
    <mergeCell ref="A164:B164"/>
    <mergeCell ref="A165:B165"/>
    <mergeCell ref="G162:H165"/>
    <mergeCell ref="A171:H171"/>
    <mergeCell ref="A172:B172"/>
    <mergeCell ref="G172:H175"/>
    <mergeCell ref="A173:B173"/>
    <mergeCell ref="A167:B167"/>
    <mergeCell ref="A168:B168"/>
    <mergeCell ref="A169:B169"/>
    <mergeCell ref="A170:B170"/>
    <mergeCell ref="G167:H170"/>
    <mergeCell ref="A163:B163"/>
    <mergeCell ref="A176:H17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2" max="16383" man="1"/>
    <brk id="240" max="16383" man="1"/>
    <brk id="281" max="16383" man="1"/>
    <brk id="3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8" t="s">
        <v>109</v>
      </c>
      <c r="C3" s="178"/>
      <c r="D3" s="178"/>
      <c r="E3" s="178"/>
      <c r="F3" s="178"/>
      <c r="G3" s="178"/>
      <c r="H3" s="178"/>
    </row>
    <row r="4" spans="1:9" x14ac:dyDescent="0.25">
      <c r="A4" s="2"/>
      <c r="B4" s="3" t="s">
        <v>110</v>
      </c>
      <c r="C4" s="3" t="s">
        <v>111</v>
      </c>
      <c r="D4" s="3" t="s">
        <v>73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2025-09-13T06:38:58Z</cp:lastPrinted>
  <dcterms:created xsi:type="dcterms:W3CDTF">2019-07-16T09:29:46Z</dcterms:created>
  <dcterms:modified xsi:type="dcterms:W3CDTF">2025-09-13T06:41:11Z</dcterms:modified>
</cp:coreProperties>
</file>