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08-09-2025\"/>
    </mc:Choice>
  </mc:AlternateContent>
  <bookViews>
    <workbookView xWindow="0" yWindow="0" windowWidth="19200" windowHeight="6640"/>
  </bookViews>
  <sheets>
    <sheet name="Report (2)" sheetId="1" r:id="rId1"/>
    <sheet name="Note" sheetId="4" r:id="rId2"/>
    <sheet name="Sheet1" sheetId="6" r:id="rId3"/>
    <sheet name="A%" sheetId="2" r:id="rId4"/>
    <sheet name="B%" sheetId="5" r:id="rId5"/>
    <sheet name="Flat detail" sheetId="3" r:id="rId6"/>
  </sheets>
  <definedNames>
    <definedName name="_xlnm.Print_Area" localSheetId="0">'Report (2)'!$A$1:$J$896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6" i="1" l="1"/>
  <c r="G196" i="1" s="1"/>
  <c r="D195" i="1"/>
  <c r="G195" i="1" s="1"/>
  <c r="D194" i="1"/>
  <c r="G194" i="1" s="1"/>
  <c r="D193" i="1"/>
  <c r="G193" i="1" s="1"/>
  <c r="D192" i="1"/>
  <c r="G192" i="1" s="1"/>
  <c r="D191" i="1"/>
  <c r="G191" i="1" s="1"/>
  <c r="D190" i="1"/>
  <c r="G190" i="1" s="1"/>
  <c r="D189" i="1"/>
  <c r="G189" i="1" s="1"/>
  <c r="D188" i="1"/>
  <c r="G188" i="1" s="1"/>
  <c r="D187" i="1"/>
  <c r="G187" i="1" s="1"/>
  <c r="D186" i="1"/>
  <c r="G186" i="1" s="1"/>
  <c r="D185" i="1"/>
  <c r="D184" i="1"/>
  <c r="D183" i="1"/>
  <c r="G183" i="1" s="1"/>
  <c r="D182" i="1"/>
  <c r="G182" i="1" s="1"/>
  <c r="G185" i="1"/>
  <c r="G184" i="1"/>
  <c r="I182" i="1"/>
  <c r="A183" i="1"/>
  <c r="A184" i="1" s="1"/>
  <c r="A185" i="1" s="1"/>
  <c r="A186" i="1" s="1"/>
  <c r="A187" i="1" s="1"/>
  <c r="A188" i="1" s="1"/>
  <c r="A189" i="1" s="1"/>
  <c r="A190" i="1" s="1"/>
  <c r="A191" i="1" s="1"/>
  <c r="A192" i="1" s="1"/>
  <c r="A193" i="1" s="1"/>
  <c r="A194" i="1" s="1"/>
  <c r="A195" i="1" s="1"/>
  <c r="A196" i="1" s="1"/>
  <c r="D56" i="1"/>
  <c r="F41" i="1"/>
  <c r="F42" i="1" s="1"/>
  <c r="D161" i="1" l="1"/>
  <c r="G161" i="1" s="1"/>
  <c r="D160" i="1"/>
  <c r="G160" i="1" s="1"/>
  <c r="D159" i="1"/>
  <c r="G159" i="1" s="1"/>
  <c r="D158" i="1"/>
  <c r="G158" i="1" s="1"/>
  <c r="D157" i="1"/>
  <c r="I157" i="1"/>
  <c r="A158" i="1"/>
  <c r="A159" i="1" s="1"/>
  <c r="A160" i="1" s="1"/>
  <c r="A161" i="1" s="1"/>
  <c r="D178" i="1"/>
  <c r="G178" i="1" s="1"/>
  <c r="D177" i="1"/>
  <c r="G177" i="1" s="1"/>
  <c r="D176" i="1"/>
  <c r="G176" i="1" s="1"/>
  <c r="D175" i="1"/>
  <c r="G175" i="1" s="1"/>
  <c r="D174" i="1"/>
  <c r="G174" i="1" s="1"/>
  <c r="D173" i="1"/>
  <c r="G173" i="1" s="1"/>
  <c r="D172" i="1"/>
  <c r="G172" i="1" s="1"/>
  <c r="D171" i="1"/>
  <c r="G171" i="1" s="1"/>
  <c r="D170" i="1"/>
  <c r="G170" i="1" s="1"/>
  <c r="D169" i="1"/>
  <c r="G169" i="1" s="1"/>
  <c r="D168" i="1"/>
  <c r="G168" i="1" s="1"/>
  <c r="D573" i="1"/>
  <c r="G573" i="1" s="1"/>
  <c r="D578" i="1"/>
  <c r="G578" i="1" s="1"/>
  <c r="D577" i="1"/>
  <c r="G577" i="1" s="1"/>
  <c r="D576" i="1"/>
  <c r="G576" i="1" s="1"/>
  <c r="D575" i="1"/>
  <c r="G575" i="1" s="1"/>
  <c r="D572" i="1"/>
  <c r="G572" i="1" s="1"/>
  <c r="I571" i="1"/>
  <c r="D571" i="1"/>
  <c r="G571" i="1" s="1"/>
  <c r="D694" i="1"/>
  <c r="G694" i="1" s="1"/>
  <c r="K695" i="1"/>
  <c r="K683" i="1"/>
  <c r="K677" i="1"/>
  <c r="K645" i="1"/>
  <c r="K629" i="1"/>
  <c r="K613" i="1"/>
  <c r="D180" i="1"/>
  <c r="G180" i="1" s="1"/>
  <c r="D179" i="1"/>
  <c r="G179" i="1" s="1"/>
  <c r="D167" i="1"/>
  <c r="G167" i="1" s="1"/>
  <c r="D166" i="1"/>
  <c r="G166" i="1" s="1"/>
  <c r="D165" i="1"/>
  <c r="G165" i="1" s="1"/>
  <c r="D164" i="1"/>
  <c r="D163" i="1"/>
  <c r="A164" i="1"/>
  <c r="A165" i="1" s="1"/>
  <c r="A166" i="1" s="1"/>
  <c r="A167" i="1" s="1"/>
  <c r="A180" i="1" s="1"/>
  <c r="I163" i="1"/>
  <c r="D706" i="1"/>
  <c r="G706" i="1" s="1"/>
  <c r="D704" i="1"/>
  <c r="G704" i="1" s="1"/>
  <c r="D703" i="1"/>
  <c r="G703" i="1" s="1"/>
  <c r="I702" i="1"/>
  <c r="D702" i="1"/>
  <c r="G702" i="1" s="1"/>
  <c r="D692" i="1"/>
  <c r="D691" i="1"/>
  <c r="G691" i="1" s="1"/>
  <c r="D690" i="1"/>
  <c r="D668" i="1"/>
  <c r="G668" i="1" s="1"/>
  <c r="D665" i="1"/>
  <c r="G665" i="1" s="1"/>
  <c r="D664" i="1"/>
  <c r="G664" i="1" s="1"/>
  <c r="D663" i="1"/>
  <c r="G663" i="1" s="1"/>
  <c r="I662" i="1"/>
  <c r="D662" i="1"/>
  <c r="G662" i="1" s="1"/>
  <c r="D700" i="1"/>
  <c r="D699" i="1"/>
  <c r="D698" i="1"/>
  <c r="D697" i="1"/>
  <c r="D696" i="1"/>
  <c r="D688" i="1"/>
  <c r="G688" i="1" s="1"/>
  <c r="D687" i="1"/>
  <c r="G687" i="1" s="1"/>
  <c r="D686" i="1"/>
  <c r="G686" i="1" s="1"/>
  <c r="D685" i="1"/>
  <c r="G685" i="1" s="1"/>
  <c r="D684" i="1"/>
  <c r="G684" i="1" s="1"/>
  <c r="D680" i="1"/>
  <c r="D678" i="1"/>
  <c r="D682" i="1"/>
  <c r="D681" i="1"/>
  <c r="I684" i="1"/>
  <c r="D676" i="1"/>
  <c r="G676" i="1" s="1"/>
  <c r="D675" i="1"/>
  <c r="G675" i="1" s="1"/>
  <c r="D674" i="1"/>
  <c r="G674" i="1" s="1"/>
  <c r="D673" i="1"/>
  <c r="G673" i="1" s="1"/>
  <c r="D672" i="1"/>
  <c r="G672" i="1" s="1"/>
  <c r="D671" i="1"/>
  <c r="G671" i="1" s="1"/>
  <c r="D670" i="1"/>
  <c r="G670" i="1" s="1"/>
  <c r="I670" i="1"/>
  <c r="D652" i="1"/>
  <c r="D651" i="1"/>
  <c r="D650" i="1"/>
  <c r="D649" i="1"/>
  <c r="D648" i="1"/>
  <c r="D647" i="1"/>
  <c r="D646" i="1"/>
  <c r="D620" i="1"/>
  <c r="D619" i="1"/>
  <c r="D618" i="1"/>
  <c r="D617" i="1"/>
  <c r="D616" i="1"/>
  <c r="D615" i="1"/>
  <c r="D614" i="1"/>
  <c r="D612" i="1"/>
  <c r="D611" i="1"/>
  <c r="D610" i="1"/>
  <c r="D609" i="1"/>
  <c r="D608" i="1"/>
  <c r="D607" i="1"/>
  <c r="D606" i="1"/>
  <c r="D604" i="1"/>
  <c r="D603" i="1"/>
  <c r="D602" i="1"/>
  <c r="D601" i="1"/>
  <c r="D600" i="1"/>
  <c r="D599" i="1"/>
  <c r="D598" i="1"/>
  <c r="D550" i="1"/>
  <c r="C115" i="1"/>
  <c r="C101" i="1"/>
  <c r="D140" i="1" l="1"/>
  <c r="C140" i="1"/>
  <c r="G164" i="1"/>
  <c r="G157" i="1"/>
  <c r="G139" i="1" s="1"/>
  <c r="D139" i="1"/>
  <c r="C139" i="1"/>
  <c r="G163" i="1"/>
  <c r="K157" i="1"/>
  <c r="A168" i="1"/>
  <c r="A169" i="1" s="1"/>
  <c r="A170" i="1" s="1"/>
  <c r="A171" i="1" s="1"/>
  <c r="A172" i="1" s="1"/>
  <c r="A173" i="1" s="1"/>
  <c r="A174" i="1" s="1"/>
  <c r="A175" i="1" s="1"/>
  <c r="A176" i="1" s="1"/>
  <c r="A177" i="1" s="1"/>
  <c r="A178" i="1" s="1"/>
  <c r="C102" i="1"/>
  <c r="N119" i="1"/>
  <c r="G140" i="1" l="1"/>
  <c r="G141" i="1" s="1"/>
  <c r="D141" i="1"/>
  <c r="C141" i="1"/>
  <c r="C116" i="1"/>
  <c r="C14" i="1" l="1"/>
  <c r="C69" i="1"/>
  <c r="C117" i="1"/>
  <c r="C118" i="1" s="1"/>
  <c r="D569" i="1"/>
  <c r="G569" i="1" s="1"/>
  <c r="D568" i="1"/>
  <c r="G568" i="1" s="1"/>
  <c r="D567" i="1"/>
  <c r="G567" i="1" s="1"/>
  <c r="D566" i="1"/>
  <c r="G566" i="1" s="1"/>
  <c r="D565" i="1"/>
  <c r="G565" i="1" s="1"/>
  <c r="D564" i="1"/>
  <c r="G564" i="1" s="1"/>
  <c r="D563" i="1"/>
  <c r="G563" i="1" s="1"/>
  <c r="L562" i="1"/>
  <c r="I562" i="1"/>
  <c r="D562" i="1"/>
  <c r="G562" i="1" s="1"/>
  <c r="D515" i="1"/>
  <c r="D514" i="1"/>
  <c r="D513" i="1"/>
  <c r="D512" i="1"/>
  <c r="D511" i="1"/>
  <c r="D510" i="1"/>
  <c r="D509" i="1"/>
  <c r="D508" i="1"/>
  <c r="L544" i="1"/>
  <c r="D554" i="1"/>
  <c r="D553" i="1"/>
  <c r="D560" i="1"/>
  <c r="D559" i="1"/>
  <c r="D558" i="1"/>
  <c r="D557" i="1"/>
  <c r="D551" i="1"/>
  <c r="D549" i="1"/>
  <c r="D548" i="1"/>
  <c r="D547" i="1"/>
  <c r="D546" i="1"/>
  <c r="D545" i="1"/>
  <c r="D544" i="1"/>
  <c r="D542" i="1"/>
  <c r="D541" i="1"/>
  <c r="D540" i="1"/>
  <c r="D539" i="1"/>
  <c r="D538" i="1"/>
  <c r="D537" i="1"/>
  <c r="D536" i="1"/>
  <c r="D535" i="1"/>
  <c r="D533" i="1"/>
  <c r="D532" i="1"/>
  <c r="D531" i="1"/>
  <c r="D530" i="1"/>
  <c r="D529" i="1"/>
  <c r="D528" i="1"/>
  <c r="D527" i="1"/>
  <c r="D526" i="1"/>
  <c r="D524" i="1"/>
  <c r="D523" i="1"/>
  <c r="D522" i="1"/>
  <c r="D521" i="1"/>
  <c r="D520" i="1"/>
  <c r="D519" i="1"/>
  <c r="D518" i="1"/>
  <c r="D517" i="1"/>
  <c r="D506" i="1"/>
  <c r="D505" i="1"/>
  <c r="D504" i="1"/>
  <c r="D503" i="1"/>
  <c r="D502" i="1"/>
  <c r="D501" i="1"/>
  <c r="D500" i="1"/>
  <c r="D499" i="1"/>
  <c r="D497" i="1"/>
  <c r="D496" i="1"/>
  <c r="D495" i="1"/>
  <c r="D494" i="1"/>
  <c r="D493" i="1"/>
  <c r="D492" i="1"/>
  <c r="D491" i="1"/>
  <c r="D490" i="1"/>
  <c r="D481" i="1"/>
  <c r="D482" i="1"/>
  <c r="D488" i="1"/>
  <c r="D487" i="1"/>
  <c r="D486" i="1"/>
  <c r="D485" i="1"/>
  <c r="D484" i="1"/>
  <c r="D483" i="1"/>
  <c r="D479" i="1"/>
  <c r="D478" i="1"/>
  <c r="D477" i="1"/>
  <c r="D476" i="1"/>
  <c r="C146" i="1" l="1"/>
  <c r="D146" i="1"/>
  <c r="K147" i="1"/>
  <c r="G692" i="1"/>
  <c r="I690" i="1"/>
  <c r="G690" i="1"/>
  <c r="D660" i="1"/>
  <c r="G660" i="1" s="1"/>
  <c r="D657" i="1"/>
  <c r="G657" i="1" s="1"/>
  <c r="D656" i="1"/>
  <c r="G656" i="1" s="1"/>
  <c r="D655" i="1"/>
  <c r="G655" i="1" s="1"/>
  <c r="I654" i="1"/>
  <c r="D654" i="1"/>
  <c r="G654" i="1" s="1"/>
  <c r="D644" i="1"/>
  <c r="G644" i="1" s="1"/>
  <c r="D641" i="1"/>
  <c r="G641" i="1" s="1"/>
  <c r="D640" i="1"/>
  <c r="G640" i="1" s="1"/>
  <c r="D639" i="1"/>
  <c r="G639" i="1" s="1"/>
  <c r="I638" i="1"/>
  <c r="D638" i="1"/>
  <c r="G638" i="1" s="1"/>
  <c r="D628" i="1"/>
  <c r="G628" i="1" s="1"/>
  <c r="D625" i="1"/>
  <c r="G625" i="1" s="1"/>
  <c r="D624" i="1"/>
  <c r="G624" i="1" s="1"/>
  <c r="D623" i="1"/>
  <c r="G623" i="1" s="1"/>
  <c r="I622" i="1"/>
  <c r="D622" i="1"/>
  <c r="G622" i="1" s="1"/>
  <c r="D679" i="1"/>
  <c r="D636" i="1"/>
  <c r="D635" i="1"/>
  <c r="D634" i="1"/>
  <c r="D633" i="1"/>
  <c r="D632" i="1"/>
  <c r="D631" i="1"/>
  <c r="D630" i="1"/>
  <c r="D596" i="1"/>
  <c r="G596" i="1" s="1"/>
  <c r="G604" i="1"/>
  <c r="G602" i="1"/>
  <c r="G601" i="1"/>
  <c r="G600" i="1"/>
  <c r="G599" i="1"/>
  <c r="G598" i="1"/>
  <c r="D588" i="1"/>
  <c r="D587" i="1"/>
  <c r="G587" i="1" s="1"/>
  <c r="G603" i="1"/>
  <c r="D593" i="1"/>
  <c r="G593" i="1" s="1"/>
  <c r="D592" i="1"/>
  <c r="G592" i="1" s="1"/>
  <c r="D591" i="1"/>
  <c r="G591" i="1" s="1"/>
  <c r="D590" i="1"/>
  <c r="G590" i="1" s="1"/>
  <c r="D586" i="1"/>
  <c r="G586" i="1" s="1"/>
  <c r="D585" i="1"/>
  <c r="D584" i="1"/>
  <c r="D583" i="1"/>
  <c r="D582" i="1"/>
  <c r="I590" i="1"/>
  <c r="I598" i="1"/>
  <c r="D468" i="1"/>
  <c r="G468" i="1" s="1"/>
  <c r="D467" i="1"/>
  <c r="G467" i="1" s="1"/>
  <c r="D466" i="1"/>
  <c r="G466" i="1" s="1"/>
  <c r="I465" i="1"/>
  <c r="D463" i="1"/>
  <c r="D457" i="1"/>
  <c r="D462" i="1"/>
  <c r="D461" i="1"/>
  <c r="D460" i="1"/>
  <c r="D454" i="1"/>
  <c r="D458" i="1"/>
  <c r="D456" i="1"/>
  <c r="D455" i="1"/>
  <c r="D452" i="1"/>
  <c r="D451" i="1"/>
  <c r="D450" i="1"/>
  <c r="D448" i="1"/>
  <c r="D446" i="1"/>
  <c r="D445" i="1"/>
  <c r="D444" i="1"/>
  <c r="D443" i="1"/>
  <c r="D442" i="1"/>
  <c r="D440" i="1"/>
  <c r="D439" i="1"/>
  <c r="D438" i="1"/>
  <c r="D436" i="1"/>
  <c r="D432" i="1"/>
  <c r="D431" i="1"/>
  <c r="D430" i="1"/>
  <c r="D434" i="1"/>
  <c r="D433" i="1"/>
  <c r="D428" i="1"/>
  <c r="D427" i="1"/>
  <c r="D426" i="1"/>
  <c r="D425" i="1"/>
  <c r="D424" i="1"/>
  <c r="D413" i="1"/>
  <c r="D412" i="1"/>
  <c r="D411" i="1"/>
  <c r="D410" i="1"/>
  <c r="D409" i="1"/>
  <c r="D408" i="1"/>
  <c r="D407" i="1"/>
  <c r="D406" i="1"/>
  <c r="D422" i="1"/>
  <c r="D421" i="1"/>
  <c r="D420" i="1"/>
  <c r="D419" i="1"/>
  <c r="D415" i="1"/>
  <c r="D404" i="1"/>
  <c r="D403" i="1"/>
  <c r="D402" i="1"/>
  <c r="D401" i="1"/>
  <c r="D397" i="1"/>
  <c r="D395" i="1"/>
  <c r="D394" i="1"/>
  <c r="D393" i="1"/>
  <c r="D392" i="1"/>
  <c r="D388" i="1"/>
  <c r="D386" i="1"/>
  <c r="D385" i="1"/>
  <c r="D384" i="1"/>
  <c r="D383" i="1"/>
  <c r="D381" i="1"/>
  <c r="D382" i="1"/>
  <c r="D380" i="1"/>
  <c r="D379" i="1"/>
  <c r="D377" i="1"/>
  <c r="D376" i="1"/>
  <c r="D375" i="1"/>
  <c r="D374" i="1"/>
  <c r="D370" i="1"/>
  <c r="D358" i="1"/>
  <c r="D357" i="1"/>
  <c r="D356" i="1"/>
  <c r="D355" i="1"/>
  <c r="D351" i="1"/>
  <c r="D348" i="1"/>
  <c r="D349" i="1"/>
  <c r="D347" i="1"/>
  <c r="D346" i="1"/>
  <c r="D345" i="1"/>
  <c r="D344" i="1"/>
  <c r="D343" i="1"/>
  <c r="D342" i="1"/>
  <c r="D367" i="1"/>
  <c r="D366" i="1"/>
  <c r="D365" i="1"/>
  <c r="D364" i="1"/>
  <c r="D363" i="1"/>
  <c r="D362" i="1"/>
  <c r="D361" i="1"/>
  <c r="D360" i="1"/>
  <c r="D340" i="1"/>
  <c r="D339" i="1"/>
  <c r="D338" i="1"/>
  <c r="D337" i="1"/>
  <c r="D336" i="1"/>
  <c r="D335" i="1"/>
  <c r="D334" i="1"/>
  <c r="D333" i="1"/>
  <c r="D331" i="1"/>
  <c r="D330" i="1"/>
  <c r="D329" i="1"/>
  <c r="D328" i="1"/>
  <c r="D324" i="1"/>
  <c r="D322" i="1"/>
  <c r="D321" i="1"/>
  <c r="D320" i="1"/>
  <c r="D319" i="1"/>
  <c r="D318" i="1"/>
  <c r="D317" i="1"/>
  <c r="D316" i="1"/>
  <c r="D315" i="1"/>
  <c r="D311" i="1"/>
  <c r="D306" i="1"/>
  <c r="D310" i="1"/>
  <c r="D309" i="1"/>
  <c r="D308" i="1"/>
  <c r="D307" i="1"/>
  <c r="D147" i="1" l="1"/>
  <c r="C147" i="1"/>
  <c r="C145" i="1"/>
  <c r="D145" i="1"/>
  <c r="L121" i="1"/>
  <c r="L120" i="1"/>
  <c r="L119" i="1"/>
  <c r="G700" i="1"/>
  <c r="G699" i="1"/>
  <c r="G698" i="1"/>
  <c r="G697" i="1"/>
  <c r="I696" i="1"/>
  <c r="G696" i="1"/>
  <c r="G682" i="1"/>
  <c r="G681" i="1"/>
  <c r="G680" i="1"/>
  <c r="G679" i="1"/>
  <c r="I678" i="1"/>
  <c r="G678" i="1"/>
  <c r="G652" i="1"/>
  <c r="G651" i="1"/>
  <c r="G650" i="1"/>
  <c r="G649" i="1"/>
  <c r="G648" i="1"/>
  <c r="G647" i="1"/>
  <c r="I646" i="1"/>
  <c r="G646" i="1"/>
  <c r="G636" i="1"/>
  <c r="G635" i="1"/>
  <c r="G634" i="1"/>
  <c r="G633" i="1"/>
  <c r="G632" i="1"/>
  <c r="G631" i="1"/>
  <c r="I630" i="1"/>
  <c r="G630" i="1"/>
  <c r="G620" i="1"/>
  <c r="G619" i="1"/>
  <c r="G618" i="1"/>
  <c r="G617" i="1"/>
  <c r="G616" i="1"/>
  <c r="G615" i="1"/>
  <c r="I614" i="1"/>
  <c r="G614" i="1"/>
  <c r="G612" i="1"/>
  <c r="G611" i="1"/>
  <c r="G610" i="1"/>
  <c r="G609" i="1"/>
  <c r="G608" i="1"/>
  <c r="G607" i="1"/>
  <c r="I606" i="1"/>
  <c r="G606" i="1"/>
  <c r="G588" i="1"/>
  <c r="G585" i="1"/>
  <c r="G584" i="1"/>
  <c r="G583" i="1"/>
  <c r="I582" i="1"/>
  <c r="G582" i="1"/>
  <c r="I110" i="1"/>
  <c r="G147" i="1" l="1"/>
  <c r="D122" i="1"/>
  <c r="L115" i="1"/>
  <c r="L116" i="1" s="1"/>
  <c r="D115" i="1"/>
  <c r="D121" i="1"/>
  <c r="D119" i="1"/>
  <c r="D116" i="1"/>
  <c r="L114" i="1"/>
  <c r="C113" i="1" s="1"/>
  <c r="D120" i="1"/>
  <c r="D118" i="1"/>
  <c r="L113" i="1"/>
  <c r="L112" i="1"/>
  <c r="F3" i="1"/>
  <c r="D113" i="1" l="1"/>
  <c r="D117" i="1"/>
  <c r="L117" i="1"/>
  <c r="L118" i="1" s="1"/>
  <c r="C88" i="1"/>
  <c r="L122" i="1" l="1"/>
  <c r="G136" i="1"/>
  <c r="C114" i="1" l="1"/>
  <c r="H113" i="1" s="1"/>
  <c r="D221" i="1"/>
  <c r="D222" i="1"/>
  <c r="D223" i="1"/>
  <c r="F113" i="1" l="1"/>
  <c r="K109" i="1" s="1"/>
  <c r="C111" i="1" s="1"/>
  <c r="D114" i="1"/>
  <c r="G551" i="1"/>
  <c r="G548" i="1"/>
  <c r="G547" i="1"/>
  <c r="G546" i="1"/>
  <c r="G545" i="1"/>
  <c r="G544" i="1"/>
  <c r="G542" i="1"/>
  <c r="G541" i="1"/>
  <c r="G540" i="1"/>
  <c r="G539" i="1"/>
  <c r="G538" i="1"/>
  <c r="G537" i="1"/>
  <c r="G536" i="1"/>
  <c r="G535" i="1"/>
  <c r="G533" i="1"/>
  <c r="G532" i="1"/>
  <c r="G531" i="1"/>
  <c r="G529" i="1"/>
  <c r="G528" i="1"/>
  <c r="G527" i="1"/>
  <c r="G554" i="1"/>
  <c r="G524" i="1"/>
  <c r="G523" i="1"/>
  <c r="G522" i="1"/>
  <c r="G521" i="1"/>
  <c r="G520" i="1"/>
  <c r="G519" i="1"/>
  <c r="G518" i="1"/>
  <c r="G517" i="1"/>
  <c r="G515" i="1"/>
  <c r="G514" i="1"/>
  <c r="G513" i="1"/>
  <c r="G511" i="1"/>
  <c r="G510" i="1"/>
  <c r="G509" i="1"/>
  <c r="G504" i="1"/>
  <c r="G503" i="1"/>
  <c r="G502" i="1"/>
  <c r="G501" i="1"/>
  <c r="G499" i="1"/>
  <c r="K146" i="1"/>
  <c r="G560" i="1"/>
  <c r="G559" i="1"/>
  <c r="G558" i="1"/>
  <c r="G557" i="1"/>
  <c r="I553" i="1"/>
  <c r="G553" i="1"/>
  <c r="G550" i="1"/>
  <c r="G549" i="1"/>
  <c r="I544" i="1"/>
  <c r="I535" i="1"/>
  <c r="G530" i="1"/>
  <c r="I526" i="1"/>
  <c r="G526" i="1"/>
  <c r="I517" i="1"/>
  <c r="G512" i="1"/>
  <c r="I508" i="1"/>
  <c r="G508" i="1"/>
  <c r="G506" i="1"/>
  <c r="G505" i="1"/>
  <c r="G500" i="1"/>
  <c r="I499" i="1"/>
  <c r="G497" i="1"/>
  <c r="G496" i="1"/>
  <c r="G495" i="1"/>
  <c r="G494" i="1"/>
  <c r="G493" i="1"/>
  <c r="G492" i="1"/>
  <c r="G491" i="1"/>
  <c r="I490" i="1"/>
  <c r="G490" i="1"/>
  <c r="G488" i="1"/>
  <c r="G487" i="1"/>
  <c r="G486" i="1"/>
  <c r="G485" i="1"/>
  <c r="G484" i="1"/>
  <c r="G483" i="1"/>
  <c r="G482" i="1"/>
  <c r="G481" i="1"/>
  <c r="I474" i="1"/>
  <c r="I481" i="1"/>
  <c r="G452" i="1"/>
  <c r="G451" i="1"/>
  <c r="G450" i="1"/>
  <c r="I448" i="1"/>
  <c r="G448" i="1"/>
  <c r="G438" i="1"/>
  <c r="G440" i="1"/>
  <c r="G439" i="1"/>
  <c r="G462" i="1"/>
  <c r="G460" i="1"/>
  <c r="G436" i="1"/>
  <c r="G463" i="1"/>
  <c r="G461" i="1"/>
  <c r="I460" i="1"/>
  <c r="I436" i="1"/>
  <c r="G446" i="1"/>
  <c r="G445" i="1"/>
  <c r="G444" i="1"/>
  <c r="G443" i="1"/>
  <c r="I442" i="1"/>
  <c r="G442" i="1"/>
  <c r="G434" i="1"/>
  <c r="G433" i="1"/>
  <c r="G432" i="1"/>
  <c r="G431" i="1"/>
  <c r="I430" i="1"/>
  <c r="G430" i="1"/>
  <c r="D297" i="1"/>
  <c r="D296" i="1"/>
  <c r="D295" i="1"/>
  <c r="D294" i="1"/>
  <c r="D291" i="1"/>
  <c r="D290" i="1"/>
  <c r="D289" i="1"/>
  <c r="D288" i="1"/>
  <c r="D292" i="1"/>
  <c r="D287" i="1"/>
  <c r="D283" i="1"/>
  <c r="D282" i="1"/>
  <c r="D281" i="1"/>
  <c r="D280" i="1"/>
  <c r="D262" i="1"/>
  <c r="G262" i="1" s="1"/>
  <c r="D261" i="1"/>
  <c r="G261" i="1" s="1"/>
  <c r="D260" i="1"/>
  <c r="G260" i="1" s="1"/>
  <c r="D259" i="1"/>
  <c r="G259" i="1" s="1"/>
  <c r="D258" i="1"/>
  <c r="G258" i="1" s="1"/>
  <c r="I257" i="1"/>
  <c r="D257" i="1"/>
  <c r="G257" i="1" s="1"/>
  <c r="D269" i="1"/>
  <c r="G269" i="1" s="1"/>
  <c r="D268" i="1"/>
  <c r="G268" i="1" s="1"/>
  <c r="D267" i="1"/>
  <c r="G267" i="1" s="1"/>
  <c r="D266" i="1"/>
  <c r="G266" i="1" s="1"/>
  <c r="D265" i="1"/>
  <c r="G265" i="1" s="1"/>
  <c r="D264" i="1"/>
  <c r="G264" i="1" s="1"/>
  <c r="I264" i="1"/>
  <c r="D254" i="1"/>
  <c r="G254" i="1" s="1"/>
  <c r="D253" i="1"/>
  <c r="G253" i="1" s="1"/>
  <c r="D252" i="1"/>
  <c r="G252" i="1" s="1"/>
  <c r="D251" i="1"/>
  <c r="G251" i="1" s="1"/>
  <c r="D250" i="1"/>
  <c r="G250" i="1" s="1"/>
  <c r="D255" i="1"/>
  <c r="G255" i="1" s="1"/>
  <c r="I250" i="1"/>
  <c r="D271" i="1"/>
  <c r="D248" i="1"/>
  <c r="D247" i="1"/>
  <c r="D246" i="1"/>
  <c r="D245" i="1"/>
  <c r="D244" i="1"/>
  <c r="D243" i="1"/>
  <c r="D274" i="1"/>
  <c r="D273" i="1"/>
  <c r="D272" i="1"/>
  <c r="D239" i="1"/>
  <c r="D236" i="1"/>
  <c r="D238" i="1"/>
  <c r="D237" i="1"/>
  <c r="D234" i="1"/>
  <c r="D233" i="1"/>
  <c r="D232" i="1"/>
  <c r="D231" i="1"/>
  <c r="D230" i="1"/>
  <c r="D229" i="1"/>
  <c r="D220" i="1"/>
  <c r="D218" i="1"/>
  <c r="D217" i="1"/>
  <c r="D216" i="1"/>
  <c r="D215" i="1"/>
  <c r="D214" i="1"/>
  <c r="D213" i="1"/>
  <c r="D211" i="1"/>
  <c r="D210" i="1"/>
  <c r="D208" i="1"/>
  <c r="D207" i="1"/>
  <c r="D206" i="1"/>
  <c r="G206" i="1" s="1"/>
  <c r="D144" i="1" l="1"/>
  <c r="C144" i="1"/>
  <c r="C148" i="1" l="1"/>
  <c r="C149" i="1" s="1"/>
  <c r="D148" i="1"/>
  <c r="D149" i="1" s="1"/>
  <c r="L106" i="1"/>
  <c r="L105" i="1"/>
  <c r="L92" i="1"/>
  <c r="L91" i="1"/>
  <c r="L78" i="1"/>
  <c r="L77" i="1"/>
  <c r="I68" i="1"/>
  <c r="I82" i="1"/>
  <c r="L100" i="1" l="1"/>
  <c r="C99" i="1" s="1"/>
  <c r="L98" i="1"/>
  <c r="D107" i="1"/>
  <c r="D105" i="1"/>
  <c r="D103" i="1"/>
  <c r="D101" i="1"/>
  <c r="L99" i="1"/>
  <c r="D108" i="1"/>
  <c r="D106" i="1"/>
  <c r="D104" i="1"/>
  <c r="D102" i="1"/>
  <c r="L101" i="1"/>
  <c r="L102" i="1" s="1"/>
  <c r="L107" i="1" s="1"/>
  <c r="L86" i="1"/>
  <c r="C85" i="1" s="1"/>
  <c r="L84" i="1"/>
  <c r="D93" i="1"/>
  <c r="D89" i="1"/>
  <c r="L85" i="1"/>
  <c r="D94" i="1"/>
  <c r="D92" i="1"/>
  <c r="D90" i="1"/>
  <c r="D91" i="1"/>
  <c r="L87" i="1"/>
  <c r="L88" i="1" s="1"/>
  <c r="L93" i="1" s="1"/>
  <c r="D73" i="1"/>
  <c r="L71" i="1"/>
  <c r="D80" i="1"/>
  <c r="D78" i="1"/>
  <c r="D76" i="1"/>
  <c r="D74" i="1"/>
  <c r="L72" i="1"/>
  <c r="C71" i="1" s="1"/>
  <c r="L70" i="1"/>
  <c r="D79" i="1"/>
  <c r="D77" i="1"/>
  <c r="D75" i="1"/>
  <c r="L73" i="1"/>
  <c r="L74" i="1" s="1"/>
  <c r="L79" i="1" s="1"/>
  <c r="D85" i="1" l="1"/>
  <c r="D99" i="1"/>
  <c r="D88" i="1"/>
  <c r="D87" i="1"/>
  <c r="L75" i="1"/>
  <c r="L76" i="1" s="1"/>
  <c r="L103" i="1"/>
  <c r="L104" i="1" s="1"/>
  <c r="L89" i="1"/>
  <c r="L90" i="1" s="1"/>
  <c r="D71" i="1"/>
  <c r="L108" i="1" l="1"/>
  <c r="L80" i="1"/>
  <c r="C72" i="1" s="1"/>
  <c r="L94" i="1"/>
  <c r="C86" i="1" s="1"/>
  <c r="H85" i="1" s="1"/>
  <c r="D86" i="1" l="1"/>
  <c r="C100" i="1"/>
  <c r="H99" i="1" s="1"/>
  <c r="H71" i="1"/>
  <c r="F71" i="1"/>
  <c r="K67" i="1" s="1"/>
  <c r="D72" i="1"/>
  <c r="F85" i="1"/>
  <c r="K81" i="1" s="1"/>
  <c r="G15" i="5"/>
  <c r="B15" i="5" s="1"/>
  <c r="D6" i="5"/>
  <c r="C5" i="5"/>
  <c r="B11" i="5" s="1"/>
  <c r="G238" i="1"/>
  <c r="G237" i="1"/>
  <c r="D100" i="1" l="1"/>
  <c r="F99" i="1"/>
  <c r="K95" i="1" s="1"/>
  <c r="C97" i="1" s="1"/>
  <c r="D7" i="5"/>
  <c r="H15" i="5"/>
  <c r="B16" i="5" s="1"/>
  <c r="D11" i="5"/>
  <c r="L16" i="5"/>
  <c r="C20" i="5" s="1"/>
  <c r="L15" i="5"/>
  <c r="B20" i="5" s="1"/>
  <c r="B8" i="5"/>
  <c r="B10" i="5"/>
  <c r="B12" i="5"/>
  <c r="G16" i="5"/>
  <c r="C15" i="5" s="1"/>
  <c r="B9" i="5"/>
  <c r="H16" i="5"/>
  <c r="C16" i="5" s="1"/>
  <c r="I271" i="1"/>
  <c r="I236" i="1"/>
  <c r="G218" i="1"/>
  <c r="J15" i="5" l="1"/>
  <c r="B18" i="5" s="1"/>
  <c r="D9" i="5"/>
  <c r="J16" i="5"/>
  <c r="C18" i="5" s="1"/>
  <c r="M16" i="5"/>
  <c r="C21" i="5" s="1"/>
  <c r="M15" i="5"/>
  <c r="B21" i="5" s="1"/>
  <c r="D12" i="5"/>
  <c r="K16" i="5"/>
  <c r="C19" i="5" s="1"/>
  <c r="D10" i="5"/>
  <c r="K15" i="5"/>
  <c r="B19" i="5" s="1"/>
  <c r="I16" i="5"/>
  <c r="C17" i="5" s="1"/>
  <c r="I15" i="5"/>
  <c r="B17" i="5" s="1"/>
  <c r="D8" i="5"/>
  <c r="I206" i="1"/>
  <c r="I213" i="1"/>
  <c r="I220" i="1"/>
  <c r="I243" i="1"/>
  <c r="I229" i="1"/>
  <c r="I280" i="1"/>
  <c r="I294" i="1"/>
  <c r="I287" i="1"/>
  <c r="I306" i="1"/>
  <c r="I315" i="1"/>
  <c r="I324" i="1"/>
  <c r="I329" i="1" s="1"/>
  <c r="I333" i="1"/>
  <c r="I360" i="1"/>
  <c r="I342" i="1"/>
  <c r="I351" i="1"/>
  <c r="I370" i="1"/>
  <c r="I406" i="1"/>
  <c r="I379" i="1"/>
  <c r="I388" i="1"/>
  <c r="I397" i="1"/>
  <c r="I415" i="1"/>
  <c r="I424" i="1"/>
  <c r="I454" i="1"/>
  <c r="I717" i="1"/>
  <c r="I719" i="1"/>
  <c r="I723" i="1"/>
  <c r="C22" i="5" l="1"/>
  <c r="B22" i="5"/>
  <c r="D725" i="1"/>
  <c r="G725" i="1" s="1"/>
  <c r="D724" i="1"/>
  <c r="G724" i="1" s="1"/>
  <c r="D723" i="1"/>
  <c r="G723" i="1" s="1"/>
  <c r="D720" i="1"/>
  <c r="G720" i="1" s="1"/>
  <c r="D721" i="1"/>
  <c r="G721" i="1" s="1"/>
  <c r="D719" i="1"/>
  <c r="G719" i="1" s="1"/>
  <c r="D717" i="1"/>
  <c r="G717" i="1" s="1"/>
  <c r="G478" i="1" l="1"/>
  <c r="G479" i="1"/>
  <c r="G477" i="1"/>
  <c r="G458" i="1"/>
  <c r="G428" i="1"/>
  <c r="G457" i="1"/>
  <c r="G456" i="1"/>
  <c r="G455" i="1"/>
  <c r="G454" i="1"/>
  <c r="G426" i="1"/>
  <c r="G427" i="1"/>
  <c r="G425" i="1"/>
  <c r="G424" i="1"/>
  <c r="G422" i="1"/>
  <c r="G421" i="1"/>
  <c r="G420" i="1"/>
  <c r="G419" i="1"/>
  <c r="G415" i="1"/>
  <c r="G404" i="1"/>
  <c r="G403" i="1"/>
  <c r="G402" i="1"/>
  <c r="G401" i="1"/>
  <c r="G397" i="1"/>
  <c r="G395" i="1"/>
  <c r="G394" i="1"/>
  <c r="G393" i="1"/>
  <c r="G392" i="1"/>
  <c r="G388" i="1"/>
  <c r="G384" i="1"/>
  <c r="G411" i="1"/>
  <c r="G410" i="1"/>
  <c r="G383" i="1"/>
  <c r="G379" i="1"/>
  <c r="G406" i="1"/>
  <c r="G380" i="1"/>
  <c r="G386" i="1"/>
  <c r="G385" i="1"/>
  <c r="G382" i="1"/>
  <c r="G381" i="1"/>
  <c r="G413" i="1"/>
  <c r="G412" i="1"/>
  <c r="G409" i="1"/>
  <c r="G408" i="1"/>
  <c r="G407" i="1"/>
  <c r="G377" i="1"/>
  <c r="G376" i="1"/>
  <c r="G375" i="1"/>
  <c r="G374" i="1"/>
  <c r="G370" i="1"/>
  <c r="G358" i="1"/>
  <c r="G357" i="1"/>
  <c r="G356" i="1"/>
  <c r="G355" i="1"/>
  <c r="G351" i="1"/>
  <c r="G342" i="1"/>
  <c r="G349" i="1"/>
  <c r="G348" i="1"/>
  <c r="L348" i="1" s="1"/>
  <c r="K348" i="1" s="1"/>
  <c r="G347" i="1"/>
  <c r="G346" i="1"/>
  <c r="G345" i="1"/>
  <c r="G344" i="1"/>
  <c r="G343" i="1"/>
  <c r="G367" i="1"/>
  <c r="G366" i="1"/>
  <c r="G363" i="1"/>
  <c r="G362" i="1"/>
  <c r="G364" i="1"/>
  <c r="G361" i="1"/>
  <c r="G365" i="1"/>
  <c r="G360" i="1"/>
  <c r="G340" i="1"/>
  <c r="G339" i="1"/>
  <c r="G338" i="1"/>
  <c r="G337" i="1"/>
  <c r="G336" i="1"/>
  <c r="G335" i="1"/>
  <c r="G334" i="1"/>
  <c r="G333" i="1"/>
  <c r="G329" i="1"/>
  <c r="G331" i="1"/>
  <c r="G330" i="1"/>
  <c r="G328" i="1"/>
  <c r="G322" i="1"/>
  <c r="G321" i="1"/>
  <c r="G318" i="1"/>
  <c r="G319" i="1"/>
  <c r="G316" i="1"/>
  <c r="G315" i="1"/>
  <c r="G320" i="1"/>
  <c r="G317" i="1"/>
  <c r="G310" i="1"/>
  <c r="G309" i="1"/>
  <c r="G308" i="1"/>
  <c r="G307" i="1"/>
  <c r="G311" i="1"/>
  <c r="G292" i="1"/>
  <c r="G291" i="1"/>
  <c r="G290" i="1"/>
  <c r="G289" i="1"/>
  <c r="G288" i="1"/>
  <c r="G287" i="1"/>
  <c r="G297" i="1"/>
  <c r="G296" i="1"/>
  <c r="G295" i="1"/>
  <c r="G294" i="1"/>
  <c r="G283" i="1"/>
  <c r="G282" i="1"/>
  <c r="G281" i="1"/>
  <c r="G280" i="1"/>
  <c r="G230" i="1"/>
  <c r="G229" i="1"/>
  <c r="G234" i="1"/>
  <c r="G233" i="1"/>
  <c r="G232" i="1"/>
  <c r="G231" i="1"/>
  <c r="G247" i="1"/>
  <c r="G248" i="1"/>
  <c r="G246" i="1"/>
  <c r="G245" i="1"/>
  <c r="G244" i="1"/>
  <c r="G243" i="1"/>
  <c r="G272" i="1"/>
  <c r="G273" i="1"/>
  <c r="G274" i="1"/>
  <c r="G271" i="1"/>
  <c r="G239" i="1"/>
  <c r="G223" i="1"/>
  <c r="G222" i="1"/>
  <c r="G221" i="1"/>
  <c r="G236" i="1"/>
  <c r="G220" i="1"/>
  <c r="G216" i="1"/>
  <c r="G217" i="1"/>
  <c r="G215" i="1"/>
  <c r="G214" i="1"/>
  <c r="G213" i="1"/>
  <c r="G211" i="1"/>
  <c r="G210" i="1"/>
  <c r="G208" i="1"/>
  <c r="G207" i="1"/>
  <c r="G324" i="1" l="1"/>
  <c r="G306" i="1"/>
  <c r="G476" i="1"/>
  <c r="G146" i="1" s="1"/>
  <c r="G144" i="1" l="1"/>
  <c r="G145" i="1"/>
  <c r="G15" i="2"/>
  <c r="G16" i="2" s="1"/>
  <c r="C15" i="2" s="1"/>
  <c r="H15" i="2"/>
  <c r="B16" i="2" s="1"/>
  <c r="D6" i="2"/>
  <c r="C5" i="2"/>
  <c r="B12" i="2" s="1"/>
  <c r="D739" i="1"/>
  <c r="F7" i="1"/>
  <c r="G148" i="1" l="1"/>
  <c r="G149" i="1" s="1"/>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comments1.xml><?xml version="1.0" encoding="utf-8"?>
<comments xmlns="http://schemas.openxmlformats.org/spreadsheetml/2006/main">
  <authors>
    <author>SACHIN</author>
  </authors>
  <commentList>
    <comment ref="G153" authorId="0" shapeId="0">
      <text>
        <r>
          <rPr>
            <b/>
            <sz val="9"/>
            <color indexed="81"/>
            <rFont val="Tahoma"/>
            <family val="2"/>
          </rPr>
          <t>SACHIN:</t>
        </r>
        <r>
          <rPr>
            <sz val="9"/>
            <color indexed="81"/>
            <rFont val="Tahoma"/>
            <family val="2"/>
          </rPr>
          <t xml:space="preserve">
Give loading of 50% for A Category</t>
        </r>
      </text>
    </comment>
  </commentList>
</comments>
</file>

<file path=xl/sharedStrings.xml><?xml version="1.0" encoding="utf-8"?>
<sst xmlns="http://schemas.openxmlformats.org/spreadsheetml/2006/main" count="1583" uniqueCount="402">
  <si>
    <t xml:space="preserve">Valuation Report </t>
  </si>
  <si>
    <t>Date:</t>
  </si>
  <si>
    <t>CPC Name:</t>
  </si>
  <si>
    <t>Date Of Property Visit</t>
  </si>
  <si>
    <t>Name of the builder group</t>
  </si>
  <si>
    <t>Name of the builder company</t>
  </si>
  <si>
    <t>Name of the Project</t>
  </si>
  <si>
    <t>Name / No of the Building</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</si>
  <si>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</si>
  <si>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</si>
  <si>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</si>
  <si>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</si>
  <si>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</si>
  <si>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</si>
  <si>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</si>
  <si>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</si>
  <si>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</si>
  <si>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</si>
  <si>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</si>
  <si>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</si>
  <si>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</si>
  <si>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</si>
  <si>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</si>
  <si>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</si>
  <si>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</si>
  <si>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</si>
  <si>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</si>
  <si>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</si>
  <si>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</si>
  <si>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</si>
  <si>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</si>
  <si>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</si>
  <si>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</si>
  <si>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</si>
  <si>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</si>
  <si>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</si>
  <si>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</si>
  <si>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</si>
  <si>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</si>
  <si>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</si>
  <si>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</si>
  <si>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</si>
  <si>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</si>
  <si>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</si>
  <si>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</si>
  <si>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</si>
  <si>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</si>
  <si>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</si>
  <si>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</si>
  <si>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</si>
  <si>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</si>
  <si>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</si>
  <si>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</si>
  <si>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</si>
  <si>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</si>
  <si>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</si>
  <si>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</si>
  <si>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</si>
  <si>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</si>
  <si>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</si>
  <si>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</si>
  <si>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RCC</t>
  </si>
  <si>
    <t>Plaster</t>
  </si>
  <si>
    <t>Flooring</t>
  </si>
  <si>
    <t>Finishing</t>
  </si>
  <si>
    <t>Recommended Rates of the Property :</t>
  </si>
  <si>
    <t>Floor rise rate  Per Sq. Ft.</t>
  </si>
  <si>
    <t xml:space="preserve">Recommended rate of Parking </t>
  </si>
  <si>
    <t>Distressed valuation of the Property</t>
  </si>
  <si>
    <t>Building &amp; Wing</t>
  </si>
  <si>
    <t>Total Carpet Area</t>
  </si>
  <si>
    <t>Total Saleable Area</t>
  </si>
  <si>
    <t>A</t>
  </si>
  <si>
    <t>B</t>
  </si>
  <si>
    <t>Total</t>
  </si>
  <si>
    <t>Building details Floor Wise</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</si>
  <si>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</si>
  <si>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</si>
  <si>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</si>
  <si>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</si>
  <si>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</si>
  <si>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</si>
  <si>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</si>
  <si>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</si>
  <si>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</si>
  <si>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</si>
  <si>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</si>
  <si>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</si>
  <si>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</si>
  <si>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</si>
  <si>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</si>
  <si>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</si>
  <si>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</si>
  <si>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</si>
  <si>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</si>
  <si>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</si>
  <si>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</si>
  <si>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</si>
  <si>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</si>
  <si>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</si>
  <si>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</si>
  <si>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</si>
  <si>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</si>
  <si>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</si>
  <si>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</si>
  <si>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</si>
  <si>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</si>
  <si>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</si>
  <si>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</si>
  <si>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</si>
  <si>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</si>
  <si>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</si>
  <si>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</si>
  <si>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</si>
  <si>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</si>
  <si>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</si>
  <si>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</si>
  <si>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</si>
  <si>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</si>
  <si>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</si>
  <si>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</si>
  <si>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</si>
  <si>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</si>
  <si>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</si>
  <si>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</si>
  <si>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</si>
  <si>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</si>
  <si>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</si>
  <si>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</si>
  <si>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</si>
  <si>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</si>
  <si>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</si>
  <si>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</si>
  <si>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t>Excavation in process</t>
  </si>
  <si>
    <t>Excavation Completed</t>
  </si>
  <si>
    <t>Footing in Process</t>
  </si>
  <si>
    <t>Footing Completed</t>
  </si>
  <si>
    <t>Plinth in process</t>
  </si>
  <si>
    <t>Plinth completed</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</si>
  <si>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</si>
  <si>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</si>
  <si>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</si>
  <si>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</si>
  <si>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</si>
  <si>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</si>
  <si>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</si>
  <si>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</si>
  <si>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</si>
  <si>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</si>
  <si>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</si>
  <si>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</si>
  <si>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</si>
  <si>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</si>
  <si>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</si>
  <si>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</si>
  <si>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</si>
  <si>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</si>
  <si>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</si>
  <si>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</si>
  <si>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</si>
  <si>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</si>
  <si>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</si>
  <si>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</si>
  <si>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</si>
  <si>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</si>
  <si>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</si>
  <si>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</si>
  <si>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</si>
  <si>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Axis Sanpada</t>
  </si>
  <si>
    <t>M/s.Glider Buildcon Realtors Private Limited</t>
  </si>
  <si>
    <t>CTS No</t>
  </si>
  <si>
    <t xml:space="preserve">Mazgaon </t>
  </si>
  <si>
    <t>Rambhau Bhogale Marg</t>
  </si>
  <si>
    <t>Locality</t>
  </si>
  <si>
    <t>Mumbai</t>
  </si>
  <si>
    <t>Buyculla</t>
  </si>
  <si>
    <t>CHE/CTY/0480/E/337 (NEW)</t>
  </si>
  <si>
    <t xml:space="preserve">A Wing </t>
  </si>
  <si>
    <t>Ground Floor For Parking</t>
  </si>
  <si>
    <t xml:space="preserve">B Wing </t>
  </si>
  <si>
    <t>Basement 1 for Parking</t>
  </si>
  <si>
    <t>Basement 2 for Parking</t>
  </si>
  <si>
    <t>Basement 3 for Parking</t>
  </si>
  <si>
    <t>1st/(Podium 10) for Fitness Center, Amenities &amp; Refuge Area</t>
  </si>
  <si>
    <t>2nd Floor for Residential</t>
  </si>
  <si>
    <t>4BHK</t>
  </si>
  <si>
    <t>3BHK</t>
  </si>
  <si>
    <t>2BHK</t>
  </si>
  <si>
    <t>3rd to 7th, 9th, 10th Floor</t>
  </si>
  <si>
    <t>11th to 14th Floor</t>
  </si>
  <si>
    <t>30th Floor</t>
  </si>
  <si>
    <t>11th Floor</t>
  </si>
  <si>
    <t>28th, 30th &amp; 31st Floor</t>
  </si>
  <si>
    <t>12th to 14th, 16th to 21st, 23rd to 27th Floor</t>
  </si>
  <si>
    <t>44th to 49th &amp; 51st Floor</t>
  </si>
  <si>
    <t>32nd to 35th, 37th to 42nd Floor</t>
  </si>
  <si>
    <t>Ghodapdeo Cross Rd</t>
  </si>
  <si>
    <t>Slum</t>
  </si>
  <si>
    <t>About 900Km from Reay Road Railway Station</t>
  </si>
  <si>
    <t xml:space="preserve">Residential </t>
  </si>
  <si>
    <t xml:space="preserve">D Wing </t>
  </si>
  <si>
    <t>Lower Ground Floor</t>
  </si>
  <si>
    <t>Upper Ground Floor</t>
  </si>
  <si>
    <t>1st Floor For Fire Fighting Room</t>
  </si>
  <si>
    <t>2nd Floor For Fire Fighting Room</t>
  </si>
  <si>
    <t xml:space="preserve">G Wing </t>
  </si>
  <si>
    <t>Ground Floor for Residential &amp; Electric Room</t>
  </si>
  <si>
    <t>1BHK</t>
  </si>
  <si>
    <t>Rehab</t>
  </si>
  <si>
    <t>1st to 6th Floor</t>
  </si>
  <si>
    <t>7th Floor</t>
  </si>
  <si>
    <t>Mhada</t>
  </si>
  <si>
    <t>Basement 1st to 3rd for Parking</t>
  </si>
  <si>
    <t>1st to 9th Podium Floor for Parking</t>
  </si>
  <si>
    <t>Double height Lobby below on 1st Floor</t>
  </si>
  <si>
    <t>8th Floor (Part Refuge Area)</t>
  </si>
  <si>
    <t>Refuge Area</t>
  </si>
  <si>
    <t>15th Floor (Part Refuge Area)</t>
  </si>
  <si>
    <t>22nd Floor (Part Refuge Area)</t>
  </si>
  <si>
    <t>36th Floor (Part Refuge Area)</t>
  </si>
  <si>
    <t>29th Floor (Part Refuge Area)</t>
  </si>
  <si>
    <t>15th &amp; 22nd Floor (Part Refuge Area)</t>
  </si>
  <si>
    <t>50th Floor (Part Refuge Area)</t>
  </si>
  <si>
    <t>57th Floor (Part Refuge Area)</t>
  </si>
  <si>
    <t>43rd Floor (Part Refuge Area)</t>
  </si>
  <si>
    <t>31A Service Floor</t>
  </si>
  <si>
    <t>Fire Check Floor between 10th &amp; 11th Floor</t>
  </si>
  <si>
    <t>Service Floor between 10th &amp; 11th Floor</t>
  </si>
  <si>
    <t>Fire Check Floor between 28th &amp; 29th Floor</t>
  </si>
  <si>
    <t>Service Floor between 28th &amp; 29th Floor</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</si>
  <si>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</si>
  <si>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</si>
  <si>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</si>
  <si>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</si>
  <si>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</si>
  <si>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</si>
  <si>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</si>
  <si>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</si>
  <si>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</si>
  <si>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</si>
  <si>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</si>
  <si>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</si>
  <si>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</si>
  <si>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</si>
  <si>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</si>
  <si>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</si>
  <si>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</si>
  <si>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</si>
  <si>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</si>
  <si>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</si>
  <si>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</si>
  <si>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</si>
  <si>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</si>
  <si>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Proposed no of Floors</t>
  </si>
  <si>
    <t>CHE/CTY/0480/E/337(NEW)/FCC/8/Amend
Valid Up to: This C.C. is further extended for full C.C. ie upto 72nd upper floors including LMR + OHT of wing ‘B’ as per last approved amended plans dated 13.08.2021 .</t>
  </si>
  <si>
    <t>16th to 20th Floor</t>
  </si>
  <si>
    <t>21st Floor</t>
  </si>
  <si>
    <t>24th to 28th Floor</t>
  </si>
  <si>
    <t>23rd Floor</t>
  </si>
  <si>
    <t>30th to 35th, 37th to 41st Floor</t>
  </si>
  <si>
    <t>52nd Floor</t>
  </si>
  <si>
    <t>53rd to 56th Floor</t>
  </si>
  <si>
    <t>59th to 63rd, 66th to 70th Floor</t>
  </si>
  <si>
    <t>71st Floor (Part Refuge Area)</t>
  </si>
  <si>
    <t>64th Floor (Part Refuge Area)</t>
  </si>
  <si>
    <t>3rd to 7th, 10th Floor</t>
  </si>
  <si>
    <t xml:space="preserve">Entrance Lobby </t>
  </si>
  <si>
    <t>9th Floor</t>
  </si>
  <si>
    <t>16th &amp; 23rd Floor</t>
  </si>
  <si>
    <t>17th to 21st, 24th to 25th Floor</t>
  </si>
  <si>
    <t>26th to 28th, 31st to 35th Floor</t>
  </si>
  <si>
    <t>37th &amp; 44th Floor</t>
  </si>
  <si>
    <t>Mr.Ashish Jain - 9819440834</t>
  </si>
  <si>
    <t>C1</t>
  </si>
  <si>
    <t xml:space="preserve">C1 Wing </t>
  </si>
  <si>
    <t>5BHK</t>
  </si>
  <si>
    <t>Charges towards MGL connection</t>
  </si>
  <si>
    <t>Sanket</t>
  </si>
  <si>
    <t>Cost sheet</t>
  </si>
  <si>
    <t>Legal Charges ₹ 25,000 ₹ 4,500</t>
  </si>
  <si>
    <t>Society / Condominium Formation Charges ₹ 5,000 ₹ 900</t>
  </si>
  <si>
    <t>Electric &amp; Water Connection Charges ₹ 50,000 ₹ 9,000</t>
  </si>
  <si>
    <t>Charges towards MGL connection ₹ 20,000 ₹ 3,600</t>
  </si>
  <si>
    <t>Deposit for Electrical Meter of Substation ₹ 8,000 ₹ 1,440</t>
  </si>
  <si>
    <t>Proportionate Share of charges for Electrical receiving and substation ₹ 36,122 ₹ 6,502</t>
  </si>
  <si>
    <t>Share Application Money</t>
  </si>
  <si>
    <t>Society / Condominium Formation Charges</t>
  </si>
  <si>
    <t>Electric &amp; Water Connection Charges</t>
  </si>
  <si>
    <t>Deposit for Electrical Meter of Substation</t>
  </si>
  <si>
    <t>Proportionate Share of charges for Electrical and substation</t>
  </si>
  <si>
    <t>Asmi</t>
  </si>
  <si>
    <t>Office No. 1031, Wing J, Akshar Business Park, Plot No. 03 Sector 25, Near APMC Market, 
Vashi, Navi Mumbai, Maharashtra 400703 TEL: 022-46090378/79/8
E mail : vsjcapf@gmail.com. Web site : www.vsjadon.com</t>
  </si>
  <si>
    <t>Piramal Aranya</t>
  </si>
  <si>
    <t>Location Link</t>
  </si>
  <si>
    <t>https://goo.gl/maps/9CcTe5hATMNRkC4w8?coh=178572&amp;entry=tt</t>
  </si>
  <si>
    <t>4 Wings</t>
  </si>
  <si>
    <t xml:space="preserve">C2 Wing </t>
  </si>
  <si>
    <t>Wing A, B, C1 &amp; C2</t>
  </si>
  <si>
    <t>CHE/CTY/0480/E/337(NEW)/FCC/12/Amend
Valid Up to:This C.C. is re-endorsed for Wing A, Wing B, Wing C1 &amp; C2 and further extended of wing ‘B’ up-to 72nd floors i.e. full C.C. of wing ‘B’ including LMR + OHT as per last approved amended plans dated 13.08.2021.</t>
  </si>
  <si>
    <t>CHE/CTY/0480/E/337(NEW)/FCC/16/Amend
Valid Up to: This CC is re-endorsed and further extended up to 45th floors top slab level of Wing C1 and 26th floors top slab level of Wing C2 as per last amended plans dated 29.05. 2023</t>
  </si>
  <si>
    <t>CHE/CTY/0480/E/337(NEW)/OCC/3/New
Approved upto : Part Occupation Certificate i.e. full occupation for Wing A comprising of part 3 level common basements for parking (CPL) and utility + common ground floor / partly stilts (for car parking &amp; services) + 1st to 9th podium floor for parking (CPL) + 10th/1st floor partly for podium and amenities and services + 2nd to 41st habitable residential floors + terrace with height 179.675 mt. i.e. full occupation including LMR &amp; OHT</t>
  </si>
  <si>
    <t>3rd to 7th, 9th &amp; 10th Floor</t>
  </si>
  <si>
    <t>58th, 65th Floor</t>
  </si>
  <si>
    <t>10.5BHK Duplex with 72nd Floor</t>
  </si>
  <si>
    <t>6.5BHK Duplex with 72nd Floor</t>
  </si>
  <si>
    <t>12BHK Duplex with 72nd Floor</t>
  </si>
  <si>
    <t>10.5BHK Duplex with 71st Floor</t>
  </si>
  <si>
    <t>72nd Floor</t>
  </si>
  <si>
    <t>6.5BHK Duplex with 71st Floor</t>
  </si>
  <si>
    <t>12BHK Duplex with 71st Floor</t>
  </si>
  <si>
    <t>8th Floor</t>
  </si>
  <si>
    <t>5th Floor (Refuge Area)</t>
  </si>
  <si>
    <t>10th, 11th &amp; 13th to 17th Floor</t>
  </si>
  <si>
    <t>18th, 20th to 22nd Floor</t>
  </si>
  <si>
    <t>23rd to 25th, 27th to 32nd Floor</t>
  </si>
  <si>
    <t>12th Floor (Refuge Area)</t>
  </si>
  <si>
    <t>19th Floor (Refuge Area)</t>
  </si>
  <si>
    <t>26th Floor (Refuge Area)</t>
  </si>
  <si>
    <t>C2</t>
  </si>
  <si>
    <t>38th to 42nd, 45th Floor</t>
  </si>
  <si>
    <t xml:space="preserve">Wing B (Arav) = B1 to B3 + St/Gr. + P1 to P9 + P10/1st Floor to 72nd Floor.
</t>
  </si>
  <si>
    <t>Wing A (Avyam) = B1 to B3 + St/Gr. + P1 to P9 + P10/1st Floor to 41st Floor</t>
  </si>
  <si>
    <t>Layout Plan:</t>
  </si>
  <si>
    <t>Mazgaon Apartment</t>
  </si>
  <si>
    <t>110/- from 1st Habitual Floor</t>
  </si>
  <si>
    <t>Development Charges</t>
  </si>
  <si>
    <t>31K to 33K &amp; other charges oF 5L &amp; 110 Floor rise</t>
  </si>
  <si>
    <t>smith</t>
  </si>
  <si>
    <t>cost sheet</t>
  </si>
  <si>
    <t>Other Charges</t>
  </si>
  <si>
    <t>Contact Details ( Name &amp; Contact No.)</t>
  </si>
  <si>
    <t>Site Meet Person Contact Details ( Name &amp; Contact No.)</t>
  </si>
  <si>
    <t>Documents Provided</t>
  </si>
  <si>
    <t>18.9800782,72.8391668</t>
  </si>
  <si>
    <t>Mr. Karan Misal</t>
  </si>
  <si>
    <t>A Wing - B1 to B3 + St/Gr. + P1 to P9 + P10/1st Floor to 41st Floor.
B Wing - B1 to B3 + St/Gr. + P1 to P9 + P10/1st Floor to 72nd Floor.
C1 Wing - B1 to B3 + Gr. + P1 to P9 + P10/1st Floor to 45th Floor.
C2 Wing - B1 to B3 + Gr. + P1 to P3 + 1st Floor to 52nd Floor.</t>
  </si>
  <si>
    <t>14. We have updated the proposed No. of Floors of Wing C1 &amp; C2 as per the architect certificate &amp; the latest OC plans from the MCGM site.</t>
  </si>
  <si>
    <t>CHE/CTY/0480/E/337(NEW)/FCC/17/Amend
Valid Up to: This CC is extended up to 50th floor top slab level including LMR and OHT of wing C2 (Excluding construction of commercial structures on Lower Ground floor, Ground floor and 2nd podium floor) as per last amended plans dated 13.03.2025.</t>
  </si>
  <si>
    <t>CHE/CTY/0480/E/337(NEW)/337/21/Amend</t>
  </si>
  <si>
    <t>CHE/CTY/0480/E/337(NEW)/OCC/4/New
Approved upto : part occupation certificate for wing B comprising of 3 level Basements for parking (CPL) &amp; utility purpose + part common ground floor on stilt (for car parking &amp; services) + part 1st to 9th podium floor for parking (CPL) + part common podium P10 floor, part open to sky RG &amp; 1st amenity floor of wing B (for amenities &amp; services) wing B having 2nd to 71st upper residential floors + terrace including LMR &amp; OHT</t>
  </si>
  <si>
    <t>Wing C1 = 28/08/2027
Wing C2 = 31/12/2027
Wing B = Completed
Wing A = Completed</t>
  </si>
  <si>
    <t>All work completed. OC Received upto 71st Floor.</t>
  </si>
  <si>
    <t xml:space="preserve">Part O. Certificate No.: </t>
  </si>
  <si>
    <t>3rd, 4th &amp; 6th, 7th Floor</t>
  </si>
  <si>
    <t>34th Floor</t>
  </si>
  <si>
    <t>35th to 37th Floor</t>
  </si>
  <si>
    <t>43rd to 46th, 48th to 50th Floor</t>
  </si>
  <si>
    <t>38th, 39th, 41st &amp; 42nd Floor</t>
  </si>
  <si>
    <t>33rd Floor (Refuge Area)</t>
  </si>
  <si>
    <t>40th Floor (Refuge Area)</t>
  </si>
  <si>
    <t>47th Floor (Part Refuge Area)</t>
  </si>
  <si>
    <t xml:space="preserve">Details of Commercial in Building   </t>
  </si>
  <si>
    <t>Office</t>
  </si>
  <si>
    <t>8th, 15th, 22nd, 29th &amp; 36th Floor (Part Refuge Area)</t>
  </si>
  <si>
    <t xml:space="preserve">C1 + C2 Wing </t>
  </si>
  <si>
    <t>1st Floor For Commercial, Entrance Lobby, Multipurpose Hall, &amp; Parking</t>
  </si>
  <si>
    <t>Shop</t>
  </si>
  <si>
    <t xml:space="preserve">Details of Residential in Building   </t>
  </si>
  <si>
    <t>Ground Floor For Commercial, Service Area &amp; Parking</t>
  </si>
  <si>
    <t>Commercial Area Details :</t>
  </si>
  <si>
    <t>Wing C1 + C2 Shops</t>
  </si>
  <si>
    <t>Wing C1 + C2 Offices</t>
  </si>
  <si>
    <t xml:space="preserve">Total </t>
  </si>
  <si>
    <t>Grand Total</t>
  </si>
  <si>
    <t>Flats = 1333, Shops = 05, Offices = 18</t>
  </si>
  <si>
    <t xml:space="preserve">Quality of construction: </t>
  </si>
  <si>
    <t>Projected life of the structure:</t>
  </si>
  <si>
    <t>60 Years After Completion</t>
  </si>
  <si>
    <t xml:space="preserve">Material laying at Site: </t>
  </si>
  <si>
    <t>Bricks, Cement &amp; Steel etc.</t>
  </si>
  <si>
    <t xml:space="preserve">Violations Observed if any : </t>
  </si>
  <si>
    <t xml:space="preserve">Proposed Amenities : </t>
  </si>
  <si>
    <t xml:space="preserve">Wheather the construction is as per approved Building plan : </t>
  </si>
  <si>
    <t>Under Construction.</t>
  </si>
  <si>
    <t xml:space="preserve">Active / Yoga Lawn, Lap Pool, Leisure / Family Pool, Active Plaza, Events Lawn, Kids Zone / Play Area, Outdoor Café / Barbeque, Cabana, Outdoor Gymnasium, Jogging Track, Pet Park, Picnic Area, Residence Plaza, Kids Pool
</t>
  </si>
  <si>
    <t xml:space="preserve">Dated 
Valid upto date: </t>
  </si>
  <si>
    <t>16/09/2021
25/02/2022.</t>
  </si>
  <si>
    <t xml:space="preserve">Dated
Valid upto date: </t>
  </si>
  <si>
    <t>02/09/2021
15/09/2022</t>
  </si>
  <si>
    <t xml:space="preserve">Dated
Valid Upto Date: </t>
  </si>
  <si>
    <t>10/07/2023
17/06/2024</t>
  </si>
  <si>
    <t>Dated
Valid Upto Date:</t>
  </si>
  <si>
    <t>28/04/2025
17/06/2025</t>
  </si>
  <si>
    <t xml:space="preserve">Approved Floor plan No.  For Wing A &amp; B </t>
  </si>
  <si>
    <t>Approved Floor plan No.  For Wing C1 &amp; C2</t>
  </si>
  <si>
    <t>Approved area of the building in Sq.Mt
For Wing A, B, C1 &amp; C2</t>
  </si>
  <si>
    <t>Recommended rate of the flat Per Sq. Ft. (on Saleable area)</t>
  </si>
  <si>
    <t>Recommended rate of the Shop Per Sq. Ft. (on Saleable area)</t>
  </si>
  <si>
    <t>Recommended rate of the Office Per Sq. Ft. (on Saleable area)</t>
  </si>
  <si>
    <t>Flats = 1333, Shops = 05, Offices = 33</t>
  </si>
  <si>
    <t>2nd Floor For Commercial, Fitness Centre Below</t>
  </si>
  <si>
    <t>1st &amp; 2nd Floor For Commercial</t>
  </si>
  <si>
    <t>3rd to 9th Podium Floor for Parking</t>
  </si>
  <si>
    <t>1st &amp; 2nd Podium Floor for Commercial &amp; Parking</t>
  </si>
  <si>
    <t xml:space="preserve">A Wing - B1 to B3 + St/Gr. + P1 to P9 + P10/1st Floor to 41st Floor.
B Wing - B1 to B3 + St/Gr. + P1 to P9 + P10/1st Floor to 72nd Floor.
C1 Wing - B1 to B3 + Gr. + P1 to P9 + P10/1st Floor to 45th Floor.
C2 Wing - B1 to B3 + Gr. + P1 to P3 + 1st Floor to 50th Floor.
</t>
  </si>
  <si>
    <t>Wing A (Avyam) - P51900003324 
Wing B (Arav) - P51900018039
Wing C1 (Core 1) - P51900020330
Wing C2 (Ahan 2) - P51900051735</t>
  </si>
  <si>
    <t xml:space="preserve">Wing C1 (Core 1) = B1 to B3 + Gr. + P1 to P9 + P10/1st Floor to 45th Floor.
</t>
  </si>
  <si>
    <t>Remark No. 12:</t>
  </si>
  <si>
    <t>Wing C1 Name changed Aham to Core 1 by samjay on 03/06/2025</t>
  </si>
  <si>
    <t xml:space="preserve">Wing C2 (Ahan 2) = B1 to B3 + Gr. + P1 to P3 + 1st Floor to 52nd Floor.
</t>
  </si>
  <si>
    <t>Pooja Kawale</t>
  </si>
  <si>
    <r>
      <t xml:space="preserve">1. A Wing = All work Completed. OC Received.
    B Wing = All work Completed. Part OC received (Upto 71st Floor).
    C1 &amp; C2 Wing = Construction work was in process at the time of visit. Internal visit was not allowed.
2. We considered Saleable area as per our calculation.
3. We considered Carpet area as per Approved Plan.
4. We considered Gross carpet area = Net carpet + Balcony Area.
5. We have considered rate by verifying it from market inquire.
6. We have considered Other charges from cost sheet.
7. Car parking is subjected to authentic documentation.
8. Recommended rate should be considered as all inclusive rate if other charges are not mentioned. (Excluding GST &amp; other government Taxes)
9. We have updated revised approved floor plan of Wing A &amp; B (on 25/10/2023).
10. Recommended Rates of the Property have been revised on 28/10/2023.
11. We have considered proposed No. of Floor for Stage Calculation.
12. We have change proposed structure of Wing C1 (Core 1) &amp; C2 (Ahan 2) according to architect letter &amp; revised approved OC Plans. Architecture Report attached below.
13. We have updated latest CC from MCGM site (On 20/05/2025).
14. We have updated Part OC for Wing B from MCGM site (On 31/05/2025).
15. We have updated revised approved plans for Wing C1 &amp; C2 from MCGM site (on 31/05/2025).
</t>
    </r>
    <r>
      <rPr>
        <b/>
        <sz val="12"/>
        <color rgb="FFFF0000"/>
        <rFont val="Times New Roman"/>
        <family val="1"/>
      </rPr>
      <t>16. Validity of CC is expired on 17/06/2025. Please provide revised CC for Wing C2.</t>
    </r>
    <r>
      <rPr>
        <b/>
        <sz val="12"/>
        <rFont val="Times New Roman"/>
        <family val="1"/>
      </rPr>
      <t xml:space="preserve">
Details are collected from  Mr.Yashveer - 8591166956.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</si>
</sst>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 #,##0_ ;_ * \-#,##0_ ;_ * &quot;-&quot;??_ ;_ @_ "/>
  </numFmts>
  <fonts count="24"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
      <sz val="12"/>
      <color rgb="FFFF0000"/>
      <name val="Times New Roman"/>
      <family val="1"/>
    </font>
    <font>
      <b/>
      <sz val="9"/>
      <color indexed="81"/>
      <name val="Tahoma"/>
      <family val="2"/>
    </font>
    <font>
      <sz val="9"/>
      <color indexed="81"/>
      <name val="Tahoma"/>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5"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9" fillId="0" borderId="0" applyNumberFormat="0" applyFill="0" applyBorder="0" applyAlignment="0" applyProtection="0"/>
  </cellStyleXfs>
  <cellXfs count="228">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1"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0" fontId="15" fillId="0" borderId="0" xfId="0" applyFont="1"/>
    <xf numFmtId="1" fontId="13" fillId="0" borderId="4"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16" fillId="3" borderId="4" xfId="0" applyNumberFormat="1" applyFont="1" applyFill="1" applyBorder="1" applyAlignment="1">
      <alignment horizontal="center"/>
    </xf>
    <xf numFmtId="1" fontId="7" fillId="0" borderId="4" xfId="0" applyNumberFormat="1" applyFont="1" applyBorder="1" applyAlignment="1">
      <alignment horizontal="center" vertical="center"/>
    </xf>
    <xf numFmtId="0" fontId="7" fillId="0" borderId="0" xfId="1" applyFont="1" applyProtection="1">
      <protection hidden="1"/>
    </xf>
    <xf numFmtId="0" fontId="13" fillId="0" borderId="4" xfId="1" applyFont="1" applyBorder="1" applyAlignment="1" applyProtection="1">
      <alignment horizontal="center" vertical="top"/>
      <protection locked="0"/>
    </xf>
    <xf numFmtId="0" fontId="16" fillId="0" borderId="0" xfId="0" applyFont="1" applyProtection="1">
      <protection hidden="1"/>
    </xf>
    <xf numFmtId="1" fontId="0" fillId="0" borderId="0" xfId="0" applyNumberFormat="1"/>
    <xf numFmtId="1" fontId="0" fillId="0" borderId="0" xfId="0" applyNumberFormat="1" applyAlignment="1">
      <alignment horizontal="right"/>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14"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21" xfId="1" applyFont="1" applyBorder="1" applyAlignment="1" applyProtection="1">
      <alignment horizontal="center" wrapText="1"/>
      <protection locked="0"/>
    </xf>
    <xf numFmtId="1" fontId="7" fillId="0" borderId="0" xfId="1" applyNumberFormat="1" applyFont="1" applyAlignment="1">
      <alignment horizontal="center" vertical="center"/>
    </xf>
    <xf numFmtId="165" fontId="7" fillId="0" borderId="0" xfId="1" applyNumberFormat="1" applyFont="1"/>
    <xf numFmtId="0" fontId="7" fillId="3" borderId="0" xfId="1" applyFont="1" applyFill="1"/>
    <xf numFmtId="14" fontId="7" fillId="3" borderId="0" xfId="1" applyNumberFormat="1" applyFont="1" applyFill="1"/>
    <xf numFmtId="14" fontId="16" fillId="0" borderId="0" xfId="0" applyNumberFormat="1" applyFont="1"/>
    <xf numFmtId="0" fontId="8" fillId="2" borderId="4" xfId="1" applyFont="1" applyFill="1" applyBorder="1" applyAlignment="1">
      <alignment horizontal="left" vertical="top"/>
    </xf>
    <xf numFmtId="14" fontId="7" fillId="0" borderId="0" xfId="1" applyNumberFormat="1" applyFont="1"/>
    <xf numFmtId="0" fontId="20" fillId="3" borderId="0" xfId="0" applyFont="1" applyFill="1"/>
    <xf numFmtId="0" fontId="13" fillId="0" borderId="11" xfId="1" applyFont="1" applyBorder="1" applyAlignment="1" applyProtection="1">
      <alignment horizontal="center" wrapText="1"/>
      <protection locked="0"/>
    </xf>
    <xf numFmtId="9" fontId="14" fillId="0" borderId="26" xfId="4" applyFont="1" applyFill="1" applyBorder="1" applyAlignment="1" applyProtection="1">
      <alignment horizontal="center" vertical="top" wrapText="1"/>
      <protection locked="0"/>
    </xf>
    <xf numFmtId="1" fontId="10" fillId="0" borderId="4" xfId="0" applyNumberFormat="1" applyFont="1" applyBorder="1" applyAlignment="1">
      <alignment horizontal="center" vertical="center"/>
    </xf>
    <xf numFmtId="0" fontId="6" fillId="2" borderId="4" xfId="1" applyFont="1" applyFill="1" applyBorder="1" applyAlignment="1">
      <alignment horizontal="left" vertical="top" wrapText="1"/>
    </xf>
    <xf numFmtId="1" fontId="7" fillId="0" borderId="0" xfId="0" applyNumberFormat="1" applyFont="1" applyAlignment="1">
      <alignment horizontal="center" vertical="center"/>
    </xf>
    <xf numFmtId="1" fontId="6" fillId="0" borderId="4" xfId="1" applyNumberFormat="1" applyFont="1" applyBorder="1" applyAlignment="1">
      <alignment horizontal="center" vertical="center" wrapText="1"/>
    </xf>
    <xf numFmtId="1" fontId="13" fillId="0" borderId="4" xfId="1" applyNumberFormat="1" applyFont="1" applyBorder="1" applyAlignment="1">
      <alignment horizontal="center" vertical="center" wrapText="1"/>
    </xf>
    <xf numFmtId="1" fontId="6" fillId="0" borderId="4" xfId="1" applyNumberFormat="1" applyFont="1" applyBorder="1" applyAlignment="1">
      <alignment horizontal="center" vertical="center" wrapText="1"/>
    </xf>
    <xf numFmtId="1" fontId="6" fillId="0" borderId="0" xfId="1" applyNumberFormat="1" applyFont="1" applyAlignment="1">
      <alignment horizontal="center" vertical="center"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1" fontId="8" fillId="0" borderId="0" xfId="1" applyNumberFormat="1" applyFont="1" applyAlignment="1">
      <alignment horizontal="left" vertical="center" wrapText="1"/>
    </xf>
    <xf numFmtId="1" fontId="8" fillId="0" borderId="4" xfId="1" applyNumberFormat="1" applyFont="1" applyBorder="1" applyAlignment="1">
      <alignment horizontal="center" vertical="center" wrapText="1"/>
    </xf>
    <xf numFmtId="1" fontId="13" fillId="0" borderId="4" xfId="1" applyNumberFormat="1" applyFont="1" applyBorder="1" applyAlignment="1">
      <alignment horizontal="center" vertical="center"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4" xfId="1" applyFont="1" applyBorder="1" applyAlignment="1">
      <alignment horizontal="left" vertical="top"/>
    </xf>
    <xf numFmtId="0" fontId="19" fillId="0" borderId="1" xfId="6" applyFill="1" applyBorder="1" applyAlignment="1">
      <alignment horizontal="left"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164" fontId="6" fillId="0" borderId="4" xfId="1" applyNumberFormat="1" applyFont="1" applyBorder="1" applyAlignment="1">
      <alignment horizontal="left" vertical="top"/>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13"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6" fillId="2" borderId="4" xfId="1" applyFont="1" applyFill="1" applyBorder="1" applyAlignment="1">
      <alignment horizontal="left" vertical="top"/>
    </xf>
    <xf numFmtId="0" fontId="6" fillId="0" borderId="6" xfId="1" applyFont="1" applyBorder="1" applyAlignment="1">
      <alignment horizontal="left" vertical="top" wrapText="1"/>
    </xf>
    <xf numFmtId="0" fontId="6" fillId="0" borderId="10" xfId="1" applyFont="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8" fillId="0" borderId="4" xfId="1" applyFont="1" applyBorder="1" applyAlignment="1">
      <alignment horizontal="left" vertical="top"/>
    </xf>
    <xf numFmtId="164" fontId="6" fillId="0" borderId="4" xfId="1" applyNumberFormat="1" applyFont="1" applyBorder="1" applyAlignment="1">
      <alignment horizontal="left" vertical="top" wrapText="1"/>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3" fillId="0" borderId="4" xfId="1" applyFont="1" applyBorder="1" applyAlignment="1">
      <alignment horizontal="left"/>
    </xf>
    <xf numFmtId="0" fontId="6" fillId="0" borderId="4"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165" fontId="8" fillId="2" borderId="4" xfId="5" applyNumberFormat="1" applyFont="1" applyFill="1" applyBorder="1" applyAlignment="1">
      <alignment horizontal="left" vertical="top"/>
    </xf>
    <xf numFmtId="9" fontId="13" fillId="2" borderId="4" xfId="1" applyNumberFormat="1" applyFont="1" applyFill="1" applyBorder="1" applyAlignment="1" applyProtection="1">
      <alignment horizontal="center" vertical="center" wrapText="1"/>
      <protection hidden="1"/>
    </xf>
    <xf numFmtId="14" fontId="7" fillId="0" borderId="4" xfId="1" applyNumberFormat="1" applyFont="1" applyBorder="1" applyAlignment="1">
      <alignment horizontal="left" vertical="top" wrapText="1"/>
    </xf>
    <xf numFmtId="0" fontId="13" fillId="0" borderId="4" xfId="1" applyFont="1" applyBorder="1" applyAlignment="1" applyProtection="1">
      <alignment horizontal="center" vertical="top" wrapText="1"/>
      <protection locked="0"/>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8" fillId="0" borderId="1" xfId="1" applyFont="1" applyBorder="1" applyAlignment="1">
      <alignment horizontal="left" vertical="top" wrapText="1"/>
    </xf>
    <xf numFmtId="0" fontId="8" fillId="0" borderId="3" xfId="1" applyFont="1" applyBorder="1" applyAlignment="1">
      <alignment horizontal="left" vertical="top" wrapText="1"/>
    </xf>
    <xf numFmtId="165" fontId="6" fillId="2" borderId="4" xfId="5" applyNumberFormat="1" applyFont="1" applyFill="1" applyBorder="1" applyAlignment="1">
      <alignment horizontal="left" vertical="top"/>
    </xf>
    <xf numFmtId="1" fontId="6" fillId="0" borderId="4" xfId="0" applyNumberFormat="1" applyFont="1" applyBorder="1" applyAlignment="1">
      <alignment horizontal="center" vertical="center" wrapText="1"/>
    </xf>
    <xf numFmtId="1" fontId="8" fillId="0" borderId="4" xfId="0" applyNumberFormat="1" applyFont="1" applyBorder="1" applyAlignment="1">
      <alignment horizontal="center" vertical="top" wrapText="1"/>
    </xf>
    <xf numFmtId="1" fontId="6" fillId="0" borderId="4" xfId="0" applyNumberFormat="1" applyFont="1" applyBorder="1" applyAlignment="1">
      <alignment horizontal="center" vertical="top" wrapText="1"/>
    </xf>
    <xf numFmtId="165" fontId="6" fillId="2" borderId="1" xfId="5" applyNumberFormat="1" applyFont="1" applyFill="1" applyBorder="1" applyAlignment="1">
      <alignment horizontal="left" vertical="top"/>
    </xf>
    <xf numFmtId="165" fontId="6" fillId="2" borderId="2" xfId="5" applyNumberFormat="1" applyFont="1" applyFill="1" applyBorder="1" applyAlignment="1">
      <alignment horizontal="left" vertical="top"/>
    </xf>
    <xf numFmtId="165" fontId="6" fillId="2" borderId="3" xfId="5" applyNumberFormat="1" applyFont="1" applyFill="1" applyBorder="1" applyAlignment="1">
      <alignment horizontal="left" vertical="top"/>
    </xf>
    <xf numFmtId="0" fontId="10" fillId="0" borderId="4" xfId="0" applyFont="1" applyBorder="1" applyAlignment="1">
      <alignment horizontal="center" vertical="top" wrapText="1"/>
    </xf>
    <xf numFmtId="1" fontId="7" fillId="0" borderId="4" xfId="0" applyNumberFormat="1" applyFont="1" applyBorder="1" applyAlignment="1">
      <alignment horizontal="center" vertical="top" wrapText="1"/>
    </xf>
    <xf numFmtId="1" fontId="8" fillId="0" borderId="4" xfId="0" applyNumberFormat="1" applyFont="1" applyBorder="1" applyAlignment="1">
      <alignment horizontal="center" vertical="center" wrapText="1"/>
    </xf>
    <xf numFmtId="1" fontId="14" fillId="0" borderId="4" xfId="0" applyNumberFormat="1" applyFont="1" applyBorder="1" applyAlignment="1">
      <alignment horizontal="center" vertical="top"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23" xfId="1" applyNumberFormat="1" applyFont="1" applyBorder="1" applyAlignment="1">
      <alignment horizontal="center" vertical="center" wrapText="1"/>
    </xf>
    <xf numFmtId="1" fontId="6" fillId="0" borderId="24"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8" fillId="0" borderId="4" xfId="1" applyNumberFormat="1" applyFont="1" applyBorder="1" applyAlignment="1">
      <alignment horizontal="center" vertical="top" wrapText="1"/>
    </xf>
    <xf numFmtId="1" fontId="8" fillId="0" borderId="4" xfId="0" applyNumberFormat="1" applyFont="1" applyBorder="1" applyAlignment="1">
      <alignment horizontal="left" vertical="top" wrapText="1"/>
    </xf>
    <xf numFmtId="0" fontId="8" fillId="0" borderId="4"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0" fontId="14" fillId="0" borderId="4" xfId="2" applyFont="1" applyBorder="1" applyAlignment="1">
      <alignment horizontal="left" vertical="top" wrapText="1"/>
    </xf>
    <xf numFmtId="1" fontId="6" fillId="0" borderId="6"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65" fontId="6" fillId="2" borderId="4" xfId="5" applyNumberFormat="1" applyFont="1" applyFill="1" applyBorder="1" applyAlignment="1">
      <alignment horizontal="right" vertical="top"/>
    </xf>
    <xf numFmtId="0" fontId="8" fillId="0" borderId="4" xfId="1" applyFont="1" applyBorder="1" applyAlignment="1">
      <alignment horizontal="center" vertical="top"/>
    </xf>
    <xf numFmtId="0" fontId="14" fillId="0" borderId="12" xfId="1" applyFont="1" applyBorder="1" applyAlignment="1" applyProtection="1">
      <alignment horizontal="center" vertical="top" wrapText="1"/>
      <protection locked="0"/>
    </xf>
    <xf numFmtId="0" fontId="14" fillId="0" borderId="13" xfId="1" applyFont="1" applyBorder="1" applyAlignment="1" applyProtection="1">
      <alignment horizontal="center"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3" fillId="0" borderId="4"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4" fillId="0" borderId="1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3" fillId="0" borderId="15"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left" vertical="top"/>
      <protection locked="0"/>
    </xf>
    <xf numFmtId="0" fontId="14" fillId="0" borderId="25" xfId="1" applyFont="1" applyBorder="1" applyAlignment="1" applyProtection="1">
      <alignment horizontal="center" vertical="top" wrapText="1"/>
      <protection locked="0"/>
    </xf>
    <xf numFmtId="0" fontId="14" fillId="0" borderId="9" xfId="1" applyFont="1" applyBorder="1" applyAlignment="1" applyProtection="1">
      <alignment horizontal="center" vertical="top" wrapText="1"/>
      <protection locked="0"/>
    </xf>
    <xf numFmtId="0" fontId="14" fillId="0" borderId="26"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3" fillId="0" borderId="1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13" fillId="2" borderId="21" xfId="1" applyNumberFormat="1" applyFont="1" applyFill="1" applyBorder="1" applyAlignment="1" applyProtection="1">
      <alignment horizontal="center" vertical="center" wrapText="1"/>
      <protection hidden="1"/>
    </xf>
    <xf numFmtId="9" fontId="13" fillId="2" borderId="20" xfId="1" applyNumberFormat="1" applyFont="1" applyFill="1" applyBorder="1" applyAlignment="1" applyProtection="1">
      <alignment horizontal="center" vertical="center" wrapText="1"/>
      <protection hidden="1"/>
    </xf>
    <xf numFmtId="9" fontId="13" fillId="2" borderId="22" xfId="1" applyNumberFormat="1" applyFont="1" applyFill="1" applyBorder="1" applyAlignment="1" applyProtection="1">
      <alignment horizontal="center" vertical="center" wrapText="1"/>
      <protection hidden="1"/>
    </xf>
    <xf numFmtId="0" fontId="13" fillId="0" borderId="14"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6" xfId="1" applyFont="1" applyBorder="1" applyAlignment="1" applyProtection="1">
      <alignment horizontal="center" vertical="top" wrapText="1"/>
      <protection locked="0"/>
    </xf>
    <xf numFmtId="0" fontId="13" fillId="0" borderId="17" xfId="1" applyFont="1" applyBorder="1" applyAlignment="1" applyProtection="1">
      <alignment horizontal="center" vertical="top" wrapText="1"/>
      <protection locked="0"/>
    </xf>
    <xf numFmtId="1" fontId="6" fillId="0" borderId="2"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9" fontId="13" fillId="2" borderId="11" xfId="1" applyNumberFormat="1" applyFont="1" applyFill="1" applyBorder="1" applyAlignment="1" applyProtection="1">
      <alignment horizontal="center" vertical="center" wrapText="1"/>
      <protection hidden="1"/>
    </xf>
    <xf numFmtId="9" fontId="13" fillId="2" borderId="29" xfId="1" applyNumberFormat="1" applyFont="1" applyFill="1" applyBorder="1" applyAlignment="1" applyProtection="1">
      <alignment horizontal="center" vertical="center" wrapText="1"/>
      <protection hidden="1"/>
    </xf>
    <xf numFmtId="1" fontId="8" fillId="0" borderId="5" xfId="1" applyNumberFormat="1" applyFont="1" applyBorder="1" applyAlignment="1">
      <alignment horizontal="center" vertical="top" wrapText="1"/>
    </xf>
    <xf numFmtId="1" fontId="8" fillId="0" borderId="7" xfId="1" applyNumberFormat="1" applyFont="1" applyBorder="1" applyAlignment="1">
      <alignment horizontal="center" vertical="top" wrapText="1"/>
    </xf>
    <xf numFmtId="1" fontId="8" fillId="0" borderId="8" xfId="1" applyNumberFormat="1" applyFont="1" applyBorder="1" applyAlignment="1">
      <alignment horizontal="center" vertical="top" wrapText="1"/>
    </xf>
    <xf numFmtId="1" fontId="8" fillId="0" borderId="10" xfId="1" applyNumberFormat="1" applyFont="1" applyBorder="1" applyAlignment="1">
      <alignment horizontal="center" vertical="top" wrapText="1"/>
    </xf>
    <xf numFmtId="1" fontId="8" fillId="0" borderId="11" xfId="1" applyNumberFormat="1" applyFont="1" applyBorder="1" applyAlignment="1">
      <alignment horizontal="center" vertical="top"/>
    </xf>
    <xf numFmtId="1" fontId="8" fillId="0" borderId="26" xfId="1" applyNumberFormat="1" applyFont="1" applyBorder="1" applyAlignment="1">
      <alignment horizontal="center" vertical="top"/>
    </xf>
    <xf numFmtId="1" fontId="3" fillId="0" borderId="11" xfId="1" applyNumberFormat="1" applyFont="1" applyBorder="1" applyAlignment="1">
      <alignment horizontal="center" vertical="top" wrapText="1"/>
    </xf>
    <xf numFmtId="1" fontId="3" fillId="0" borderId="26" xfId="1" applyNumberFormat="1" applyFont="1" applyBorder="1" applyAlignment="1">
      <alignment horizontal="center" vertical="top" wrapText="1"/>
    </xf>
    <xf numFmtId="1" fontId="8" fillId="0" borderId="11" xfId="1" applyNumberFormat="1" applyFont="1" applyBorder="1" applyAlignment="1">
      <alignment horizontal="center" vertical="top" wrapText="1"/>
    </xf>
    <xf numFmtId="1" fontId="8" fillId="0" borderId="26" xfId="1" applyNumberFormat="1" applyFont="1" applyBorder="1" applyAlignment="1">
      <alignment horizontal="center" vertical="top" wrapText="1"/>
    </xf>
    <xf numFmtId="1" fontId="10" fillId="0" borderId="1" xfId="0" applyNumberFormat="1" applyFont="1" applyBorder="1" applyAlignment="1">
      <alignment horizontal="center" vertical="top" wrapText="1"/>
    </xf>
    <xf numFmtId="1" fontId="10" fillId="0" borderId="2" xfId="0" applyNumberFormat="1" applyFont="1" applyBorder="1" applyAlignment="1">
      <alignment horizontal="center" vertical="top" wrapText="1"/>
    </xf>
    <xf numFmtId="1" fontId="10" fillId="0" borderId="3" xfId="0" applyNumberFormat="1" applyFont="1" applyBorder="1" applyAlignment="1">
      <alignment horizontal="center" vertical="top" wrapText="1"/>
    </xf>
    <xf numFmtId="0" fontId="6" fillId="2" borderId="4" xfId="1" applyFont="1" applyFill="1" applyBorder="1" applyAlignment="1">
      <alignment horizontal="left" vertical="top" wrapText="1"/>
    </xf>
    <xf numFmtId="0" fontId="8" fillId="2" borderId="4" xfId="1" applyFont="1" applyFill="1" applyBorder="1" applyAlignment="1">
      <alignment horizontal="left" vertical="top" wrapText="1"/>
    </xf>
    <xf numFmtId="14" fontId="10" fillId="0" borderId="4" xfId="1" applyNumberFormat="1" applyFont="1" applyBorder="1" applyAlignment="1">
      <alignment horizontal="left" vertical="top" wrapText="1"/>
    </xf>
    <xf numFmtId="0" fontId="13" fillId="0" borderId="28"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0" fontId="16" fillId="0" borderId="4" xfId="0" applyFont="1" applyBorder="1" applyAlignment="1">
      <alignment horizontal="center"/>
    </xf>
    <xf numFmtId="0" fontId="16" fillId="0" borderId="4" xfId="0" applyFont="1" applyBorder="1" applyAlignment="1">
      <alignment horizontal="left"/>
    </xf>
    <xf numFmtId="0" fontId="16" fillId="3" borderId="4" xfId="0" applyFont="1" applyFill="1" applyBorder="1" applyAlignment="1">
      <alignment horizontal="center"/>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xf numFmtId="0" fontId="13" fillId="0" borderId="4" xfId="1" applyFont="1" applyBorder="1" applyAlignment="1" applyProtection="1">
      <alignment horizontal="left" vertical="center" wrapText="1"/>
      <protection locked="0"/>
    </xf>
  </cellXfs>
  <cellStyles count="7">
    <cellStyle name="Comma" xfId="5" builtinId="3"/>
    <cellStyle name="Excel Built-in Normal" xfId="2"/>
    <cellStyle name="Hyperlink" xfId="6"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2.png"/><Relationship Id="rId10" Type="http://schemas.openxmlformats.org/officeDocument/2006/relationships/image" Target="../media/image10.jpeg"/><Relationship Id="rId19" Type="http://schemas.microsoft.com/office/2007/relationships/hdphoto" Target="../media/hdphoto1.wdp"/><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xdr:col>
      <xdr:colOff>447728</xdr:colOff>
      <xdr:row>880</xdr:row>
      <xdr:rowOff>49961</xdr:rowOff>
    </xdr:from>
    <xdr:to>
      <xdr:col>8</xdr:col>
      <xdr:colOff>434063</xdr:colOff>
      <xdr:row>894</xdr:row>
      <xdr:rowOff>141734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071183" y="122766597"/>
          <a:ext cx="4731516" cy="2880000"/>
        </a:xfrm>
        <a:prstGeom prst="rect">
          <a:avLst/>
        </a:prstGeom>
        <a:ln>
          <a:solidFill>
            <a:schemeClr val="tx1"/>
          </a:solidFill>
        </a:ln>
      </xdr:spPr>
    </xdr:pic>
    <xdr:clientData/>
  </xdr:twoCellAnchor>
  <xdr:twoCellAnchor editAs="oneCell">
    <xdr:from>
      <xdr:col>1</xdr:col>
      <xdr:colOff>447728</xdr:colOff>
      <xdr:row>865</xdr:row>
      <xdr:rowOff>31579</xdr:rowOff>
    </xdr:from>
    <xdr:to>
      <xdr:col>8</xdr:col>
      <xdr:colOff>401457</xdr:colOff>
      <xdr:row>879</xdr:row>
      <xdr:rowOff>123352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071183" y="119760829"/>
          <a:ext cx="4698910" cy="2880000"/>
        </a:xfrm>
        <a:prstGeom prst="rect">
          <a:avLst/>
        </a:prstGeom>
        <a:ln>
          <a:solidFill>
            <a:schemeClr val="tx1"/>
          </a:solidFill>
        </a:ln>
      </xdr:spPr>
    </xdr:pic>
    <xdr:clientData/>
  </xdr:twoCellAnchor>
  <xdr:twoCellAnchor editAs="oneCell">
    <xdr:from>
      <xdr:col>2</xdr:col>
      <xdr:colOff>545228</xdr:colOff>
      <xdr:row>783</xdr:row>
      <xdr:rowOff>46088</xdr:rowOff>
    </xdr:from>
    <xdr:to>
      <xdr:col>6</xdr:col>
      <xdr:colOff>364810</xdr:colOff>
      <xdr:row>819</xdr:row>
      <xdr:rowOff>151604</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3"/>
        <a:srcRect l="2010" t="17402" r="3733" b="28677"/>
        <a:stretch/>
      </xdr:blipFill>
      <xdr:spPr>
        <a:xfrm rot="16200000">
          <a:off x="-405722" y="153541555"/>
          <a:ext cx="7200000" cy="2315789"/>
        </a:xfrm>
        <a:prstGeom prst="rect">
          <a:avLst/>
        </a:prstGeom>
        <a:ln>
          <a:solidFill>
            <a:schemeClr val="tx1"/>
          </a:solidFill>
        </a:ln>
      </xdr:spPr>
    </xdr:pic>
    <xdr:clientData/>
  </xdr:twoCellAnchor>
  <xdr:twoCellAnchor>
    <xdr:from>
      <xdr:col>4</xdr:col>
      <xdr:colOff>157656</xdr:colOff>
      <xdr:row>794</xdr:row>
      <xdr:rowOff>6569</xdr:rowOff>
    </xdr:from>
    <xdr:to>
      <xdr:col>5</xdr:col>
      <xdr:colOff>256189</xdr:colOff>
      <xdr:row>802</xdr:row>
      <xdr:rowOff>59121</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113690" y="153227690"/>
          <a:ext cx="472965" cy="1629103"/>
        </a:xfrm>
        <a:prstGeom prst="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729155</xdr:colOff>
      <xdr:row>795</xdr:row>
      <xdr:rowOff>65689</xdr:rowOff>
    </xdr:from>
    <xdr:to>
      <xdr:col>5</xdr:col>
      <xdr:colOff>335016</xdr:colOff>
      <xdr:row>797</xdr:row>
      <xdr:rowOff>65689</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2220310" y="153483879"/>
          <a:ext cx="1445172" cy="39413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C1 &amp; C2 Wing</a:t>
          </a:r>
        </a:p>
      </xdr:txBody>
    </xdr:sp>
    <xdr:clientData/>
  </xdr:twoCellAnchor>
  <xdr:twoCellAnchor>
    <xdr:from>
      <xdr:col>10</xdr:col>
      <xdr:colOff>795617</xdr:colOff>
      <xdr:row>738</xdr:row>
      <xdr:rowOff>44825</xdr:rowOff>
    </xdr:from>
    <xdr:to>
      <xdr:col>20</xdr:col>
      <xdr:colOff>494087</xdr:colOff>
      <xdr:row>780</xdr:row>
      <xdr:rowOff>90476</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8452970" y="159452237"/>
          <a:ext cx="6713352" cy="8203533"/>
          <a:chOff x="190499" y="146550530"/>
          <a:chExt cx="6343558" cy="8517298"/>
        </a:xfrm>
      </xdr:grpSpPr>
      <xdr:pic>
        <xdr:nvPicPr>
          <xdr:cNvPr id="21" name="Picture 20" descr="https://vsjcllp.vsjadon.com/upload/insp-194187-1525.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359238" y="152344296"/>
            <a:ext cx="2026252" cy="2723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194187-849.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349713" y="149491116"/>
            <a:ext cx="2026252" cy="2723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194187-861.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349713" y="146637935"/>
            <a:ext cx="2026252" cy="2721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194187-925.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90499" y="149491116"/>
            <a:ext cx="2017847" cy="2723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194187-1512.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517330" y="149500641"/>
            <a:ext cx="2016727" cy="27235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10" name="Group 9">
            <a:extLst>
              <a:ext uri="{FF2B5EF4-FFF2-40B4-BE49-F238E27FC236}">
                <a16:creationId xmlns:a16="http://schemas.microsoft.com/office/drawing/2014/main" id="{00000000-0008-0000-0000-00000A000000}"/>
              </a:ext>
            </a:extLst>
          </xdr:cNvPr>
          <xdr:cNvGrpSpPr/>
        </xdr:nvGrpSpPr>
        <xdr:grpSpPr>
          <a:xfrm>
            <a:off x="208429" y="146613282"/>
            <a:ext cx="2018968" cy="2756031"/>
            <a:chOff x="208429" y="145985753"/>
            <a:chExt cx="2018968" cy="2756030"/>
          </a:xfrm>
        </xdr:grpSpPr>
        <xdr:pic>
          <xdr:nvPicPr>
            <xdr:cNvPr id="25" name="Picture 24" descr="https://vsjcllp.vsjadon.com/upload/insp-194187-862.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09550" y="146019931"/>
              <a:ext cx="2017847" cy="2721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208429" y="145985753"/>
              <a:ext cx="392206" cy="45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B</a:t>
              </a:r>
            </a:p>
          </xdr:txBody>
        </xdr:sp>
      </xdr:grpSp>
      <xdr:grpSp>
        <xdr:nvGrpSpPr>
          <xdr:cNvPr id="11" name="Group 10">
            <a:extLst>
              <a:ext uri="{FF2B5EF4-FFF2-40B4-BE49-F238E27FC236}">
                <a16:creationId xmlns:a16="http://schemas.microsoft.com/office/drawing/2014/main" id="{00000000-0008-0000-0000-00000B000000}"/>
              </a:ext>
            </a:extLst>
          </xdr:cNvPr>
          <xdr:cNvGrpSpPr/>
        </xdr:nvGrpSpPr>
        <xdr:grpSpPr>
          <a:xfrm>
            <a:off x="4498281" y="146550530"/>
            <a:ext cx="2016727" cy="2809258"/>
            <a:chOff x="4498281" y="145923001"/>
            <a:chExt cx="2016727" cy="2809257"/>
          </a:xfrm>
        </xdr:grpSpPr>
        <xdr:pic>
          <xdr:nvPicPr>
            <xdr:cNvPr id="22" name="Picture 21" descr="https://vsjcllp.vsjadon.com/upload/insp-194187-843.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498281" y="146010406"/>
              <a:ext cx="2016727" cy="2721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513293" y="145923001"/>
              <a:ext cx="515471" cy="45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C1</a:t>
              </a:r>
            </a:p>
          </xdr:txBody>
        </xdr:sp>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5894292" y="145956618"/>
              <a:ext cx="571501" cy="45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C2</a:t>
              </a:r>
            </a:p>
          </xdr:txBody>
        </xdr:sp>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H="1">
              <a:off x="5289176" y="146225558"/>
              <a:ext cx="313764" cy="16808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a:extLst>
                <a:ext uri="{FF2B5EF4-FFF2-40B4-BE49-F238E27FC236}">
                  <a16:creationId xmlns:a16="http://schemas.microsoft.com/office/drawing/2014/main" id="{00000000-0008-0000-0000-00001E000000}"/>
                </a:ext>
              </a:extLst>
            </xdr:cNvPr>
            <xdr:cNvCxnSpPr/>
          </xdr:nvCxnSpPr>
          <xdr:spPr>
            <a:xfrm flipH="1">
              <a:off x="5950321" y="146304000"/>
              <a:ext cx="134473" cy="23532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555811</xdr:colOff>
      <xdr:row>118</xdr:row>
      <xdr:rowOff>62753</xdr:rowOff>
    </xdr:from>
    <xdr:to>
      <xdr:col>23</xdr:col>
      <xdr:colOff>584141</xdr:colOff>
      <xdr:row>146</xdr:row>
      <xdr:rowOff>24832</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12658164" y="36758282"/>
          <a:ext cx="4525624" cy="5438021"/>
          <a:chOff x="9457764" y="31679029"/>
          <a:chExt cx="4279393" cy="5815584"/>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9457764" y="34166197"/>
            <a:ext cx="4279393" cy="3328416"/>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9713796" y="31679029"/>
            <a:ext cx="4023361" cy="2487168"/>
          </a:xfrm>
          <a:prstGeom prst="rect">
            <a:avLst/>
          </a:prstGeom>
          <a:ln>
            <a:solidFill>
              <a:schemeClr val="tx1"/>
            </a:solidFill>
          </a:ln>
        </xdr:spPr>
      </xdr:pic>
    </xdr:grpSp>
    <xdr:clientData/>
  </xdr:twoCellAnchor>
  <xdr:twoCellAnchor>
    <xdr:from>
      <xdr:col>14</xdr:col>
      <xdr:colOff>190500</xdr:colOff>
      <xdr:row>82</xdr:row>
      <xdr:rowOff>526677</xdr:rowOff>
    </xdr:from>
    <xdr:to>
      <xdr:col>20</xdr:col>
      <xdr:colOff>337792</xdr:colOff>
      <xdr:row>106</xdr:row>
      <xdr:rowOff>200720</xdr:rowOff>
    </xdr:to>
    <xdr:grpSp>
      <xdr:nvGrpSpPr>
        <xdr:cNvPr id="39" name="Group 38">
          <a:extLst>
            <a:ext uri="{FF2B5EF4-FFF2-40B4-BE49-F238E27FC236}">
              <a16:creationId xmlns:a16="http://schemas.microsoft.com/office/drawing/2014/main" id="{00000000-0008-0000-0000-000027000000}"/>
            </a:ext>
          </a:extLst>
        </xdr:cNvPr>
        <xdr:cNvGrpSpPr/>
      </xdr:nvGrpSpPr>
      <xdr:grpSpPr>
        <a:xfrm>
          <a:off x="10821147" y="29062830"/>
          <a:ext cx="4188880" cy="5070422"/>
          <a:chOff x="3310127" y="3474720"/>
          <a:chExt cx="3968497" cy="5321808"/>
        </a:xfrm>
      </xdr:grpSpPr>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3310127" y="3474720"/>
            <a:ext cx="3968497" cy="2139696"/>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3392422" y="5614416"/>
            <a:ext cx="3803905" cy="3182112"/>
          </a:xfrm>
          <a:prstGeom prst="rect">
            <a:avLst/>
          </a:prstGeom>
          <a:ln>
            <a:solidFill>
              <a:schemeClr val="tx1"/>
            </a:solidFill>
          </a:ln>
        </xdr:spPr>
      </xdr:pic>
    </xdr:grpSp>
    <xdr:clientData/>
  </xdr:twoCellAnchor>
  <xdr:twoCellAnchor editAs="oneCell">
    <xdr:from>
      <xdr:col>11</xdr:col>
      <xdr:colOff>336177</xdr:colOff>
      <xdr:row>93</xdr:row>
      <xdr:rowOff>67235</xdr:rowOff>
    </xdr:from>
    <xdr:to>
      <xdr:col>21</xdr:col>
      <xdr:colOff>307126</xdr:colOff>
      <xdr:row>109</xdr:row>
      <xdr:rowOff>55579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5"/>
        <a:stretch>
          <a:fillRect/>
        </a:stretch>
      </xdr:blipFill>
      <xdr:spPr>
        <a:xfrm>
          <a:off x="8438030" y="28429323"/>
          <a:ext cx="6403125" cy="3600000"/>
        </a:xfrm>
        <a:prstGeom prst="rect">
          <a:avLst/>
        </a:prstGeom>
      </xdr:spPr>
    </xdr:pic>
    <xdr:clientData/>
  </xdr:twoCellAnchor>
  <xdr:twoCellAnchor>
    <xdr:from>
      <xdr:col>5</xdr:col>
      <xdr:colOff>156883</xdr:colOff>
      <xdr:row>822</xdr:row>
      <xdr:rowOff>179293</xdr:rowOff>
    </xdr:from>
    <xdr:to>
      <xdr:col>9</xdr:col>
      <xdr:colOff>1042146</xdr:colOff>
      <xdr:row>843</xdr:row>
      <xdr:rowOff>89646</xdr:rowOff>
    </xdr:to>
    <xdr:grpSp>
      <xdr:nvGrpSpPr>
        <xdr:cNvPr id="45" name="Group 44">
          <a:extLst>
            <a:ext uri="{FF2B5EF4-FFF2-40B4-BE49-F238E27FC236}">
              <a16:creationId xmlns:a16="http://schemas.microsoft.com/office/drawing/2014/main" id="{00000000-0008-0000-0000-00002D000000}"/>
            </a:ext>
          </a:extLst>
        </xdr:cNvPr>
        <xdr:cNvGrpSpPr/>
      </xdr:nvGrpSpPr>
      <xdr:grpSpPr>
        <a:xfrm>
          <a:off x="3645648" y="175902469"/>
          <a:ext cx="3806263" cy="3989295"/>
          <a:chOff x="9457764" y="31679029"/>
          <a:chExt cx="4279393" cy="5815584"/>
        </a:xfrm>
      </xdr:grpSpPr>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9457764" y="34166197"/>
            <a:ext cx="4279393" cy="3328416"/>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9713796" y="31679029"/>
            <a:ext cx="4023361" cy="2487168"/>
          </a:xfrm>
          <a:prstGeom prst="rect">
            <a:avLst/>
          </a:prstGeom>
          <a:ln>
            <a:solidFill>
              <a:schemeClr val="tx1"/>
            </a:solidFill>
          </a:ln>
        </xdr:spPr>
      </xdr:pic>
    </xdr:grpSp>
    <xdr:clientData/>
  </xdr:twoCellAnchor>
  <xdr:twoCellAnchor>
    <xdr:from>
      <xdr:col>0</xdr:col>
      <xdr:colOff>44824</xdr:colOff>
      <xdr:row>822</xdr:row>
      <xdr:rowOff>190499</xdr:rowOff>
    </xdr:from>
    <xdr:to>
      <xdr:col>5</xdr:col>
      <xdr:colOff>145677</xdr:colOff>
      <xdr:row>843</xdr:row>
      <xdr:rowOff>89646</xdr:rowOff>
    </xdr:to>
    <xdr:grpSp>
      <xdr:nvGrpSpPr>
        <xdr:cNvPr id="50" name="Group 49">
          <a:extLst>
            <a:ext uri="{FF2B5EF4-FFF2-40B4-BE49-F238E27FC236}">
              <a16:creationId xmlns:a16="http://schemas.microsoft.com/office/drawing/2014/main" id="{00000000-0008-0000-0000-000032000000}"/>
            </a:ext>
          </a:extLst>
        </xdr:cNvPr>
        <xdr:cNvGrpSpPr/>
      </xdr:nvGrpSpPr>
      <xdr:grpSpPr>
        <a:xfrm>
          <a:off x="44824" y="175913675"/>
          <a:ext cx="3589618" cy="3978089"/>
          <a:chOff x="3310127" y="3474720"/>
          <a:chExt cx="3968497" cy="5321808"/>
        </a:xfrm>
      </xdr:grpSpPr>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3310127" y="3474720"/>
            <a:ext cx="3968497" cy="2139696"/>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3392422" y="5614416"/>
            <a:ext cx="3803905" cy="3182112"/>
          </a:xfrm>
          <a:prstGeom prst="rect">
            <a:avLst/>
          </a:prstGeom>
          <a:ln>
            <a:solidFill>
              <a:schemeClr val="tx1"/>
            </a:solidFill>
          </a:ln>
        </xdr:spPr>
      </xdr:pic>
    </xdr:grpSp>
    <xdr:clientData/>
  </xdr:twoCellAnchor>
  <xdr:twoCellAnchor editAs="oneCell">
    <xdr:from>
      <xdr:col>0</xdr:col>
      <xdr:colOff>56029</xdr:colOff>
      <xdr:row>843</xdr:row>
      <xdr:rowOff>190500</xdr:rowOff>
    </xdr:from>
    <xdr:to>
      <xdr:col>9</xdr:col>
      <xdr:colOff>1124689</xdr:colOff>
      <xdr:row>858</xdr:row>
      <xdr:rowOff>44913</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16"/>
        <a:srcRect l="2140" t="10750" r="35171" b="44500"/>
        <a:stretch/>
      </xdr:blipFill>
      <xdr:spPr>
        <a:xfrm>
          <a:off x="56029" y="168211500"/>
          <a:ext cx="7175866" cy="2880000"/>
        </a:xfrm>
        <a:prstGeom prst="rect">
          <a:avLst/>
        </a:prstGeom>
        <a:ln>
          <a:solidFill>
            <a:schemeClr val="tx1"/>
          </a:solidFill>
        </a:ln>
      </xdr:spPr>
    </xdr:pic>
    <xdr:clientData/>
  </xdr:twoCellAnchor>
  <xdr:twoCellAnchor>
    <xdr:from>
      <xdr:col>0</xdr:col>
      <xdr:colOff>522941</xdr:colOff>
      <xdr:row>739</xdr:row>
      <xdr:rowOff>141941</xdr:rowOff>
    </xdr:from>
    <xdr:to>
      <xdr:col>9</xdr:col>
      <xdr:colOff>586899</xdr:colOff>
      <xdr:row>771</xdr:row>
      <xdr:rowOff>55962</xdr:rowOff>
    </xdr:to>
    <xdr:grpSp>
      <xdr:nvGrpSpPr>
        <xdr:cNvPr id="9" name="Group 8"/>
        <xdr:cNvGrpSpPr/>
      </xdr:nvGrpSpPr>
      <xdr:grpSpPr>
        <a:xfrm>
          <a:off x="522941" y="159743588"/>
          <a:ext cx="6473723" cy="6129550"/>
          <a:chOff x="522941" y="159743588"/>
          <a:chExt cx="6473723" cy="6129550"/>
        </a:xfrm>
      </xdr:grpSpPr>
      <xdr:pic>
        <xdr:nvPicPr>
          <xdr:cNvPr id="56" name="Picture 5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459267" y="163821138"/>
            <a:ext cx="1537397" cy="2052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3833662" y="159743588"/>
            <a:ext cx="2966907" cy="396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713821" y="159743588"/>
            <a:ext cx="2966907" cy="396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168383" y="163821138"/>
            <a:ext cx="1537397" cy="2052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22941" y="163821138"/>
            <a:ext cx="1537397" cy="2052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813825" y="163821138"/>
            <a:ext cx="1537397" cy="2052000"/>
          </a:xfrm>
          <a:prstGeom prst="rect">
            <a:avLst/>
          </a:prstGeom>
          <a:ln>
            <a:solidFill>
              <a:schemeClr val="tx1"/>
            </a:solidFill>
          </a:ln>
        </xdr:spPr>
      </xdr:pic>
      <xdr:sp macro="" textlink="">
        <xdr:nvSpPr>
          <xdr:cNvPr id="62" name="Rectangle 61">
            <a:extLst>
              <a:ext uri="{FF2B5EF4-FFF2-40B4-BE49-F238E27FC236}">
                <a16:creationId xmlns:a16="http://schemas.microsoft.com/office/drawing/2014/main" id="{00000000-0008-0000-0000-000035000000}"/>
              </a:ext>
            </a:extLst>
          </xdr:cNvPr>
          <xdr:cNvSpPr/>
        </xdr:nvSpPr>
        <xdr:spPr>
          <a:xfrm>
            <a:off x="2182178" y="160563459"/>
            <a:ext cx="500860" cy="3986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ln>
                  <a:noFill/>
                </a:ln>
                <a:solidFill>
                  <a:srgbClr val="C00000"/>
                </a:solidFill>
              </a:rPr>
              <a:t>C1</a:t>
            </a:r>
          </a:p>
        </xdr:txBody>
      </xdr:sp>
      <xdr:sp macro="" textlink="">
        <xdr:nvSpPr>
          <xdr:cNvPr id="63" name="Rectangle 62">
            <a:extLst>
              <a:ext uri="{FF2B5EF4-FFF2-40B4-BE49-F238E27FC236}">
                <a16:creationId xmlns:a16="http://schemas.microsoft.com/office/drawing/2014/main" id="{00000000-0008-0000-0000-000037000000}"/>
              </a:ext>
            </a:extLst>
          </xdr:cNvPr>
          <xdr:cNvSpPr/>
        </xdr:nvSpPr>
        <xdr:spPr>
          <a:xfrm>
            <a:off x="1714880" y="160161941"/>
            <a:ext cx="499739" cy="396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ln>
                  <a:noFill/>
                </a:ln>
                <a:solidFill>
                  <a:srgbClr val="C00000"/>
                </a:solidFill>
              </a:rPr>
              <a:t>C2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1</xdr:row>
      <xdr:rowOff>0</xdr:rowOff>
    </xdr:from>
    <xdr:to>
      <xdr:col>8</xdr:col>
      <xdr:colOff>184276</xdr:colOff>
      <xdr:row>12</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09726" y="190500"/>
          <a:ext cx="3841875" cy="216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0</xdr:colOff>
          <xdr:row>1</xdr:row>
          <xdr:rowOff>0</xdr:rowOff>
        </xdr:from>
        <xdr:to>
          <xdr:col>10</xdr:col>
          <xdr:colOff>304800</xdr:colOff>
          <xdr:row>5</xdr:row>
          <xdr:rowOff>12700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9CcTe5hATMNRkC4w8?coh=178572&amp;entry=t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3.vml"/><Relationship Id="rId1" Type="http://schemas.openxmlformats.org/officeDocument/2006/relationships/drawing" Target="../drawings/drawing2.xml"/><Relationship Id="rId4" Type="http://schemas.openxmlformats.org/officeDocument/2006/relationships/image" Target="../media/image25.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18"/>
  <sheetViews>
    <sheetView tabSelected="1" view="pageBreakPreview" zoomScale="85" zoomScaleNormal="100" zoomScaleSheetLayoutView="85" zoomScalePageLayoutView="85" workbookViewId="0">
      <selection activeCell="F9" sqref="F9:J9"/>
    </sheetView>
  </sheetViews>
  <sheetFormatPr defaultRowHeight="15.5" x14ac:dyDescent="0.35"/>
  <cols>
    <col min="1" max="1" width="9.1796875" style="12" customWidth="1"/>
    <col min="2" max="2" width="13.1796875" style="12" customWidth="1"/>
    <col min="3" max="3" width="14.81640625" style="12" customWidth="1"/>
    <col min="4" max="4" width="7.1796875" style="12" customWidth="1"/>
    <col min="5" max="5" width="5.54296875" style="12" customWidth="1"/>
    <col min="6" max="6" width="9.81640625" style="12" customWidth="1"/>
    <col min="7" max="7" width="10.1796875" style="12" customWidth="1"/>
    <col min="8" max="8" width="10.54296875" style="12" customWidth="1"/>
    <col min="9" max="9" width="11.1796875" style="12" customWidth="1"/>
    <col min="10" max="10" width="17.81640625" style="12" customWidth="1"/>
    <col min="11" max="11" width="12.1796875" style="12" customWidth="1"/>
    <col min="12" max="12" width="9.1796875" style="12"/>
    <col min="13" max="13" width="12" style="12" bestFit="1" customWidth="1"/>
    <col min="14" max="14" width="9.1796875" style="12"/>
    <col min="15" max="15" width="11.81640625" style="12" bestFit="1" customWidth="1"/>
    <col min="16" max="254" width="9.1796875" style="12"/>
    <col min="255" max="255" width="8.81640625" style="12" customWidth="1"/>
    <col min="256" max="256" width="9.81640625" style="12" customWidth="1"/>
    <col min="257" max="257" width="14.453125" style="12" customWidth="1"/>
    <col min="258" max="258" width="7.1796875" style="12" customWidth="1"/>
    <col min="259" max="259" width="5.54296875" style="12" customWidth="1"/>
    <col min="260" max="260" width="9" style="12" customWidth="1"/>
    <col min="261" max="262" width="9.81640625" style="12" customWidth="1"/>
    <col min="263" max="263" width="11.1796875" style="12" customWidth="1"/>
    <col min="264" max="264" width="2.81640625" style="12" customWidth="1"/>
    <col min="265" max="265" width="3.54296875" style="12" customWidth="1"/>
    <col min="266" max="510" width="9.1796875" style="12"/>
    <col min="511" max="511" width="8.81640625" style="12" customWidth="1"/>
    <col min="512" max="512" width="9.81640625" style="12" customWidth="1"/>
    <col min="513" max="513" width="14.453125" style="12" customWidth="1"/>
    <col min="514" max="514" width="7.1796875" style="12" customWidth="1"/>
    <col min="515" max="515" width="5.54296875" style="12" customWidth="1"/>
    <col min="516" max="516" width="9" style="12" customWidth="1"/>
    <col min="517" max="518" width="9.81640625" style="12" customWidth="1"/>
    <col min="519" max="519" width="11.1796875" style="12" customWidth="1"/>
    <col min="520" max="520" width="2.81640625" style="12" customWidth="1"/>
    <col min="521" max="521" width="3.54296875" style="12" customWidth="1"/>
    <col min="522" max="766" width="9.1796875" style="12"/>
    <col min="767" max="767" width="8.81640625" style="12" customWidth="1"/>
    <col min="768" max="768" width="9.81640625" style="12" customWidth="1"/>
    <col min="769" max="769" width="14.453125" style="12" customWidth="1"/>
    <col min="770" max="770" width="7.1796875" style="12" customWidth="1"/>
    <col min="771" max="771" width="5.54296875" style="12" customWidth="1"/>
    <col min="772" max="772" width="9" style="12" customWidth="1"/>
    <col min="773" max="774" width="9.81640625" style="12" customWidth="1"/>
    <col min="775" max="775" width="11.1796875" style="12" customWidth="1"/>
    <col min="776" max="776" width="2.81640625" style="12" customWidth="1"/>
    <col min="777" max="777" width="3.54296875" style="12" customWidth="1"/>
    <col min="778" max="1022" width="9.1796875" style="12"/>
    <col min="1023" max="1023" width="8.81640625" style="12" customWidth="1"/>
    <col min="1024" max="1024" width="9.81640625" style="12" customWidth="1"/>
    <col min="1025" max="1025" width="14.453125" style="12" customWidth="1"/>
    <col min="1026" max="1026" width="7.1796875" style="12" customWidth="1"/>
    <col min="1027" max="1027" width="5.54296875" style="12" customWidth="1"/>
    <col min="1028" max="1028" width="9" style="12" customWidth="1"/>
    <col min="1029" max="1030" width="9.81640625" style="12" customWidth="1"/>
    <col min="1031" max="1031" width="11.1796875" style="12" customWidth="1"/>
    <col min="1032" max="1032" width="2.81640625" style="12" customWidth="1"/>
    <col min="1033" max="1033" width="3.54296875" style="12" customWidth="1"/>
    <col min="1034" max="1278" width="9.1796875" style="12"/>
    <col min="1279" max="1279" width="8.81640625" style="12" customWidth="1"/>
    <col min="1280" max="1280" width="9.81640625" style="12" customWidth="1"/>
    <col min="1281" max="1281" width="14.453125" style="12" customWidth="1"/>
    <col min="1282" max="1282" width="7.1796875" style="12" customWidth="1"/>
    <col min="1283" max="1283" width="5.54296875" style="12" customWidth="1"/>
    <col min="1284" max="1284" width="9" style="12" customWidth="1"/>
    <col min="1285" max="1286" width="9.81640625" style="12" customWidth="1"/>
    <col min="1287" max="1287" width="11.1796875" style="12" customWidth="1"/>
    <col min="1288" max="1288" width="2.81640625" style="12" customWidth="1"/>
    <col min="1289" max="1289" width="3.54296875" style="12" customWidth="1"/>
    <col min="1290" max="1534" width="9.1796875" style="12"/>
    <col min="1535" max="1535" width="8.81640625" style="12" customWidth="1"/>
    <col min="1536" max="1536" width="9.81640625" style="12" customWidth="1"/>
    <col min="1537" max="1537" width="14.453125" style="12" customWidth="1"/>
    <col min="1538" max="1538" width="7.1796875" style="12" customWidth="1"/>
    <col min="1539" max="1539" width="5.54296875" style="12" customWidth="1"/>
    <col min="1540" max="1540" width="9" style="12" customWidth="1"/>
    <col min="1541" max="1542" width="9.81640625" style="12" customWidth="1"/>
    <col min="1543" max="1543" width="11.1796875" style="12" customWidth="1"/>
    <col min="1544" max="1544" width="2.81640625" style="12" customWidth="1"/>
    <col min="1545" max="1545" width="3.54296875" style="12" customWidth="1"/>
    <col min="1546" max="1790" width="9.1796875" style="12"/>
    <col min="1791" max="1791" width="8.81640625" style="12" customWidth="1"/>
    <col min="1792" max="1792" width="9.81640625" style="12" customWidth="1"/>
    <col min="1793" max="1793" width="14.453125" style="12" customWidth="1"/>
    <col min="1794" max="1794" width="7.1796875" style="12" customWidth="1"/>
    <col min="1795" max="1795" width="5.54296875" style="12" customWidth="1"/>
    <col min="1796" max="1796" width="9" style="12" customWidth="1"/>
    <col min="1797" max="1798" width="9.81640625" style="12" customWidth="1"/>
    <col min="1799" max="1799" width="11.1796875" style="12" customWidth="1"/>
    <col min="1800" max="1800" width="2.81640625" style="12" customWidth="1"/>
    <col min="1801" max="1801" width="3.54296875" style="12" customWidth="1"/>
    <col min="1802" max="2046" width="9.1796875" style="12"/>
    <col min="2047" max="2047" width="8.81640625" style="12" customWidth="1"/>
    <col min="2048" max="2048" width="9.81640625" style="12" customWidth="1"/>
    <col min="2049" max="2049" width="14.453125" style="12" customWidth="1"/>
    <col min="2050" max="2050" width="7.1796875" style="12" customWidth="1"/>
    <col min="2051" max="2051" width="5.54296875" style="12" customWidth="1"/>
    <col min="2052" max="2052" width="9" style="12" customWidth="1"/>
    <col min="2053" max="2054" width="9.81640625" style="12" customWidth="1"/>
    <col min="2055" max="2055" width="11.1796875" style="12" customWidth="1"/>
    <col min="2056" max="2056" width="2.81640625" style="12" customWidth="1"/>
    <col min="2057" max="2057" width="3.54296875" style="12" customWidth="1"/>
    <col min="2058" max="2302" width="9.1796875" style="12"/>
    <col min="2303" max="2303" width="8.81640625" style="12" customWidth="1"/>
    <col min="2304" max="2304" width="9.81640625" style="12" customWidth="1"/>
    <col min="2305" max="2305" width="14.453125" style="12" customWidth="1"/>
    <col min="2306" max="2306" width="7.1796875" style="12" customWidth="1"/>
    <col min="2307" max="2307" width="5.54296875" style="12" customWidth="1"/>
    <col min="2308" max="2308" width="9" style="12" customWidth="1"/>
    <col min="2309" max="2310" width="9.81640625" style="12" customWidth="1"/>
    <col min="2311" max="2311" width="11.1796875" style="12" customWidth="1"/>
    <col min="2312" max="2312" width="2.81640625" style="12" customWidth="1"/>
    <col min="2313" max="2313" width="3.54296875" style="12" customWidth="1"/>
    <col min="2314" max="2558" width="9.1796875" style="12"/>
    <col min="2559" max="2559" width="8.81640625" style="12" customWidth="1"/>
    <col min="2560" max="2560" width="9.81640625" style="12" customWidth="1"/>
    <col min="2561" max="2561" width="14.453125" style="12" customWidth="1"/>
    <col min="2562" max="2562" width="7.1796875" style="12" customWidth="1"/>
    <col min="2563" max="2563" width="5.54296875" style="12" customWidth="1"/>
    <col min="2564" max="2564" width="9" style="12" customWidth="1"/>
    <col min="2565" max="2566" width="9.81640625" style="12" customWidth="1"/>
    <col min="2567" max="2567" width="11.1796875" style="12" customWidth="1"/>
    <col min="2568" max="2568" width="2.81640625" style="12" customWidth="1"/>
    <col min="2569" max="2569" width="3.54296875" style="12" customWidth="1"/>
    <col min="2570" max="2814" width="9.1796875" style="12"/>
    <col min="2815" max="2815" width="8.81640625" style="12" customWidth="1"/>
    <col min="2816" max="2816" width="9.81640625" style="12" customWidth="1"/>
    <col min="2817" max="2817" width="14.453125" style="12" customWidth="1"/>
    <col min="2818" max="2818" width="7.1796875" style="12" customWidth="1"/>
    <col min="2819" max="2819" width="5.54296875" style="12" customWidth="1"/>
    <col min="2820" max="2820" width="9" style="12" customWidth="1"/>
    <col min="2821" max="2822" width="9.81640625" style="12" customWidth="1"/>
    <col min="2823" max="2823" width="11.1796875" style="12" customWidth="1"/>
    <col min="2824" max="2824" width="2.81640625" style="12" customWidth="1"/>
    <col min="2825" max="2825" width="3.54296875" style="12" customWidth="1"/>
    <col min="2826" max="3070" width="9.1796875" style="12"/>
    <col min="3071" max="3071" width="8.81640625" style="12" customWidth="1"/>
    <col min="3072" max="3072" width="9.81640625" style="12" customWidth="1"/>
    <col min="3073" max="3073" width="14.453125" style="12" customWidth="1"/>
    <col min="3074" max="3074" width="7.1796875" style="12" customWidth="1"/>
    <col min="3075" max="3075" width="5.54296875" style="12" customWidth="1"/>
    <col min="3076" max="3076" width="9" style="12" customWidth="1"/>
    <col min="3077" max="3078" width="9.81640625" style="12" customWidth="1"/>
    <col min="3079" max="3079" width="11.1796875" style="12" customWidth="1"/>
    <col min="3080" max="3080" width="2.81640625" style="12" customWidth="1"/>
    <col min="3081" max="3081" width="3.54296875" style="12" customWidth="1"/>
    <col min="3082" max="3326" width="9.1796875" style="12"/>
    <col min="3327" max="3327" width="8.81640625" style="12" customWidth="1"/>
    <col min="3328" max="3328" width="9.81640625" style="12" customWidth="1"/>
    <col min="3329" max="3329" width="14.453125" style="12" customWidth="1"/>
    <col min="3330" max="3330" width="7.1796875" style="12" customWidth="1"/>
    <col min="3331" max="3331" width="5.54296875" style="12" customWidth="1"/>
    <col min="3332" max="3332" width="9" style="12" customWidth="1"/>
    <col min="3333" max="3334" width="9.81640625" style="12" customWidth="1"/>
    <col min="3335" max="3335" width="11.1796875" style="12" customWidth="1"/>
    <col min="3336" max="3336" width="2.81640625" style="12" customWidth="1"/>
    <col min="3337" max="3337" width="3.54296875" style="12" customWidth="1"/>
    <col min="3338" max="3582" width="9.1796875" style="12"/>
    <col min="3583" max="3583" width="8.81640625" style="12" customWidth="1"/>
    <col min="3584" max="3584" width="9.81640625" style="12" customWidth="1"/>
    <col min="3585" max="3585" width="14.453125" style="12" customWidth="1"/>
    <col min="3586" max="3586" width="7.1796875" style="12" customWidth="1"/>
    <col min="3587" max="3587" width="5.54296875" style="12" customWidth="1"/>
    <col min="3588" max="3588" width="9" style="12" customWidth="1"/>
    <col min="3589" max="3590" width="9.81640625" style="12" customWidth="1"/>
    <col min="3591" max="3591" width="11.1796875" style="12" customWidth="1"/>
    <col min="3592" max="3592" width="2.81640625" style="12" customWidth="1"/>
    <col min="3593" max="3593" width="3.54296875" style="12" customWidth="1"/>
    <col min="3594" max="3838" width="9.1796875" style="12"/>
    <col min="3839" max="3839" width="8.81640625" style="12" customWidth="1"/>
    <col min="3840" max="3840" width="9.81640625" style="12" customWidth="1"/>
    <col min="3841" max="3841" width="14.453125" style="12" customWidth="1"/>
    <col min="3842" max="3842" width="7.1796875" style="12" customWidth="1"/>
    <col min="3843" max="3843" width="5.54296875" style="12" customWidth="1"/>
    <col min="3844" max="3844" width="9" style="12" customWidth="1"/>
    <col min="3845" max="3846" width="9.81640625" style="12" customWidth="1"/>
    <col min="3847" max="3847" width="11.1796875" style="12" customWidth="1"/>
    <col min="3848" max="3848" width="2.81640625" style="12" customWidth="1"/>
    <col min="3849" max="3849" width="3.54296875" style="12" customWidth="1"/>
    <col min="3850" max="4094" width="9.1796875" style="12"/>
    <col min="4095" max="4095" width="8.81640625" style="12" customWidth="1"/>
    <col min="4096" max="4096" width="9.81640625" style="12" customWidth="1"/>
    <col min="4097" max="4097" width="14.453125" style="12" customWidth="1"/>
    <col min="4098" max="4098" width="7.1796875" style="12" customWidth="1"/>
    <col min="4099" max="4099" width="5.54296875" style="12" customWidth="1"/>
    <col min="4100" max="4100" width="9" style="12" customWidth="1"/>
    <col min="4101" max="4102" width="9.81640625" style="12" customWidth="1"/>
    <col min="4103" max="4103" width="11.1796875" style="12" customWidth="1"/>
    <col min="4104" max="4104" width="2.81640625" style="12" customWidth="1"/>
    <col min="4105" max="4105" width="3.54296875" style="12" customWidth="1"/>
    <col min="4106" max="4350" width="9.1796875" style="12"/>
    <col min="4351" max="4351" width="8.81640625" style="12" customWidth="1"/>
    <col min="4352" max="4352" width="9.81640625" style="12" customWidth="1"/>
    <col min="4353" max="4353" width="14.453125" style="12" customWidth="1"/>
    <col min="4354" max="4354" width="7.1796875" style="12" customWidth="1"/>
    <col min="4355" max="4355" width="5.54296875" style="12" customWidth="1"/>
    <col min="4356" max="4356" width="9" style="12" customWidth="1"/>
    <col min="4357" max="4358" width="9.81640625" style="12" customWidth="1"/>
    <col min="4359" max="4359" width="11.1796875" style="12" customWidth="1"/>
    <col min="4360" max="4360" width="2.81640625" style="12" customWidth="1"/>
    <col min="4361" max="4361" width="3.54296875" style="12" customWidth="1"/>
    <col min="4362" max="4606" width="9.1796875" style="12"/>
    <col min="4607" max="4607" width="8.81640625" style="12" customWidth="1"/>
    <col min="4608" max="4608" width="9.81640625" style="12" customWidth="1"/>
    <col min="4609" max="4609" width="14.453125" style="12" customWidth="1"/>
    <col min="4610" max="4610" width="7.1796875" style="12" customWidth="1"/>
    <col min="4611" max="4611" width="5.54296875" style="12" customWidth="1"/>
    <col min="4612" max="4612" width="9" style="12" customWidth="1"/>
    <col min="4613" max="4614" width="9.81640625" style="12" customWidth="1"/>
    <col min="4615" max="4615" width="11.1796875" style="12" customWidth="1"/>
    <col min="4616" max="4616" width="2.81640625" style="12" customWidth="1"/>
    <col min="4617" max="4617" width="3.54296875" style="12" customWidth="1"/>
    <col min="4618" max="4862" width="9.1796875" style="12"/>
    <col min="4863" max="4863" width="8.81640625" style="12" customWidth="1"/>
    <col min="4864" max="4864" width="9.81640625" style="12" customWidth="1"/>
    <col min="4865" max="4865" width="14.453125" style="12" customWidth="1"/>
    <col min="4866" max="4866" width="7.1796875" style="12" customWidth="1"/>
    <col min="4867" max="4867" width="5.54296875" style="12" customWidth="1"/>
    <col min="4868" max="4868" width="9" style="12" customWidth="1"/>
    <col min="4869" max="4870" width="9.81640625" style="12" customWidth="1"/>
    <col min="4871" max="4871" width="11.1796875" style="12" customWidth="1"/>
    <col min="4872" max="4872" width="2.81640625" style="12" customWidth="1"/>
    <col min="4873" max="4873" width="3.54296875" style="12" customWidth="1"/>
    <col min="4874" max="5118" width="9.1796875" style="12"/>
    <col min="5119" max="5119" width="8.81640625" style="12" customWidth="1"/>
    <col min="5120" max="5120" width="9.81640625" style="12" customWidth="1"/>
    <col min="5121" max="5121" width="14.453125" style="12" customWidth="1"/>
    <col min="5122" max="5122" width="7.1796875" style="12" customWidth="1"/>
    <col min="5123" max="5123" width="5.54296875" style="12" customWidth="1"/>
    <col min="5124" max="5124" width="9" style="12" customWidth="1"/>
    <col min="5125" max="5126" width="9.81640625" style="12" customWidth="1"/>
    <col min="5127" max="5127" width="11.1796875" style="12" customWidth="1"/>
    <col min="5128" max="5128" width="2.81640625" style="12" customWidth="1"/>
    <col min="5129" max="5129" width="3.54296875" style="12" customWidth="1"/>
    <col min="5130" max="5374" width="9.1796875" style="12"/>
    <col min="5375" max="5375" width="8.81640625" style="12" customWidth="1"/>
    <col min="5376" max="5376" width="9.81640625" style="12" customWidth="1"/>
    <col min="5377" max="5377" width="14.453125" style="12" customWidth="1"/>
    <col min="5378" max="5378" width="7.1796875" style="12" customWidth="1"/>
    <col min="5379" max="5379" width="5.54296875" style="12" customWidth="1"/>
    <col min="5380" max="5380" width="9" style="12" customWidth="1"/>
    <col min="5381" max="5382" width="9.81640625" style="12" customWidth="1"/>
    <col min="5383" max="5383" width="11.1796875" style="12" customWidth="1"/>
    <col min="5384" max="5384" width="2.81640625" style="12" customWidth="1"/>
    <col min="5385" max="5385" width="3.54296875" style="12" customWidth="1"/>
    <col min="5386" max="5630" width="9.1796875" style="12"/>
    <col min="5631" max="5631" width="8.81640625" style="12" customWidth="1"/>
    <col min="5632" max="5632" width="9.81640625" style="12" customWidth="1"/>
    <col min="5633" max="5633" width="14.453125" style="12" customWidth="1"/>
    <col min="5634" max="5634" width="7.1796875" style="12" customWidth="1"/>
    <col min="5635" max="5635" width="5.54296875" style="12" customWidth="1"/>
    <col min="5636" max="5636" width="9" style="12" customWidth="1"/>
    <col min="5637" max="5638" width="9.81640625" style="12" customWidth="1"/>
    <col min="5639" max="5639" width="11.1796875" style="12" customWidth="1"/>
    <col min="5640" max="5640" width="2.81640625" style="12" customWidth="1"/>
    <col min="5641" max="5641" width="3.54296875" style="12" customWidth="1"/>
    <col min="5642" max="5886" width="9.1796875" style="12"/>
    <col min="5887" max="5887" width="8.81640625" style="12" customWidth="1"/>
    <col min="5888" max="5888" width="9.81640625" style="12" customWidth="1"/>
    <col min="5889" max="5889" width="14.453125" style="12" customWidth="1"/>
    <col min="5890" max="5890" width="7.1796875" style="12" customWidth="1"/>
    <col min="5891" max="5891" width="5.54296875" style="12" customWidth="1"/>
    <col min="5892" max="5892" width="9" style="12" customWidth="1"/>
    <col min="5893" max="5894" width="9.81640625" style="12" customWidth="1"/>
    <col min="5895" max="5895" width="11.1796875" style="12" customWidth="1"/>
    <col min="5896" max="5896" width="2.81640625" style="12" customWidth="1"/>
    <col min="5897" max="5897" width="3.54296875" style="12" customWidth="1"/>
    <col min="5898" max="6142" width="9.1796875" style="12"/>
    <col min="6143" max="6143" width="8.81640625" style="12" customWidth="1"/>
    <col min="6144" max="6144" width="9.81640625" style="12" customWidth="1"/>
    <col min="6145" max="6145" width="14.453125" style="12" customWidth="1"/>
    <col min="6146" max="6146" width="7.1796875" style="12" customWidth="1"/>
    <col min="6147" max="6147" width="5.54296875" style="12" customWidth="1"/>
    <col min="6148" max="6148" width="9" style="12" customWidth="1"/>
    <col min="6149" max="6150" width="9.81640625" style="12" customWidth="1"/>
    <col min="6151" max="6151" width="11.1796875" style="12" customWidth="1"/>
    <col min="6152" max="6152" width="2.81640625" style="12" customWidth="1"/>
    <col min="6153" max="6153" width="3.54296875" style="12" customWidth="1"/>
    <col min="6154" max="6398" width="9.1796875" style="12"/>
    <col min="6399" max="6399" width="8.81640625" style="12" customWidth="1"/>
    <col min="6400" max="6400" width="9.81640625" style="12" customWidth="1"/>
    <col min="6401" max="6401" width="14.453125" style="12" customWidth="1"/>
    <col min="6402" max="6402" width="7.1796875" style="12" customWidth="1"/>
    <col min="6403" max="6403" width="5.54296875" style="12" customWidth="1"/>
    <col min="6404" max="6404" width="9" style="12" customWidth="1"/>
    <col min="6405" max="6406" width="9.81640625" style="12" customWidth="1"/>
    <col min="6407" max="6407" width="11.1796875" style="12" customWidth="1"/>
    <col min="6408" max="6408" width="2.81640625" style="12" customWidth="1"/>
    <col min="6409" max="6409" width="3.54296875" style="12" customWidth="1"/>
    <col min="6410" max="6654" width="9.1796875" style="12"/>
    <col min="6655" max="6655" width="8.81640625" style="12" customWidth="1"/>
    <col min="6656" max="6656" width="9.81640625" style="12" customWidth="1"/>
    <col min="6657" max="6657" width="14.453125" style="12" customWidth="1"/>
    <col min="6658" max="6658" width="7.1796875" style="12" customWidth="1"/>
    <col min="6659" max="6659" width="5.54296875" style="12" customWidth="1"/>
    <col min="6660" max="6660" width="9" style="12" customWidth="1"/>
    <col min="6661" max="6662" width="9.81640625" style="12" customWidth="1"/>
    <col min="6663" max="6663" width="11.1796875" style="12" customWidth="1"/>
    <col min="6664" max="6664" width="2.81640625" style="12" customWidth="1"/>
    <col min="6665" max="6665" width="3.54296875" style="12" customWidth="1"/>
    <col min="6666" max="6910" width="9.1796875" style="12"/>
    <col min="6911" max="6911" width="8.81640625" style="12" customWidth="1"/>
    <col min="6912" max="6912" width="9.81640625" style="12" customWidth="1"/>
    <col min="6913" max="6913" width="14.453125" style="12" customWidth="1"/>
    <col min="6914" max="6914" width="7.1796875" style="12" customWidth="1"/>
    <col min="6915" max="6915" width="5.54296875" style="12" customWidth="1"/>
    <col min="6916" max="6916" width="9" style="12" customWidth="1"/>
    <col min="6917" max="6918" width="9.81640625" style="12" customWidth="1"/>
    <col min="6919" max="6919" width="11.1796875" style="12" customWidth="1"/>
    <col min="6920" max="6920" width="2.81640625" style="12" customWidth="1"/>
    <col min="6921" max="6921" width="3.54296875" style="12" customWidth="1"/>
    <col min="6922" max="7166" width="9.1796875" style="12"/>
    <col min="7167" max="7167" width="8.81640625" style="12" customWidth="1"/>
    <col min="7168" max="7168" width="9.81640625" style="12" customWidth="1"/>
    <col min="7169" max="7169" width="14.453125" style="12" customWidth="1"/>
    <col min="7170" max="7170" width="7.1796875" style="12" customWidth="1"/>
    <col min="7171" max="7171" width="5.54296875" style="12" customWidth="1"/>
    <col min="7172" max="7172" width="9" style="12" customWidth="1"/>
    <col min="7173" max="7174" width="9.81640625" style="12" customWidth="1"/>
    <col min="7175" max="7175" width="11.1796875" style="12" customWidth="1"/>
    <col min="7176" max="7176" width="2.81640625" style="12" customWidth="1"/>
    <col min="7177" max="7177" width="3.54296875" style="12" customWidth="1"/>
    <col min="7178" max="7422" width="9.1796875" style="12"/>
    <col min="7423" max="7423" width="8.81640625" style="12" customWidth="1"/>
    <col min="7424" max="7424" width="9.81640625" style="12" customWidth="1"/>
    <col min="7425" max="7425" width="14.453125" style="12" customWidth="1"/>
    <col min="7426" max="7426" width="7.1796875" style="12" customWidth="1"/>
    <col min="7427" max="7427" width="5.54296875" style="12" customWidth="1"/>
    <col min="7428" max="7428" width="9" style="12" customWidth="1"/>
    <col min="7429" max="7430" width="9.81640625" style="12" customWidth="1"/>
    <col min="7431" max="7431" width="11.1796875" style="12" customWidth="1"/>
    <col min="7432" max="7432" width="2.81640625" style="12" customWidth="1"/>
    <col min="7433" max="7433" width="3.54296875" style="12" customWidth="1"/>
    <col min="7434" max="7678" width="9.1796875" style="12"/>
    <col min="7679" max="7679" width="8.81640625" style="12" customWidth="1"/>
    <col min="7680" max="7680" width="9.81640625" style="12" customWidth="1"/>
    <col min="7681" max="7681" width="14.453125" style="12" customWidth="1"/>
    <col min="7682" max="7682" width="7.1796875" style="12" customWidth="1"/>
    <col min="7683" max="7683" width="5.54296875" style="12" customWidth="1"/>
    <col min="7684" max="7684" width="9" style="12" customWidth="1"/>
    <col min="7685" max="7686" width="9.81640625" style="12" customWidth="1"/>
    <col min="7687" max="7687" width="11.1796875" style="12" customWidth="1"/>
    <col min="7688" max="7688" width="2.81640625" style="12" customWidth="1"/>
    <col min="7689" max="7689" width="3.54296875" style="12" customWidth="1"/>
    <col min="7690" max="7934" width="9.1796875" style="12"/>
    <col min="7935" max="7935" width="8.81640625" style="12" customWidth="1"/>
    <col min="7936" max="7936" width="9.81640625" style="12" customWidth="1"/>
    <col min="7937" max="7937" width="14.453125" style="12" customWidth="1"/>
    <col min="7938" max="7938" width="7.1796875" style="12" customWidth="1"/>
    <col min="7939" max="7939" width="5.54296875" style="12" customWidth="1"/>
    <col min="7940" max="7940" width="9" style="12" customWidth="1"/>
    <col min="7941" max="7942" width="9.81640625" style="12" customWidth="1"/>
    <col min="7943" max="7943" width="11.1796875" style="12" customWidth="1"/>
    <col min="7944" max="7944" width="2.81640625" style="12" customWidth="1"/>
    <col min="7945" max="7945" width="3.54296875" style="12" customWidth="1"/>
    <col min="7946" max="8190" width="9.1796875" style="12"/>
    <col min="8191" max="8191" width="8.81640625" style="12" customWidth="1"/>
    <col min="8192" max="8192" width="9.81640625" style="12" customWidth="1"/>
    <col min="8193" max="8193" width="14.453125" style="12" customWidth="1"/>
    <col min="8194" max="8194" width="7.1796875" style="12" customWidth="1"/>
    <col min="8195" max="8195" width="5.54296875" style="12" customWidth="1"/>
    <col min="8196" max="8196" width="9" style="12" customWidth="1"/>
    <col min="8197" max="8198" width="9.81640625" style="12" customWidth="1"/>
    <col min="8199" max="8199" width="11.1796875" style="12" customWidth="1"/>
    <col min="8200" max="8200" width="2.81640625" style="12" customWidth="1"/>
    <col min="8201" max="8201" width="3.54296875" style="12" customWidth="1"/>
    <col min="8202" max="8446" width="9.1796875" style="12"/>
    <col min="8447" max="8447" width="8.81640625" style="12" customWidth="1"/>
    <col min="8448" max="8448" width="9.81640625" style="12" customWidth="1"/>
    <col min="8449" max="8449" width="14.453125" style="12" customWidth="1"/>
    <col min="8450" max="8450" width="7.1796875" style="12" customWidth="1"/>
    <col min="8451" max="8451" width="5.54296875" style="12" customWidth="1"/>
    <col min="8452" max="8452" width="9" style="12" customWidth="1"/>
    <col min="8453" max="8454" width="9.81640625" style="12" customWidth="1"/>
    <col min="8455" max="8455" width="11.1796875" style="12" customWidth="1"/>
    <col min="8456" max="8456" width="2.81640625" style="12" customWidth="1"/>
    <col min="8457" max="8457" width="3.54296875" style="12" customWidth="1"/>
    <col min="8458" max="8702" width="9.1796875" style="12"/>
    <col min="8703" max="8703" width="8.81640625" style="12" customWidth="1"/>
    <col min="8704" max="8704" width="9.81640625" style="12" customWidth="1"/>
    <col min="8705" max="8705" width="14.453125" style="12" customWidth="1"/>
    <col min="8706" max="8706" width="7.1796875" style="12" customWidth="1"/>
    <col min="8707" max="8707" width="5.54296875" style="12" customWidth="1"/>
    <col min="8708" max="8708" width="9" style="12" customWidth="1"/>
    <col min="8709" max="8710" width="9.81640625" style="12" customWidth="1"/>
    <col min="8711" max="8711" width="11.1796875" style="12" customWidth="1"/>
    <col min="8712" max="8712" width="2.81640625" style="12" customWidth="1"/>
    <col min="8713" max="8713" width="3.54296875" style="12" customWidth="1"/>
    <col min="8714" max="8958" width="9.1796875" style="12"/>
    <col min="8959" max="8959" width="8.81640625" style="12" customWidth="1"/>
    <col min="8960" max="8960" width="9.81640625" style="12" customWidth="1"/>
    <col min="8961" max="8961" width="14.453125" style="12" customWidth="1"/>
    <col min="8962" max="8962" width="7.1796875" style="12" customWidth="1"/>
    <col min="8963" max="8963" width="5.54296875" style="12" customWidth="1"/>
    <col min="8964" max="8964" width="9" style="12" customWidth="1"/>
    <col min="8965" max="8966" width="9.81640625" style="12" customWidth="1"/>
    <col min="8967" max="8967" width="11.1796875" style="12" customWidth="1"/>
    <col min="8968" max="8968" width="2.81640625" style="12" customWidth="1"/>
    <col min="8969" max="8969" width="3.54296875" style="12" customWidth="1"/>
    <col min="8970" max="9214" width="9.1796875" style="12"/>
    <col min="9215" max="9215" width="8.81640625" style="12" customWidth="1"/>
    <col min="9216" max="9216" width="9.81640625" style="12" customWidth="1"/>
    <col min="9217" max="9217" width="14.453125" style="12" customWidth="1"/>
    <col min="9218" max="9218" width="7.1796875" style="12" customWidth="1"/>
    <col min="9219" max="9219" width="5.54296875" style="12" customWidth="1"/>
    <col min="9220" max="9220" width="9" style="12" customWidth="1"/>
    <col min="9221" max="9222" width="9.81640625" style="12" customWidth="1"/>
    <col min="9223" max="9223" width="11.1796875" style="12" customWidth="1"/>
    <col min="9224" max="9224" width="2.81640625" style="12" customWidth="1"/>
    <col min="9225" max="9225" width="3.54296875" style="12" customWidth="1"/>
    <col min="9226" max="9470" width="9.1796875" style="12"/>
    <col min="9471" max="9471" width="8.81640625" style="12" customWidth="1"/>
    <col min="9472" max="9472" width="9.81640625" style="12" customWidth="1"/>
    <col min="9473" max="9473" width="14.453125" style="12" customWidth="1"/>
    <col min="9474" max="9474" width="7.1796875" style="12" customWidth="1"/>
    <col min="9475" max="9475" width="5.54296875" style="12" customWidth="1"/>
    <col min="9476" max="9476" width="9" style="12" customWidth="1"/>
    <col min="9477" max="9478" width="9.81640625" style="12" customWidth="1"/>
    <col min="9479" max="9479" width="11.1796875" style="12" customWidth="1"/>
    <col min="9480" max="9480" width="2.81640625" style="12" customWidth="1"/>
    <col min="9481" max="9481" width="3.54296875" style="12" customWidth="1"/>
    <col min="9482" max="9726" width="9.1796875" style="12"/>
    <col min="9727" max="9727" width="8.81640625" style="12" customWidth="1"/>
    <col min="9728" max="9728" width="9.81640625" style="12" customWidth="1"/>
    <col min="9729" max="9729" width="14.453125" style="12" customWidth="1"/>
    <col min="9730" max="9730" width="7.1796875" style="12" customWidth="1"/>
    <col min="9731" max="9731" width="5.54296875" style="12" customWidth="1"/>
    <col min="9732" max="9732" width="9" style="12" customWidth="1"/>
    <col min="9733" max="9734" width="9.81640625" style="12" customWidth="1"/>
    <col min="9735" max="9735" width="11.1796875" style="12" customWidth="1"/>
    <col min="9736" max="9736" width="2.81640625" style="12" customWidth="1"/>
    <col min="9737" max="9737" width="3.54296875" style="12" customWidth="1"/>
    <col min="9738" max="9982" width="9.1796875" style="12"/>
    <col min="9983" max="9983" width="8.81640625" style="12" customWidth="1"/>
    <col min="9984" max="9984" width="9.81640625" style="12" customWidth="1"/>
    <col min="9985" max="9985" width="14.453125" style="12" customWidth="1"/>
    <col min="9986" max="9986" width="7.1796875" style="12" customWidth="1"/>
    <col min="9987" max="9987" width="5.54296875" style="12" customWidth="1"/>
    <col min="9988" max="9988" width="9" style="12" customWidth="1"/>
    <col min="9989" max="9990" width="9.81640625" style="12" customWidth="1"/>
    <col min="9991" max="9991" width="11.1796875" style="12" customWidth="1"/>
    <col min="9992" max="9992" width="2.81640625" style="12" customWidth="1"/>
    <col min="9993" max="9993" width="3.54296875" style="12" customWidth="1"/>
    <col min="9994" max="10238" width="9.1796875" style="12"/>
    <col min="10239" max="10239" width="8.81640625" style="12" customWidth="1"/>
    <col min="10240" max="10240" width="9.81640625" style="12" customWidth="1"/>
    <col min="10241" max="10241" width="14.453125" style="12" customWidth="1"/>
    <col min="10242" max="10242" width="7.1796875" style="12" customWidth="1"/>
    <col min="10243" max="10243" width="5.54296875" style="12" customWidth="1"/>
    <col min="10244" max="10244" width="9" style="12" customWidth="1"/>
    <col min="10245" max="10246" width="9.81640625" style="12" customWidth="1"/>
    <col min="10247" max="10247" width="11.1796875" style="12" customWidth="1"/>
    <col min="10248" max="10248" width="2.81640625" style="12" customWidth="1"/>
    <col min="10249" max="10249" width="3.54296875" style="12" customWidth="1"/>
    <col min="10250" max="10494" width="9.1796875" style="12"/>
    <col min="10495" max="10495" width="8.81640625" style="12" customWidth="1"/>
    <col min="10496" max="10496" width="9.81640625" style="12" customWidth="1"/>
    <col min="10497" max="10497" width="14.453125" style="12" customWidth="1"/>
    <col min="10498" max="10498" width="7.1796875" style="12" customWidth="1"/>
    <col min="10499" max="10499" width="5.54296875" style="12" customWidth="1"/>
    <col min="10500" max="10500" width="9" style="12" customWidth="1"/>
    <col min="10501" max="10502" width="9.81640625" style="12" customWidth="1"/>
    <col min="10503" max="10503" width="11.1796875" style="12" customWidth="1"/>
    <col min="10504" max="10504" width="2.81640625" style="12" customWidth="1"/>
    <col min="10505" max="10505" width="3.54296875" style="12" customWidth="1"/>
    <col min="10506" max="10750" width="9.1796875" style="12"/>
    <col min="10751" max="10751" width="8.81640625" style="12" customWidth="1"/>
    <col min="10752" max="10752" width="9.81640625" style="12" customWidth="1"/>
    <col min="10753" max="10753" width="14.453125" style="12" customWidth="1"/>
    <col min="10754" max="10754" width="7.1796875" style="12" customWidth="1"/>
    <col min="10755" max="10755" width="5.54296875" style="12" customWidth="1"/>
    <col min="10756" max="10756" width="9" style="12" customWidth="1"/>
    <col min="10757" max="10758" width="9.81640625" style="12" customWidth="1"/>
    <col min="10759" max="10759" width="11.1796875" style="12" customWidth="1"/>
    <col min="10760" max="10760" width="2.81640625" style="12" customWidth="1"/>
    <col min="10761" max="10761" width="3.54296875" style="12" customWidth="1"/>
    <col min="10762" max="11006" width="9.1796875" style="12"/>
    <col min="11007" max="11007" width="8.81640625" style="12" customWidth="1"/>
    <col min="11008" max="11008" width="9.81640625" style="12" customWidth="1"/>
    <col min="11009" max="11009" width="14.453125" style="12" customWidth="1"/>
    <col min="11010" max="11010" width="7.1796875" style="12" customWidth="1"/>
    <col min="11011" max="11011" width="5.54296875" style="12" customWidth="1"/>
    <col min="11012" max="11012" width="9" style="12" customWidth="1"/>
    <col min="11013" max="11014" width="9.81640625" style="12" customWidth="1"/>
    <col min="11015" max="11015" width="11.1796875" style="12" customWidth="1"/>
    <col min="11016" max="11016" width="2.81640625" style="12" customWidth="1"/>
    <col min="11017" max="11017" width="3.54296875" style="12" customWidth="1"/>
    <col min="11018" max="11262" width="9.1796875" style="12"/>
    <col min="11263" max="11263" width="8.81640625" style="12" customWidth="1"/>
    <col min="11264" max="11264" width="9.81640625" style="12" customWidth="1"/>
    <col min="11265" max="11265" width="14.453125" style="12" customWidth="1"/>
    <col min="11266" max="11266" width="7.1796875" style="12" customWidth="1"/>
    <col min="11267" max="11267" width="5.54296875" style="12" customWidth="1"/>
    <col min="11268" max="11268" width="9" style="12" customWidth="1"/>
    <col min="11269" max="11270" width="9.81640625" style="12" customWidth="1"/>
    <col min="11271" max="11271" width="11.1796875" style="12" customWidth="1"/>
    <col min="11272" max="11272" width="2.81640625" style="12" customWidth="1"/>
    <col min="11273" max="11273" width="3.54296875" style="12" customWidth="1"/>
    <col min="11274" max="11518" width="9.1796875" style="12"/>
    <col min="11519" max="11519" width="8.81640625" style="12" customWidth="1"/>
    <col min="11520" max="11520" width="9.81640625" style="12" customWidth="1"/>
    <col min="11521" max="11521" width="14.453125" style="12" customWidth="1"/>
    <col min="11522" max="11522" width="7.1796875" style="12" customWidth="1"/>
    <col min="11523" max="11523" width="5.54296875" style="12" customWidth="1"/>
    <col min="11524" max="11524" width="9" style="12" customWidth="1"/>
    <col min="11525" max="11526" width="9.81640625" style="12" customWidth="1"/>
    <col min="11527" max="11527" width="11.1796875" style="12" customWidth="1"/>
    <col min="11528" max="11528" width="2.81640625" style="12" customWidth="1"/>
    <col min="11529" max="11529" width="3.54296875" style="12" customWidth="1"/>
    <col min="11530" max="11774" width="9.1796875" style="12"/>
    <col min="11775" max="11775" width="8.81640625" style="12" customWidth="1"/>
    <col min="11776" max="11776" width="9.81640625" style="12" customWidth="1"/>
    <col min="11777" max="11777" width="14.453125" style="12" customWidth="1"/>
    <col min="11778" max="11778" width="7.1796875" style="12" customWidth="1"/>
    <col min="11779" max="11779" width="5.54296875" style="12" customWidth="1"/>
    <col min="11780" max="11780" width="9" style="12" customWidth="1"/>
    <col min="11781" max="11782" width="9.81640625" style="12" customWidth="1"/>
    <col min="11783" max="11783" width="11.1796875" style="12" customWidth="1"/>
    <col min="11784" max="11784" width="2.81640625" style="12" customWidth="1"/>
    <col min="11785" max="11785" width="3.54296875" style="12" customWidth="1"/>
    <col min="11786" max="12030" width="9.1796875" style="12"/>
    <col min="12031" max="12031" width="8.81640625" style="12" customWidth="1"/>
    <col min="12032" max="12032" width="9.81640625" style="12" customWidth="1"/>
    <col min="12033" max="12033" width="14.453125" style="12" customWidth="1"/>
    <col min="12034" max="12034" width="7.1796875" style="12" customWidth="1"/>
    <col min="12035" max="12035" width="5.54296875" style="12" customWidth="1"/>
    <col min="12036" max="12036" width="9" style="12" customWidth="1"/>
    <col min="12037" max="12038" width="9.81640625" style="12" customWidth="1"/>
    <col min="12039" max="12039" width="11.1796875" style="12" customWidth="1"/>
    <col min="12040" max="12040" width="2.81640625" style="12" customWidth="1"/>
    <col min="12041" max="12041" width="3.54296875" style="12" customWidth="1"/>
    <col min="12042" max="12286" width="9.1796875" style="12"/>
    <col min="12287" max="12287" width="8.81640625" style="12" customWidth="1"/>
    <col min="12288" max="12288" width="9.81640625" style="12" customWidth="1"/>
    <col min="12289" max="12289" width="14.453125" style="12" customWidth="1"/>
    <col min="12290" max="12290" width="7.1796875" style="12" customWidth="1"/>
    <col min="12291" max="12291" width="5.54296875" style="12" customWidth="1"/>
    <col min="12292" max="12292" width="9" style="12" customWidth="1"/>
    <col min="12293" max="12294" width="9.81640625" style="12" customWidth="1"/>
    <col min="12295" max="12295" width="11.1796875" style="12" customWidth="1"/>
    <col min="12296" max="12296" width="2.81640625" style="12" customWidth="1"/>
    <col min="12297" max="12297" width="3.54296875" style="12" customWidth="1"/>
    <col min="12298" max="12542" width="9.1796875" style="12"/>
    <col min="12543" max="12543" width="8.81640625" style="12" customWidth="1"/>
    <col min="12544" max="12544" width="9.81640625" style="12" customWidth="1"/>
    <col min="12545" max="12545" width="14.453125" style="12" customWidth="1"/>
    <col min="12546" max="12546" width="7.1796875" style="12" customWidth="1"/>
    <col min="12547" max="12547" width="5.54296875" style="12" customWidth="1"/>
    <col min="12548" max="12548" width="9" style="12" customWidth="1"/>
    <col min="12549" max="12550" width="9.81640625" style="12" customWidth="1"/>
    <col min="12551" max="12551" width="11.1796875" style="12" customWidth="1"/>
    <col min="12552" max="12552" width="2.81640625" style="12" customWidth="1"/>
    <col min="12553" max="12553" width="3.54296875" style="12" customWidth="1"/>
    <col min="12554" max="12798" width="9.1796875" style="12"/>
    <col min="12799" max="12799" width="8.81640625" style="12" customWidth="1"/>
    <col min="12800" max="12800" width="9.81640625" style="12" customWidth="1"/>
    <col min="12801" max="12801" width="14.453125" style="12" customWidth="1"/>
    <col min="12802" max="12802" width="7.1796875" style="12" customWidth="1"/>
    <col min="12803" max="12803" width="5.54296875" style="12" customWidth="1"/>
    <col min="12804" max="12804" width="9" style="12" customWidth="1"/>
    <col min="12805" max="12806" width="9.81640625" style="12" customWidth="1"/>
    <col min="12807" max="12807" width="11.1796875" style="12" customWidth="1"/>
    <col min="12808" max="12808" width="2.81640625" style="12" customWidth="1"/>
    <col min="12809" max="12809" width="3.54296875" style="12" customWidth="1"/>
    <col min="12810" max="13054" width="9.1796875" style="12"/>
    <col min="13055" max="13055" width="8.81640625" style="12" customWidth="1"/>
    <col min="13056" max="13056" width="9.81640625" style="12" customWidth="1"/>
    <col min="13057" max="13057" width="14.453125" style="12" customWidth="1"/>
    <col min="13058" max="13058" width="7.1796875" style="12" customWidth="1"/>
    <col min="13059" max="13059" width="5.54296875" style="12" customWidth="1"/>
    <col min="13060" max="13060" width="9" style="12" customWidth="1"/>
    <col min="13061" max="13062" width="9.81640625" style="12" customWidth="1"/>
    <col min="13063" max="13063" width="11.1796875" style="12" customWidth="1"/>
    <col min="13064" max="13064" width="2.81640625" style="12" customWidth="1"/>
    <col min="13065" max="13065" width="3.54296875" style="12" customWidth="1"/>
    <col min="13066" max="13310" width="9.1796875" style="12"/>
    <col min="13311" max="13311" width="8.81640625" style="12" customWidth="1"/>
    <col min="13312" max="13312" width="9.81640625" style="12" customWidth="1"/>
    <col min="13313" max="13313" width="14.453125" style="12" customWidth="1"/>
    <col min="13314" max="13314" width="7.1796875" style="12" customWidth="1"/>
    <col min="13315" max="13315" width="5.54296875" style="12" customWidth="1"/>
    <col min="13316" max="13316" width="9" style="12" customWidth="1"/>
    <col min="13317" max="13318" width="9.81640625" style="12" customWidth="1"/>
    <col min="13319" max="13319" width="11.1796875" style="12" customWidth="1"/>
    <col min="13320" max="13320" width="2.81640625" style="12" customWidth="1"/>
    <col min="13321" max="13321" width="3.54296875" style="12" customWidth="1"/>
    <col min="13322" max="13566" width="9.1796875" style="12"/>
    <col min="13567" max="13567" width="8.81640625" style="12" customWidth="1"/>
    <col min="13568" max="13568" width="9.81640625" style="12" customWidth="1"/>
    <col min="13569" max="13569" width="14.453125" style="12" customWidth="1"/>
    <col min="13570" max="13570" width="7.1796875" style="12" customWidth="1"/>
    <col min="13571" max="13571" width="5.54296875" style="12" customWidth="1"/>
    <col min="13572" max="13572" width="9" style="12" customWidth="1"/>
    <col min="13573" max="13574" width="9.81640625" style="12" customWidth="1"/>
    <col min="13575" max="13575" width="11.1796875" style="12" customWidth="1"/>
    <col min="13576" max="13576" width="2.81640625" style="12" customWidth="1"/>
    <col min="13577" max="13577" width="3.54296875" style="12" customWidth="1"/>
    <col min="13578" max="13822" width="9.1796875" style="12"/>
    <col min="13823" max="13823" width="8.81640625" style="12" customWidth="1"/>
    <col min="13824" max="13824" width="9.81640625" style="12" customWidth="1"/>
    <col min="13825" max="13825" width="14.453125" style="12" customWidth="1"/>
    <col min="13826" max="13826" width="7.1796875" style="12" customWidth="1"/>
    <col min="13827" max="13827" width="5.54296875" style="12" customWidth="1"/>
    <col min="13828" max="13828" width="9" style="12" customWidth="1"/>
    <col min="13829" max="13830" width="9.81640625" style="12" customWidth="1"/>
    <col min="13831" max="13831" width="11.1796875" style="12" customWidth="1"/>
    <col min="13832" max="13832" width="2.81640625" style="12" customWidth="1"/>
    <col min="13833" max="13833" width="3.54296875" style="12" customWidth="1"/>
    <col min="13834" max="14078" width="9.1796875" style="12"/>
    <col min="14079" max="14079" width="8.81640625" style="12" customWidth="1"/>
    <col min="14080" max="14080" width="9.81640625" style="12" customWidth="1"/>
    <col min="14081" max="14081" width="14.453125" style="12" customWidth="1"/>
    <col min="14082" max="14082" width="7.1796875" style="12" customWidth="1"/>
    <col min="14083" max="14083" width="5.54296875" style="12" customWidth="1"/>
    <col min="14084" max="14084" width="9" style="12" customWidth="1"/>
    <col min="14085" max="14086" width="9.81640625" style="12" customWidth="1"/>
    <col min="14087" max="14087" width="11.1796875" style="12" customWidth="1"/>
    <col min="14088" max="14088" width="2.81640625" style="12" customWidth="1"/>
    <col min="14089" max="14089" width="3.54296875" style="12" customWidth="1"/>
    <col min="14090" max="14334" width="9.1796875" style="12"/>
    <col min="14335" max="14335" width="8.81640625" style="12" customWidth="1"/>
    <col min="14336" max="14336" width="9.81640625" style="12" customWidth="1"/>
    <col min="14337" max="14337" width="14.453125" style="12" customWidth="1"/>
    <col min="14338" max="14338" width="7.1796875" style="12" customWidth="1"/>
    <col min="14339" max="14339" width="5.54296875" style="12" customWidth="1"/>
    <col min="14340" max="14340" width="9" style="12" customWidth="1"/>
    <col min="14341" max="14342" width="9.81640625" style="12" customWidth="1"/>
    <col min="14343" max="14343" width="11.1796875" style="12" customWidth="1"/>
    <col min="14344" max="14344" width="2.81640625" style="12" customWidth="1"/>
    <col min="14345" max="14345" width="3.54296875" style="12" customWidth="1"/>
    <col min="14346" max="14590" width="9.1796875" style="12"/>
    <col min="14591" max="14591" width="8.81640625" style="12" customWidth="1"/>
    <col min="14592" max="14592" width="9.81640625" style="12" customWidth="1"/>
    <col min="14593" max="14593" width="14.453125" style="12" customWidth="1"/>
    <col min="14594" max="14594" width="7.1796875" style="12" customWidth="1"/>
    <col min="14595" max="14595" width="5.54296875" style="12" customWidth="1"/>
    <col min="14596" max="14596" width="9" style="12" customWidth="1"/>
    <col min="14597" max="14598" width="9.81640625" style="12" customWidth="1"/>
    <col min="14599" max="14599" width="11.1796875" style="12" customWidth="1"/>
    <col min="14600" max="14600" width="2.81640625" style="12" customWidth="1"/>
    <col min="14601" max="14601" width="3.54296875" style="12" customWidth="1"/>
    <col min="14602" max="14846" width="9.1796875" style="12"/>
    <col min="14847" max="14847" width="8.81640625" style="12" customWidth="1"/>
    <col min="14848" max="14848" width="9.81640625" style="12" customWidth="1"/>
    <col min="14849" max="14849" width="14.453125" style="12" customWidth="1"/>
    <col min="14850" max="14850" width="7.1796875" style="12" customWidth="1"/>
    <col min="14851" max="14851" width="5.54296875" style="12" customWidth="1"/>
    <col min="14852" max="14852" width="9" style="12" customWidth="1"/>
    <col min="14853" max="14854" width="9.81640625" style="12" customWidth="1"/>
    <col min="14855" max="14855" width="11.1796875" style="12" customWidth="1"/>
    <col min="14856" max="14856" width="2.81640625" style="12" customWidth="1"/>
    <col min="14857" max="14857" width="3.54296875" style="12" customWidth="1"/>
    <col min="14858" max="15102" width="9.1796875" style="12"/>
    <col min="15103" max="15103" width="8.81640625" style="12" customWidth="1"/>
    <col min="15104" max="15104" width="9.81640625" style="12" customWidth="1"/>
    <col min="15105" max="15105" width="14.453125" style="12" customWidth="1"/>
    <col min="15106" max="15106" width="7.1796875" style="12" customWidth="1"/>
    <col min="15107" max="15107" width="5.54296875" style="12" customWidth="1"/>
    <col min="15108" max="15108" width="9" style="12" customWidth="1"/>
    <col min="15109" max="15110" width="9.81640625" style="12" customWidth="1"/>
    <col min="15111" max="15111" width="11.1796875" style="12" customWidth="1"/>
    <col min="15112" max="15112" width="2.81640625" style="12" customWidth="1"/>
    <col min="15113" max="15113" width="3.54296875" style="12" customWidth="1"/>
    <col min="15114" max="15358" width="9.1796875" style="12"/>
    <col min="15359" max="15359" width="8.81640625" style="12" customWidth="1"/>
    <col min="15360" max="15360" width="9.81640625" style="12" customWidth="1"/>
    <col min="15361" max="15361" width="14.453125" style="12" customWidth="1"/>
    <col min="15362" max="15362" width="7.1796875" style="12" customWidth="1"/>
    <col min="15363" max="15363" width="5.54296875" style="12" customWidth="1"/>
    <col min="15364" max="15364" width="9" style="12" customWidth="1"/>
    <col min="15365" max="15366" width="9.81640625" style="12" customWidth="1"/>
    <col min="15367" max="15367" width="11.1796875" style="12" customWidth="1"/>
    <col min="15368" max="15368" width="2.81640625" style="12" customWidth="1"/>
    <col min="15369" max="15369" width="3.54296875" style="12" customWidth="1"/>
    <col min="15370" max="15614" width="9.1796875" style="12"/>
    <col min="15615" max="15615" width="8.81640625" style="12" customWidth="1"/>
    <col min="15616" max="15616" width="9.81640625" style="12" customWidth="1"/>
    <col min="15617" max="15617" width="14.453125" style="12" customWidth="1"/>
    <col min="15618" max="15618" width="7.1796875" style="12" customWidth="1"/>
    <col min="15619" max="15619" width="5.54296875" style="12" customWidth="1"/>
    <col min="15620" max="15620" width="9" style="12" customWidth="1"/>
    <col min="15621" max="15622" width="9.81640625" style="12" customWidth="1"/>
    <col min="15623" max="15623" width="11.1796875" style="12" customWidth="1"/>
    <col min="15624" max="15624" width="2.81640625" style="12" customWidth="1"/>
    <col min="15625" max="15625" width="3.54296875" style="12" customWidth="1"/>
    <col min="15626" max="15870" width="9.1796875" style="12"/>
    <col min="15871" max="15871" width="8.81640625" style="12" customWidth="1"/>
    <col min="15872" max="15872" width="9.81640625" style="12" customWidth="1"/>
    <col min="15873" max="15873" width="14.453125" style="12" customWidth="1"/>
    <col min="15874" max="15874" width="7.1796875" style="12" customWidth="1"/>
    <col min="15875" max="15875" width="5.54296875" style="12" customWidth="1"/>
    <col min="15876" max="15876" width="9" style="12" customWidth="1"/>
    <col min="15877" max="15878" width="9.81640625" style="12" customWidth="1"/>
    <col min="15879" max="15879" width="11.1796875" style="12" customWidth="1"/>
    <col min="15880" max="15880" width="2.81640625" style="12" customWidth="1"/>
    <col min="15881" max="15881" width="3.54296875" style="12" customWidth="1"/>
    <col min="15882" max="16126" width="9.1796875" style="12"/>
    <col min="16127" max="16127" width="8.81640625" style="12" customWidth="1"/>
    <col min="16128" max="16128" width="9.81640625" style="12" customWidth="1"/>
    <col min="16129" max="16129" width="14.453125" style="12" customWidth="1"/>
    <col min="16130" max="16130" width="7.1796875" style="12" customWidth="1"/>
    <col min="16131" max="16131" width="5.54296875" style="12" customWidth="1"/>
    <col min="16132" max="16132" width="9" style="12" customWidth="1"/>
    <col min="16133" max="16134" width="9.81640625" style="12" customWidth="1"/>
    <col min="16135" max="16135" width="11.1796875" style="12" customWidth="1"/>
    <col min="16136" max="16136" width="2.81640625" style="12" customWidth="1"/>
    <col min="16137" max="16137" width="3.54296875" style="12" customWidth="1"/>
    <col min="16138" max="16384" width="9.1796875" style="12"/>
  </cols>
  <sheetData>
    <row r="1" spans="1:11" ht="46.5" customHeight="1" x14ac:dyDescent="0.35">
      <c r="A1" s="108" t="s">
        <v>291</v>
      </c>
      <c r="B1" s="109"/>
      <c r="C1" s="109"/>
      <c r="D1" s="109"/>
      <c r="E1" s="109"/>
      <c r="F1" s="109"/>
      <c r="G1" s="109"/>
      <c r="H1" s="109"/>
      <c r="I1" s="109"/>
      <c r="J1" s="110"/>
    </row>
    <row r="2" spans="1:11" ht="16.5" customHeight="1" x14ac:dyDescent="0.35">
      <c r="A2" s="111" t="s">
        <v>0</v>
      </c>
      <c r="B2" s="112"/>
      <c r="C2" s="112"/>
      <c r="D2" s="112"/>
      <c r="E2" s="112"/>
      <c r="F2" s="112"/>
      <c r="G2" s="112"/>
      <c r="H2" s="112"/>
      <c r="I2" s="112"/>
      <c r="J2" s="113"/>
    </row>
    <row r="3" spans="1:11" x14ac:dyDescent="0.35">
      <c r="A3" s="83" t="s">
        <v>1</v>
      </c>
      <c r="B3" s="84"/>
      <c r="C3" s="84"/>
      <c r="D3" s="84"/>
      <c r="E3" s="85"/>
      <c r="F3" s="114" t="str">
        <f ca="1">TEXT(TODAY(),"DD/MM/YYYY")</f>
        <v>08/09/2025</v>
      </c>
      <c r="G3" s="115"/>
      <c r="H3" s="115"/>
      <c r="I3" s="115"/>
      <c r="J3" s="116"/>
    </row>
    <row r="4" spans="1:11" ht="15" customHeight="1" x14ac:dyDescent="0.35">
      <c r="A4" s="83" t="s">
        <v>2</v>
      </c>
      <c r="B4" s="84"/>
      <c r="C4" s="84"/>
      <c r="D4" s="84"/>
      <c r="E4" s="85"/>
      <c r="F4" s="80" t="s">
        <v>168</v>
      </c>
      <c r="G4" s="81"/>
      <c r="H4" s="81"/>
      <c r="I4" s="81"/>
      <c r="J4" s="82"/>
    </row>
    <row r="5" spans="1:11" x14ac:dyDescent="0.35">
      <c r="A5" s="83" t="s">
        <v>3</v>
      </c>
      <c r="B5" s="84"/>
      <c r="C5" s="84"/>
      <c r="D5" s="84"/>
      <c r="E5" s="85"/>
      <c r="F5" s="114">
        <v>45907</v>
      </c>
      <c r="G5" s="115"/>
      <c r="H5" s="115"/>
      <c r="I5" s="115"/>
      <c r="J5" s="116"/>
    </row>
    <row r="6" spans="1:11" ht="16.5" customHeight="1" x14ac:dyDescent="0.35">
      <c r="A6" s="83" t="s">
        <v>4</v>
      </c>
      <c r="B6" s="84"/>
      <c r="C6" s="84"/>
      <c r="D6" s="84"/>
      <c r="E6" s="85"/>
      <c r="F6" s="74" t="s">
        <v>169</v>
      </c>
      <c r="G6" s="75"/>
      <c r="H6" s="75"/>
      <c r="I6" s="75"/>
      <c r="J6" s="76"/>
    </row>
    <row r="7" spans="1:11" ht="15" customHeight="1" x14ac:dyDescent="0.35">
      <c r="A7" s="83" t="s">
        <v>5</v>
      </c>
      <c r="B7" s="84"/>
      <c r="C7" s="84"/>
      <c r="D7" s="84"/>
      <c r="E7" s="85"/>
      <c r="F7" s="74" t="str">
        <f>F6</f>
        <v>M/s.Glider Buildcon Realtors Private Limited</v>
      </c>
      <c r="G7" s="75"/>
      <c r="H7" s="75"/>
      <c r="I7" s="75"/>
      <c r="J7" s="76"/>
    </row>
    <row r="8" spans="1:11" x14ac:dyDescent="0.35">
      <c r="A8" s="83" t="s">
        <v>6</v>
      </c>
      <c r="B8" s="84"/>
      <c r="C8" s="84"/>
      <c r="D8" s="84"/>
      <c r="E8" s="85"/>
      <c r="F8" s="68" t="s">
        <v>292</v>
      </c>
      <c r="G8" s="69"/>
      <c r="H8" s="69"/>
      <c r="I8" s="69"/>
      <c r="J8" s="70"/>
    </row>
    <row r="9" spans="1:11" x14ac:dyDescent="0.35">
      <c r="A9" s="83" t="s">
        <v>330</v>
      </c>
      <c r="B9" s="84"/>
      <c r="C9" s="84"/>
      <c r="D9" s="84"/>
      <c r="E9" s="85"/>
      <c r="F9" s="83" t="s">
        <v>272</v>
      </c>
      <c r="G9" s="84"/>
      <c r="H9" s="84"/>
      <c r="I9" s="84"/>
      <c r="J9" s="85"/>
    </row>
    <row r="10" spans="1:11" x14ac:dyDescent="0.35">
      <c r="A10" s="83" t="s">
        <v>331</v>
      </c>
      <c r="B10" s="84"/>
      <c r="C10" s="84"/>
      <c r="D10" s="84"/>
      <c r="E10" s="85"/>
      <c r="F10" s="83" t="s">
        <v>33</v>
      </c>
      <c r="G10" s="84"/>
      <c r="H10" s="84"/>
      <c r="I10" s="84"/>
      <c r="J10" s="85"/>
    </row>
    <row r="11" spans="1:11" x14ac:dyDescent="0.35">
      <c r="A11" s="83" t="s">
        <v>7</v>
      </c>
      <c r="B11" s="84"/>
      <c r="C11" s="84"/>
      <c r="D11" s="84"/>
      <c r="E11" s="85"/>
      <c r="F11" s="103" t="s">
        <v>297</v>
      </c>
      <c r="G11" s="104"/>
      <c r="H11" s="104"/>
      <c r="I11" s="104"/>
      <c r="J11" s="105"/>
    </row>
    <row r="12" spans="1:11" ht="16.5" customHeight="1" x14ac:dyDescent="0.35">
      <c r="A12" s="83" t="s">
        <v>332</v>
      </c>
      <c r="B12" s="84"/>
      <c r="C12" s="84"/>
      <c r="D12" s="84"/>
      <c r="E12" s="85"/>
      <c r="F12" s="77" t="s">
        <v>8</v>
      </c>
      <c r="G12" s="78"/>
      <c r="H12" s="78"/>
      <c r="I12" s="78"/>
      <c r="J12" s="79"/>
    </row>
    <row r="13" spans="1:11" ht="63" customHeight="1" x14ac:dyDescent="0.35">
      <c r="A13" s="83" t="s">
        <v>166</v>
      </c>
      <c r="B13" s="84"/>
      <c r="C13" s="84"/>
      <c r="D13" s="84"/>
      <c r="E13" s="85"/>
      <c r="F13" s="74" t="s">
        <v>395</v>
      </c>
      <c r="G13" s="84"/>
      <c r="H13" s="84"/>
      <c r="I13" s="84"/>
      <c r="J13" s="85"/>
      <c r="K13" s="12" t="s">
        <v>398</v>
      </c>
    </row>
    <row r="14" spans="1:11" ht="31.5" customHeight="1" x14ac:dyDescent="0.35">
      <c r="A14" s="118" t="s">
        <v>9</v>
      </c>
      <c r="B14" s="118"/>
      <c r="C14" s="74" t="str">
        <f>CONCATENATE((IF(OR(F8="",F8="NA"),"",F8)),", ",(IF(OR(A15="",A15="NA"),"",A15)),".",(IF(OR(C15="",C15="NA"),"",C15)),", ",(IF(OR(C16="",C16="NA"),"",C16)),", ",(IF(OR(H16="",H16="NA"),"",H16)),", ",(IF(OR(C17="",C17="NA"),"",C17)),", ",(IF(OR(C18="",C18="NA"),"",C18)),", ",(IF(OR(H17="",H17="NA"),"",H17)),", ",(IF(OR(H18="",H18="NA"),"",H18)),".")</f>
        <v>Piramal Aranya, CTS No.593, Rambhau Bhogale Marg, Mazgaon , Buyculla, Mumbai, Mumbai, 400010.</v>
      </c>
      <c r="D14" s="75"/>
      <c r="E14" s="75"/>
      <c r="F14" s="75"/>
      <c r="G14" s="75"/>
      <c r="H14" s="75"/>
      <c r="I14" s="75"/>
      <c r="J14" s="76"/>
    </row>
    <row r="15" spans="1:11" ht="15.75" customHeight="1" x14ac:dyDescent="0.35">
      <c r="A15" s="74" t="s">
        <v>170</v>
      </c>
      <c r="B15" s="76"/>
      <c r="C15" s="77">
        <v>593</v>
      </c>
      <c r="D15" s="78"/>
      <c r="E15" s="78"/>
      <c r="F15" s="78"/>
      <c r="G15" s="78"/>
      <c r="H15" s="78"/>
      <c r="I15" s="78"/>
      <c r="J15" s="79"/>
    </row>
    <row r="16" spans="1:11" ht="15.75" customHeight="1" x14ac:dyDescent="0.35">
      <c r="A16" s="74" t="s">
        <v>10</v>
      </c>
      <c r="B16" s="76"/>
      <c r="C16" s="97" t="s">
        <v>172</v>
      </c>
      <c r="D16" s="97"/>
      <c r="E16" s="97"/>
      <c r="F16" s="98" t="s">
        <v>173</v>
      </c>
      <c r="G16" s="99"/>
      <c r="H16" s="77" t="s">
        <v>171</v>
      </c>
      <c r="I16" s="78"/>
      <c r="J16" s="79"/>
    </row>
    <row r="17" spans="1:10" x14ac:dyDescent="0.35">
      <c r="A17" s="86" t="s">
        <v>12</v>
      </c>
      <c r="B17" s="86"/>
      <c r="C17" s="97" t="s">
        <v>175</v>
      </c>
      <c r="D17" s="97"/>
      <c r="E17" s="97"/>
      <c r="F17" s="98" t="s">
        <v>11</v>
      </c>
      <c r="G17" s="99"/>
      <c r="H17" s="117" t="s">
        <v>174</v>
      </c>
      <c r="I17" s="117"/>
      <c r="J17" s="117"/>
    </row>
    <row r="18" spans="1:10" x14ac:dyDescent="0.35">
      <c r="A18" s="86" t="s">
        <v>132</v>
      </c>
      <c r="B18" s="86"/>
      <c r="C18" s="117" t="s">
        <v>174</v>
      </c>
      <c r="D18" s="117"/>
      <c r="E18" s="117"/>
      <c r="F18" s="98" t="s">
        <v>13</v>
      </c>
      <c r="G18" s="99"/>
      <c r="H18" s="77">
        <v>400010</v>
      </c>
      <c r="I18" s="78"/>
      <c r="J18" s="79"/>
    </row>
    <row r="19" spans="1:10" ht="32.25" customHeight="1" x14ac:dyDescent="0.35">
      <c r="A19" s="86" t="s">
        <v>14</v>
      </c>
      <c r="B19" s="86"/>
      <c r="C19" s="100" t="s">
        <v>323</v>
      </c>
      <c r="D19" s="100"/>
      <c r="E19" s="100"/>
      <c r="F19" s="118" t="s">
        <v>15</v>
      </c>
      <c r="G19" s="118"/>
      <c r="H19" s="78" t="s">
        <v>198</v>
      </c>
      <c r="I19" s="78"/>
      <c r="J19" s="79"/>
    </row>
    <row r="20" spans="1:10" ht="15" customHeight="1" x14ac:dyDescent="0.35">
      <c r="A20" s="98" t="s">
        <v>140</v>
      </c>
      <c r="B20" s="101"/>
      <c r="C20" s="101"/>
      <c r="D20" s="101"/>
      <c r="E20" s="99"/>
      <c r="F20" s="119" t="s">
        <v>16</v>
      </c>
      <c r="G20" s="120"/>
      <c r="H20" s="120"/>
      <c r="I20" s="120"/>
      <c r="J20" s="121"/>
    </row>
    <row r="21" spans="1:10" ht="18.75" customHeight="1" x14ac:dyDescent="0.35">
      <c r="A21" s="95"/>
      <c r="B21" s="96"/>
      <c r="C21" s="96"/>
      <c r="D21" s="96"/>
      <c r="E21" s="102"/>
      <c r="F21" s="122"/>
      <c r="G21" s="123"/>
      <c r="H21" s="123"/>
      <c r="I21" s="123"/>
      <c r="J21" s="124"/>
    </row>
    <row r="22" spans="1:10" ht="15" customHeight="1" x14ac:dyDescent="0.35">
      <c r="A22" s="98" t="s">
        <v>17</v>
      </c>
      <c r="B22" s="101"/>
      <c r="C22" s="101"/>
      <c r="D22" s="101"/>
      <c r="E22" s="99"/>
      <c r="F22" s="98" t="s">
        <v>18</v>
      </c>
      <c r="G22" s="101"/>
      <c r="H22" s="101"/>
      <c r="I22" s="101"/>
      <c r="J22" s="99"/>
    </row>
    <row r="23" spans="1:10" x14ac:dyDescent="0.35">
      <c r="A23" s="95"/>
      <c r="B23" s="96"/>
      <c r="C23" s="96"/>
      <c r="D23" s="96"/>
      <c r="E23" s="102"/>
      <c r="F23" s="95"/>
      <c r="G23" s="96"/>
      <c r="H23" s="96"/>
      <c r="I23" s="96"/>
      <c r="J23" s="102"/>
    </row>
    <row r="24" spans="1:10" ht="15" customHeight="1" x14ac:dyDescent="0.35">
      <c r="A24" s="83" t="s">
        <v>19</v>
      </c>
      <c r="B24" s="84"/>
      <c r="C24" s="84"/>
      <c r="D24" s="84"/>
      <c r="E24" s="85"/>
      <c r="F24" s="80" t="s">
        <v>20</v>
      </c>
      <c r="G24" s="81"/>
      <c r="H24" s="81"/>
      <c r="I24" s="81"/>
      <c r="J24" s="82"/>
    </row>
    <row r="25" spans="1:10" x14ac:dyDescent="0.35">
      <c r="A25" s="83" t="s">
        <v>21</v>
      </c>
      <c r="B25" s="84"/>
      <c r="C25" s="84"/>
      <c r="D25" s="84"/>
      <c r="E25" s="85"/>
      <c r="F25" s="80" t="s">
        <v>22</v>
      </c>
      <c r="G25" s="81"/>
      <c r="H25" s="81"/>
      <c r="I25" s="81"/>
      <c r="J25" s="82"/>
    </row>
    <row r="26" spans="1:10" ht="15" customHeight="1" x14ac:dyDescent="0.35">
      <c r="A26" s="83" t="s">
        <v>23</v>
      </c>
      <c r="B26" s="84"/>
      <c r="C26" s="84"/>
      <c r="D26" s="84"/>
      <c r="E26" s="85"/>
      <c r="F26" s="80" t="s">
        <v>24</v>
      </c>
      <c r="G26" s="81"/>
      <c r="H26" s="81"/>
      <c r="I26" s="81"/>
      <c r="J26" s="82"/>
    </row>
    <row r="27" spans="1:10" x14ac:dyDescent="0.35">
      <c r="A27" s="83" t="s">
        <v>25</v>
      </c>
      <c r="B27" s="84"/>
      <c r="C27" s="84"/>
      <c r="D27" s="84"/>
      <c r="E27" s="85"/>
      <c r="F27" s="80" t="s">
        <v>26</v>
      </c>
      <c r="G27" s="81"/>
      <c r="H27" s="81"/>
      <c r="I27" s="81"/>
      <c r="J27" s="82"/>
    </row>
    <row r="28" spans="1:10" x14ac:dyDescent="0.35">
      <c r="A28" s="90" t="s">
        <v>27</v>
      </c>
      <c r="B28" s="91"/>
      <c r="C28" s="90" t="s">
        <v>28</v>
      </c>
      <c r="D28" s="91"/>
      <c r="E28" s="90" t="s">
        <v>29</v>
      </c>
      <c r="F28" s="91"/>
      <c r="G28" s="90" t="s">
        <v>31</v>
      </c>
      <c r="H28" s="91"/>
      <c r="I28" s="90" t="s">
        <v>30</v>
      </c>
      <c r="J28" s="91"/>
    </row>
    <row r="29" spans="1:10" x14ac:dyDescent="0.35">
      <c r="A29" s="88" t="s">
        <v>32</v>
      </c>
      <c r="B29" s="89"/>
      <c r="C29" s="88" t="s">
        <v>33</v>
      </c>
      <c r="D29" s="89"/>
      <c r="E29" s="88" t="s">
        <v>33</v>
      </c>
      <c r="F29" s="89"/>
      <c r="G29" s="88" t="s">
        <v>33</v>
      </c>
      <c r="H29" s="89"/>
      <c r="I29" s="88" t="s">
        <v>33</v>
      </c>
      <c r="J29" s="89"/>
    </row>
    <row r="30" spans="1:10" ht="34.5" customHeight="1" x14ac:dyDescent="0.35">
      <c r="A30" s="88" t="s">
        <v>34</v>
      </c>
      <c r="B30" s="89"/>
      <c r="C30" s="92" t="s">
        <v>197</v>
      </c>
      <c r="D30" s="93"/>
      <c r="E30" s="92" t="s">
        <v>172</v>
      </c>
      <c r="F30" s="93"/>
      <c r="G30" s="92" t="s">
        <v>196</v>
      </c>
      <c r="H30" s="93"/>
      <c r="I30" s="92" t="s">
        <v>197</v>
      </c>
      <c r="J30" s="93"/>
    </row>
    <row r="31" spans="1:10" x14ac:dyDescent="0.35">
      <c r="A31" s="83" t="s">
        <v>35</v>
      </c>
      <c r="B31" s="84"/>
      <c r="C31" s="84"/>
      <c r="D31" s="84"/>
      <c r="E31" s="84"/>
      <c r="F31" s="84"/>
      <c r="G31" s="84"/>
      <c r="H31" s="84"/>
      <c r="I31" s="84"/>
      <c r="J31" s="85"/>
    </row>
    <row r="32" spans="1:10" x14ac:dyDescent="0.35">
      <c r="A32" s="83" t="s">
        <v>36</v>
      </c>
      <c r="B32" s="84"/>
      <c r="C32" s="84"/>
      <c r="D32" s="84"/>
      <c r="E32" s="84"/>
      <c r="F32" s="84"/>
      <c r="G32" s="84"/>
      <c r="H32" s="84"/>
      <c r="I32" s="84"/>
      <c r="J32" s="85"/>
    </row>
    <row r="33" spans="1:10" x14ac:dyDescent="0.35">
      <c r="A33" s="83" t="s">
        <v>37</v>
      </c>
      <c r="B33" s="85"/>
      <c r="C33" s="68" t="s">
        <v>333</v>
      </c>
      <c r="D33" s="69"/>
      <c r="E33" s="69"/>
      <c r="F33" s="69"/>
      <c r="G33" s="69"/>
      <c r="H33" s="69"/>
      <c r="I33" s="69"/>
      <c r="J33" s="70"/>
    </row>
    <row r="34" spans="1:10" x14ac:dyDescent="0.35">
      <c r="A34" s="83" t="s">
        <v>293</v>
      </c>
      <c r="B34" s="85"/>
      <c r="C34" s="87" t="s">
        <v>294</v>
      </c>
      <c r="D34" s="84"/>
      <c r="E34" s="84"/>
      <c r="F34" s="84"/>
      <c r="G34" s="84"/>
      <c r="H34" s="84"/>
      <c r="I34" s="84"/>
      <c r="J34" s="85"/>
    </row>
    <row r="35" spans="1:10" x14ac:dyDescent="0.35">
      <c r="A35" s="106" t="s">
        <v>38</v>
      </c>
      <c r="B35" s="106"/>
      <c r="C35" s="106"/>
      <c r="D35" s="106"/>
      <c r="E35" s="106"/>
      <c r="F35" s="106"/>
      <c r="G35" s="106"/>
      <c r="H35" s="106"/>
      <c r="I35" s="106"/>
      <c r="J35" s="106"/>
    </row>
    <row r="36" spans="1:10" ht="15" customHeight="1" x14ac:dyDescent="0.35">
      <c r="A36" s="118" t="s">
        <v>39</v>
      </c>
      <c r="B36" s="118"/>
      <c r="C36" s="118"/>
      <c r="D36" s="118"/>
      <c r="E36" s="118"/>
      <c r="F36" s="227" t="s">
        <v>199</v>
      </c>
      <c r="G36" s="227"/>
      <c r="H36" s="227"/>
      <c r="I36" s="227"/>
      <c r="J36" s="227"/>
    </row>
    <row r="37" spans="1:10" ht="15" customHeight="1" x14ac:dyDescent="0.35">
      <c r="A37" s="118" t="s">
        <v>40</v>
      </c>
      <c r="B37" s="118"/>
      <c r="C37" s="118"/>
      <c r="D37" s="118"/>
      <c r="E37" s="118"/>
      <c r="F37" s="118" t="s">
        <v>41</v>
      </c>
      <c r="G37" s="118"/>
      <c r="H37" s="118"/>
      <c r="I37" s="118"/>
      <c r="J37" s="118"/>
    </row>
    <row r="38" spans="1:10" x14ac:dyDescent="0.35">
      <c r="A38" s="106" t="s">
        <v>42</v>
      </c>
      <c r="B38" s="106"/>
      <c r="C38" s="106"/>
      <c r="D38" s="106"/>
      <c r="E38" s="106"/>
      <c r="F38" s="106"/>
      <c r="G38" s="106"/>
      <c r="H38" s="106"/>
      <c r="I38" s="106"/>
      <c r="J38" s="106"/>
    </row>
    <row r="39" spans="1:10" x14ac:dyDescent="0.35">
      <c r="A39" s="86" t="s">
        <v>43</v>
      </c>
      <c r="B39" s="86"/>
      <c r="C39" s="86"/>
      <c r="D39" s="86"/>
      <c r="E39" s="86"/>
      <c r="F39" s="107">
        <v>27284.36</v>
      </c>
      <c r="G39" s="107"/>
      <c r="H39" s="107"/>
      <c r="I39" s="107"/>
      <c r="J39" s="107"/>
    </row>
    <row r="40" spans="1:10" x14ac:dyDescent="0.35">
      <c r="A40" s="86" t="s">
        <v>44</v>
      </c>
      <c r="B40" s="86"/>
      <c r="C40" s="86"/>
      <c r="D40" s="86"/>
      <c r="E40" s="86"/>
      <c r="F40" s="94">
        <v>1.33</v>
      </c>
      <c r="G40" s="94"/>
      <c r="H40" s="94"/>
      <c r="I40" s="94"/>
      <c r="J40" s="94"/>
    </row>
    <row r="41" spans="1:10" x14ac:dyDescent="0.35">
      <c r="A41" s="86" t="s">
        <v>45</v>
      </c>
      <c r="B41" s="86"/>
      <c r="C41" s="86"/>
      <c r="D41" s="86"/>
      <c r="E41" s="86"/>
      <c r="F41" s="94">
        <f>F43/F39-F40</f>
        <v>4.0669761431090929</v>
      </c>
      <c r="G41" s="94"/>
      <c r="H41" s="94"/>
      <c r="I41" s="94"/>
      <c r="J41" s="94"/>
    </row>
    <row r="42" spans="1:10" x14ac:dyDescent="0.35">
      <c r="A42" s="86" t="s">
        <v>46</v>
      </c>
      <c r="B42" s="86"/>
      <c r="C42" s="86"/>
      <c r="D42" s="86"/>
      <c r="E42" s="86"/>
      <c r="F42" s="94">
        <f>F40+F41</f>
        <v>5.396976143109093</v>
      </c>
      <c r="G42" s="94"/>
      <c r="H42" s="94"/>
      <c r="I42" s="94"/>
      <c r="J42" s="94"/>
    </row>
    <row r="43" spans="1:10" x14ac:dyDescent="0.35">
      <c r="A43" s="86" t="s">
        <v>47</v>
      </c>
      <c r="B43" s="86"/>
      <c r="C43" s="86"/>
      <c r="D43" s="86"/>
      <c r="E43" s="86"/>
      <c r="F43" s="94">
        <v>147253.04</v>
      </c>
      <c r="G43" s="94"/>
      <c r="H43" s="94"/>
      <c r="I43" s="94"/>
      <c r="J43" s="94"/>
    </row>
    <row r="44" spans="1:10" x14ac:dyDescent="0.35">
      <c r="A44" s="86" t="s">
        <v>48</v>
      </c>
      <c r="B44" s="86"/>
      <c r="C44" s="86"/>
      <c r="D44" s="86"/>
      <c r="E44" s="86"/>
      <c r="F44" s="97" t="s">
        <v>295</v>
      </c>
      <c r="G44" s="97"/>
      <c r="H44" s="97"/>
      <c r="I44" s="97"/>
      <c r="J44" s="97"/>
    </row>
    <row r="45" spans="1:10" x14ac:dyDescent="0.35">
      <c r="A45" s="106" t="s">
        <v>49</v>
      </c>
      <c r="B45" s="106"/>
      <c r="C45" s="106"/>
      <c r="D45" s="106"/>
      <c r="E45" s="106"/>
      <c r="F45" s="106"/>
      <c r="G45" s="106"/>
      <c r="H45" s="106"/>
      <c r="I45" s="106"/>
      <c r="J45" s="106"/>
    </row>
    <row r="46" spans="1:10" ht="30" customHeight="1" x14ac:dyDescent="0.35">
      <c r="A46" s="74" t="s">
        <v>50</v>
      </c>
      <c r="B46" s="76"/>
      <c r="C46" s="216" t="s">
        <v>338</v>
      </c>
      <c r="D46" s="216"/>
      <c r="E46" s="216"/>
      <c r="F46" s="216"/>
      <c r="G46" s="216"/>
      <c r="H46" s="19" t="s">
        <v>51</v>
      </c>
      <c r="I46" s="127">
        <v>45729</v>
      </c>
      <c r="J46" s="127"/>
    </row>
    <row r="47" spans="1:10" ht="36" customHeight="1" x14ac:dyDescent="0.35">
      <c r="A47" s="74" t="s">
        <v>383</v>
      </c>
      <c r="B47" s="76"/>
      <c r="C47" s="216" t="s">
        <v>176</v>
      </c>
      <c r="D47" s="216"/>
      <c r="E47" s="216"/>
      <c r="F47" s="216"/>
      <c r="G47" s="216"/>
      <c r="H47" s="19" t="s">
        <v>51</v>
      </c>
      <c r="I47" s="127">
        <v>45075</v>
      </c>
      <c r="J47" s="127"/>
    </row>
    <row r="48" spans="1:10" ht="36.65" customHeight="1" x14ac:dyDescent="0.35">
      <c r="A48" s="74" t="s">
        <v>384</v>
      </c>
      <c r="B48" s="76"/>
      <c r="C48" s="216" t="s">
        <v>338</v>
      </c>
      <c r="D48" s="216"/>
      <c r="E48" s="216"/>
      <c r="F48" s="216"/>
      <c r="G48" s="216"/>
      <c r="H48" s="19" t="s">
        <v>51</v>
      </c>
      <c r="I48" s="127">
        <v>45729</v>
      </c>
      <c r="J48" s="127"/>
    </row>
    <row r="49" spans="1:10" ht="93" customHeight="1" x14ac:dyDescent="0.35">
      <c r="A49" s="74" t="s">
        <v>52</v>
      </c>
      <c r="B49" s="76"/>
      <c r="C49" s="216" t="s">
        <v>298</v>
      </c>
      <c r="D49" s="216"/>
      <c r="E49" s="216"/>
      <c r="F49" s="216"/>
      <c r="G49" s="216"/>
      <c r="H49" s="62" t="s">
        <v>375</v>
      </c>
      <c r="I49" s="127" t="s">
        <v>376</v>
      </c>
      <c r="J49" s="127"/>
    </row>
    <row r="50" spans="1:10" ht="78.650000000000006" customHeight="1" x14ac:dyDescent="0.35">
      <c r="A50" s="74" t="s">
        <v>52</v>
      </c>
      <c r="B50" s="76"/>
      <c r="C50" s="216" t="s">
        <v>254</v>
      </c>
      <c r="D50" s="216"/>
      <c r="E50" s="216"/>
      <c r="F50" s="216"/>
      <c r="G50" s="216"/>
      <c r="H50" s="62" t="s">
        <v>377</v>
      </c>
      <c r="I50" s="127" t="s">
        <v>378</v>
      </c>
      <c r="J50" s="127"/>
    </row>
    <row r="51" spans="1:10" ht="79.25" customHeight="1" x14ac:dyDescent="0.35">
      <c r="A51" s="74" t="s">
        <v>52</v>
      </c>
      <c r="B51" s="76"/>
      <c r="C51" s="216" t="s">
        <v>299</v>
      </c>
      <c r="D51" s="216"/>
      <c r="E51" s="216"/>
      <c r="F51" s="216"/>
      <c r="G51" s="216"/>
      <c r="H51" s="62" t="s">
        <v>379</v>
      </c>
      <c r="I51" s="127" t="s">
        <v>380</v>
      </c>
      <c r="J51" s="127"/>
    </row>
    <row r="52" spans="1:10" ht="97.25" customHeight="1" x14ac:dyDescent="0.35">
      <c r="A52" s="74" t="s">
        <v>52</v>
      </c>
      <c r="B52" s="76"/>
      <c r="C52" s="216" t="s">
        <v>337</v>
      </c>
      <c r="D52" s="216"/>
      <c r="E52" s="216"/>
      <c r="F52" s="216"/>
      <c r="G52" s="216"/>
      <c r="H52" s="62" t="s">
        <v>381</v>
      </c>
      <c r="I52" s="127" t="s">
        <v>382</v>
      </c>
      <c r="J52" s="127"/>
    </row>
    <row r="53" spans="1:10" s="18" customFormat="1" ht="172.75" customHeight="1" x14ac:dyDescent="0.3">
      <c r="A53" s="132" t="s">
        <v>53</v>
      </c>
      <c r="B53" s="133"/>
      <c r="C53" s="217" t="s">
        <v>300</v>
      </c>
      <c r="D53" s="217"/>
      <c r="E53" s="217"/>
      <c r="F53" s="217" t="s">
        <v>54</v>
      </c>
      <c r="G53" s="217"/>
      <c r="H53" s="56" t="s">
        <v>51</v>
      </c>
      <c r="I53" s="218">
        <v>45022</v>
      </c>
      <c r="J53" s="218"/>
    </row>
    <row r="54" spans="1:10" s="18" customFormat="1" ht="174" customHeight="1" x14ac:dyDescent="0.3">
      <c r="A54" s="132" t="s">
        <v>342</v>
      </c>
      <c r="B54" s="133"/>
      <c r="C54" s="217" t="s">
        <v>339</v>
      </c>
      <c r="D54" s="217"/>
      <c r="E54" s="217"/>
      <c r="F54" s="217" t="s">
        <v>54</v>
      </c>
      <c r="G54" s="217"/>
      <c r="H54" s="56" t="s">
        <v>51</v>
      </c>
      <c r="I54" s="218">
        <v>45516</v>
      </c>
      <c r="J54" s="218"/>
    </row>
    <row r="55" spans="1:10" x14ac:dyDescent="0.35">
      <c r="A55" s="129" t="s">
        <v>56</v>
      </c>
      <c r="B55" s="130"/>
      <c r="C55" s="130"/>
      <c r="D55" s="130"/>
      <c r="E55" s="130"/>
      <c r="F55" s="130"/>
      <c r="G55" s="130"/>
      <c r="H55" s="130"/>
      <c r="I55" s="130"/>
      <c r="J55" s="131"/>
    </row>
    <row r="56" spans="1:10" ht="31.75" customHeight="1" x14ac:dyDescent="0.35">
      <c r="A56" s="74" t="s">
        <v>385</v>
      </c>
      <c r="B56" s="84"/>
      <c r="C56" s="85"/>
      <c r="D56" s="83">
        <f>39939.69+51886.91+26049.55+23720.05</f>
        <v>141596.20000000001</v>
      </c>
      <c r="E56" s="84"/>
      <c r="F56" s="84"/>
      <c r="G56" s="84"/>
      <c r="H56" s="84"/>
      <c r="I56" s="84"/>
      <c r="J56" s="85"/>
    </row>
    <row r="57" spans="1:10" ht="15.75" customHeight="1" x14ac:dyDescent="0.35">
      <c r="A57" s="83" t="s">
        <v>57</v>
      </c>
      <c r="B57" s="84"/>
      <c r="C57" s="85"/>
      <c r="D57" s="83" t="s">
        <v>389</v>
      </c>
      <c r="E57" s="84"/>
      <c r="F57" s="84" t="s">
        <v>57</v>
      </c>
      <c r="G57" s="84"/>
      <c r="H57" s="84" t="s">
        <v>364</v>
      </c>
      <c r="I57" s="84"/>
      <c r="J57" s="85"/>
    </row>
    <row r="58" spans="1:10" ht="63" customHeight="1" x14ac:dyDescent="0.35">
      <c r="A58" s="83" t="s">
        <v>58</v>
      </c>
      <c r="B58" s="84"/>
      <c r="C58" s="85"/>
      <c r="D58" s="74" t="s">
        <v>394</v>
      </c>
      <c r="E58" s="84"/>
      <c r="F58" s="84"/>
      <c r="G58" s="84"/>
      <c r="H58" s="84"/>
      <c r="I58" s="84"/>
      <c r="J58" s="85"/>
    </row>
    <row r="59" spans="1:10" ht="65.25" customHeight="1" x14ac:dyDescent="0.35">
      <c r="A59" s="83" t="s">
        <v>253</v>
      </c>
      <c r="B59" s="84"/>
      <c r="C59" s="85"/>
      <c r="D59" s="77" t="s">
        <v>335</v>
      </c>
      <c r="E59" s="104"/>
      <c r="F59" s="104"/>
      <c r="G59" s="104"/>
      <c r="H59" s="104"/>
      <c r="I59" s="104"/>
      <c r="J59" s="105"/>
    </row>
    <row r="60" spans="1:10" ht="65.25" customHeight="1" x14ac:dyDescent="0.35">
      <c r="A60" s="83" t="s">
        <v>55</v>
      </c>
      <c r="B60" s="84"/>
      <c r="C60" s="85"/>
      <c r="D60" s="74" t="s">
        <v>340</v>
      </c>
      <c r="E60" s="84"/>
      <c r="F60" s="84"/>
      <c r="G60" s="84"/>
      <c r="H60" s="84"/>
      <c r="I60" s="84"/>
      <c r="J60" s="85"/>
    </row>
    <row r="61" spans="1:10" ht="55.25" customHeight="1" x14ac:dyDescent="0.35">
      <c r="A61" s="83" t="s">
        <v>371</v>
      </c>
      <c r="B61" s="84"/>
      <c r="C61" s="84"/>
      <c r="D61" s="74" t="s">
        <v>374</v>
      </c>
      <c r="E61" s="75"/>
      <c r="F61" s="75"/>
      <c r="G61" s="75"/>
      <c r="H61" s="75"/>
      <c r="I61" s="75"/>
      <c r="J61" s="76"/>
    </row>
    <row r="62" spans="1:10" ht="15.75" customHeight="1" x14ac:dyDescent="0.35">
      <c r="A62" s="83" t="s">
        <v>365</v>
      </c>
      <c r="B62" s="84"/>
      <c r="C62" s="84"/>
      <c r="D62" s="74" t="s">
        <v>26</v>
      </c>
      <c r="E62" s="75"/>
      <c r="F62" s="75"/>
      <c r="G62" s="75"/>
      <c r="H62" s="75"/>
      <c r="I62" s="75"/>
      <c r="J62" s="76"/>
    </row>
    <row r="63" spans="1:10" ht="15.75" customHeight="1" x14ac:dyDescent="0.35">
      <c r="A63" s="83" t="s">
        <v>366</v>
      </c>
      <c r="B63" s="84"/>
      <c r="C63" s="84"/>
      <c r="D63" s="74" t="s">
        <v>367</v>
      </c>
      <c r="E63" s="75"/>
      <c r="F63" s="75"/>
      <c r="G63" s="75"/>
      <c r="H63" s="75"/>
      <c r="I63" s="75"/>
      <c r="J63" s="76"/>
    </row>
    <row r="64" spans="1:10" x14ac:dyDescent="0.35">
      <c r="A64" s="83" t="s">
        <v>368</v>
      </c>
      <c r="B64" s="84"/>
      <c r="C64" s="84"/>
      <c r="D64" s="74" t="s">
        <v>369</v>
      </c>
      <c r="E64" s="75"/>
      <c r="F64" s="75"/>
      <c r="G64" s="75"/>
      <c r="H64" s="75"/>
      <c r="I64" s="75"/>
      <c r="J64" s="76"/>
    </row>
    <row r="65" spans="1:12" x14ac:dyDescent="0.35">
      <c r="A65" s="83" t="s">
        <v>370</v>
      </c>
      <c r="B65" s="84"/>
      <c r="C65" s="84"/>
      <c r="D65" s="74" t="s">
        <v>33</v>
      </c>
      <c r="E65" s="75"/>
      <c r="F65" s="75"/>
      <c r="G65" s="75"/>
      <c r="H65" s="75"/>
      <c r="I65" s="75"/>
      <c r="J65" s="76"/>
    </row>
    <row r="66" spans="1:12" ht="32.4" customHeight="1" thickBot="1" x14ac:dyDescent="0.4">
      <c r="A66" s="74" t="s">
        <v>372</v>
      </c>
      <c r="B66" s="75"/>
      <c r="C66" s="75"/>
      <c r="D66" s="74" t="s">
        <v>373</v>
      </c>
      <c r="E66" s="75"/>
      <c r="F66" s="75"/>
      <c r="G66" s="75"/>
      <c r="H66" s="75"/>
      <c r="I66" s="75"/>
      <c r="J66" s="76"/>
    </row>
    <row r="67" spans="1:12" x14ac:dyDescent="0.35">
      <c r="A67" s="169" t="s">
        <v>230</v>
      </c>
      <c r="B67" s="170"/>
      <c r="C67" s="171" t="s">
        <v>321</v>
      </c>
      <c r="D67" s="171"/>
      <c r="E67" s="171"/>
      <c r="F67" s="171"/>
      <c r="G67" s="171"/>
      <c r="H67" s="171"/>
      <c r="I67" s="171"/>
      <c r="J67" s="172"/>
      <c r="K67" s="40"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All work completed. Please provide OC.</v>
      </c>
      <c r="L67" s="40"/>
    </row>
    <row r="68" spans="1:12" x14ac:dyDescent="0.35">
      <c r="A68" s="48" t="s">
        <v>128</v>
      </c>
      <c r="B68" s="49">
        <v>3</v>
      </c>
      <c r="C68" s="41" t="s">
        <v>130</v>
      </c>
      <c r="D68" s="41">
        <v>1</v>
      </c>
      <c r="E68" s="173" t="s">
        <v>129</v>
      </c>
      <c r="F68" s="173"/>
      <c r="G68" s="41">
        <v>9</v>
      </c>
      <c r="H68" s="49" t="s">
        <v>231</v>
      </c>
      <c r="I68" s="173">
        <f ca="1">--TRIM(RIGHT(SUBSTITUTE(LEFT(C67,_xlfn.AGGREGATE(16,6,FIND({0,1,2,3,4,5,6,7,8,9},C67,ROW(INDIRECT("1:"&amp;LEN(C67)))),1))," ",REPT(" ",LEN(C67))),LEN(C67)))</f>
        <v>41</v>
      </c>
      <c r="J68" s="174"/>
      <c r="K68" s="40"/>
      <c r="L68" s="40"/>
    </row>
    <row r="69" spans="1:12" ht="17.5" customHeight="1" x14ac:dyDescent="0.35">
      <c r="A69" s="175" t="s">
        <v>232</v>
      </c>
      <c r="B69" s="176"/>
      <c r="C69" s="177" t="str">
        <f>K69</f>
        <v>All work Completed. OC Received.</v>
      </c>
      <c r="D69" s="177"/>
      <c r="E69" s="177"/>
      <c r="F69" s="177"/>
      <c r="G69" s="177"/>
      <c r="H69" s="177"/>
      <c r="I69" s="177"/>
      <c r="J69" s="178"/>
      <c r="K69" s="40" t="s">
        <v>233</v>
      </c>
      <c r="L69" s="40"/>
    </row>
    <row r="70" spans="1:12" x14ac:dyDescent="0.35">
      <c r="A70" s="179" t="s">
        <v>59</v>
      </c>
      <c r="B70" s="180"/>
      <c r="C70" s="45" t="s">
        <v>234</v>
      </c>
      <c r="D70" s="128" t="s">
        <v>235</v>
      </c>
      <c r="E70" s="128"/>
      <c r="F70" s="128" t="s">
        <v>236</v>
      </c>
      <c r="G70" s="128"/>
      <c r="H70" s="128" t="s">
        <v>237</v>
      </c>
      <c r="I70" s="128"/>
      <c r="J70" s="181"/>
      <c r="K70" s="42" t="s">
        <v>238</v>
      </c>
      <c r="L70" s="12">
        <f ca="1">I68*25%</f>
        <v>10.25</v>
      </c>
    </row>
    <row r="71" spans="1:12" x14ac:dyDescent="0.35">
      <c r="A71" s="128" t="s">
        <v>239</v>
      </c>
      <c r="B71" s="128"/>
      <c r="C71" s="46">
        <f ca="1">L72</f>
        <v>41</v>
      </c>
      <c r="D71" s="126">
        <f ca="1">((100/I68)*C71)/100</f>
        <v>1</v>
      </c>
      <c r="E71" s="126"/>
      <c r="F71" s="126">
        <f ca="1">(((C72/I68*10)+(40/(D68+G68+I68)*C73)+(7.5/(I68)*C74)+(7.5/(I68)*C75)+(10/I68*C76)+(10/I68*C77)+(5/I68*C78)+(5/I68*C79)+(5/I68*C80))/100)</f>
        <v>1</v>
      </c>
      <c r="G71" s="126"/>
      <c r="H71" s="126">
        <f ca="1">((((C71/I68)*20)+((C72/I68)*25)+(30/(I68+G68+D68)*C73)+(5/I68*C74)+(5/I68*C75)+(5/I68*C76)+(5/I68*C77)+(0/I68*C78)+(0/I68*C79)+(5/I68*C80))/100)</f>
        <v>1</v>
      </c>
      <c r="I71" s="126"/>
      <c r="J71" s="126"/>
      <c r="K71" s="42" t="s">
        <v>133</v>
      </c>
      <c r="L71" s="42">
        <f ca="1">I68*50%</f>
        <v>20.5</v>
      </c>
    </row>
    <row r="72" spans="1:12" x14ac:dyDescent="0.35">
      <c r="A72" s="128" t="s">
        <v>60</v>
      </c>
      <c r="B72" s="128"/>
      <c r="C72" s="47">
        <f ca="1">L80</f>
        <v>41</v>
      </c>
      <c r="D72" s="126">
        <f ca="1">((100/I68)*C72)/100</f>
        <v>1</v>
      </c>
      <c r="E72" s="126"/>
      <c r="F72" s="126"/>
      <c r="G72" s="126"/>
      <c r="H72" s="126"/>
      <c r="I72" s="126"/>
      <c r="J72" s="126"/>
      <c r="K72" s="42" t="s">
        <v>134</v>
      </c>
      <c r="L72" s="42">
        <f ca="1">I68</f>
        <v>41</v>
      </c>
    </row>
    <row r="73" spans="1:12" x14ac:dyDescent="0.35">
      <c r="A73" s="173" t="s">
        <v>61</v>
      </c>
      <c r="B73" s="173"/>
      <c r="C73" s="47">
        <v>51</v>
      </c>
      <c r="D73" s="126">
        <f ca="1">((100/(D68+G68+I68))*C73)/100</f>
        <v>1</v>
      </c>
      <c r="E73" s="126"/>
      <c r="F73" s="126"/>
      <c r="G73" s="126"/>
      <c r="H73" s="126"/>
      <c r="I73" s="126"/>
      <c r="J73" s="126"/>
      <c r="K73" s="42" t="s">
        <v>135</v>
      </c>
      <c r="L73" s="43">
        <f ca="1">(IF(B68&gt;1,(I68/(B68+2)),I68/4))</f>
        <v>8.1999999999999993</v>
      </c>
    </row>
    <row r="74" spans="1:12" x14ac:dyDescent="0.35">
      <c r="A74" s="128" t="s">
        <v>240</v>
      </c>
      <c r="B74" s="128" t="s">
        <v>241</v>
      </c>
      <c r="C74" s="46">
        <v>41</v>
      </c>
      <c r="D74" s="126">
        <f ca="1">((100/I68)*C74)/100</f>
        <v>1</v>
      </c>
      <c r="E74" s="126"/>
      <c r="F74" s="126"/>
      <c r="G74" s="126"/>
      <c r="H74" s="126"/>
      <c r="I74" s="126"/>
      <c r="J74" s="126"/>
      <c r="K74" s="42" t="s">
        <v>136</v>
      </c>
      <c r="L74" s="43">
        <f ca="1">(IF(B68&gt;1,(I68/(B68+2)+L73),I68/4+L73))</f>
        <v>16.399999999999999</v>
      </c>
    </row>
    <row r="75" spans="1:12" x14ac:dyDescent="0.35">
      <c r="A75" s="128" t="s">
        <v>242</v>
      </c>
      <c r="B75" s="128" t="s">
        <v>241</v>
      </c>
      <c r="C75" s="46">
        <v>41</v>
      </c>
      <c r="D75" s="126">
        <f ca="1">((100/I68)*C75)/100</f>
        <v>1</v>
      </c>
      <c r="E75" s="126"/>
      <c r="F75" s="126"/>
      <c r="G75" s="126"/>
      <c r="H75" s="126"/>
      <c r="I75" s="126"/>
      <c r="J75" s="126"/>
      <c r="K75" s="42" t="s">
        <v>243</v>
      </c>
      <c r="L75" s="43">
        <f ca="1">(IF(B68&gt;1,(I68/(B68+2)+L74),0))</f>
        <v>24.599999999999998</v>
      </c>
    </row>
    <row r="76" spans="1:12" x14ac:dyDescent="0.35">
      <c r="A76" s="173" t="s">
        <v>244</v>
      </c>
      <c r="B76" s="173" t="s">
        <v>245</v>
      </c>
      <c r="C76" s="46">
        <v>41</v>
      </c>
      <c r="D76" s="126">
        <f ca="1">((100/(I68))*C76)/100</f>
        <v>1</v>
      </c>
      <c r="E76" s="126"/>
      <c r="F76" s="126"/>
      <c r="G76" s="126"/>
      <c r="H76" s="126"/>
      <c r="I76" s="126"/>
      <c r="J76" s="126"/>
      <c r="K76" s="42" t="s">
        <v>246</v>
      </c>
      <c r="L76" s="43">
        <f ca="1">(IF(B68&gt;2,(I68/(B68+2)+L75),0))</f>
        <v>32.799999999999997</v>
      </c>
    </row>
    <row r="77" spans="1:12" x14ac:dyDescent="0.35">
      <c r="A77" s="128" t="s">
        <v>247</v>
      </c>
      <c r="B77" s="128" t="s">
        <v>247</v>
      </c>
      <c r="C77" s="46">
        <v>41</v>
      </c>
      <c r="D77" s="126">
        <f ca="1">((100/I68)*C77)/100</f>
        <v>1</v>
      </c>
      <c r="E77" s="126"/>
      <c r="F77" s="126"/>
      <c r="G77" s="126"/>
      <c r="H77" s="126"/>
      <c r="I77" s="126"/>
      <c r="J77" s="126"/>
      <c r="K77" s="42" t="s">
        <v>248</v>
      </c>
      <c r="L77" s="44">
        <f>(IF(B68&gt;3,(I68/(B68+2)+L76),0))</f>
        <v>0</v>
      </c>
    </row>
    <row r="78" spans="1:12" ht="15" customHeight="1" x14ac:dyDescent="0.35">
      <c r="A78" s="128" t="s">
        <v>249</v>
      </c>
      <c r="B78" s="128"/>
      <c r="C78" s="46">
        <v>41</v>
      </c>
      <c r="D78" s="126">
        <f ca="1">((100/I68)*C78)/100</f>
        <v>1</v>
      </c>
      <c r="E78" s="126"/>
      <c r="F78" s="126"/>
      <c r="G78" s="126"/>
      <c r="H78" s="126"/>
      <c r="I78" s="126"/>
      <c r="J78" s="126"/>
      <c r="K78" s="42" t="s">
        <v>250</v>
      </c>
      <c r="L78" s="43">
        <f>(IF(B68&gt;4,(I68/(B68+2)+L77),0))</f>
        <v>0</v>
      </c>
    </row>
    <row r="79" spans="1:12" x14ac:dyDescent="0.35">
      <c r="A79" s="128" t="s">
        <v>251</v>
      </c>
      <c r="B79" s="128" t="s">
        <v>251</v>
      </c>
      <c r="C79" s="46">
        <v>41</v>
      </c>
      <c r="D79" s="126">
        <f ca="1">((100/(I68))*C79)/100</f>
        <v>1</v>
      </c>
      <c r="E79" s="126"/>
      <c r="F79" s="126"/>
      <c r="G79" s="126"/>
      <c r="H79" s="126"/>
      <c r="I79" s="126"/>
      <c r="J79" s="126"/>
      <c r="K79" s="42" t="s">
        <v>137</v>
      </c>
      <c r="L79" s="43">
        <f>(IF(B68=1,(I68/(B68+3)+L74),IF(B68=0,(I68/4+L74),IF(B68&gt;1,0))))</f>
        <v>0</v>
      </c>
    </row>
    <row r="80" spans="1:12" x14ac:dyDescent="0.35">
      <c r="A80" s="128" t="s">
        <v>252</v>
      </c>
      <c r="B80" s="128"/>
      <c r="C80" s="46">
        <v>41</v>
      </c>
      <c r="D80" s="126">
        <f ca="1">((100/(I68))*C80)/100</f>
        <v>1</v>
      </c>
      <c r="E80" s="126"/>
      <c r="F80" s="126"/>
      <c r="G80" s="126"/>
      <c r="H80" s="126"/>
      <c r="I80" s="126"/>
      <c r="J80" s="126"/>
      <c r="K80" s="42" t="s">
        <v>138</v>
      </c>
      <c r="L80" s="43">
        <f ca="1">(IF(B68&gt;1.5,(I68/(B68+2)+L74+MAX(0,L75-L74)+MAX(0,L76-L75)+MAX(0,L77-L76)+MAX(0,L78-L77)+MAX(0,L79-L78)),IF(B68=1,(I68/(B68+3)+L79),IF(B68=0,I68/4+L79))))</f>
        <v>41</v>
      </c>
    </row>
    <row r="81" spans="1:12" x14ac:dyDescent="0.35">
      <c r="A81" s="182" t="s">
        <v>230</v>
      </c>
      <c r="B81" s="182"/>
      <c r="C81" s="177" t="s">
        <v>320</v>
      </c>
      <c r="D81" s="177"/>
      <c r="E81" s="177"/>
      <c r="F81" s="177"/>
      <c r="G81" s="177"/>
      <c r="H81" s="177"/>
      <c r="I81" s="177"/>
      <c r="J81" s="177"/>
      <c r="K81" s="40"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All work completed. Please provide OC.</v>
      </c>
      <c r="L81" s="40"/>
    </row>
    <row r="82" spans="1:12" x14ac:dyDescent="0.35">
      <c r="A82" s="41" t="s">
        <v>128</v>
      </c>
      <c r="B82" s="41">
        <v>3</v>
      </c>
      <c r="C82" s="41" t="s">
        <v>130</v>
      </c>
      <c r="D82" s="41">
        <v>1</v>
      </c>
      <c r="E82" s="173" t="s">
        <v>129</v>
      </c>
      <c r="F82" s="173"/>
      <c r="G82" s="41">
        <v>9</v>
      </c>
      <c r="H82" s="41" t="s">
        <v>231</v>
      </c>
      <c r="I82" s="173">
        <f ca="1">--TRIM(RIGHT(SUBSTITUTE(LEFT(C81,_xlfn.AGGREGATE(16,6,FIND({0,1,2,3,4,5,6,7,8,9},C81,ROW(INDIRECT("1:"&amp;LEN(C81)))),1))," ",REPT(" ",LEN(C81))),LEN(C81)))</f>
        <v>72</v>
      </c>
      <c r="J82" s="173"/>
      <c r="K82" s="40"/>
      <c r="L82" s="40"/>
    </row>
    <row r="83" spans="1:12" x14ac:dyDescent="0.35">
      <c r="A83" s="183" t="s">
        <v>232</v>
      </c>
      <c r="B83" s="183"/>
      <c r="C83" s="177" t="s">
        <v>341</v>
      </c>
      <c r="D83" s="177"/>
      <c r="E83" s="177"/>
      <c r="F83" s="177"/>
      <c r="G83" s="177"/>
      <c r="H83" s="177"/>
      <c r="I83" s="177"/>
      <c r="J83" s="177"/>
      <c r="K83" s="40" t="s">
        <v>233</v>
      </c>
      <c r="L83" s="40"/>
    </row>
    <row r="84" spans="1:12" x14ac:dyDescent="0.35">
      <c r="A84" s="128" t="s">
        <v>59</v>
      </c>
      <c r="B84" s="128"/>
      <c r="C84" s="45" t="s">
        <v>234</v>
      </c>
      <c r="D84" s="128" t="s">
        <v>235</v>
      </c>
      <c r="E84" s="128"/>
      <c r="F84" s="128" t="s">
        <v>236</v>
      </c>
      <c r="G84" s="128"/>
      <c r="H84" s="128" t="s">
        <v>237</v>
      </c>
      <c r="I84" s="128"/>
      <c r="J84" s="128"/>
      <c r="K84" s="42" t="s">
        <v>238</v>
      </c>
      <c r="L84" s="12">
        <f ca="1">I82*25%</f>
        <v>18</v>
      </c>
    </row>
    <row r="85" spans="1:12" x14ac:dyDescent="0.35">
      <c r="A85" s="128" t="s">
        <v>239</v>
      </c>
      <c r="B85" s="128"/>
      <c r="C85" s="46">
        <f ca="1">L86</f>
        <v>72</v>
      </c>
      <c r="D85" s="126">
        <f ca="1">((100/I82)*C85)/100</f>
        <v>1</v>
      </c>
      <c r="E85" s="126"/>
      <c r="F85" s="126">
        <f ca="1">(((C86/I82*10)+(40/(D82+G82+I82)*C87)+(7.5/(I82)*C88)+(7.5/(I82)*C89)+(10/I82*C90)+(10/I82*C91)+(5/I82*C92)+(5/I82*C93)+(5/I82*C94))/100)</f>
        <v>1</v>
      </c>
      <c r="G85" s="126"/>
      <c r="H85" s="126">
        <f ca="1">((((C85/I82)*20)+((C86/I82)*25)+(30/(I82+G82+D82)*C87)+(5/I82*C88)+(5/I82*C89)+(5/I82*C90)+(5/I82*C91)+(0/I82*C92)+(0/I82*C93)+(5/I82*C94))/100)</f>
        <v>1</v>
      </c>
      <c r="I85" s="126"/>
      <c r="J85" s="126"/>
      <c r="K85" s="42" t="s">
        <v>133</v>
      </c>
      <c r="L85" s="42">
        <f ca="1">I82*50%</f>
        <v>36</v>
      </c>
    </row>
    <row r="86" spans="1:12" x14ac:dyDescent="0.35">
      <c r="A86" s="128" t="s">
        <v>60</v>
      </c>
      <c r="B86" s="128"/>
      <c r="C86" s="47">
        <f ca="1">L94</f>
        <v>72</v>
      </c>
      <c r="D86" s="126">
        <f ca="1">((100/I82)*C86)/100</f>
        <v>1</v>
      </c>
      <c r="E86" s="126"/>
      <c r="F86" s="126"/>
      <c r="G86" s="126"/>
      <c r="H86" s="126"/>
      <c r="I86" s="126"/>
      <c r="J86" s="126"/>
      <c r="K86" s="42" t="s">
        <v>134</v>
      </c>
      <c r="L86" s="42">
        <f ca="1">I82</f>
        <v>72</v>
      </c>
    </row>
    <row r="87" spans="1:12" x14ac:dyDescent="0.35">
      <c r="A87" s="173" t="s">
        <v>61</v>
      </c>
      <c r="B87" s="173"/>
      <c r="C87" s="47">
        <v>82</v>
      </c>
      <c r="D87" s="126">
        <f ca="1">((100/(D82+G82+I82))*C87)/100</f>
        <v>1</v>
      </c>
      <c r="E87" s="126"/>
      <c r="F87" s="126"/>
      <c r="G87" s="126"/>
      <c r="H87" s="126"/>
      <c r="I87" s="126"/>
      <c r="J87" s="126"/>
      <c r="K87" s="42" t="s">
        <v>135</v>
      </c>
      <c r="L87" s="43">
        <f ca="1">(IF(B82&gt;1,(I82/(B82+2)),I82/4))</f>
        <v>14.4</v>
      </c>
    </row>
    <row r="88" spans="1:12" x14ac:dyDescent="0.35">
      <c r="A88" s="128" t="s">
        <v>240</v>
      </c>
      <c r="B88" s="128" t="s">
        <v>241</v>
      </c>
      <c r="C88" s="47">
        <f>C87-10</f>
        <v>72</v>
      </c>
      <c r="D88" s="126">
        <f ca="1">((100/I82)*C88)/100</f>
        <v>1</v>
      </c>
      <c r="E88" s="126"/>
      <c r="F88" s="126"/>
      <c r="G88" s="126"/>
      <c r="H88" s="126"/>
      <c r="I88" s="126"/>
      <c r="J88" s="126"/>
      <c r="K88" s="42" t="s">
        <v>136</v>
      </c>
      <c r="L88" s="43">
        <f ca="1">(IF(B82&gt;1,(I82/(B82+2)+L87),I82/4+L87))</f>
        <v>28.8</v>
      </c>
    </row>
    <row r="89" spans="1:12" x14ac:dyDescent="0.35">
      <c r="A89" s="128" t="s">
        <v>242</v>
      </c>
      <c r="B89" s="128" t="s">
        <v>241</v>
      </c>
      <c r="C89" s="47">
        <v>72</v>
      </c>
      <c r="D89" s="126">
        <f ca="1">((100/I82)*C89)/100</f>
        <v>1</v>
      </c>
      <c r="E89" s="126"/>
      <c r="F89" s="126"/>
      <c r="G89" s="126"/>
      <c r="H89" s="126"/>
      <c r="I89" s="126"/>
      <c r="J89" s="126"/>
      <c r="K89" s="42" t="s">
        <v>243</v>
      </c>
      <c r="L89" s="43">
        <f ca="1">(IF(B82&gt;1,(I82/(B82+2)+L88),0))</f>
        <v>43.2</v>
      </c>
    </row>
    <row r="90" spans="1:12" x14ac:dyDescent="0.35">
      <c r="A90" s="173" t="s">
        <v>244</v>
      </c>
      <c r="B90" s="173" t="s">
        <v>245</v>
      </c>
      <c r="C90" s="47">
        <v>72</v>
      </c>
      <c r="D90" s="126">
        <f ca="1">((100/(I82))*C90)/100</f>
        <v>1</v>
      </c>
      <c r="E90" s="126"/>
      <c r="F90" s="126"/>
      <c r="G90" s="126"/>
      <c r="H90" s="126"/>
      <c r="I90" s="126"/>
      <c r="J90" s="126"/>
      <c r="K90" s="42" t="s">
        <v>246</v>
      </c>
      <c r="L90" s="43">
        <f ca="1">(IF(B82&gt;2,(I82/(B82+2)+L89),0))</f>
        <v>57.6</v>
      </c>
    </row>
    <row r="91" spans="1:12" x14ac:dyDescent="0.35">
      <c r="A91" s="128" t="s">
        <v>247</v>
      </c>
      <c r="B91" s="128" t="s">
        <v>247</v>
      </c>
      <c r="C91" s="47">
        <v>72</v>
      </c>
      <c r="D91" s="126">
        <f ca="1">((100/I82)*C91)/100</f>
        <v>1</v>
      </c>
      <c r="E91" s="126"/>
      <c r="F91" s="126"/>
      <c r="G91" s="126"/>
      <c r="H91" s="126"/>
      <c r="I91" s="126"/>
      <c r="J91" s="126"/>
      <c r="K91" s="42" t="s">
        <v>248</v>
      </c>
      <c r="L91" s="44">
        <f>(IF(B82&gt;3,(I82/(B82+2)+L90),0))</f>
        <v>0</v>
      </c>
    </row>
    <row r="92" spans="1:12" ht="15" customHeight="1" x14ac:dyDescent="0.35">
      <c r="A92" s="128" t="s">
        <v>249</v>
      </c>
      <c r="B92" s="128"/>
      <c r="C92" s="47">
        <v>72</v>
      </c>
      <c r="D92" s="126">
        <f ca="1">((100/I82)*C92)/100</f>
        <v>1</v>
      </c>
      <c r="E92" s="126"/>
      <c r="F92" s="126"/>
      <c r="G92" s="126"/>
      <c r="H92" s="126"/>
      <c r="I92" s="126"/>
      <c r="J92" s="126"/>
      <c r="K92" s="42" t="s">
        <v>250</v>
      </c>
      <c r="L92" s="43">
        <f>(IF(B82&gt;4,(I82/(B82+2)+L91),0))</f>
        <v>0</v>
      </c>
    </row>
    <row r="93" spans="1:12" x14ac:dyDescent="0.35">
      <c r="A93" s="128" t="s">
        <v>251</v>
      </c>
      <c r="B93" s="128" t="s">
        <v>251</v>
      </c>
      <c r="C93" s="47">
        <v>72</v>
      </c>
      <c r="D93" s="126">
        <f ca="1">((100/(I82))*C93)/100</f>
        <v>1</v>
      </c>
      <c r="E93" s="126"/>
      <c r="F93" s="126"/>
      <c r="G93" s="126"/>
      <c r="H93" s="126"/>
      <c r="I93" s="126"/>
      <c r="J93" s="126"/>
      <c r="K93" s="42" t="s">
        <v>137</v>
      </c>
      <c r="L93" s="43">
        <f>(IF(B82=1,(I82/(B82+3)+L88),IF(B82=0,(I82/4+L88),IF(B82&gt;1,0))))</f>
        <v>0</v>
      </c>
    </row>
    <row r="94" spans="1:12" x14ac:dyDescent="0.35">
      <c r="A94" s="128" t="s">
        <v>252</v>
      </c>
      <c r="B94" s="128"/>
      <c r="C94" s="46">
        <v>72</v>
      </c>
      <c r="D94" s="126">
        <f ca="1">((100/(I82))*C94)/100</f>
        <v>1</v>
      </c>
      <c r="E94" s="126"/>
      <c r="F94" s="126"/>
      <c r="G94" s="126"/>
      <c r="H94" s="126"/>
      <c r="I94" s="126"/>
      <c r="J94" s="126"/>
      <c r="K94" s="42" t="s">
        <v>138</v>
      </c>
      <c r="L94" s="43">
        <f ca="1">(IF(B82&gt;1.5,(I82/(B82+2)+L88+MAX(0,L89-L88)+MAX(0,L90-L89)+MAX(0,L91-L90)+MAX(0,L92-L91)+MAX(0,L93-L92)),IF(B82=1,(I82/(B82+3)+L93),IF(B82=0,I82/4+L93))))</f>
        <v>72</v>
      </c>
    </row>
    <row r="95" spans="1:12" ht="15" customHeight="1" x14ac:dyDescent="0.35">
      <c r="A95" s="184" t="s">
        <v>230</v>
      </c>
      <c r="B95" s="185"/>
      <c r="C95" s="186" t="s">
        <v>396</v>
      </c>
      <c r="D95" s="186"/>
      <c r="E95" s="186"/>
      <c r="F95" s="186"/>
      <c r="G95" s="186"/>
      <c r="H95" s="186"/>
      <c r="I95" s="186"/>
      <c r="J95" s="187"/>
      <c r="K95" s="40" t="str">
        <f>(IF(F99&gt;99%,"All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Excavation work Completed. Plinth work completed, RCC Slab, Brickwork, Internal Plaster, External Plaster, Flooring upto 40 Floor, Painting upto 40 Floor, Finishing upto 7 Floor Completed</v>
      </c>
      <c r="L95" s="40"/>
    </row>
    <row r="96" spans="1:12" x14ac:dyDescent="0.35">
      <c r="A96" s="48" t="s">
        <v>128</v>
      </c>
      <c r="B96" s="49">
        <v>3</v>
      </c>
      <c r="C96" s="41" t="s">
        <v>130</v>
      </c>
      <c r="D96" s="41">
        <v>1</v>
      </c>
      <c r="E96" s="173" t="s">
        <v>129</v>
      </c>
      <c r="F96" s="173"/>
      <c r="G96" s="41">
        <v>9</v>
      </c>
      <c r="H96" s="49" t="s">
        <v>231</v>
      </c>
      <c r="I96" s="173">
        <v>45</v>
      </c>
      <c r="J96" s="174"/>
      <c r="K96" s="40"/>
      <c r="L96" s="40"/>
    </row>
    <row r="97" spans="1:12" ht="47.5" customHeight="1" x14ac:dyDescent="0.35">
      <c r="A97" s="175" t="s">
        <v>232</v>
      </c>
      <c r="B97" s="176"/>
      <c r="C97" s="177" t="str">
        <f>K95</f>
        <v>Excavation work Completed. Plinth work completed, RCC Slab, Brickwork, Internal Plaster, External Plaster, Flooring upto 40 Floor, Painting upto 40 Floor, Finishing upto 7 Floor Completed</v>
      </c>
      <c r="D97" s="177"/>
      <c r="E97" s="177"/>
      <c r="F97" s="177"/>
      <c r="G97" s="177"/>
      <c r="H97" s="177"/>
      <c r="I97" s="177"/>
      <c r="J97" s="178"/>
      <c r="K97" s="40" t="s">
        <v>233</v>
      </c>
      <c r="L97" s="40"/>
    </row>
    <row r="98" spans="1:12" x14ac:dyDescent="0.35">
      <c r="A98" s="179" t="s">
        <v>59</v>
      </c>
      <c r="B98" s="180"/>
      <c r="C98" s="45" t="s">
        <v>234</v>
      </c>
      <c r="D98" s="128" t="s">
        <v>235</v>
      </c>
      <c r="E98" s="128"/>
      <c r="F98" s="128" t="s">
        <v>236</v>
      </c>
      <c r="G98" s="128"/>
      <c r="H98" s="128" t="s">
        <v>237</v>
      </c>
      <c r="I98" s="128"/>
      <c r="J98" s="181"/>
      <c r="K98" s="42" t="s">
        <v>238</v>
      </c>
      <c r="L98" s="12">
        <f>I96*25%</f>
        <v>11.25</v>
      </c>
    </row>
    <row r="99" spans="1:12" x14ac:dyDescent="0.35">
      <c r="A99" s="188" t="s">
        <v>239</v>
      </c>
      <c r="B99" s="189"/>
      <c r="C99" s="46">
        <f>L100</f>
        <v>45</v>
      </c>
      <c r="D99" s="126">
        <f>((100/I96)*C99)/100</f>
        <v>1</v>
      </c>
      <c r="E99" s="126"/>
      <c r="F99" s="126">
        <f>(((C100/I96*10)+(40/(D96+G96+I96)*C101)+(7.5/(I96)*C102)+(7.5/(I96)*C103)+(10/I96*C104)+(10/I96*C105)+(5/I96*C106)+(5/I96*C107)+(5/I96*C108))/100)</f>
        <v>0.89111111111111097</v>
      </c>
      <c r="G99" s="126"/>
      <c r="H99" s="126">
        <f>((((C99/I96)*20)+((C100/I96)*25)+(30/(I96+G96+D96)*C101)+(5/I96*C102)+(5/I96*C103)+(5/I96*C104)+(5/I96*C105)+(0/I96*C106)+(0/I96*C107)+(5/I96*C108))/100)</f>
        <v>0.94444444444444442</v>
      </c>
      <c r="I99" s="126"/>
      <c r="J99" s="191"/>
      <c r="K99" s="42" t="s">
        <v>133</v>
      </c>
      <c r="L99" s="42">
        <f>I96*50%</f>
        <v>22.5</v>
      </c>
    </row>
    <row r="100" spans="1:12" x14ac:dyDescent="0.35">
      <c r="A100" s="188" t="s">
        <v>60</v>
      </c>
      <c r="B100" s="189"/>
      <c r="C100" s="47">
        <f>L108</f>
        <v>45</v>
      </c>
      <c r="D100" s="126">
        <f>((100/I96)*C100)/100</f>
        <v>1</v>
      </c>
      <c r="E100" s="126"/>
      <c r="F100" s="126"/>
      <c r="G100" s="126"/>
      <c r="H100" s="126"/>
      <c r="I100" s="126"/>
      <c r="J100" s="191"/>
      <c r="K100" s="42" t="s">
        <v>134</v>
      </c>
      <c r="L100" s="42">
        <f>I96</f>
        <v>45</v>
      </c>
    </row>
    <row r="101" spans="1:12" x14ac:dyDescent="0.35">
      <c r="A101" s="193" t="s">
        <v>61</v>
      </c>
      <c r="B101" s="194"/>
      <c r="C101" s="47">
        <f>D96+G96+I96</f>
        <v>55</v>
      </c>
      <c r="D101" s="126">
        <f>((100/(D96+G96+I96))*C101)/100</f>
        <v>1</v>
      </c>
      <c r="E101" s="126"/>
      <c r="F101" s="126"/>
      <c r="G101" s="126"/>
      <c r="H101" s="126"/>
      <c r="I101" s="126"/>
      <c r="J101" s="191"/>
      <c r="K101" s="42" t="s">
        <v>135</v>
      </c>
      <c r="L101" s="43">
        <f>(IF(B96&gt;1,(I96/(B96+2)),I96/4))</f>
        <v>9</v>
      </c>
    </row>
    <row r="102" spans="1:12" x14ac:dyDescent="0.35">
      <c r="A102" s="188" t="s">
        <v>240</v>
      </c>
      <c r="B102" s="189" t="s">
        <v>241</v>
      </c>
      <c r="C102" s="47">
        <f>C101-G96-D96</f>
        <v>45</v>
      </c>
      <c r="D102" s="126">
        <f>((100/I96)*C102)/100</f>
        <v>1</v>
      </c>
      <c r="E102" s="126"/>
      <c r="F102" s="126"/>
      <c r="G102" s="126"/>
      <c r="H102" s="126"/>
      <c r="I102" s="126"/>
      <c r="J102" s="191"/>
      <c r="K102" s="42" t="s">
        <v>136</v>
      </c>
      <c r="L102" s="43">
        <f>(IF(B96&gt;1,(I96/(B96+2)+L101),I96/4+L101))</f>
        <v>18</v>
      </c>
    </row>
    <row r="103" spans="1:12" x14ac:dyDescent="0.35">
      <c r="A103" s="188" t="s">
        <v>242</v>
      </c>
      <c r="B103" s="189" t="s">
        <v>241</v>
      </c>
      <c r="C103" s="47">
        <v>45</v>
      </c>
      <c r="D103" s="126">
        <f>((100/I96)*C103)/100</f>
        <v>1</v>
      </c>
      <c r="E103" s="126"/>
      <c r="F103" s="126"/>
      <c r="G103" s="126"/>
      <c r="H103" s="126"/>
      <c r="I103" s="126"/>
      <c r="J103" s="191"/>
      <c r="K103" s="42" t="s">
        <v>243</v>
      </c>
      <c r="L103" s="43">
        <f>(IF(B96&gt;1,(I96/(B96+2)+L102),0))</f>
        <v>27</v>
      </c>
    </row>
    <row r="104" spans="1:12" x14ac:dyDescent="0.35">
      <c r="A104" s="193" t="s">
        <v>244</v>
      </c>
      <c r="B104" s="194" t="s">
        <v>245</v>
      </c>
      <c r="C104" s="47">
        <v>45</v>
      </c>
      <c r="D104" s="126">
        <f>((100/(I96))*C104)/100</f>
        <v>1</v>
      </c>
      <c r="E104" s="126"/>
      <c r="F104" s="126"/>
      <c r="G104" s="126"/>
      <c r="H104" s="126"/>
      <c r="I104" s="126"/>
      <c r="J104" s="191"/>
      <c r="K104" s="42" t="s">
        <v>246</v>
      </c>
      <c r="L104" s="43">
        <f>(IF(B96&gt;2,(I96/(B96+2)+L103),0))</f>
        <v>36</v>
      </c>
    </row>
    <row r="105" spans="1:12" x14ac:dyDescent="0.35">
      <c r="A105" s="188" t="s">
        <v>247</v>
      </c>
      <c r="B105" s="189" t="s">
        <v>247</v>
      </c>
      <c r="C105" s="46">
        <v>40</v>
      </c>
      <c r="D105" s="126">
        <f>((100/I96)*C105)/100</f>
        <v>0.88888888888888884</v>
      </c>
      <c r="E105" s="126"/>
      <c r="F105" s="126"/>
      <c r="G105" s="126"/>
      <c r="H105" s="126"/>
      <c r="I105" s="126"/>
      <c r="J105" s="191"/>
      <c r="K105" s="42" t="s">
        <v>248</v>
      </c>
      <c r="L105" s="44">
        <f>(IF(B96&gt;3,(I96/(B96+2)+L104),0))</f>
        <v>0</v>
      </c>
    </row>
    <row r="106" spans="1:12" ht="15" customHeight="1" x14ac:dyDescent="0.35">
      <c r="A106" s="188" t="s">
        <v>249</v>
      </c>
      <c r="B106" s="189"/>
      <c r="C106" s="46">
        <v>40</v>
      </c>
      <c r="D106" s="126">
        <f>((100/I96)*C106)/100</f>
        <v>0.88888888888888884</v>
      </c>
      <c r="E106" s="126"/>
      <c r="F106" s="126"/>
      <c r="G106" s="126"/>
      <c r="H106" s="126"/>
      <c r="I106" s="126"/>
      <c r="J106" s="191"/>
      <c r="K106" s="42" t="s">
        <v>250</v>
      </c>
      <c r="L106" s="43">
        <f>(IF(B96&gt;4,(I96/(B96+2)+L105),0))</f>
        <v>0</v>
      </c>
    </row>
    <row r="107" spans="1:12" x14ac:dyDescent="0.35">
      <c r="A107" s="188" t="s">
        <v>251</v>
      </c>
      <c r="B107" s="189" t="s">
        <v>251</v>
      </c>
      <c r="C107" s="46">
        <v>7</v>
      </c>
      <c r="D107" s="126">
        <f>((100/(I96))*C107)/100</f>
        <v>0.15555555555555556</v>
      </c>
      <c r="E107" s="126"/>
      <c r="F107" s="126"/>
      <c r="G107" s="126"/>
      <c r="H107" s="126"/>
      <c r="I107" s="126"/>
      <c r="J107" s="191"/>
      <c r="K107" s="42" t="s">
        <v>137</v>
      </c>
      <c r="L107" s="43">
        <f>(IF(B96=1,(I96/(B96+3)+L102),IF(B96=0,(I96/4+L102),IF(B96&gt;1,0))))</f>
        <v>0</v>
      </c>
    </row>
    <row r="108" spans="1:12" ht="16" thickBot="1" x14ac:dyDescent="0.4">
      <c r="A108" s="195" t="s">
        <v>252</v>
      </c>
      <c r="B108" s="196"/>
      <c r="C108" s="50">
        <v>0</v>
      </c>
      <c r="D108" s="190">
        <f>((100/(I96))*C108)/100</f>
        <v>0</v>
      </c>
      <c r="E108" s="190"/>
      <c r="F108" s="190"/>
      <c r="G108" s="190"/>
      <c r="H108" s="190"/>
      <c r="I108" s="190"/>
      <c r="J108" s="192"/>
      <c r="K108" s="42" t="s">
        <v>138</v>
      </c>
      <c r="L108" s="43">
        <f>(IF(B96&gt;1.5,(I96/(B96+2)+L102+MAX(0,L103-L102)+MAX(0,L104-L103)+MAX(0,L105-L104)+MAX(0,L106-L105)+MAX(0,L107-L106)),IF(B96=1,(I96/(B96+3)+L107),IF(B96=0,I96/4+L107))))</f>
        <v>45</v>
      </c>
    </row>
    <row r="109" spans="1:12" ht="15" customHeight="1" x14ac:dyDescent="0.35">
      <c r="A109" s="169" t="s">
        <v>230</v>
      </c>
      <c r="B109" s="170"/>
      <c r="C109" s="171" t="s">
        <v>399</v>
      </c>
      <c r="D109" s="171"/>
      <c r="E109" s="171"/>
      <c r="F109" s="171"/>
      <c r="G109" s="171"/>
      <c r="H109" s="171"/>
      <c r="I109" s="171"/>
      <c r="J109" s="172"/>
      <c r="K109" s="40" t="str">
        <f ca="1">(IF(F113&gt;99%,"All work completed. Please provide OC.",IF(F113&gt;89.8%,"Plinth, RCC, Brick, Plaster, Flooring, Painting work Completed. Finishing work is in process.",IF(F113&lt;94%,(IF(C113=0,"Work not yet Started.",IF(D113=25%,"Piling work in process",IF(D113=50%,"Excavation work in process",IF(D113=100%,"Excavation work Completed. ","0")))&amp;(IF(C114=0%,"",IF(C114=L115,"Footing work is process",IF(C114=L116,"Footing work Completed",IF(C114=L117,"1st Basement Completed",IF(C114=L118,"1st &amp; 2nd Basement Completed",IF(C114=L119,"1st to 3rd Basement Completed",IF(C114=L120,"1st to 4th Basement Completed",IF(C114=L121,"Plinth work is process",IF(C114=L122,"Plinth work completed","0")))))))))))&amp;(IF(C115=(D110+G110+I110),", RCC Slab",IF(C115&gt;0,", RCC upto "&amp;C115&amp;" Slab",""))&amp;(IF(C116=I110,", Brickwork",IF(C116&gt;0,", Brickwork upto "&amp;C116&amp;" Floor",""))&amp;(IF(C117=I110,", Internal Plaster",IF(C117&gt;0,", Internal Plaster upto "&amp;C117&amp;" Floor",""))&amp;(IF(C118=I110,", External Plaster",IF(C118&gt;0,", External Plaster upto "&amp;C118&amp;" Floor",""))&amp;(IF(C119=I110,", Flooring",IF(C119&gt;0,", Flooring upto "&amp;C119&amp;" Floor",""))&amp;(IF(C120=I110,", Painting",IF(C120&gt;0,", Painting upto "&amp;C120&amp;" Floor",""))&amp;(IF(C121&gt;0,", Finishing upto "&amp;C121&amp;" Floor","")&amp;(IF(C115&gt;0.5," Completed",""))))))))))))))</f>
        <v>Excavation work Completed. Plinth work completed, RCC upto 54 Slab, Brickwork upto 50 Floor, Internal Plaster upto 35 Floor, External Plaster upto 35 Floor, Flooring upto 15 Floor, Painting upto 12 Floor Completed</v>
      </c>
      <c r="L109" s="40"/>
    </row>
    <row r="110" spans="1:12" x14ac:dyDescent="0.35">
      <c r="A110" s="48" t="s">
        <v>128</v>
      </c>
      <c r="B110" s="49">
        <v>3</v>
      </c>
      <c r="C110" s="41" t="s">
        <v>130</v>
      </c>
      <c r="D110" s="41">
        <v>1</v>
      </c>
      <c r="E110" s="173" t="s">
        <v>129</v>
      </c>
      <c r="F110" s="173"/>
      <c r="G110" s="41">
        <v>3</v>
      </c>
      <c r="H110" s="49" t="s">
        <v>231</v>
      </c>
      <c r="I110" s="173">
        <f ca="1">--TRIM(RIGHT(SUBSTITUTE(LEFT(C109,_xlfn.AGGREGATE(16,6,FIND({0,1,2,3,4,5,6,7,8,9},C109,ROW(INDIRECT("1:"&amp;LEN(C109)))),1))," ",REPT(" ",LEN(C109))),LEN(C109)))</f>
        <v>52</v>
      </c>
      <c r="J110" s="174"/>
      <c r="K110" s="40"/>
      <c r="L110" s="40"/>
    </row>
    <row r="111" spans="1:12" ht="48" customHeight="1" x14ac:dyDescent="0.35">
      <c r="A111" s="175" t="s">
        <v>232</v>
      </c>
      <c r="B111" s="176"/>
      <c r="C111" s="177" t="str">
        <f ca="1">K109</f>
        <v>Excavation work Completed. Plinth work completed, RCC upto 54 Slab, Brickwork upto 50 Floor, Internal Plaster upto 35 Floor, External Plaster upto 35 Floor, Flooring upto 15 Floor, Painting upto 12 Floor Completed</v>
      </c>
      <c r="D111" s="177"/>
      <c r="E111" s="177"/>
      <c r="F111" s="177"/>
      <c r="G111" s="177"/>
      <c r="H111" s="177"/>
      <c r="I111" s="177"/>
      <c r="J111" s="178"/>
      <c r="K111" s="40" t="s">
        <v>233</v>
      </c>
      <c r="L111" s="40"/>
    </row>
    <row r="112" spans="1:12" x14ac:dyDescent="0.35">
      <c r="A112" s="179" t="s">
        <v>59</v>
      </c>
      <c r="B112" s="180"/>
      <c r="C112" s="45" t="s">
        <v>234</v>
      </c>
      <c r="D112" s="128" t="s">
        <v>235</v>
      </c>
      <c r="E112" s="128"/>
      <c r="F112" s="128" t="s">
        <v>236</v>
      </c>
      <c r="G112" s="128"/>
      <c r="H112" s="128" t="s">
        <v>237</v>
      </c>
      <c r="I112" s="128"/>
      <c r="J112" s="181"/>
      <c r="K112" s="42" t="s">
        <v>238</v>
      </c>
      <c r="L112" s="12">
        <f ca="1">I110*25%</f>
        <v>13</v>
      </c>
    </row>
    <row r="113" spans="1:15" x14ac:dyDescent="0.35">
      <c r="A113" s="188" t="s">
        <v>239</v>
      </c>
      <c r="B113" s="189"/>
      <c r="C113" s="46">
        <f ca="1">L114</f>
        <v>52</v>
      </c>
      <c r="D113" s="126">
        <f ca="1">((100/I110)*C113)/100</f>
        <v>1</v>
      </c>
      <c r="E113" s="126"/>
      <c r="F113" s="126">
        <f ca="1">(((C114/I110*10)+(40/(D110+G110+I110)*C115)+(7.5/(I110)*C116)+(7.5/(I110)*C117)+(10/I110*C118)+(10/I110*C119)+(5/I110*C120)+(5/I110*C121)+(5/I110*C122))/100)</f>
        <v>0.71600274725274726</v>
      </c>
      <c r="G113" s="126"/>
      <c r="H113" s="126">
        <f ca="1">((((C113/I110)*20)+((C114/I110)*25)+(30/(I110+G110+D110)*C115)+(5/I110*C116)+(5/I110*C117)+(5/I110*C118)+(5/I110*C119)+(0/I110*C120)+(0/I110*C121)+(5/I110*C122))/100)</f>
        <v>0.86909340659340661</v>
      </c>
      <c r="I113" s="126"/>
      <c r="J113" s="191"/>
      <c r="K113" s="42" t="s">
        <v>133</v>
      </c>
      <c r="L113" s="42">
        <f ca="1">I110*50%</f>
        <v>26</v>
      </c>
    </row>
    <row r="114" spans="1:15" x14ac:dyDescent="0.35">
      <c r="A114" s="188" t="s">
        <v>60</v>
      </c>
      <c r="B114" s="189"/>
      <c r="C114" s="47">
        <f ca="1">L122</f>
        <v>52.000000000000007</v>
      </c>
      <c r="D114" s="126">
        <f ca="1">((100/I110)*C114)/100</f>
        <v>1.0000000000000002</v>
      </c>
      <c r="E114" s="126"/>
      <c r="F114" s="126"/>
      <c r="G114" s="126"/>
      <c r="H114" s="126"/>
      <c r="I114" s="126"/>
      <c r="J114" s="191"/>
      <c r="K114" s="42" t="s">
        <v>134</v>
      </c>
      <c r="L114" s="42">
        <f ca="1">I110</f>
        <v>52</v>
      </c>
    </row>
    <row r="115" spans="1:15" x14ac:dyDescent="0.35">
      <c r="A115" s="193" t="s">
        <v>61</v>
      </c>
      <c r="B115" s="194"/>
      <c r="C115" s="47">
        <f>D110+G110+50</f>
        <v>54</v>
      </c>
      <c r="D115" s="126">
        <f ca="1">((100/(D110+G110+I110))*C115)/100</f>
        <v>0.9642857142857143</v>
      </c>
      <c r="E115" s="126"/>
      <c r="F115" s="126"/>
      <c r="G115" s="126"/>
      <c r="H115" s="126"/>
      <c r="I115" s="126"/>
      <c r="J115" s="191"/>
      <c r="K115" s="42" t="s">
        <v>135</v>
      </c>
      <c r="L115" s="43">
        <f ca="1">(IF(B110&gt;1,(I110/(B110+2)),I110/4))</f>
        <v>10.4</v>
      </c>
    </row>
    <row r="116" spans="1:15" x14ac:dyDescent="0.35">
      <c r="A116" s="188" t="s">
        <v>240</v>
      </c>
      <c r="B116" s="189" t="s">
        <v>241</v>
      </c>
      <c r="C116" s="47">
        <f>C115-D110-G110</f>
        <v>50</v>
      </c>
      <c r="D116" s="126">
        <f ca="1">((100/I110)*C116)/100</f>
        <v>0.96153846153846156</v>
      </c>
      <c r="E116" s="126"/>
      <c r="F116" s="126"/>
      <c r="G116" s="126"/>
      <c r="H116" s="126"/>
      <c r="I116" s="126"/>
      <c r="J116" s="191"/>
      <c r="K116" s="42" t="s">
        <v>136</v>
      </c>
      <c r="L116" s="43">
        <f ca="1">(IF(B110&gt;1,(I110/(B110+2)+L115),I110/4+L115))</f>
        <v>20.8</v>
      </c>
    </row>
    <row r="117" spans="1:15" x14ac:dyDescent="0.35">
      <c r="A117" s="188" t="s">
        <v>242</v>
      </c>
      <c r="B117" s="189" t="s">
        <v>241</v>
      </c>
      <c r="C117" s="47">
        <f>C116*0.7</f>
        <v>35</v>
      </c>
      <c r="D117" s="126">
        <f ca="1">((100/I110)*C117)/100</f>
        <v>0.67307692307692302</v>
      </c>
      <c r="E117" s="126"/>
      <c r="F117" s="126"/>
      <c r="G117" s="126"/>
      <c r="H117" s="126"/>
      <c r="I117" s="126"/>
      <c r="J117" s="191"/>
      <c r="K117" s="42" t="s">
        <v>243</v>
      </c>
      <c r="L117" s="43">
        <f ca="1">(IF(B110&gt;1,(I110/(B110+2)+L116),0))</f>
        <v>31.200000000000003</v>
      </c>
    </row>
    <row r="118" spans="1:15" x14ac:dyDescent="0.35">
      <c r="A118" s="193" t="s">
        <v>244</v>
      </c>
      <c r="B118" s="194" t="s">
        <v>245</v>
      </c>
      <c r="C118" s="47">
        <f>C117</f>
        <v>35</v>
      </c>
      <c r="D118" s="126">
        <f ca="1">((100/(I110))*C118)/100</f>
        <v>0.67307692307692302</v>
      </c>
      <c r="E118" s="126"/>
      <c r="F118" s="126"/>
      <c r="G118" s="126"/>
      <c r="H118" s="126"/>
      <c r="I118" s="126"/>
      <c r="J118" s="191"/>
      <c r="K118" s="42" t="s">
        <v>246</v>
      </c>
      <c r="L118" s="43">
        <f ca="1">(IF(B110&gt;2,(I110/(B110+2)+L117),0))</f>
        <v>41.6</v>
      </c>
    </row>
    <row r="119" spans="1:15" x14ac:dyDescent="0.35">
      <c r="A119" s="188" t="s">
        <v>247</v>
      </c>
      <c r="B119" s="189" t="s">
        <v>247</v>
      </c>
      <c r="C119" s="46">
        <v>15</v>
      </c>
      <c r="D119" s="126">
        <f ca="1">((100/I110)*C119)/100</f>
        <v>0.28846153846153849</v>
      </c>
      <c r="E119" s="126"/>
      <c r="F119" s="126"/>
      <c r="G119" s="126"/>
      <c r="H119" s="126"/>
      <c r="I119" s="126"/>
      <c r="J119" s="191"/>
      <c r="K119" s="42" t="s">
        <v>248</v>
      </c>
      <c r="L119" s="44">
        <f>(IF(B110&gt;3,(I110/(B110+2)+L118),0))</f>
        <v>0</v>
      </c>
      <c r="N119" s="12">
        <f>53*0.86</f>
        <v>45.58</v>
      </c>
    </row>
    <row r="120" spans="1:15" ht="15" customHeight="1" x14ac:dyDescent="0.35">
      <c r="A120" s="188" t="s">
        <v>249</v>
      </c>
      <c r="B120" s="189"/>
      <c r="C120" s="46">
        <v>12</v>
      </c>
      <c r="D120" s="126">
        <f ca="1">((100/I110)*C120)/100</f>
        <v>0.23076923076923075</v>
      </c>
      <c r="E120" s="126"/>
      <c r="F120" s="126"/>
      <c r="G120" s="126"/>
      <c r="H120" s="126"/>
      <c r="I120" s="126"/>
      <c r="J120" s="191"/>
      <c r="K120" s="42" t="s">
        <v>250</v>
      </c>
      <c r="L120" s="43">
        <f>(IF(B110&gt;4,(I110/(B110+2)+L119),0))</f>
        <v>0</v>
      </c>
    </row>
    <row r="121" spans="1:15" x14ac:dyDescent="0.35">
      <c r="A121" s="188" t="s">
        <v>251</v>
      </c>
      <c r="B121" s="189" t="s">
        <v>251</v>
      </c>
      <c r="C121" s="46">
        <v>0</v>
      </c>
      <c r="D121" s="126">
        <f ca="1">((100/(I110))*C121)/100</f>
        <v>0</v>
      </c>
      <c r="E121" s="126"/>
      <c r="F121" s="126"/>
      <c r="G121" s="126"/>
      <c r="H121" s="126"/>
      <c r="I121" s="126"/>
      <c r="J121" s="191"/>
      <c r="K121" s="42" t="s">
        <v>137</v>
      </c>
      <c r="L121" s="43">
        <f>(IF(B110=1,(I110/(B110+3)+L116),IF(B110=0,(I110/4+L116),IF(B110&gt;1,0))))</f>
        <v>0</v>
      </c>
    </row>
    <row r="122" spans="1:15" x14ac:dyDescent="0.35">
      <c r="A122" s="219" t="s">
        <v>252</v>
      </c>
      <c r="B122" s="220"/>
      <c r="C122" s="59">
        <v>0</v>
      </c>
      <c r="D122" s="201">
        <f ca="1">((100/(I110))*C122)/100</f>
        <v>0</v>
      </c>
      <c r="E122" s="201"/>
      <c r="F122" s="201"/>
      <c r="G122" s="201"/>
      <c r="H122" s="201"/>
      <c r="I122" s="201"/>
      <c r="J122" s="202"/>
      <c r="K122" s="42" t="s">
        <v>138</v>
      </c>
      <c r="L122" s="43">
        <f ca="1">(IF(B110&gt;1.5,(I110/(B110+2)+L116+MAX(0,L117-L116)+MAX(0,L118-L117)+MAX(0,L119-L118)+MAX(0,L120-L119)+MAX(0,L121-L120)),IF(B110=1,(I110/(B110+3)+L121),IF(B110=0,I110/4+L121))))</f>
        <v>52.000000000000007</v>
      </c>
    </row>
    <row r="123" spans="1:15" x14ac:dyDescent="0.35">
      <c r="A123" s="106" t="s">
        <v>65</v>
      </c>
      <c r="B123" s="106"/>
      <c r="C123" s="106"/>
      <c r="D123" s="106"/>
      <c r="E123" s="106"/>
      <c r="F123" s="106"/>
      <c r="G123" s="106"/>
      <c r="H123" s="106"/>
      <c r="I123" s="106"/>
      <c r="J123" s="106"/>
    </row>
    <row r="124" spans="1:15" x14ac:dyDescent="0.35">
      <c r="A124" s="86" t="s">
        <v>386</v>
      </c>
      <c r="B124" s="86"/>
      <c r="C124" s="86"/>
      <c r="D124" s="86"/>
      <c r="E124" s="86"/>
      <c r="F124" s="86"/>
      <c r="G124" s="125">
        <v>33000</v>
      </c>
      <c r="H124" s="125"/>
      <c r="I124" s="125"/>
      <c r="J124" s="125"/>
      <c r="K124" s="53">
        <v>22400</v>
      </c>
      <c r="L124" s="53">
        <v>24400</v>
      </c>
      <c r="M124" s="53" t="s">
        <v>277</v>
      </c>
      <c r="N124" s="53" t="s">
        <v>278</v>
      </c>
      <c r="O124" s="54">
        <v>44921</v>
      </c>
    </row>
    <row r="125" spans="1:15" x14ac:dyDescent="0.35">
      <c r="A125" s="86" t="s">
        <v>387</v>
      </c>
      <c r="B125" s="86"/>
      <c r="C125" s="86"/>
      <c r="D125" s="86"/>
      <c r="E125" s="86"/>
      <c r="F125" s="86"/>
      <c r="G125" s="134">
        <v>45000</v>
      </c>
      <c r="H125" s="134"/>
      <c r="I125" s="134"/>
      <c r="J125" s="134"/>
      <c r="K125" s="53"/>
      <c r="L125" s="12" t="s">
        <v>326</v>
      </c>
      <c r="M125" s="57">
        <v>45227</v>
      </c>
      <c r="N125" s="12" t="s">
        <v>327</v>
      </c>
      <c r="O125" s="12" t="s">
        <v>328</v>
      </c>
    </row>
    <row r="126" spans="1:15" x14ac:dyDescent="0.35">
      <c r="A126" s="86" t="s">
        <v>388</v>
      </c>
      <c r="B126" s="86"/>
      <c r="C126" s="86"/>
      <c r="D126" s="86"/>
      <c r="E126" s="86"/>
      <c r="F126" s="86"/>
      <c r="G126" s="134">
        <v>40000</v>
      </c>
      <c r="H126" s="134"/>
      <c r="I126" s="134"/>
      <c r="J126" s="134"/>
      <c r="K126" s="53"/>
      <c r="L126" s="53"/>
      <c r="M126" s="53"/>
      <c r="N126" s="53"/>
      <c r="O126" s="54"/>
    </row>
    <row r="127" spans="1:15" ht="15.75" customHeight="1" x14ac:dyDescent="0.35">
      <c r="A127" s="86" t="s">
        <v>66</v>
      </c>
      <c r="B127" s="86"/>
      <c r="C127" s="86"/>
      <c r="D127" s="86"/>
      <c r="E127" s="86"/>
      <c r="F127" s="86"/>
      <c r="G127" s="167" t="s">
        <v>324</v>
      </c>
      <c r="H127" s="167"/>
      <c r="I127" s="167"/>
      <c r="J127" s="167"/>
    </row>
    <row r="128" spans="1:15" x14ac:dyDescent="0.35">
      <c r="A128" s="86" t="s">
        <v>286</v>
      </c>
      <c r="B128" s="86" t="s">
        <v>280</v>
      </c>
      <c r="C128" s="86" t="s">
        <v>280</v>
      </c>
      <c r="D128" s="86" t="s">
        <v>280</v>
      </c>
      <c r="E128" s="86" t="s">
        <v>280</v>
      </c>
      <c r="F128" s="86" t="s">
        <v>280</v>
      </c>
      <c r="G128" s="134">
        <v>150000</v>
      </c>
      <c r="H128" s="134"/>
      <c r="I128" s="134"/>
      <c r="J128" s="134"/>
      <c r="M128" s="52"/>
    </row>
    <row r="129" spans="1:13" x14ac:dyDescent="0.35">
      <c r="A129" s="86" t="s">
        <v>325</v>
      </c>
      <c r="B129" s="86" t="s">
        <v>280</v>
      </c>
      <c r="C129" s="86" t="s">
        <v>280</v>
      </c>
      <c r="D129" s="86" t="s">
        <v>280</v>
      </c>
      <c r="E129" s="86" t="s">
        <v>280</v>
      </c>
      <c r="F129" s="86" t="s">
        <v>280</v>
      </c>
      <c r="G129" s="134">
        <v>200000</v>
      </c>
      <c r="H129" s="134"/>
      <c r="I129" s="134"/>
      <c r="J129" s="134"/>
      <c r="M129" s="52"/>
    </row>
    <row r="130" spans="1:13" x14ac:dyDescent="0.35">
      <c r="A130" s="83" t="s">
        <v>329</v>
      </c>
      <c r="B130" s="84" t="s">
        <v>280</v>
      </c>
      <c r="C130" s="84" t="s">
        <v>280</v>
      </c>
      <c r="D130" s="84" t="s">
        <v>280</v>
      </c>
      <c r="E130" s="84" t="s">
        <v>280</v>
      </c>
      <c r="F130" s="85" t="s">
        <v>280</v>
      </c>
      <c r="G130" s="138">
        <v>32000</v>
      </c>
      <c r="H130" s="139"/>
      <c r="I130" s="139"/>
      <c r="J130" s="140"/>
      <c r="M130" s="52"/>
    </row>
    <row r="131" spans="1:13" x14ac:dyDescent="0.35">
      <c r="A131" s="83" t="s">
        <v>287</v>
      </c>
      <c r="B131" s="84" t="s">
        <v>281</v>
      </c>
      <c r="C131" s="84" t="s">
        <v>281</v>
      </c>
      <c r="D131" s="84" t="s">
        <v>281</v>
      </c>
      <c r="E131" s="84" t="s">
        <v>281</v>
      </c>
      <c r="F131" s="85" t="s">
        <v>281</v>
      </c>
      <c r="G131" s="138">
        <v>50000</v>
      </c>
      <c r="H131" s="139"/>
      <c r="I131" s="139"/>
      <c r="J131" s="140"/>
      <c r="M131" s="52"/>
    </row>
    <row r="132" spans="1:13" x14ac:dyDescent="0.35">
      <c r="A132" s="83" t="s">
        <v>276</v>
      </c>
      <c r="B132" s="84" t="s">
        <v>282</v>
      </c>
      <c r="C132" s="84" t="s">
        <v>282</v>
      </c>
      <c r="D132" s="84" t="s">
        <v>282</v>
      </c>
      <c r="E132" s="84" t="s">
        <v>282</v>
      </c>
      <c r="F132" s="85" t="s">
        <v>282</v>
      </c>
      <c r="G132" s="138">
        <v>20000</v>
      </c>
      <c r="H132" s="139"/>
      <c r="I132" s="139"/>
      <c r="J132" s="140"/>
    </row>
    <row r="133" spans="1:13" x14ac:dyDescent="0.35">
      <c r="A133" s="83" t="s">
        <v>288</v>
      </c>
      <c r="B133" s="84" t="s">
        <v>283</v>
      </c>
      <c r="C133" s="84" t="s">
        <v>283</v>
      </c>
      <c r="D133" s="84" t="s">
        <v>283</v>
      </c>
      <c r="E133" s="84" t="s">
        <v>283</v>
      </c>
      <c r="F133" s="85" t="s">
        <v>283</v>
      </c>
      <c r="G133" s="138">
        <v>8000</v>
      </c>
      <c r="H133" s="139"/>
      <c r="I133" s="139"/>
      <c r="J133" s="140"/>
    </row>
    <row r="134" spans="1:13" x14ac:dyDescent="0.35">
      <c r="A134" s="83" t="s">
        <v>289</v>
      </c>
      <c r="B134" s="84" t="s">
        <v>284</v>
      </c>
      <c r="C134" s="84" t="s">
        <v>284</v>
      </c>
      <c r="D134" s="84" t="s">
        <v>284</v>
      </c>
      <c r="E134" s="84" t="s">
        <v>284</v>
      </c>
      <c r="F134" s="85" t="s">
        <v>284</v>
      </c>
      <c r="G134" s="138">
        <v>40000</v>
      </c>
      <c r="H134" s="139"/>
      <c r="I134" s="139"/>
      <c r="J134" s="140"/>
    </row>
    <row r="135" spans="1:13" x14ac:dyDescent="0.35">
      <c r="A135" s="83" t="s">
        <v>67</v>
      </c>
      <c r="B135" s="84"/>
      <c r="C135" s="84"/>
      <c r="D135" s="84"/>
      <c r="E135" s="84"/>
      <c r="F135" s="85"/>
      <c r="G135" s="138">
        <v>1500000</v>
      </c>
      <c r="H135" s="139"/>
      <c r="I135" s="139"/>
      <c r="J135" s="140"/>
    </row>
    <row r="136" spans="1:13" s="13" customFormat="1" ht="18" customHeight="1" x14ac:dyDescent="0.35">
      <c r="A136" s="68" t="s">
        <v>68</v>
      </c>
      <c r="B136" s="69"/>
      <c r="C136" s="69"/>
      <c r="D136" s="69"/>
      <c r="E136" s="69"/>
      <c r="F136" s="70"/>
      <c r="G136" s="138">
        <f>G124*0.8</f>
        <v>26400</v>
      </c>
      <c r="H136" s="139"/>
      <c r="I136" s="139"/>
      <c r="J136" s="140"/>
    </row>
    <row r="137" spans="1:13" s="1" customFormat="1" x14ac:dyDescent="0.35">
      <c r="A137" s="143" t="s">
        <v>359</v>
      </c>
      <c r="B137" s="143"/>
      <c r="C137" s="143"/>
      <c r="D137" s="143"/>
      <c r="E137" s="143"/>
      <c r="F137" s="143"/>
      <c r="G137" s="143"/>
      <c r="H137" s="143"/>
      <c r="I137" s="143"/>
      <c r="J137" s="143"/>
    </row>
    <row r="138" spans="1:13" s="1" customFormat="1" x14ac:dyDescent="0.35">
      <c r="A138" s="136" t="s">
        <v>69</v>
      </c>
      <c r="B138" s="136"/>
      <c r="C138" s="10" t="s">
        <v>163</v>
      </c>
      <c r="D138" s="141" t="s">
        <v>70</v>
      </c>
      <c r="E138" s="141"/>
      <c r="F138" s="141"/>
      <c r="G138" s="136" t="s">
        <v>71</v>
      </c>
      <c r="H138" s="136"/>
      <c r="I138" s="136"/>
      <c r="J138" s="136"/>
    </row>
    <row r="139" spans="1:13" s="1" customFormat="1" x14ac:dyDescent="0.35">
      <c r="A139" s="135" t="s">
        <v>360</v>
      </c>
      <c r="B139" s="135"/>
      <c r="C139" s="39">
        <f>COUNT(D157:D161)</f>
        <v>5</v>
      </c>
      <c r="D139" s="142">
        <f>SUM(D157:D161)</f>
        <v>7147.1862072000004</v>
      </c>
      <c r="E139" s="142"/>
      <c r="F139" s="142"/>
      <c r="G139" s="137">
        <f>SUM(G157:G161)</f>
        <v>11435.49793152</v>
      </c>
      <c r="H139" s="137"/>
      <c r="I139" s="137"/>
      <c r="J139" s="137"/>
    </row>
    <row r="140" spans="1:13" s="1" customFormat="1" x14ac:dyDescent="0.35">
      <c r="A140" s="135" t="s">
        <v>361</v>
      </c>
      <c r="B140" s="135"/>
      <c r="C140" s="39">
        <f>COUNT(D163:D180)+COUNT(D182:D196)</f>
        <v>33</v>
      </c>
      <c r="D140" s="164">
        <f>SUM(D163:D180)+SUM(D182:D196)</f>
        <v>17427.943961999998</v>
      </c>
      <c r="E140" s="165"/>
      <c r="F140" s="166"/>
      <c r="G140" s="137">
        <f>SUM(G163:G180)+SUM(G182:G196)</f>
        <v>27884.710339199999</v>
      </c>
      <c r="H140" s="137"/>
      <c r="I140" s="137"/>
      <c r="J140" s="137"/>
    </row>
    <row r="141" spans="1:13" s="1" customFormat="1" x14ac:dyDescent="0.35">
      <c r="A141" s="143" t="s">
        <v>362</v>
      </c>
      <c r="B141" s="143"/>
      <c r="C141" s="61">
        <f>SUM(C139:C140)</f>
        <v>38</v>
      </c>
      <c r="D141" s="213">
        <f>SUM(D139:F140)</f>
        <v>24575.130169199998</v>
      </c>
      <c r="E141" s="214"/>
      <c r="F141" s="215"/>
      <c r="G141" s="136">
        <f>SUM(G139:J140)</f>
        <v>39320.208270720002</v>
      </c>
      <c r="H141" s="136"/>
      <c r="I141" s="136"/>
      <c r="J141" s="136"/>
    </row>
    <row r="142" spans="1:13" s="1" customFormat="1" x14ac:dyDescent="0.35">
      <c r="A142" s="143" t="s">
        <v>127</v>
      </c>
      <c r="B142" s="143"/>
      <c r="C142" s="143"/>
      <c r="D142" s="143"/>
      <c r="E142" s="143"/>
      <c r="F142" s="143"/>
      <c r="G142" s="143"/>
      <c r="H142" s="143"/>
      <c r="I142" s="143"/>
      <c r="J142" s="143"/>
    </row>
    <row r="143" spans="1:13" s="1" customFormat="1" x14ac:dyDescent="0.35">
      <c r="A143" s="136" t="s">
        <v>69</v>
      </c>
      <c r="B143" s="136"/>
      <c r="C143" s="10" t="s">
        <v>163</v>
      </c>
      <c r="D143" s="141" t="s">
        <v>70</v>
      </c>
      <c r="E143" s="141"/>
      <c r="F143" s="141"/>
      <c r="G143" s="136" t="s">
        <v>71</v>
      </c>
      <c r="H143" s="136"/>
      <c r="I143" s="136"/>
      <c r="J143" s="136"/>
    </row>
    <row r="144" spans="1:13" s="1" customFormat="1" x14ac:dyDescent="0.35">
      <c r="A144" s="135" t="s">
        <v>72</v>
      </c>
      <c r="B144" s="135"/>
      <c r="C144" s="11">
        <f>COUNT(D206:E208)+COUNT(D210:E211)+COUNT(D213:E218)*7+COUNT(D220:E223)+COUNT(D229:E234)*4+COUNT(D236:E239)+COUNT(D243:E248)*5+COUNT(D250:E255)+COUNT(D257:E262)+COUNT(D264:E269)*5+COUNT(D271:E274)+COUNT(D280:E283)+COUNT(D287:E292)*11+COUNT(D294:E297)</f>
        <v>229</v>
      </c>
      <c r="D144" s="142">
        <f>SUM(D206:E208)+SUM(D210:E211)+SUM(D213:E218)*7+SUM(D220:E223)+SUM(D229:E234)*4+SUM(D236:E239)+SUM(D243:E248)*5+SUM(D250:E255)+SUM(D257:E262)+SUM(D264:E269)*5+SUM(D271:E274)+SUM(D280:E283)+SUM(D287:E292)*11+SUM(D294:E297)</f>
        <v>375683.72868</v>
      </c>
      <c r="E144" s="142"/>
      <c r="F144" s="142"/>
      <c r="G144" s="137">
        <f>SUM(G206:G208)+SUM(G210:G211)+SUM(G213:G218)*7+SUM(G220:G223)+SUM(G229:G234)*4+SUM(G236:G239)+SUM(G243:G248)*5+SUM(G250:G255)+SUM(G257:G262)+SUM(G264:G269)*5+SUM(G271:G274)+SUM(G280:G283)+SUM(G287:G292)*11+SUM(G294:G297)</f>
        <v>601093.96588799998</v>
      </c>
      <c r="H144" s="137"/>
      <c r="I144" s="137"/>
      <c r="J144" s="137"/>
    </row>
    <row r="145" spans="1:14" s="1" customFormat="1" x14ac:dyDescent="0.35">
      <c r="A145" s="135" t="s">
        <v>73</v>
      </c>
      <c r="B145" s="135"/>
      <c r="C145" s="11">
        <f>COUNT(D306:E311)+COUNT(D315:E322)*7+COUNT(D324)+COUNT(D328:E331)+COUNT(D333:E340)+COUNT(D342:E349)*14+COUNT(D351)*2+COUNT(D355:E358)*2+COUNT(D360:E367)*3+COUNT(D370)+COUNT(D374:E377)+COUNT(D379:E386)*10+COUNT(D388)+COUNT(D392:E395)+COUNT(D397)+COUNT(D401:E404)+COUNT(D406:E413)*7+COUNT(D415)+COUNT(D419:E422)+COUNT(D424:E428)+COUNT(D430:E434)*4+COUNT(D436)+COUNT(D438:E440)+COUNT(D442:E446)*10+COUNT(D448)+COUNT(D450:E452)+COUNT(D460:E463)+COUNT(D454:E458)*2+COUNT(D467)</f>
        <v>475</v>
      </c>
      <c r="D145" s="164">
        <f>SUM(D306:D311)+SUM(D315:D322)*7+SUM(D324)+SUM(D328:D331)+SUM(D333:D340)+SUM(D342:D349)*14+SUM(D351)*2+SUM(D355:D358)*2+SUM(D360:D367)*3+SUM(D370)+SUM(D374:D377)+SUM(D379:D386)*10+SUM(D388)+SUM(D392:D395)+SUM(D397)+SUM(D401:D404)+SUM(D406:D413)*7+SUM(D415)+SUM(D419:D422)+SUM(D424:D428)+SUM(D430:D434)*4+SUM(D436)+SUM(D438:D440)+SUM(D442:D446)*10+SUM(D448)+SUM(D450:D452)+SUM(D460:D463)+SUM(D454:D458)*2+SUM(D467)</f>
        <v>508506.42959999992</v>
      </c>
      <c r="E145" s="165"/>
      <c r="F145" s="166"/>
      <c r="G145" s="137">
        <f>SUM(G306:G311)+SUM(G315:G322)*7+SUM(G324)+SUM(G328:G331)+SUM(G333:G340)+SUM(G342:G349)*14+SUM(G351)*2+SUM(G355:G358)*2+SUM(G360:G367)*3+SUM(G370)+SUM(G374:G377)+SUM(G379:G386)*10+SUM(G388)+SUM(G392:G395)+SUM(G397)+SUM(G401:G404)+SUM(G406:G413)*7+SUM(G415)+SUM(G419:G422)+SUM(G424:G428)+SUM(G430:G434)*4+SUM(G436)+SUM(G438:G440)+SUM(G442:G446)*10+SUM(G448)+SUM(G450:G452)+SUM(G460:G463)+SUM(G454:G458)*2+SUM(G467)</f>
        <v>813610.28736000019</v>
      </c>
      <c r="H145" s="137"/>
      <c r="I145" s="137"/>
      <c r="J145" s="137"/>
      <c r="M145" s="63"/>
    </row>
    <row r="146" spans="1:14" s="1" customFormat="1" x14ac:dyDescent="0.35">
      <c r="A146" s="135" t="s">
        <v>273</v>
      </c>
      <c r="B146" s="135"/>
      <c r="C146" s="39">
        <f>COUNT(D476:D479)+COUNT(D481:D488)*6+COUNT(D490:D497)+COUNT(D499:D506)*4+COUNT(D508:D515)*2+COUNT(D517:D524)*7+COUNT(D526:D533)*8+COUNT(D535:D542)+COUNT(D544:D551)*6+COUNT(D553:D554)*5+COUNT(D557:D560)*5+COUNT(D562:D569)*2+COUNT(D571:D573,D575:D578)</f>
        <v>337</v>
      </c>
      <c r="D146" s="142">
        <f>SUM(D476:D479)+SUM(D481:D488)*6+SUM(D490:D497)+SUM(D499:D506)*4+SUM(D508:D515)*2+SUM(D517:D524)*7+SUM(D526:D533)*8+SUM(D535:D542)+SUM(D544:D551)*6+SUM(D553:D554)*5+SUM(D557:D560)*5+SUM(D562:D569)*2+SUM(D571:D573,D575:D578)</f>
        <v>253272.67467840001</v>
      </c>
      <c r="E146" s="142"/>
      <c r="F146" s="142"/>
      <c r="G146" s="137">
        <f>SUM(G476:G479)+SUM(G481:G488)*6+SUM(G490:G497)+SUM(G499:G506)*4+SUM(G508:G515)*2+SUM(G517:G524)*7+SUM(G526:G533)*8+SUM(G535:G542)+SUM(G544:G551)*6+SUM(G553:G554)*5+SUM(G557:G560)*5+SUM(G562:G569)*2+SUM(G571:G573,G575:G578)</f>
        <v>405236.27948543994</v>
      </c>
      <c r="H146" s="137"/>
      <c r="I146" s="137"/>
      <c r="J146" s="137"/>
      <c r="K146" s="1">
        <f>48*8-12-4</f>
        <v>368</v>
      </c>
    </row>
    <row r="147" spans="1:14" s="1" customFormat="1" x14ac:dyDescent="0.35">
      <c r="A147" s="135" t="s">
        <v>318</v>
      </c>
      <c r="B147" s="135"/>
      <c r="C147" s="39">
        <f>COUNT(D582:E588)*4+COUNT(D590:E593,D596)+COUNT(D598:E604)+COUNT(D606:E612)+COUNT(D614:E620)*7+COUNT(D622:E625,D628)+COUNT(D630:E636)*4+COUNT(D638:E641,D644)+COUNT(D646:E652)*9+COUNT(D654:E657,D660)+COUNT(D662:E665,D668)+COUNT(D670:E676)+COUNT(D678:E682)*3+COUNT(D684:E688)*4+COUNT(D690:E692,D694)+COUNT(D696:E700)*7+COUNT(D702:E704,D706)</f>
        <v>292</v>
      </c>
      <c r="D147" s="142">
        <f>SUM(D582:E588)*4+SUM(D590:E593,D596)+SUM(D598:E604)+SUM(D606:E612)+SUM(D614:E620)*7+SUM(D622:E625,D628)+SUM(D630:E636)*4+SUM(D638:E641,D644)+SUM(D646:E652)*9+SUM(D654:E657,D660)+SUM(D662:E665,D668)+SUM(D670:E676)+SUM(D678:E682)*3+SUM(D684:E688)*4+SUM(D690:E692,D694)+SUM(D696:E700)*7+SUM(D702:E704,D706)</f>
        <v>225500.99172119994</v>
      </c>
      <c r="E147" s="142"/>
      <c r="F147" s="142"/>
      <c r="G147" s="137">
        <f>SUM(G582:G588)*4+SUM(G590:G593,G596)+SUM(G598:G604)+SUM(G606:G612)+SUM(G614:G620)*7+SUM(G622:G625,G628)+SUM(G630:G636)*4+SUM(G638:G641,G644)+SUM(G646:G652)*9+SUM(G654:G657,G660)+SUM(G662:G665,G668)+SUM(G670:G676)+SUM(G678:G682)*3+SUM(G684:G688)*4+SUM(G690:G692,G694)+SUM(G696:G700)*7+SUM(G702:G704,G706)</f>
        <v>360801.58675392001</v>
      </c>
      <c r="H147" s="137"/>
      <c r="I147" s="137"/>
      <c r="J147" s="137"/>
      <c r="K147" s="1">
        <f>48*8-12-4</f>
        <v>368</v>
      </c>
    </row>
    <row r="148" spans="1:14" s="1" customFormat="1" x14ac:dyDescent="0.35">
      <c r="A148" s="143" t="s">
        <v>74</v>
      </c>
      <c r="B148" s="143"/>
      <c r="C148" s="10">
        <f>SUM(C144:C147)</f>
        <v>1333</v>
      </c>
      <c r="D148" s="144">
        <f>SUM(D144:F147)</f>
        <v>1362963.8246795996</v>
      </c>
      <c r="E148" s="144"/>
      <c r="F148" s="144"/>
      <c r="G148" s="136">
        <f>SUM(G144:J147)</f>
        <v>2180742.1194873601</v>
      </c>
      <c r="H148" s="136"/>
      <c r="I148" s="136"/>
      <c r="J148" s="136"/>
    </row>
    <row r="149" spans="1:14" s="1" customFormat="1" x14ac:dyDescent="0.35">
      <c r="A149" s="143" t="s">
        <v>363</v>
      </c>
      <c r="B149" s="143"/>
      <c r="C149" s="61">
        <f>C141+C148</f>
        <v>1371</v>
      </c>
      <c r="D149" s="144">
        <f>D148+D141</f>
        <v>1387538.9548487996</v>
      </c>
      <c r="E149" s="144"/>
      <c r="F149" s="144"/>
      <c r="G149" s="136">
        <f>G148+G141</f>
        <v>2220062.3277580803</v>
      </c>
      <c r="H149" s="136"/>
      <c r="I149" s="136"/>
      <c r="J149" s="136"/>
    </row>
    <row r="150" spans="1:14" s="13" customFormat="1" x14ac:dyDescent="0.35">
      <c r="A150" s="168" t="s">
        <v>75</v>
      </c>
      <c r="B150" s="168"/>
      <c r="C150" s="168"/>
      <c r="D150" s="168"/>
      <c r="E150" s="168"/>
      <c r="F150" s="168"/>
      <c r="G150" s="168"/>
      <c r="H150" s="168"/>
      <c r="I150" s="168"/>
      <c r="J150" s="168"/>
    </row>
    <row r="151" spans="1:14" x14ac:dyDescent="0.35">
      <c r="A151" s="168" t="s">
        <v>351</v>
      </c>
      <c r="B151" s="168"/>
      <c r="C151" s="168"/>
      <c r="D151" s="168"/>
      <c r="E151" s="168"/>
      <c r="F151" s="168"/>
      <c r="G151" s="168"/>
      <c r="H151" s="168"/>
      <c r="I151" s="168"/>
      <c r="J151" s="168"/>
    </row>
    <row r="152" spans="1:14" ht="41.4" customHeight="1" x14ac:dyDescent="0.35">
      <c r="A152" s="203" t="s">
        <v>139</v>
      </c>
      <c r="B152" s="204"/>
      <c r="C152" s="207" t="s">
        <v>76</v>
      </c>
      <c r="D152" s="203" t="s">
        <v>77</v>
      </c>
      <c r="E152" s="204"/>
      <c r="F152" s="209" t="s">
        <v>78</v>
      </c>
      <c r="G152" s="2" t="s">
        <v>79</v>
      </c>
      <c r="H152" s="211" t="s">
        <v>80</v>
      </c>
      <c r="I152" s="203" t="s">
        <v>81</v>
      </c>
      <c r="J152" s="204"/>
    </row>
    <row r="153" spans="1:14" x14ac:dyDescent="0.35">
      <c r="A153" s="205"/>
      <c r="B153" s="206"/>
      <c r="C153" s="208"/>
      <c r="D153" s="205"/>
      <c r="E153" s="206"/>
      <c r="F153" s="210"/>
      <c r="G153" s="60">
        <v>0.6</v>
      </c>
      <c r="H153" s="212"/>
      <c r="I153" s="205"/>
      <c r="J153" s="206"/>
    </row>
    <row r="154" spans="1:14" s="3" customFormat="1" x14ac:dyDescent="0.35">
      <c r="A154" s="72" t="s">
        <v>354</v>
      </c>
      <c r="B154" s="72"/>
      <c r="C154" s="72"/>
      <c r="D154" s="72"/>
      <c r="E154" s="72"/>
      <c r="F154" s="72"/>
      <c r="G154" s="72"/>
      <c r="H154" s="72"/>
      <c r="I154" s="72"/>
      <c r="J154" s="72"/>
      <c r="M154" s="66"/>
      <c r="N154" s="66"/>
    </row>
    <row r="155" spans="1:14" s="3" customFormat="1" x14ac:dyDescent="0.35">
      <c r="A155" s="72" t="s">
        <v>212</v>
      </c>
      <c r="B155" s="72"/>
      <c r="C155" s="72"/>
      <c r="D155" s="72"/>
      <c r="E155" s="72"/>
      <c r="F155" s="72"/>
      <c r="G155" s="72"/>
      <c r="H155" s="72"/>
      <c r="I155" s="72"/>
      <c r="J155" s="72"/>
    </row>
    <row r="156" spans="1:14" s="3" customFormat="1" x14ac:dyDescent="0.35">
      <c r="A156" s="72" t="s">
        <v>358</v>
      </c>
      <c r="B156" s="72"/>
      <c r="C156" s="72"/>
      <c r="D156" s="72"/>
      <c r="E156" s="72"/>
      <c r="F156" s="72"/>
      <c r="G156" s="72"/>
      <c r="H156" s="72"/>
      <c r="I156" s="72"/>
      <c r="J156" s="72"/>
    </row>
    <row r="157" spans="1:14" s="3" customFormat="1" ht="15.65" customHeight="1" x14ac:dyDescent="0.35">
      <c r="A157" s="66">
        <v>1</v>
      </c>
      <c r="B157" s="66"/>
      <c r="C157" s="4" t="s">
        <v>356</v>
      </c>
      <c r="D157" s="66">
        <f>(7.66*4.34+4.4*6.14+5.62*6.67+3.81*6.21+3.23*2.54+5.33*2.21+4.65*0.75+2.34*3.55+1.91*1.1+2.02*1.15)*10.764</f>
        <v>1696.4914355999999</v>
      </c>
      <c r="E157" s="66"/>
      <c r="F157" s="4">
        <v>0</v>
      </c>
      <c r="G157" s="4">
        <f>D157*(($G$153)+1)+(IF(F157&lt;101,F157,IF(F157&lt;201,F157/2,IF(F157&lt;=301,F157/3,F157/4))))</f>
        <v>2714.38629696</v>
      </c>
      <c r="H157" s="4" t="s">
        <v>82</v>
      </c>
      <c r="I157" s="145" t="str">
        <f>A156</f>
        <v>Ground Floor For Commercial, Service Area &amp; Parking</v>
      </c>
      <c r="J157" s="146"/>
      <c r="K157" s="3">
        <f>D157*1.6</f>
        <v>2714.38629696</v>
      </c>
      <c r="M157" s="66">
        <v>10.763999999999999</v>
      </c>
      <c r="N157" s="66"/>
    </row>
    <row r="158" spans="1:14" s="3" customFormat="1" x14ac:dyDescent="0.35">
      <c r="A158" s="66">
        <f>A157+1</f>
        <v>2</v>
      </c>
      <c r="B158" s="66"/>
      <c r="C158" s="4" t="s">
        <v>356</v>
      </c>
      <c r="D158" s="66">
        <f>(10.75*3.27+12.87*6.53+5.28*6.21+6.45*3.85+3.95*2.6+1.1*1.6+1.15*1.6)*10.764</f>
        <v>2052.5322636000001</v>
      </c>
      <c r="E158" s="66"/>
      <c r="F158" s="4">
        <v>0</v>
      </c>
      <c r="G158" s="4">
        <f t="shared" ref="G158:G180" si="0">D158*(($G$153)+1)+(IF(F158&lt;101,F158,IF(F158&lt;201,F158/2,IF(F158&lt;=301,F158/3,F158/4))))</f>
        <v>3284.0516217600002</v>
      </c>
      <c r="H158" s="4" t="s">
        <v>82</v>
      </c>
      <c r="I158" s="147"/>
      <c r="J158" s="148"/>
    </row>
    <row r="159" spans="1:14" s="3" customFormat="1" ht="15" customHeight="1" x14ac:dyDescent="0.35">
      <c r="A159" s="66">
        <f t="shared" ref="A159:A161" si="1">A158+1</f>
        <v>3</v>
      </c>
      <c r="B159" s="66"/>
      <c r="C159" s="4" t="s">
        <v>356</v>
      </c>
      <c r="D159" s="66">
        <f>(6.55*8.14+5.42*4.68+2.74*2.41+1.08*1.6+1.08*1.6)*10.764</f>
        <v>955.21888799999988</v>
      </c>
      <c r="E159" s="66"/>
      <c r="F159" s="4">
        <v>0</v>
      </c>
      <c r="G159" s="4">
        <f t="shared" si="0"/>
        <v>1528.3502208</v>
      </c>
      <c r="H159" s="4" t="s">
        <v>82</v>
      </c>
      <c r="I159" s="147"/>
      <c r="J159" s="148"/>
    </row>
    <row r="160" spans="1:14" s="3" customFormat="1" ht="15" customHeight="1" x14ac:dyDescent="0.35">
      <c r="A160" s="66">
        <f t="shared" si="1"/>
        <v>4</v>
      </c>
      <c r="B160" s="66"/>
      <c r="C160" s="4" t="s">
        <v>356</v>
      </c>
      <c r="D160" s="66">
        <f>(5.9*9.52+4.58*3.29+2.3*2.41+1.08*1.6+1.08*1.6)*10.764</f>
        <v>863.65169279999986</v>
      </c>
      <c r="E160" s="66"/>
      <c r="F160" s="4">
        <v>0</v>
      </c>
      <c r="G160" s="4">
        <f t="shared" si="0"/>
        <v>1381.8427084799998</v>
      </c>
      <c r="H160" s="4" t="s">
        <v>82</v>
      </c>
      <c r="I160" s="147"/>
      <c r="J160" s="148"/>
    </row>
    <row r="161" spans="1:14" s="3" customFormat="1" ht="15" customHeight="1" x14ac:dyDescent="0.35">
      <c r="A161" s="66">
        <f t="shared" si="1"/>
        <v>5</v>
      </c>
      <c r="B161" s="66"/>
      <c r="C161" s="4" t="s">
        <v>356</v>
      </c>
      <c r="D161" s="66">
        <f>(5.55*2.7+11.78*6.97+5.02*5.53+7.33*2.32+1.43*1.7+1.43*1.7)*10.764</f>
        <v>1579.2919271999999</v>
      </c>
      <c r="E161" s="66"/>
      <c r="F161" s="4">
        <v>0</v>
      </c>
      <c r="G161" s="4">
        <f t="shared" si="0"/>
        <v>2526.8670835200001</v>
      </c>
      <c r="H161" s="4" t="s">
        <v>82</v>
      </c>
      <c r="I161" s="149"/>
      <c r="J161" s="150"/>
    </row>
    <row r="162" spans="1:14" s="3" customFormat="1" x14ac:dyDescent="0.35">
      <c r="A162" s="72" t="s">
        <v>355</v>
      </c>
      <c r="B162" s="72"/>
      <c r="C162" s="72"/>
      <c r="D162" s="72"/>
      <c r="E162" s="72"/>
      <c r="F162" s="72"/>
      <c r="G162" s="72"/>
      <c r="H162" s="72"/>
      <c r="I162" s="72"/>
      <c r="J162" s="72"/>
    </row>
    <row r="163" spans="1:14" s="3" customFormat="1" ht="15.65" customHeight="1" x14ac:dyDescent="0.35">
      <c r="A163" s="66">
        <v>1</v>
      </c>
      <c r="B163" s="66"/>
      <c r="C163" s="64" t="s">
        <v>352</v>
      </c>
      <c r="D163" s="66">
        <f>(5.7*6.35+5.17*6.22+3.5*1+1.58*0.9)*10.764</f>
        <v>788.72564159999979</v>
      </c>
      <c r="E163" s="66"/>
      <c r="F163" s="64">
        <v>0</v>
      </c>
      <c r="G163" s="64">
        <f t="shared" si="0"/>
        <v>1261.9610265599997</v>
      </c>
      <c r="H163" s="64" t="s">
        <v>82</v>
      </c>
      <c r="I163" s="66" t="str">
        <f>A162</f>
        <v>1st Floor For Commercial, Entrance Lobby, Multipurpose Hall, &amp; Parking</v>
      </c>
      <c r="J163" s="66"/>
      <c r="M163" s="66">
        <v>10.763999999999999</v>
      </c>
      <c r="N163" s="66"/>
    </row>
    <row r="164" spans="1:14" s="3" customFormat="1" x14ac:dyDescent="0.35">
      <c r="A164" s="66">
        <f>A163+1</f>
        <v>2</v>
      </c>
      <c r="B164" s="66"/>
      <c r="C164" s="64" t="s">
        <v>352</v>
      </c>
      <c r="D164" s="66">
        <f>(5.7*6.35+3.67*1+1.55*0.9)*10.764</f>
        <v>444.12264000000005</v>
      </c>
      <c r="E164" s="66"/>
      <c r="F164" s="64">
        <v>0</v>
      </c>
      <c r="G164" s="64">
        <f t="shared" si="0"/>
        <v>710.59622400000012</v>
      </c>
      <c r="H164" s="64" t="s">
        <v>82</v>
      </c>
      <c r="I164" s="66"/>
      <c r="J164" s="66"/>
    </row>
    <row r="165" spans="1:14" s="3" customFormat="1" ht="15" customHeight="1" x14ac:dyDescent="0.35">
      <c r="A165" s="66">
        <f t="shared" ref="A165:A180" si="2">A164+1</f>
        <v>3</v>
      </c>
      <c r="B165" s="66"/>
      <c r="C165" s="64" t="s">
        <v>352</v>
      </c>
      <c r="D165" s="66">
        <f>(6.23*6.35+4.2*1+1.55*0.9)*10.764</f>
        <v>486.05380200000002</v>
      </c>
      <c r="E165" s="66"/>
      <c r="F165" s="64">
        <v>0</v>
      </c>
      <c r="G165" s="64">
        <f t="shared" si="0"/>
        <v>777.6860832000001</v>
      </c>
      <c r="H165" s="64" t="s">
        <v>82</v>
      </c>
      <c r="I165" s="66"/>
      <c r="J165" s="66"/>
    </row>
    <row r="166" spans="1:14" s="3" customFormat="1" ht="15" customHeight="1" x14ac:dyDescent="0.35">
      <c r="A166" s="66">
        <f t="shared" si="2"/>
        <v>4</v>
      </c>
      <c r="B166" s="66"/>
      <c r="C166" s="64" t="s">
        <v>352</v>
      </c>
      <c r="D166" s="66">
        <f>(6.08*6.35+4.05*1+1.55*0.9)*10.764</f>
        <v>474.18649199999993</v>
      </c>
      <c r="E166" s="66"/>
      <c r="F166" s="64">
        <v>0</v>
      </c>
      <c r="G166" s="64">
        <f t="shared" si="0"/>
        <v>758.69838719999996</v>
      </c>
      <c r="H166" s="64" t="s">
        <v>82</v>
      </c>
      <c r="I166" s="66"/>
      <c r="J166" s="66"/>
    </row>
    <row r="167" spans="1:14" s="3" customFormat="1" ht="15" customHeight="1" x14ac:dyDescent="0.35">
      <c r="A167" s="66">
        <f t="shared" si="2"/>
        <v>5</v>
      </c>
      <c r="B167" s="66"/>
      <c r="C167" s="64" t="s">
        <v>352</v>
      </c>
      <c r="D167" s="66">
        <f>(4.63*6.35+2.61*1+1.55*0.9)*10.764</f>
        <v>359.57680200000004</v>
      </c>
      <c r="E167" s="66"/>
      <c r="F167" s="64">
        <v>0</v>
      </c>
      <c r="G167" s="64">
        <f t="shared" si="0"/>
        <v>575.32288320000009</v>
      </c>
      <c r="H167" s="64" t="s">
        <v>82</v>
      </c>
      <c r="I167" s="66"/>
      <c r="J167" s="66"/>
    </row>
    <row r="168" spans="1:14" s="3" customFormat="1" ht="15" customHeight="1" x14ac:dyDescent="0.35">
      <c r="A168" s="66">
        <f t="shared" ref="A168:A178" si="3">A167+1</f>
        <v>6</v>
      </c>
      <c r="B168" s="66"/>
      <c r="C168" s="64" t="s">
        <v>352</v>
      </c>
      <c r="D168" s="66">
        <f>(4.02*6.48+2.36*1+1.55*0.9)*10.764</f>
        <v>320.81671439999997</v>
      </c>
      <c r="E168" s="66"/>
      <c r="F168" s="64">
        <v>0</v>
      </c>
      <c r="G168" s="64">
        <f t="shared" si="0"/>
        <v>513.30674304000001</v>
      </c>
      <c r="H168" s="64" t="s">
        <v>82</v>
      </c>
      <c r="I168" s="66"/>
      <c r="J168" s="66"/>
    </row>
    <row r="169" spans="1:14" s="3" customFormat="1" ht="15" customHeight="1" x14ac:dyDescent="0.35">
      <c r="A169" s="66">
        <f t="shared" si="3"/>
        <v>7</v>
      </c>
      <c r="B169" s="66"/>
      <c r="C169" s="64" t="s">
        <v>352</v>
      </c>
      <c r="D169" s="66">
        <f>(4.21*6.48+1.81*1+1.55*0.9)*10.764</f>
        <v>328.14915120000001</v>
      </c>
      <c r="E169" s="66"/>
      <c r="F169" s="64">
        <v>0</v>
      </c>
      <c r="G169" s="64">
        <f t="shared" si="0"/>
        <v>525.03864192000003</v>
      </c>
      <c r="H169" s="64" t="s">
        <v>82</v>
      </c>
      <c r="I169" s="66"/>
      <c r="J169" s="66"/>
    </row>
    <row r="170" spans="1:14" s="3" customFormat="1" ht="15" customHeight="1" x14ac:dyDescent="0.35">
      <c r="A170" s="66">
        <f t="shared" si="3"/>
        <v>8</v>
      </c>
      <c r="B170" s="66"/>
      <c r="C170" s="64" t="s">
        <v>352</v>
      </c>
      <c r="D170" s="66">
        <f>(3.92*6.74+1.9*1+1.55*0.9)*10.764</f>
        <v>319.86087119999996</v>
      </c>
      <c r="E170" s="66"/>
      <c r="F170" s="64">
        <v>0</v>
      </c>
      <c r="G170" s="64">
        <f t="shared" si="0"/>
        <v>511.77739391999995</v>
      </c>
      <c r="H170" s="64" t="s">
        <v>82</v>
      </c>
      <c r="I170" s="66"/>
      <c r="J170" s="66"/>
    </row>
    <row r="171" spans="1:14" s="3" customFormat="1" ht="15" customHeight="1" x14ac:dyDescent="0.35">
      <c r="A171" s="66">
        <f t="shared" si="3"/>
        <v>9</v>
      </c>
      <c r="B171" s="66"/>
      <c r="C171" s="64" t="s">
        <v>352</v>
      </c>
      <c r="D171" s="66">
        <f>(3.92*6.92+1.9*1+1.55*1)*10.764</f>
        <v>329.12436959999997</v>
      </c>
      <c r="E171" s="66"/>
      <c r="F171" s="64">
        <v>0</v>
      </c>
      <c r="G171" s="64">
        <f t="shared" si="0"/>
        <v>526.59899136000001</v>
      </c>
      <c r="H171" s="64" t="s">
        <v>82</v>
      </c>
      <c r="I171" s="66"/>
      <c r="J171" s="66"/>
    </row>
    <row r="172" spans="1:14" s="3" customFormat="1" ht="15" customHeight="1" x14ac:dyDescent="0.35">
      <c r="A172" s="66">
        <f t="shared" si="3"/>
        <v>10</v>
      </c>
      <c r="B172" s="66"/>
      <c r="C172" s="64" t="s">
        <v>352</v>
      </c>
      <c r="D172" s="66">
        <f>(3.91*7.35+1.89*1+1.55*0.9)*10.764</f>
        <v>344.70095399999997</v>
      </c>
      <c r="E172" s="66"/>
      <c r="F172" s="64">
        <v>0</v>
      </c>
      <c r="G172" s="64">
        <f t="shared" si="0"/>
        <v>551.52152639999997</v>
      </c>
      <c r="H172" s="64" t="s">
        <v>82</v>
      </c>
      <c r="I172" s="66"/>
      <c r="J172" s="66"/>
    </row>
    <row r="173" spans="1:14" s="3" customFormat="1" ht="15" customHeight="1" x14ac:dyDescent="0.35">
      <c r="A173" s="66">
        <f t="shared" si="3"/>
        <v>11</v>
      </c>
      <c r="B173" s="66"/>
      <c r="C173" s="64" t="s">
        <v>352</v>
      </c>
      <c r="D173" s="66">
        <f>(3.91*7.61+1.84*1+1.55*0.9)*10.764</f>
        <v>355.10543640000003</v>
      </c>
      <c r="E173" s="66"/>
      <c r="F173" s="64">
        <v>0</v>
      </c>
      <c r="G173" s="64">
        <f t="shared" si="0"/>
        <v>568.16869824000003</v>
      </c>
      <c r="H173" s="64" t="s">
        <v>82</v>
      </c>
      <c r="I173" s="66"/>
      <c r="J173" s="66"/>
    </row>
    <row r="174" spans="1:14" s="3" customFormat="1" ht="15" customHeight="1" x14ac:dyDescent="0.35">
      <c r="A174" s="66">
        <f t="shared" si="3"/>
        <v>12</v>
      </c>
      <c r="B174" s="66"/>
      <c r="C174" s="64" t="s">
        <v>352</v>
      </c>
      <c r="D174" s="66">
        <f>(15.45*9.8+10.25*2.09+7.77*5.58+5.82*1+1.89*0.9)*10.764</f>
        <v>2408.0155163999998</v>
      </c>
      <c r="E174" s="66"/>
      <c r="F174" s="64">
        <v>0</v>
      </c>
      <c r="G174" s="64">
        <f t="shared" si="0"/>
        <v>3852.8248262399998</v>
      </c>
      <c r="H174" s="64" t="s">
        <v>82</v>
      </c>
      <c r="I174" s="66"/>
      <c r="J174" s="66"/>
    </row>
    <row r="175" spans="1:14" s="3" customFormat="1" ht="15" customHeight="1" x14ac:dyDescent="0.35">
      <c r="A175" s="66">
        <f t="shared" si="3"/>
        <v>13</v>
      </c>
      <c r="B175" s="66"/>
      <c r="C175" s="64" t="s">
        <v>352</v>
      </c>
      <c r="D175" s="66">
        <f>(3.65*6.06+1.83*1+1.55*0.9)*10.764</f>
        <v>272.80281599999995</v>
      </c>
      <c r="E175" s="66"/>
      <c r="F175" s="64">
        <v>0</v>
      </c>
      <c r="G175" s="64">
        <f t="shared" si="0"/>
        <v>436.48450559999992</v>
      </c>
      <c r="H175" s="64" t="s">
        <v>82</v>
      </c>
      <c r="I175" s="66"/>
      <c r="J175" s="66"/>
    </row>
    <row r="176" spans="1:14" s="3" customFormat="1" ht="15" customHeight="1" x14ac:dyDescent="0.35">
      <c r="A176" s="66">
        <f t="shared" si="3"/>
        <v>14</v>
      </c>
      <c r="B176" s="66"/>
      <c r="C176" s="64" t="s">
        <v>352</v>
      </c>
      <c r="D176" s="66">
        <f>(5.28*6.06+3.25*1+1.55*0.9)*10.764</f>
        <v>394.41233520000003</v>
      </c>
      <c r="E176" s="66"/>
      <c r="F176" s="64">
        <v>0</v>
      </c>
      <c r="G176" s="64">
        <f t="shared" si="0"/>
        <v>631.05973632000007</v>
      </c>
      <c r="H176" s="64" t="s">
        <v>82</v>
      </c>
      <c r="I176" s="66"/>
      <c r="J176" s="66"/>
    </row>
    <row r="177" spans="1:14" s="3" customFormat="1" ht="15" customHeight="1" x14ac:dyDescent="0.35">
      <c r="A177" s="66">
        <f t="shared" si="3"/>
        <v>15</v>
      </c>
      <c r="B177" s="66"/>
      <c r="C177" s="64" t="s">
        <v>352</v>
      </c>
      <c r="D177" s="66">
        <f>(3.15*6.06+1.12*1+1.55*0.9)*10.764</f>
        <v>232.54545599999997</v>
      </c>
      <c r="E177" s="66"/>
      <c r="F177" s="64">
        <v>0</v>
      </c>
      <c r="G177" s="64">
        <f t="shared" si="0"/>
        <v>372.0727296</v>
      </c>
      <c r="H177" s="64" t="s">
        <v>82</v>
      </c>
      <c r="I177" s="66"/>
      <c r="J177" s="66"/>
    </row>
    <row r="178" spans="1:14" s="3" customFormat="1" ht="15" customHeight="1" x14ac:dyDescent="0.35">
      <c r="A178" s="66">
        <f t="shared" si="3"/>
        <v>16</v>
      </c>
      <c r="B178" s="66"/>
      <c r="C178" s="64" t="s">
        <v>352</v>
      </c>
      <c r="D178" s="66">
        <f>(3.15*6.06+1.12*1+1.55*0.9)*10.764</f>
        <v>232.54545599999997</v>
      </c>
      <c r="E178" s="66"/>
      <c r="F178" s="64">
        <v>0</v>
      </c>
      <c r="G178" s="64">
        <f t="shared" si="0"/>
        <v>372.0727296</v>
      </c>
      <c r="H178" s="64" t="s">
        <v>82</v>
      </c>
      <c r="I178" s="66"/>
      <c r="J178" s="66"/>
    </row>
    <row r="179" spans="1:14" s="3" customFormat="1" ht="15" customHeight="1" x14ac:dyDescent="0.35">
      <c r="A179" s="66">
        <v>17</v>
      </c>
      <c r="B179" s="66"/>
      <c r="C179" s="64" t="s">
        <v>352</v>
      </c>
      <c r="D179" s="66">
        <f>(7.5*5.48+5.82*1.07+2.3*3.94+3.78*3.05)*10.764</f>
        <v>731.07365760000005</v>
      </c>
      <c r="E179" s="66"/>
      <c r="F179" s="64">
        <v>0</v>
      </c>
      <c r="G179" s="64">
        <f t="shared" si="0"/>
        <v>1169.7178521600001</v>
      </c>
      <c r="H179" s="64" t="s">
        <v>82</v>
      </c>
      <c r="I179" s="66"/>
      <c r="J179" s="66"/>
    </row>
    <row r="180" spans="1:14" s="3" customFormat="1" ht="15" customHeight="1" x14ac:dyDescent="0.35">
      <c r="A180" s="66">
        <f t="shared" si="2"/>
        <v>18</v>
      </c>
      <c r="B180" s="66"/>
      <c r="C180" s="64" t="s">
        <v>352</v>
      </c>
      <c r="D180" s="66">
        <f>(7.98*3.77+4.37*2.12+1.58*1.19+1.28*0.82)*10.764</f>
        <v>455.08900320000004</v>
      </c>
      <c r="E180" s="66"/>
      <c r="F180" s="64">
        <v>0</v>
      </c>
      <c r="G180" s="64">
        <f t="shared" si="0"/>
        <v>728.14240512000015</v>
      </c>
      <c r="H180" s="64" t="s">
        <v>82</v>
      </c>
      <c r="I180" s="66"/>
      <c r="J180" s="66"/>
    </row>
    <row r="181" spans="1:14" s="3" customFormat="1" x14ac:dyDescent="0.35">
      <c r="A181" s="72" t="s">
        <v>390</v>
      </c>
      <c r="B181" s="72"/>
      <c r="C181" s="72"/>
      <c r="D181" s="72"/>
      <c r="E181" s="72"/>
      <c r="F181" s="72"/>
      <c r="G181" s="72"/>
      <c r="H181" s="72"/>
      <c r="I181" s="72"/>
      <c r="J181" s="72"/>
    </row>
    <row r="182" spans="1:14" s="3" customFormat="1" ht="15.65" customHeight="1" x14ac:dyDescent="0.35">
      <c r="A182" s="66">
        <v>1</v>
      </c>
      <c r="B182" s="66"/>
      <c r="C182" s="4" t="s">
        <v>352</v>
      </c>
      <c r="D182" s="66">
        <f>(6.6*6.35+4.2*1.15+6.6*2)*10.764</f>
        <v>645.1941599999999</v>
      </c>
      <c r="E182" s="66"/>
      <c r="F182" s="4">
        <v>0</v>
      </c>
      <c r="G182" s="4">
        <f t="shared" ref="G182:G196" si="4">D182*(($G$153)+1)+(IF(F182&lt;101,F182,IF(F182&lt;201,F182/2,IF(F182&lt;=301,F182/3,F182/4))))</f>
        <v>1032.3106559999999</v>
      </c>
      <c r="H182" s="4" t="s">
        <v>82</v>
      </c>
      <c r="I182" s="145" t="str">
        <f>A181</f>
        <v>2nd Floor For Commercial, Fitness Centre Below</v>
      </c>
      <c r="J182" s="146"/>
      <c r="M182" s="66">
        <v>10.763999999999999</v>
      </c>
      <c r="N182" s="66"/>
    </row>
    <row r="183" spans="1:14" s="3" customFormat="1" x14ac:dyDescent="0.35">
      <c r="A183" s="66">
        <f>A182+1</f>
        <v>2</v>
      </c>
      <c r="B183" s="66"/>
      <c r="C183" s="4" t="s">
        <v>352</v>
      </c>
      <c r="D183" s="66">
        <f>(6.08*6.35+4.05*1+1.55*0.9)*10.764</f>
        <v>474.18649199999993</v>
      </c>
      <c r="E183" s="66"/>
      <c r="F183" s="4">
        <v>0</v>
      </c>
      <c r="G183" s="4">
        <f t="shared" si="4"/>
        <v>758.69838719999996</v>
      </c>
      <c r="H183" s="4" t="s">
        <v>82</v>
      </c>
      <c r="I183" s="147"/>
      <c r="J183" s="148"/>
    </row>
    <row r="184" spans="1:14" s="3" customFormat="1" ht="15" customHeight="1" x14ac:dyDescent="0.35">
      <c r="A184" s="66">
        <f t="shared" ref="A184:A196" si="5">A183+1</f>
        <v>3</v>
      </c>
      <c r="B184" s="66"/>
      <c r="C184" s="4" t="s">
        <v>352</v>
      </c>
      <c r="D184" s="66">
        <f>(4.63*6.35+2.61*1+1.55*0.9)*10.764</f>
        <v>359.57680200000004</v>
      </c>
      <c r="E184" s="66"/>
      <c r="F184" s="4">
        <v>0</v>
      </c>
      <c r="G184" s="4">
        <f t="shared" si="4"/>
        <v>575.32288320000009</v>
      </c>
      <c r="H184" s="4" t="s">
        <v>82</v>
      </c>
      <c r="I184" s="147"/>
      <c r="J184" s="148"/>
    </row>
    <row r="185" spans="1:14" s="3" customFormat="1" ht="15" customHeight="1" x14ac:dyDescent="0.35">
      <c r="A185" s="66">
        <f t="shared" si="5"/>
        <v>4</v>
      </c>
      <c r="B185" s="66"/>
      <c r="C185" s="4" t="s">
        <v>352</v>
      </c>
      <c r="D185" s="66">
        <f>(4.02*6.48+1.81*1+1.55*0.9)*10.764</f>
        <v>314.89651439999994</v>
      </c>
      <c r="E185" s="66"/>
      <c r="F185" s="4">
        <v>0</v>
      </c>
      <c r="G185" s="4">
        <f t="shared" si="4"/>
        <v>503.83442303999993</v>
      </c>
      <c r="H185" s="4" t="s">
        <v>82</v>
      </c>
      <c r="I185" s="147"/>
      <c r="J185" s="148"/>
    </row>
    <row r="186" spans="1:14" s="3" customFormat="1" ht="15" customHeight="1" x14ac:dyDescent="0.35">
      <c r="A186" s="66">
        <f t="shared" si="5"/>
        <v>5</v>
      </c>
      <c r="B186" s="66"/>
      <c r="C186" s="4" t="s">
        <v>352</v>
      </c>
      <c r="D186" s="66">
        <f>(4.21*6.48+1.81*1+1.55*0.9)*10.764</f>
        <v>328.14915120000001</v>
      </c>
      <c r="E186" s="66"/>
      <c r="F186" s="4">
        <v>0</v>
      </c>
      <c r="G186" s="4">
        <f t="shared" si="4"/>
        <v>525.03864192000003</v>
      </c>
      <c r="H186" s="4" t="s">
        <v>82</v>
      </c>
      <c r="I186" s="147"/>
      <c r="J186" s="148"/>
    </row>
    <row r="187" spans="1:14" s="3" customFormat="1" ht="15" customHeight="1" x14ac:dyDescent="0.35">
      <c r="A187" s="66">
        <f t="shared" si="5"/>
        <v>6</v>
      </c>
      <c r="B187" s="66"/>
      <c r="C187" s="4" t="s">
        <v>352</v>
      </c>
      <c r="D187" s="66">
        <f>(3.92*6.74+1.9*1+1.5*0.9)*10.764</f>
        <v>319.37649119999998</v>
      </c>
      <c r="E187" s="66"/>
      <c r="F187" s="4">
        <v>0</v>
      </c>
      <c r="G187" s="4">
        <f t="shared" si="4"/>
        <v>511.00238591999999</v>
      </c>
      <c r="H187" s="4" t="s">
        <v>82</v>
      </c>
      <c r="I187" s="147"/>
      <c r="J187" s="148"/>
    </row>
    <row r="188" spans="1:14" s="3" customFormat="1" ht="15" customHeight="1" x14ac:dyDescent="0.35">
      <c r="A188" s="66">
        <f t="shared" si="5"/>
        <v>7</v>
      </c>
      <c r="B188" s="66"/>
      <c r="C188" s="4" t="s">
        <v>352</v>
      </c>
      <c r="D188" s="66">
        <f>(3.92*6.92+1.9*1+1.55*0.9)*10.764</f>
        <v>327.45594959999994</v>
      </c>
      <c r="E188" s="66"/>
      <c r="F188" s="4">
        <v>0</v>
      </c>
      <c r="G188" s="4">
        <f t="shared" si="4"/>
        <v>523.92951935999997</v>
      </c>
      <c r="H188" s="4" t="s">
        <v>82</v>
      </c>
      <c r="I188" s="147"/>
      <c r="J188" s="148"/>
    </row>
    <row r="189" spans="1:14" s="3" customFormat="1" ht="15" customHeight="1" x14ac:dyDescent="0.35">
      <c r="A189" s="66">
        <f t="shared" si="5"/>
        <v>8</v>
      </c>
      <c r="B189" s="66"/>
      <c r="C189" s="4" t="s">
        <v>352</v>
      </c>
      <c r="D189" s="66">
        <f>(3.91*7.35+1.89*1+1.55*0.9)*10.764</f>
        <v>344.70095399999997</v>
      </c>
      <c r="E189" s="66"/>
      <c r="F189" s="4">
        <v>0</v>
      </c>
      <c r="G189" s="4">
        <f t="shared" si="4"/>
        <v>551.52152639999997</v>
      </c>
      <c r="H189" s="4" t="s">
        <v>82</v>
      </c>
      <c r="I189" s="147"/>
      <c r="J189" s="148"/>
    </row>
    <row r="190" spans="1:14" s="3" customFormat="1" ht="15" customHeight="1" x14ac:dyDescent="0.35">
      <c r="A190" s="66">
        <f t="shared" si="5"/>
        <v>9</v>
      </c>
      <c r="B190" s="66"/>
      <c r="C190" s="4" t="s">
        <v>352</v>
      </c>
      <c r="D190" s="66">
        <f>(3.91*7.61+1.84*1+1.55*0.9)*10.764</f>
        <v>355.10543640000003</v>
      </c>
      <c r="E190" s="66"/>
      <c r="F190" s="4">
        <v>0</v>
      </c>
      <c r="G190" s="4">
        <f t="shared" si="4"/>
        <v>568.16869824000003</v>
      </c>
      <c r="H190" s="4" t="s">
        <v>82</v>
      </c>
      <c r="I190" s="147"/>
      <c r="J190" s="148"/>
    </row>
    <row r="191" spans="1:14" s="3" customFormat="1" ht="15" customHeight="1" x14ac:dyDescent="0.35">
      <c r="A191" s="66">
        <f t="shared" si="5"/>
        <v>10</v>
      </c>
      <c r="B191" s="66"/>
      <c r="C191" s="4" t="s">
        <v>352</v>
      </c>
      <c r="D191" s="66">
        <f>(15.45*7.2+13.05*2.95+0.38*1.8+13.42*7.35+2.43*1.92)*10.764</f>
        <v>2731.0862124</v>
      </c>
      <c r="E191" s="66"/>
      <c r="F191" s="4">
        <v>0</v>
      </c>
      <c r="G191" s="4">
        <f t="shared" si="4"/>
        <v>4369.7379398399999</v>
      </c>
      <c r="H191" s="4" t="s">
        <v>82</v>
      </c>
      <c r="I191" s="147"/>
      <c r="J191" s="148"/>
    </row>
    <row r="192" spans="1:14" s="3" customFormat="1" ht="15" customHeight="1" x14ac:dyDescent="0.35">
      <c r="A192" s="66">
        <f t="shared" si="5"/>
        <v>11</v>
      </c>
      <c r="B192" s="66"/>
      <c r="C192" s="4" t="s">
        <v>352</v>
      </c>
      <c r="D192" s="66">
        <f>(3.65*6.06+1.83*1+1.55*0.9)*10.764</f>
        <v>272.80281599999995</v>
      </c>
      <c r="E192" s="66"/>
      <c r="F192" s="4">
        <v>0</v>
      </c>
      <c r="G192" s="4">
        <f t="shared" si="4"/>
        <v>436.48450559999992</v>
      </c>
      <c r="H192" s="4" t="s">
        <v>82</v>
      </c>
      <c r="I192" s="147"/>
      <c r="J192" s="148"/>
    </row>
    <row r="193" spans="1:11" s="3" customFormat="1" ht="15" customHeight="1" x14ac:dyDescent="0.35">
      <c r="A193" s="66">
        <f t="shared" si="5"/>
        <v>12</v>
      </c>
      <c r="B193" s="66"/>
      <c r="C193" s="4" t="s">
        <v>352</v>
      </c>
      <c r="D193" s="66">
        <f>(5.28*6.06+3.25*1+1.55*0.9)*10.764</f>
        <v>394.41233520000003</v>
      </c>
      <c r="E193" s="66"/>
      <c r="F193" s="4">
        <v>0</v>
      </c>
      <c r="G193" s="4">
        <f t="shared" si="4"/>
        <v>631.05973632000007</v>
      </c>
      <c r="H193" s="4" t="s">
        <v>82</v>
      </c>
      <c r="I193" s="147"/>
      <c r="J193" s="148"/>
    </row>
    <row r="194" spans="1:11" s="3" customFormat="1" ht="15" customHeight="1" x14ac:dyDescent="0.35">
      <c r="A194" s="66">
        <f t="shared" si="5"/>
        <v>13</v>
      </c>
      <c r="B194" s="66"/>
      <c r="C194" s="4" t="s">
        <v>352</v>
      </c>
      <c r="D194" s="66">
        <f>(3.15*6.06+1.12*1+1.58*0.9)*10.764</f>
        <v>232.836084</v>
      </c>
      <c r="E194" s="66"/>
      <c r="F194" s="4">
        <v>0</v>
      </c>
      <c r="G194" s="4">
        <f t="shared" si="4"/>
        <v>372.53773440000003</v>
      </c>
      <c r="H194" s="4" t="s">
        <v>82</v>
      </c>
      <c r="I194" s="147"/>
      <c r="J194" s="148"/>
    </row>
    <row r="195" spans="1:11" s="3" customFormat="1" ht="15" customHeight="1" x14ac:dyDescent="0.35">
      <c r="A195" s="66">
        <f t="shared" si="5"/>
        <v>14</v>
      </c>
      <c r="B195" s="66"/>
      <c r="C195" s="4" t="s">
        <v>352</v>
      </c>
      <c r="D195" s="66">
        <f>(3.15*6.06+1.55*0.9+1.12*1)*10.764</f>
        <v>232.54545599999997</v>
      </c>
      <c r="E195" s="66"/>
      <c r="F195" s="4">
        <v>0</v>
      </c>
      <c r="G195" s="4">
        <f t="shared" si="4"/>
        <v>372.0727296</v>
      </c>
      <c r="H195" s="4" t="s">
        <v>82</v>
      </c>
      <c r="I195" s="147"/>
      <c r="J195" s="148"/>
    </row>
    <row r="196" spans="1:11" s="3" customFormat="1" ht="15" customHeight="1" x14ac:dyDescent="0.35">
      <c r="A196" s="66">
        <f t="shared" si="5"/>
        <v>15</v>
      </c>
      <c r="B196" s="66"/>
      <c r="C196" s="4" t="s">
        <v>352</v>
      </c>
      <c r="D196" s="66">
        <f>(6.54*11.63)*10.764</f>
        <v>818.71199280000008</v>
      </c>
      <c r="E196" s="66"/>
      <c r="F196" s="4">
        <v>0</v>
      </c>
      <c r="G196" s="4">
        <f t="shared" si="4"/>
        <v>1309.9391884800002</v>
      </c>
      <c r="H196" s="4" t="s">
        <v>82</v>
      </c>
      <c r="I196" s="149"/>
      <c r="J196" s="150"/>
    </row>
    <row r="197" spans="1:11" x14ac:dyDescent="0.35">
      <c r="A197" s="168"/>
      <c r="B197" s="168"/>
      <c r="C197" s="168"/>
      <c r="D197" s="168"/>
      <c r="E197" s="168"/>
      <c r="F197" s="168"/>
      <c r="G197" s="168"/>
      <c r="H197" s="168"/>
      <c r="I197" s="168"/>
      <c r="J197" s="168"/>
    </row>
    <row r="198" spans="1:11" x14ac:dyDescent="0.35">
      <c r="A198" s="168" t="s">
        <v>357</v>
      </c>
      <c r="B198" s="168"/>
      <c r="C198" s="168"/>
      <c r="D198" s="168"/>
      <c r="E198" s="168"/>
      <c r="F198" s="168"/>
      <c r="G198" s="168"/>
      <c r="H198" s="168"/>
      <c r="I198" s="168"/>
      <c r="J198" s="168"/>
    </row>
    <row r="199" spans="1:11" ht="42" x14ac:dyDescent="0.35">
      <c r="A199" s="151" t="s">
        <v>139</v>
      </c>
      <c r="B199" s="151"/>
      <c r="C199" s="2" t="s">
        <v>76</v>
      </c>
      <c r="D199" s="151" t="s">
        <v>77</v>
      </c>
      <c r="E199" s="151"/>
      <c r="F199" s="14" t="s">
        <v>78</v>
      </c>
      <c r="G199" s="2" t="s">
        <v>79</v>
      </c>
      <c r="H199" s="2" t="s">
        <v>80</v>
      </c>
      <c r="I199" s="151" t="s">
        <v>81</v>
      </c>
      <c r="J199" s="151"/>
    </row>
    <row r="200" spans="1:11" s="3" customFormat="1" x14ac:dyDescent="0.35">
      <c r="A200" s="72" t="s">
        <v>177</v>
      </c>
      <c r="B200" s="72"/>
      <c r="C200" s="72"/>
      <c r="D200" s="72"/>
      <c r="E200" s="72"/>
      <c r="F200" s="72"/>
      <c r="G200" s="72"/>
      <c r="H200" s="72"/>
      <c r="I200" s="72"/>
      <c r="J200" s="72"/>
    </row>
    <row r="201" spans="1:11" s="3" customFormat="1" x14ac:dyDescent="0.35">
      <c r="A201" s="72" t="s">
        <v>212</v>
      </c>
      <c r="B201" s="72"/>
      <c r="C201" s="72"/>
      <c r="D201" s="72"/>
      <c r="E201" s="72"/>
      <c r="F201" s="72"/>
      <c r="G201" s="72"/>
      <c r="H201" s="72"/>
      <c r="I201" s="72"/>
      <c r="J201" s="72"/>
    </row>
    <row r="202" spans="1:11" s="3" customFormat="1" x14ac:dyDescent="0.35">
      <c r="A202" s="72" t="s">
        <v>178</v>
      </c>
      <c r="B202" s="72"/>
      <c r="C202" s="72"/>
      <c r="D202" s="72"/>
      <c r="E202" s="72"/>
      <c r="F202" s="72"/>
      <c r="G202" s="72"/>
      <c r="H202" s="72"/>
      <c r="I202" s="72"/>
      <c r="J202" s="72"/>
    </row>
    <row r="203" spans="1:11" s="3" customFormat="1" x14ac:dyDescent="0.35">
      <c r="A203" s="72" t="s">
        <v>213</v>
      </c>
      <c r="B203" s="72"/>
      <c r="C203" s="72"/>
      <c r="D203" s="72"/>
      <c r="E203" s="72"/>
      <c r="F203" s="72"/>
      <c r="G203" s="72"/>
      <c r="H203" s="72"/>
      <c r="I203" s="72"/>
      <c r="J203" s="72"/>
    </row>
    <row r="204" spans="1:11" s="3" customFormat="1" x14ac:dyDescent="0.35">
      <c r="A204" s="72" t="s">
        <v>183</v>
      </c>
      <c r="B204" s="72"/>
      <c r="C204" s="72"/>
      <c r="D204" s="72"/>
      <c r="E204" s="72"/>
      <c r="F204" s="72"/>
      <c r="G204" s="72"/>
      <c r="H204" s="72"/>
      <c r="I204" s="72"/>
      <c r="J204" s="72"/>
    </row>
    <row r="205" spans="1:11" s="3" customFormat="1" x14ac:dyDescent="0.35">
      <c r="A205" s="72" t="s">
        <v>184</v>
      </c>
      <c r="B205" s="72"/>
      <c r="C205" s="72"/>
      <c r="D205" s="72"/>
      <c r="E205" s="72"/>
      <c r="F205" s="72"/>
      <c r="G205" s="72"/>
      <c r="H205" s="72"/>
      <c r="I205" s="72"/>
      <c r="J205" s="72"/>
      <c r="K205" s="3">
        <v>1</v>
      </c>
    </row>
    <row r="206" spans="1:11" s="3" customFormat="1" x14ac:dyDescent="0.35">
      <c r="A206" s="66">
        <v>1</v>
      </c>
      <c r="B206" s="66"/>
      <c r="C206" s="64" t="s">
        <v>185</v>
      </c>
      <c r="D206" s="66">
        <f>244.04*10.764</f>
        <v>2626.84656</v>
      </c>
      <c r="E206" s="66"/>
      <c r="F206" s="64">
        <v>0</v>
      </c>
      <c r="G206" s="64">
        <f>D206*1.6</f>
        <v>4202.9544960000003</v>
      </c>
      <c r="H206" s="64" t="s">
        <v>82</v>
      </c>
      <c r="I206" s="66" t="str">
        <f>A205</f>
        <v>2nd Floor for Residential</v>
      </c>
      <c r="J206" s="66"/>
    </row>
    <row r="207" spans="1:11" s="3" customFormat="1" x14ac:dyDescent="0.35">
      <c r="A207" s="66">
        <v>2</v>
      </c>
      <c r="B207" s="66"/>
      <c r="C207" s="64" t="s">
        <v>186</v>
      </c>
      <c r="D207" s="66">
        <f>119.64*10.764</f>
        <v>1287.8049599999999</v>
      </c>
      <c r="E207" s="66"/>
      <c r="F207" s="64">
        <v>0</v>
      </c>
      <c r="G207" s="64">
        <f t="shared" ref="G207:G208" si="6">D207*1.6</f>
        <v>2060.487936</v>
      </c>
      <c r="H207" s="64" t="s">
        <v>82</v>
      </c>
      <c r="I207" s="66"/>
      <c r="J207" s="66"/>
    </row>
    <row r="208" spans="1:11" s="3" customFormat="1" ht="15" customHeight="1" x14ac:dyDescent="0.35">
      <c r="A208" s="66">
        <v>3</v>
      </c>
      <c r="B208" s="66"/>
      <c r="C208" s="65" t="s">
        <v>187</v>
      </c>
      <c r="D208" s="73">
        <f>91.81*10.764</f>
        <v>988.24284</v>
      </c>
      <c r="E208" s="73"/>
      <c r="F208" s="64">
        <v>0</v>
      </c>
      <c r="G208" s="64">
        <f t="shared" si="6"/>
        <v>1581.1885440000001</v>
      </c>
      <c r="H208" s="64" t="s">
        <v>82</v>
      </c>
      <c r="I208" s="66"/>
      <c r="J208" s="66"/>
    </row>
    <row r="209" spans="1:11" s="3" customFormat="1" x14ac:dyDescent="0.35">
      <c r="A209" s="66">
        <v>4</v>
      </c>
      <c r="B209" s="66">
        <v>5</v>
      </c>
      <c r="C209" s="66" t="s">
        <v>214</v>
      </c>
      <c r="D209" s="66"/>
      <c r="E209" s="66"/>
      <c r="F209" s="66"/>
      <c r="G209" s="66"/>
      <c r="H209" s="66"/>
      <c r="I209" s="66"/>
      <c r="J209" s="66"/>
    </row>
    <row r="210" spans="1:11" s="3" customFormat="1" x14ac:dyDescent="0.35">
      <c r="A210" s="66">
        <v>5</v>
      </c>
      <c r="B210" s="66">
        <v>5</v>
      </c>
      <c r="C210" s="64" t="s">
        <v>186</v>
      </c>
      <c r="D210" s="66">
        <f>131.2*10.764</f>
        <v>1412.2367999999999</v>
      </c>
      <c r="E210" s="66"/>
      <c r="F210" s="64">
        <v>0</v>
      </c>
      <c r="G210" s="64">
        <f t="shared" ref="G210:G211" si="7">D210*1.6</f>
        <v>2259.57888</v>
      </c>
      <c r="H210" s="64" t="s">
        <v>82</v>
      </c>
      <c r="I210" s="66"/>
      <c r="J210" s="66"/>
    </row>
    <row r="211" spans="1:11" s="3" customFormat="1" x14ac:dyDescent="0.35">
      <c r="A211" s="66">
        <v>6</v>
      </c>
      <c r="B211" s="66">
        <v>6</v>
      </c>
      <c r="C211" s="64" t="s">
        <v>186</v>
      </c>
      <c r="D211" s="66">
        <f>131.2*10.764</f>
        <v>1412.2367999999999</v>
      </c>
      <c r="E211" s="66"/>
      <c r="F211" s="64">
        <v>0</v>
      </c>
      <c r="G211" s="64">
        <f t="shared" si="7"/>
        <v>2259.57888</v>
      </c>
      <c r="H211" s="64" t="s">
        <v>82</v>
      </c>
      <c r="I211" s="66"/>
      <c r="J211" s="66"/>
    </row>
    <row r="212" spans="1:11" s="3" customFormat="1" x14ac:dyDescent="0.35">
      <c r="A212" s="72" t="s">
        <v>301</v>
      </c>
      <c r="B212" s="72"/>
      <c r="C212" s="72"/>
      <c r="D212" s="72"/>
      <c r="E212" s="72"/>
      <c r="F212" s="72"/>
      <c r="G212" s="72"/>
      <c r="H212" s="72"/>
      <c r="I212" s="72"/>
      <c r="J212" s="72"/>
      <c r="K212" s="3">
        <v>7</v>
      </c>
    </row>
    <row r="213" spans="1:11" s="3" customFormat="1" x14ac:dyDescent="0.35">
      <c r="A213" s="66">
        <v>1</v>
      </c>
      <c r="B213" s="66"/>
      <c r="C213" s="64" t="s">
        <v>185</v>
      </c>
      <c r="D213" s="66">
        <f>243.05*10.764</f>
        <v>2616.1902</v>
      </c>
      <c r="E213" s="66"/>
      <c r="F213" s="64">
        <v>0</v>
      </c>
      <c r="G213" s="64">
        <f t="shared" ref="G213:G218" si="8">D213*1.6</f>
        <v>4185.9043200000006</v>
      </c>
      <c r="H213" s="64" t="s">
        <v>82</v>
      </c>
      <c r="I213" s="66" t="str">
        <f>A212</f>
        <v>3rd to 7th, 9th &amp; 10th Floor</v>
      </c>
      <c r="J213" s="66"/>
    </row>
    <row r="214" spans="1:11" s="3" customFormat="1" x14ac:dyDescent="0.35">
      <c r="A214" s="66">
        <v>2</v>
      </c>
      <c r="B214" s="66"/>
      <c r="C214" s="64" t="s">
        <v>186</v>
      </c>
      <c r="D214" s="66">
        <f>119.65*10.764</f>
        <v>1287.9125999999999</v>
      </c>
      <c r="E214" s="66"/>
      <c r="F214" s="64">
        <v>0</v>
      </c>
      <c r="G214" s="64">
        <f t="shared" si="8"/>
        <v>2060.6601599999999</v>
      </c>
      <c r="H214" s="64" t="s">
        <v>82</v>
      </c>
      <c r="I214" s="66"/>
      <c r="J214" s="66"/>
    </row>
    <row r="215" spans="1:11" s="3" customFormat="1" x14ac:dyDescent="0.35">
      <c r="A215" s="66">
        <v>3</v>
      </c>
      <c r="B215" s="66"/>
      <c r="C215" s="65" t="s">
        <v>187</v>
      </c>
      <c r="D215" s="73">
        <f>91.81*10.764</f>
        <v>988.24284</v>
      </c>
      <c r="E215" s="73"/>
      <c r="F215" s="64">
        <v>0</v>
      </c>
      <c r="G215" s="64">
        <f t="shared" si="8"/>
        <v>1581.1885440000001</v>
      </c>
      <c r="H215" s="64" t="s">
        <v>82</v>
      </c>
      <c r="I215" s="66"/>
      <c r="J215" s="66"/>
    </row>
    <row r="216" spans="1:11" s="3" customFormat="1" x14ac:dyDescent="0.35">
      <c r="A216" s="66">
        <v>4</v>
      </c>
      <c r="B216" s="66">
        <v>5</v>
      </c>
      <c r="C216" s="64" t="s">
        <v>185</v>
      </c>
      <c r="D216" s="66">
        <f>178.99*10.764</f>
        <v>1926.6483599999999</v>
      </c>
      <c r="E216" s="66"/>
      <c r="F216" s="64">
        <v>0</v>
      </c>
      <c r="G216" s="64">
        <f t="shared" si="8"/>
        <v>3082.6373760000001</v>
      </c>
      <c r="H216" s="64" t="s">
        <v>82</v>
      </c>
      <c r="I216" s="66"/>
      <c r="J216" s="66"/>
    </row>
    <row r="217" spans="1:11" s="3" customFormat="1" x14ac:dyDescent="0.35">
      <c r="A217" s="66">
        <v>5</v>
      </c>
      <c r="B217" s="66">
        <v>5</v>
      </c>
      <c r="C217" s="64" t="s">
        <v>186</v>
      </c>
      <c r="D217" s="66">
        <f>131.2*10.764</f>
        <v>1412.2367999999999</v>
      </c>
      <c r="E217" s="66"/>
      <c r="F217" s="64">
        <v>0</v>
      </c>
      <c r="G217" s="64">
        <f t="shared" si="8"/>
        <v>2259.57888</v>
      </c>
      <c r="H217" s="64" t="s">
        <v>82</v>
      </c>
      <c r="I217" s="66"/>
      <c r="J217" s="66"/>
    </row>
    <row r="218" spans="1:11" s="3" customFormat="1" x14ac:dyDescent="0.35">
      <c r="A218" s="66">
        <v>6</v>
      </c>
      <c r="B218" s="66">
        <v>6</v>
      </c>
      <c r="C218" s="64" t="s">
        <v>186</v>
      </c>
      <c r="D218" s="66">
        <f>131.19*10.764</f>
        <v>1412.12916</v>
      </c>
      <c r="E218" s="66"/>
      <c r="F218" s="64">
        <v>0</v>
      </c>
      <c r="G218" s="64">
        <f t="shared" si="8"/>
        <v>2259.4066560000001</v>
      </c>
      <c r="H218" s="64" t="s">
        <v>82</v>
      </c>
      <c r="I218" s="66"/>
      <c r="J218" s="66"/>
    </row>
    <row r="219" spans="1:11" s="3" customFormat="1" x14ac:dyDescent="0.35">
      <c r="A219" s="72" t="s">
        <v>215</v>
      </c>
      <c r="B219" s="72"/>
      <c r="C219" s="72"/>
      <c r="D219" s="72"/>
      <c r="E219" s="72"/>
      <c r="F219" s="72"/>
      <c r="G219" s="72"/>
      <c r="H219" s="72"/>
      <c r="I219" s="72"/>
      <c r="J219" s="72"/>
      <c r="K219" s="3">
        <v>1</v>
      </c>
    </row>
    <row r="220" spans="1:11" s="3" customFormat="1" ht="15.75" customHeight="1" x14ac:dyDescent="0.35">
      <c r="A220" s="66">
        <v>1</v>
      </c>
      <c r="B220" s="66"/>
      <c r="C220" s="64" t="s">
        <v>185</v>
      </c>
      <c r="D220" s="66">
        <f>243.06*10.764</f>
        <v>2616.2978399999997</v>
      </c>
      <c r="E220" s="66"/>
      <c r="F220" s="64">
        <v>0</v>
      </c>
      <c r="G220" s="64">
        <f t="shared" ref="G220:G223" si="9">D220*1.6</f>
        <v>4186.0765439999996</v>
      </c>
      <c r="H220" s="64" t="s">
        <v>82</v>
      </c>
      <c r="I220" s="66" t="str">
        <f>A219</f>
        <v>8th Floor (Part Refuge Area)</v>
      </c>
      <c r="J220" s="66"/>
    </row>
    <row r="221" spans="1:11" s="3" customFormat="1" x14ac:dyDescent="0.35">
      <c r="A221" s="66">
        <v>2</v>
      </c>
      <c r="B221" s="66"/>
      <c r="C221" s="64" t="s">
        <v>186</v>
      </c>
      <c r="D221" s="66">
        <f>119.65*10.764</f>
        <v>1287.9125999999999</v>
      </c>
      <c r="E221" s="66"/>
      <c r="F221" s="64">
        <v>0</v>
      </c>
      <c r="G221" s="64">
        <f t="shared" si="9"/>
        <v>2060.6601599999999</v>
      </c>
      <c r="H221" s="64" t="s">
        <v>82</v>
      </c>
      <c r="I221" s="66"/>
      <c r="J221" s="66"/>
    </row>
    <row r="222" spans="1:11" s="3" customFormat="1" x14ac:dyDescent="0.35">
      <c r="A222" s="66">
        <v>3</v>
      </c>
      <c r="B222" s="66"/>
      <c r="C222" s="65" t="s">
        <v>187</v>
      </c>
      <c r="D222" s="73">
        <f>91.81*10.764</f>
        <v>988.24284</v>
      </c>
      <c r="E222" s="73"/>
      <c r="F222" s="64">
        <v>0</v>
      </c>
      <c r="G222" s="64">
        <f t="shared" si="9"/>
        <v>1581.1885440000001</v>
      </c>
      <c r="H222" s="64" t="s">
        <v>82</v>
      </c>
      <c r="I222" s="66"/>
      <c r="J222" s="66"/>
    </row>
    <row r="223" spans="1:11" s="3" customFormat="1" x14ac:dyDescent="0.35">
      <c r="A223" s="66">
        <v>4</v>
      </c>
      <c r="B223" s="66">
        <v>5</v>
      </c>
      <c r="C223" s="64" t="s">
        <v>185</v>
      </c>
      <c r="D223" s="66">
        <f>178.99*10.764</f>
        <v>1926.6483599999999</v>
      </c>
      <c r="E223" s="66"/>
      <c r="F223" s="64">
        <v>0</v>
      </c>
      <c r="G223" s="64">
        <f t="shared" si="9"/>
        <v>3082.6373760000001</v>
      </c>
      <c r="H223" s="64" t="s">
        <v>82</v>
      </c>
      <c r="I223" s="66"/>
      <c r="J223" s="66"/>
    </row>
    <row r="224" spans="1:11" s="3" customFormat="1" x14ac:dyDescent="0.35">
      <c r="A224" s="66">
        <v>5</v>
      </c>
      <c r="B224" s="66">
        <v>5</v>
      </c>
      <c r="C224" s="66" t="s">
        <v>216</v>
      </c>
      <c r="D224" s="66"/>
      <c r="E224" s="66"/>
      <c r="F224" s="66"/>
      <c r="G224" s="66"/>
      <c r="H224" s="66"/>
      <c r="I224" s="66"/>
      <c r="J224" s="66"/>
    </row>
    <row r="225" spans="1:11" s="3" customFormat="1" x14ac:dyDescent="0.35">
      <c r="A225" s="66">
        <v>6</v>
      </c>
      <c r="B225" s="66">
        <v>6</v>
      </c>
      <c r="C225" s="66"/>
      <c r="D225" s="66"/>
      <c r="E225" s="66"/>
      <c r="F225" s="66"/>
      <c r="G225" s="66"/>
      <c r="H225" s="66"/>
      <c r="I225" s="66"/>
      <c r="J225" s="66"/>
    </row>
    <row r="226" spans="1:11" s="3" customFormat="1" x14ac:dyDescent="0.35">
      <c r="A226" s="72" t="s">
        <v>226</v>
      </c>
      <c r="B226" s="72"/>
      <c r="C226" s="72"/>
      <c r="D226" s="72"/>
      <c r="E226" s="72"/>
      <c r="F226" s="72"/>
      <c r="G226" s="72"/>
      <c r="H226" s="72"/>
      <c r="I226" s="72"/>
      <c r="J226" s="72"/>
    </row>
    <row r="227" spans="1:11" s="3" customFormat="1" x14ac:dyDescent="0.35">
      <c r="A227" s="72" t="s">
        <v>227</v>
      </c>
      <c r="B227" s="72"/>
      <c r="C227" s="72"/>
      <c r="D227" s="72"/>
      <c r="E227" s="72"/>
      <c r="F227" s="72"/>
      <c r="G227" s="72"/>
      <c r="H227" s="72"/>
      <c r="I227" s="72"/>
      <c r="J227" s="72"/>
    </row>
    <row r="228" spans="1:11" s="3" customFormat="1" x14ac:dyDescent="0.35">
      <c r="A228" s="72" t="s">
        <v>189</v>
      </c>
      <c r="B228" s="72"/>
      <c r="C228" s="72"/>
      <c r="D228" s="72"/>
      <c r="E228" s="72"/>
      <c r="F228" s="72"/>
      <c r="G228" s="72"/>
      <c r="H228" s="72"/>
      <c r="I228" s="72"/>
      <c r="J228" s="72"/>
      <c r="K228" s="3">
        <v>4</v>
      </c>
    </row>
    <row r="229" spans="1:11" s="3" customFormat="1" ht="15.75" customHeight="1" x14ac:dyDescent="0.35">
      <c r="A229" s="66">
        <v>1</v>
      </c>
      <c r="B229" s="66"/>
      <c r="C229" s="4" t="s">
        <v>185</v>
      </c>
      <c r="D229" s="66">
        <f>245.65*10.764</f>
        <v>2644.1765999999998</v>
      </c>
      <c r="E229" s="66"/>
      <c r="F229" s="4">
        <v>0</v>
      </c>
      <c r="G229" s="4">
        <f t="shared" ref="G229:G234" si="10">D229*1.6</f>
        <v>4230.6825600000002</v>
      </c>
      <c r="H229" s="4" t="s">
        <v>82</v>
      </c>
      <c r="I229" s="66" t="str">
        <f>A228</f>
        <v>11th to 14th Floor</v>
      </c>
      <c r="J229" s="66"/>
    </row>
    <row r="230" spans="1:11" s="3" customFormat="1" x14ac:dyDescent="0.35">
      <c r="A230" s="66">
        <v>2</v>
      </c>
      <c r="B230" s="66"/>
      <c r="C230" s="4" t="s">
        <v>186</v>
      </c>
      <c r="D230" s="66">
        <f>120.58*10.764</f>
        <v>1297.9231199999999</v>
      </c>
      <c r="E230" s="66"/>
      <c r="F230" s="4">
        <v>0</v>
      </c>
      <c r="G230" s="4">
        <f t="shared" si="10"/>
        <v>2076.6769920000002</v>
      </c>
      <c r="H230" s="4" t="s">
        <v>82</v>
      </c>
      <c r="I230" s="66"/>
      <c r="J230" s="66"/>
    </row>
    <row r="231" spans="1:11" s="3" customFormat="1" ht="15.75" customHeight="1" x14ac:dyDescent="0.35">
      <c r="A231" s="66">
        <v>3</v>
      </c>
      <c r="B231" s="66"/>
      <c r="C231" s="36" t="s">
        <v>187</v>
      </c>
      <c r="D231" s="73">
        <f>92.74*10.764</f>
        <v>998.25335999999993</v>
      </c>
      <c r="E231" s="73"/>
      <c r="F231" s="4">
        <v>0</v>
      </c>
      <c r="G231" s="4">
        <f t="shared" si="10"/>
        <v>1597.2053759999999</v>
      </c>
      <c r="H231" s="4" t="s">
        <v>82</v>
      </c>
      <c r="I231" s="66"/>
      <c r="J231" s="66"/>
    </row>
    <row r="232" spans="1:11" s="3" customFormat="1" x14ac:dyDescent="0.35">
      <c r="A232" s="66">
        <v>4</v>
      </c>
      <c r="B232" s="66">
        <v>5</v>
      </c>
      <c r="C232" s="4" t="s">
        <v>185</v>
      </c>
      <c r="D232" s="66">
        <f>180.15*10.764</f>
        <v>1939.1345999999999</v>
      </c>
      <c r="E232" s="66"/>
      <c r="F232" s="4">
        <v>0</v>
      </c>
      <c r="G232" s="4">
        <f t="shared" si="10"/>
        <v>3102.6153599999998</v>
      </c>
      <c r="H232" s="4" t="s">
        <v>82</v>
      </c>
      <c r="I232" s="66"/>
      <c r="J232" s="66"/>
    </row>
    <row r="233" spans="1:11" s="3" customFormat="1" x14ac:dyDescent="0.35">
      <c r="A233" s="66">
        <v>5</v>
      </c>
      <c r="B233" s="66">
        <v>5</v>
      </c>
      <c r="C233" s="4" t="s">
        <v>186</v>
      </c>
      <c r="D233" s="66">
        <f>131.89*10.764</f>
        <v>1419.6639599999999</v>
      </c>
      <c r="E233" s="66"/>
      <c r="F233" s="4">
        <v>0</v>
      </c>
      <c r="G233" s="4">
        <f t="shared" si="10"/>
        <v>2271.4623360000001</v>
      </c>
      <c r="H233" s="4" t="s">
        <v>82</v>
      </c>
      <c r="I233" s="66"/>
      <c r="J233" s="66"/>
    </row>
    <row r="234" spans="1:11" s="3" customFormat="1" x14ac:dyDescent="0.35">
      <c r="A234" s="66">
        <v>6</v>
      </c>
      <c r="B234" s="66">
        <v>6</v>
      </c>
      <c r="C234" s="4" t="s">
        <v>186</v>
      </c>
      <c r="D234" s="66">
        <f>131.89*10.764</f>
        <v>1419.6639599999999</v>
      </c>
      <c r="E234" s="66"/>
      <c r="F234" s="4">
        <v>0</v>
      </c>
      <c r="G234" s="4">
        <f t="shared" si="10"/>
        <v>2271.4623360000001</v>
      </c>
      <c r="H234" s="4" t="s">
        <v>82</v>
      </c>
      <c r="I234" s="66"/>
      <c r="J234" s="66"/>
    </row>
    <row r="235" spans="1:11" s="3" customFormat="1" x14ac:dyDescent="0.35">
      <c r="A235" s="72" t="s">
        <v>217</v>
      </c>
      <c r="B235" s="72"/>
      <c r="C235" s="72"/>
      <c r="D235" s="72"/>
      <c r="E235" s="72"/>
      <c r="F235" s="72"/>
      <c r="G235" s="72"/>
      <c r="H235" s="72"/>
      <c r="I235" s="72"/>
      <c r="J235" s="72"/>
      <c r="K235" s="3">
        <v>1</v>
      </c>
    </row>
    <row r="236" spans="1:11" s="3" customFormat="1" ht="15.75" customHeight="1" x14ac:dyDescent="0.35">
      <c r="A236" s="66">
        <v>1</v>
      </c>
      <c r="B236" s="66"/>
      <c r="C236" s="4" t="s">
        <v>185</v>
      </c>
      <c r="D236" s="66">
        <f>245.6*10.764</f>
        <v>2643.6383999999998</v>
      </c>
      <c r="E236" s="66"/>
      <c r="F236" s="4">
        <v>0</v>
      </c>
      <c r="G236" s="4">
        <f t="shared" ref="G236:G239" si="11">D236*1.6</f>
        <v>4229.8214399999997</v>
      </c>
      <c r="H236" s="4" t="s">
        <v>82</v>
      </c>
      <c r="I236" s="66" t="str">
        <f>A235</f>
        <v>15th Floor (Part Refuge Area)</v>
      </c>
      <c r="J236" s="66"/>
    </row>
    <row r="237" spans="1:11" s="3" customFormat="1" x14ac:dyDescent="0.35">
      <c r="A237" s="66">
        <v>2</v>
      </c>
      <c r="B237" s="66"/>
      <c r="C237" s="4" t="s">
        <v>186</v>
      </c>
      <c r="D237" s="66">
        <f>120.58*10.764</f>
        <v>1297.9231199999999</v>
      </c>
      <c r="E237" s="66"/>
      <c r="F237" s="4">
        <v>0</v>
      </c>
      <c r="G237" s="4">
        <f t="shared" si="11"/>
        <v>2076.6769920000002</v>
      </c>
      <c r="H237" s="4" t="s">
        <v>82</v>
      </c>
      <c r="I237" s="66"/>
      <c r="J237" s="66"/>
    </row>
    <row r="238" spans="1:11" s="3" customFormat="1" ht="15.75" customHeight="1" x14ac:dyDescent="0.35">
      <c r="A238" s="66">
        <v>3</v>
      </c>
      <c r="B238" s="66"/>
      <c r="C238" s="36" t="s">
        <v>187</v>
      </c>
      <c r="D238" s="73">
        <f>92.74*10.764</f>
        <v>998.25335999999993</v>
      </c>
      <c r="E238" s="73"/>
      <c r="F238" s="4">
        <v>0</v>
      </c>
      <c r="G238" s="4">
        <f t="shared" si="11"/>
        <v>1597.2053759999999</v>
      </c>
      <c r="H238" s="4" t="s">
        <v>82</v>
      </c>
      <c r="I238" s="66"/>
      <c r="J238" s="66"/>
    </row>
    <row r="239" spans="1:11" s="3" customFormat="1" x14ac:dyDescent="0.35">
      <c r="A239" s="66">
        <v>4</v>
      </c>
      <c r="B239" s="66">
        <v>5</v>
      </c>
      <c r="C239" s="4" t="s">
        <v>185</v>
      </c>
      <c r="D239" s="66">
        <f>180.05*10.764</f>
        <v>1938.0581999999999</v>
      </c>
      <c r="E239" s="66"/>
      <c r="F239" s="4">
        <v>0</v>
      </c>
      <c r="G239" s="4">
        <f t="shared" si="11"/>
        <v>3100.8931200000002</v>
      </c>
      <c r="H239" s="4" t="s">
        <v>82</v>
      </c>
      <c r="I239" s="66"/>
      <c r="J239" s="66"/>
    </row>
    <row r="240" spans="1:11" s="3" customFormat="1" x14ac:dyDescent="0.35">
      <c r="A240" s="66">
        <v>5</v>
      </c>
      <c r="B240" s="66">
        <v>5</v>
      </c>
      <c r="C240" s="66" t="s">
        <v>216</v>
      </c>
      <c r="D240" s="66"/>
      <c r="E240" s="66"/>
      <c r="F240" s="66"/>
      <c r="G240" s="66"/>
      <c r="H240" s="66"/>
      <c r="I240" s="66"/>
      <c r="J240" s="66"/>
    </row>
    <row r="241" spans="1:11" s="3" customFormat="1" x14ac:dyDescent="0.35">
      <c r="A241" s="66">
        <v>6</v>
      </c>
      <c r="B241" s="66">
        <v>6</v>
      </c>
      <c r="C241" s="66"/>
      <c r="D241" s="66"/>
      <c r="E241" s="66"/>
      <c r="F241" s="66"/>
      <c r="G241" s="66"/>
      <c r="H241" s="66"/>
      <c r="I241" s="66"/>
      <c r="J241" s="66"/>
    </row>
    <row r="242" spans="1:11" s="3" customFormat="1" x14ac:dyDescent="0.35">
      <c r="A242" s="72" t="s">
        <v>255</v>
      </c>
      <c r="B242" s="72"/>
      <c r="C242" s="72"/>
      <c r="D242" s="72"/>
      <c r="E242" s="72"/>
      <c r="F242" s="72"/>
      <c r="G242" s="72"/>
      <c r="H242" s="72"/>
      <c r="I242" s="72"/>
      <c r="J242" s="72"/>
      <c r="K242" s="3">
        <v>12</v>
      </c>
    </row>
    <row r="243" spans="1:11" s="3" customFormat="1" x14ac:dyDescent="0.35">
      <c r="A243" s="66">
        <v>1</v>
      </c>
      <c r="B243" s="66"/>
      <c r="C243" s="4" t="s">
        <v>185</v>
      </c>
      <c r="D243" s="66">
        <f>246.76*10.764</f>
        <v>2656.1246399999995</v>
      </c>
      <c r="E243" s="66"/>
      <c r="F243" s="4">
        <v>0</v>
      </c>
      <c r="G243" s="4">
        <f t="shared" ref="G243:G248" si="12">D243*1.6</f>
        <v>4249.7994239999998</v>
      </c>
      <c r="H243" s="4" t="s">
        <v>82</v>
      </c>
      <c r="I243" s="66" t="str">
        <f>A242</f>
        <v>16th to 20th Floor</v>
      </c>
      <c r="J243" s="66"/>
    </row>
    <row r="244" spans="1:11" s="3" customFormat="1" x14ac:dyDescent="0.35">
      <c r="A244" s="66">
        <v>2</v>
      </c>
      <c r="B244" s="66"/>
      <c r="C244" s="4" t="s">
        <v>186</v>
      </c>
      <c r="D244" s="66">
        <f>120.76*10.764</f>
        <v>1299.8606399999999</v>
      </c>
      <c r="E244" s="66"/>
      <c r="F244" s="4">
        <v>0</v>
      </c>
      <c r="G244" s="4">
        <f t="shared" si="12"/>
        <v>2079.777024</v>
      </c>
      <c r="H244" s="4" t="s">
        <v>82</v>
      </c>
      <c r="I244" s="66"/>
      <c r="J244" s="66"/>
    </row>
    <row r="245" spans="1:11" s="3" customFormat="1" x14ac:dyDescent="0.35">
      <c r="A245" s="66">
        <v>3</v>
      </c>
      <c r="B245" s="66"/>
      <c r="C245" s="36" t="s">
        <v>187</v>
      </c>
      <c r="D245" s="73">
        <f>92.74*10.764</f>
        <v>998.25335999999993</v>
      </c>
      <c r="E245" s="73"/>
      <c r="F245" s="4">
        <v>0</v>
      </c>
      <c r="G245" s="4">
        <f t="shared" si="12"/>
        <v>1597.2053759999999</v>
      </c>
      <c r="H245" s="4" t="s">
        <v>82</v>
      </c>
      <c r="I245" s="66"/>
      <c r="J245" s="66"/>
    </row>
    <row r="246" spans="1:11" s="3" customFormat="1" x14ac:dyDescent="0.35">
      <c r="A246" s="66">
        <v>4</v>
      </c>
      <c r="B246" s="66">
        <v>5</v>
      </c>
      <c r="C246" s="4" t="s">
        <v>185</v>
      </c>
      <c r="D246" s="66">
        <f>180.76*10.764</f>
        <v>1945.7006399999998</v>
      </c>
      <c r="E246" s="66"/>
      <c r="F246" s="4">
        <v>0</v>
      </c>
      <c r="G246" s="4">
        <f t="shared" si="12"/>
        <v>3113.121024</v>
      </c>
      <c r="H246" s="4" t="s">
        <v>82</v>
      </c>
      <c r="I246" s="66"/>
      <c r="J246" s="66"/>
    </row>
    <row r="247" spans="1:11" s="3" customFormat="1" x14ac:dyDescent="0.35">
      <c r="A247" s="66">
        <v>5</v>
      </c>
      <c r="B247" s="66">
        <v>5</v>
      </c>
      <c r="C247" s="4" t="s">
        <v>186</v>
      </c>
      <c r="D247" s="66">
        <f>132.36*10.764</f>
        <v>1424.7230400000001</v>
      </c>
      <c r="E247" s="66"/>
      <c r="F247" s="4">
        <v>0</v>
      </c>
      <c r="G247" s="4">
        <f t="shared" si="12"/>
        <v>2279.5568640000001</v>
      </c>
      <c r="H247" s="4" t="s">
        <v>82</v>
      </c>
      <c r="I247" s="66"/>
      <c r="J247" s="66"/>
    </row>
    <row r="248" spans="1:11" s="3" customFormat="1" x14ac:dyDescent="0.35">
      <c r="A248" s="66">
        <v>6</v>
      </c>
      <c r="B248" s="66">
        <v>6</v>
      </c>
      <c r="C248" s="4" t="s">
        <v>186</v>
      </c>
      <c r="D248" s="66">
        <f>132.36*10.764</f>
        <v>1424.7230400000001</v>
      </c>
      <c r="E248" s="66"/>
      <c r="F248" s="4">
        <v>0</v>
      </c>
      <c r="G248" s="4">
        <f t="shared" si="12"/>
        <v>2279.5568640000001</v>
      </c>
      <c r="H248" s="4" t="s">
        <v>82</v>
      </c>
      <c r="I248" s="66"/>
      <c r="J248" s="66"/>
    </row>
    <row r="249" spans="1:11" s="3" customFormat="1" x14ac:dyDescent="0.35">
      <c r="A249" s="72" t="s">
        <v>256</v>
      </c>
      <c r="B249" s="72"/>
      <c r="C249" s="72"/>
      <c r="D249" s="72"/>
      <c r="E249" s="72"/>
      <c r="F249" s="72"/>
      <c r="G249" s="72"/>
      <c r="H249" s="72"/>
      <c r="I249" s="72"/>
      <c r="J249" s="72"/>
      <c r="K249" s="3">
        <v>12</v>
      </c>
    </row>
    <row r="250" spans="1:11" s="3" customFormat="1" x14ac:dyDescent="0.35">
      <c r="A250" s="66">
        <v>1</v>
      </c>
      <c r="B250" s="66"/>
      <c r="C250" s="4" t="s">
        <v>185</v>
      </c>
      <c r="D250" s="66">
        <f>246.73*10.764</f>
        <v>2655.8017199999999</v>
      </c>
      <c r="E250" s="66"/>
      <c r="F250" s="4">
        <v>0</v>
      </c>
      <c r="G250" s="4">
        <f t="shared" ref="G250:G255" si="13">D250*1.6</f>
        <v>4249.2827520000001</v>
      </c>
      <c r="H250" s="4" t="s">
        <v>82</v>
      </c>
      <c r="I250" s="66" t="str">
        <f>A249</f>
        <v>21st Floor</v>
      </c>
      <c r="J250" s="66"/>
    </row>
    <row r="251" spans="1:11" s="3" customFormat="1" x14ac:dyDescent="0.35">
      <c r="A251" s="66">
        <v>2</v>
      </c>
      <c r="B251" s="66"/>
      <c r="C251" s="4" t="s">
        <v>186</v>
      </c>
      <c r="D251" s="66">
        <f>122.94*10.764</f>
        <v>1323.3261599999998</v>
      </c>
      <c r="E251" s="66"/>
      <c r="F251" s="4">
        <v>0</v>
      </c>
      <c r="G251" s="4">
        <f t="shared" si="13"/>
        <v>2117.321856</v>
      </c>
      <c r="H251" s="4" t="s">
        <v>82</v>
      </c>
      <c r="I251" s="66"/>
      <c r="J251" s="66"/>
    </row>
    <row r="252" spans="1:11" s="3" customFormat="1" x14ac:dyDescent="0.35">
      <c r="A252" s="66">
        <v>3</v>
      </c>
      <c r="B252" s="66"/>
      <c r="C252" s="36" t="s">
        <v>187</v>
      </c>
      <c r="D252" s="73">
        <f>95.02*10.764</f>
        <v>1022.7952799999999</v>
      </c>
      <c r="E252" s="73"/>
      <c r="F252" s="4">
        <v>0</v>
      </c>
      <c r="G252" s="4">
        <f t="shared" si="13"/>
        <v>1636.472448</v>
      </c>
      <c r="H252" s="4" t="s">
        <v>82</v>
      </c>
      <c r="I252" s="66"/>
      <c r="J252" s="66"/>
    </row>
    <row r="253" spans="1:11" s="3" customFormat="1" x14ac:dyDescent="0.35">
      <c r="A253" s="66">
        <v>4</v>
      </c>
      <c r="B253" s="66">
        <v>5</v>
      </c>
      <c r="C253" s="4" t="s">
        <v>185</v>
      </c>
      <c r="D253" s="66">
        <f>180.76*10.764</f>
        <v>1945.7006399999998</v>
      </c>
      <c r="E253" s="66"/>
      <c r="F253" s="4">
        <v>0</v>
      </c>
      <c r="G253" s="4">
        <f t="shared" si="13"/>
        <v>3113.121024</v>
      </c>
      <c r="H253" s="4" t="s">
        <v>82</v>
      </c>
      <c r="I253" s="66"/>
      <c r="J253" s="66"/>
    </row>
    <row r="254" spans="1:11" s="3" customFormat="1" x14ac:dyDescent="0.35">
      <c r="A254" s="66">
        <v>5</v>
      </c>
      <c r="B254" s="66">
        <v>5</v>
      </c>
      <c r="C254" s="4" t="s">
        <v>186</v>
      </c>
      <c r="D254" s="66">
        <f>135.85*10.764</f>
        <v>1462.2893999999999</v>
      </c>
      <c r="E254" s="66"/>
      <c r="F254" s="4">
        <v>0</v>
      </c>
      <c r="G254" s="4">
        <f t="shared" si="13"/>
        <v>2339.6630399999999</v>
      </c>
      <c r="H254" s="4" t="s">
        <v>82</v>
      </c>
      <c r="I254" s="66"/>
      <c r="J254" s="66"/>
    </row>
    <row r="255" spans="1:11" s="3" customFormat="1" x14ac:dyDescent="0.35">
      <c r="A255" s="66">
        <v>6</v>
      </c>
      <c r="B255" s="66">
        <v>6</v>
      </c>
      <c r="C255" s="4" t="s">
        <v>186</v>
      </c>
      <c r="D255" s="66">
        <f>132.36*10.764</f>
        <v>1424.7230400000001</v>
      </c>
      <c r="E255" s="66"/>
      <c r="F255" s="4">
        <v>0</v>
      </c>
      <c r="G255" s="4">
        <f t="shared" si="13"/>
        <v>2279.5568640000001</v>
      </c>
      <c r="H255" s="4" t="s">
        <v>82</v>
      </c>
      <c r="I255" s="66"/>
      <c r="J255" s="66"/>
    </row>
    <row r="256" spans="1:11" s="3" customFormat="1" x14ac:dyDescent="0.35">
      <c r="A256" s="72" t="s">
        <v>258</v>
      </c>
      <c r="B256" s="72"/>
      <c r="C256" s="72"/>
      <c r="D256" s="72"/>
      <c r="E256" s="72"/>
      <c r="F256" s="72"/>
      <c r="G256" s="72"/>
      <c r="H256" s="72"/>
      <c r="I256" s="72"/>
      <c r="J256" s="72"/>
      <c r="K256" s="3">
        <v>12</v>
      </c>
    </row>
    <row r="257" spans="1:11" s="3" customFormat="1" x14ac:dyDescent="0.35">
      <c r="A257" s="66">
        <v>1</v>
      </c>
      <c r="B257" s="66"/>
      <c r="C257" s="4" t="s">
        <v>185</v>
      </c>
      <c r="D257" s="66">
        <f>247.66*10.764</f>
        <v>2665.8122399999997</v>
      </c>
      <c r="E257" s="66"/>
      <c r="F257" s="4">
        <v>0</v>
      </c>
      <c r="G257" s="4">
        <f t="shared" ref="G257:G262" si="14">D257*1.6</f>
        <v>4265.2995839999994</v>
      </c>
      <c r="H257" s="4" t="s">
        <v>82</v>
      </c>
      <c r="I257" s="66" t="str">
        <f>A256</f>
        <v>23rd Floor</v>
      </c>
      <c r="J257" s="66"/>
    </row>
    <row r="258" spans="1:11" s="3" customFormat="1" x14ac:dyDescent="0.35">
      <c r="A258" s="66">
        <v>2</v>
      </c>
      <c r="B258" s="66"/>
      <c r="C258" s="4" t="s">
        <v>186</v>
      </c>
      <c r="D258" s="66">
        <f>123.23*10.764</f>
        <v>1326.4477199999999</v>
      </c>
      <c r="E258" s="66"/>
      <c r="F258" s="4">
        <v>0</v>
      </c>
      <c r="G258" s="4">
        <f t="shared" si="14"/>
        <v>2122.3163519999998</v>
      </c>
      <c r="H258" s="4" t="s">
        <v>82</v>
      </c>
      <c r="I258" s="66"/>
      <c r="J258" s="66"/>
    </row>
    <row r="259" spans="1:11" s="3" customFormat="1" x14ac:dyDescent="0.35">
      <c r="A259" s="66">
        <v>3</v>
      </c>
      <c r="B259" s="66"/>
      <c r="C259" s="36" t="s">
        <v>187</v>
      </c>
      <c r="D259" s="73">
        <f>95.02*10.764</f>
        <v>1022.7952799999999</v>
      </c>
      <c r="E259" s="73"/>
      <c r="F259" s="4">
        <v>0</v>
      </c>
      <c r="G259" s="4">
        <f t="shared" si="14"/>
        <v>1636.472448</v>
      </c>
      <c r="H259" s="4" t="s">
        <v>82</v>
      </c>
      <c r="I259" s="66"/>
      <c r="J259" s="66"/>
    </row>
    <row r="260" spans="1:11" s="3" customFormat="1" x14ac:dyDescent="0.35">
      <c r="A260" s="66">
        <v>4</v>
      </c>
      <c r="B260" s="66">
        <v>5</v>
      </c>
      <c r="C260" s="4" t="s">
        <v>185</v>
      </c>
      <c r="D260" s="66">
        <f>181.52*10.764</f>
        <v>1953.8812800000001</v>
      </c>
      <c r="E260" s="66"/>
      <c r="F260" s="4">
        <v>0</v>
      </c>
      <c r="G260" s="4">
        <f t="shared" si="14"/>
        <v>3126.2100480000004</v>
      </c>
      <c r="H260" s="4" t="s">
        <v>82</v>
      </c>
      <c r="I260" s="66"/>
      <c r="J260" s="66"/>
    </row>
    <row r="261" spans="1:11" s="3" customFormat="1" x14ac:dyDescent="0.35">
      <c r="A261" s="66">
        <v>5</v>
      </c>
      <c r="B261" s="66">
        <v>5</v>
      </c>
      <c r="C261" s="4" t="s">
        <v>186</v>
      </c>
      <c r="D261" s="66">
        <f>136.03*10.764</f>
        <v>1464.2269199999998</v>
      </c>
      <c r="E261" s="66"/>
      <c r="F261" s="4">
        <v>0</v>
      </c>
      <c r="G261" s="4">
        <f t="shared" si="14"/>
        <v>2342.7630719999997</v>
      </c>
      <c r="H261" s="4" t="s">
        <v>82</v>
      </c>
      <c r="I261" s="66"/>
      <c r="J261" s="66"/>
    </row>
    <row r="262" spans="1:11" s="3" customFormat="1" x14ac:dyDescent="0.35">
      <c r="A262" s="66">
        <v>6</v>
      </c>
      <c r="B262" s="66">
        <v>6</v>
      </c>
      <c r="C262" s="4" t="s">
        <v>186</v>
      </c>
      <c r="D262" s="66">
        <f>136.03*10.764</f>
        <v>1464.2269199999998</v>
      </c>
      <c r="E262" s="66"/>
      <c r="F262" s="4">
        <v>0</v>
      </c>
      <c r="G262" s="4">
        <f t="shared" si="14"/>
        <v>2342.7630719999997</v>
      </c>
      <c r="H262" s="4" t="s">
        <v>82</v>
      </c>
      <c r="I262" s="66"/>
      <c r="J262" s="66"/>
    </row>
    <row r="263" spans="1:11" s="3" customFormat="1" x14ac:dyDescent="0.35">
      <c r="A263" s="72" t="s">
        <v>257</v>
      </c>
      <c r="B263" s="72"/>
      <c r="C263" s="72"/>
      <c r="D263" s="72"/>
      <c r="E263" s="72"/>
      <c r="F263" s="72"/>
      <c r="G263" s="72"/>
      <c r="H263" s="72"/>
      <c r="I263" s="72"/>
      <c r="J263" s="72"/>
      <c r="K263" s="3">
        <v>12</v>
      </c>
    </row>
    <row r="264" spans="1:11" s="3" customFormat="1" x14ac:dyDescent="0.35">
      <c r="A264" s="66">
        <v>1</v>
      </c>
      <c r="B264" s="66"/>
      <c r="C264" s="4" t="s">
        <v>185</v>
      </c>
      <c r="D264" s="66">
        <f>247.66*10.764</f>
        <v>2665.8122399999997</v>
      </c>
      <c r="E264" s="66"/>
      <c r="F264" s="4">
        <v>0</v>
      </c>
      <c r="G264" s="4">
        <f t="shared" ref="G264:G269" si="15">D264*1.6</f>
        <v>4265.2995839999994</v>
      </c>
      <c r="H264" s="4" t="s">
        <v>82</v>
      </c>
      <c r="I264" s="66" t="str">
        <f>A263</f>
        <v>24th to 28th Floor</v>
      </c>
      <c r="J264" s="66"/>
    </row>
    <row r="265" spans="1:11" s="3" customFormat="1" x14ac:dyDescent="0.35">
      <c r="A265" s="66">
        <v>2</v>
      </c>
      <c r="B265" s="66"/>
      <c r="C265" s="4" t="s">
        <v>186</v>
      </c>
      <c r="D265" s="66">
        <f>123.23*10.764</f>
        <v>1326.4477199999999</v>
      </c>
      <c r="E265" s="66"/>
      <c r="F265" s="4">
        <v>0</v>
      </c>
      <c r="G265" s="4">
        <f t="shared" si="15"/>
        <v>2122.3163519999998</v>
      </c>
      <c r="H265" s="4" t="s">
        <v>82</v>
      </c>
      <c r="I265" s="66"/>
      <c r="J265" s="66"/>
    </row>
    <row r="266" spans="1:11" s="3" customFormat="1" x14ac:dyDescent="0.35">
      <c r="A266" s="66">
        <v>3</v>
      </c>
      <c r="B266" s="66"/>
      <c r="C266" s="36" t="s">
        <v>187</v>
      </c>
      <c r="D266" s="73">
        <f>95.02*10.764</f>
        <v>1022.7952799999999</v>
      </c>
      <c r="E266" s="73"/>
      <c r="F266" s="4">
        <v>0</v>
      </c>
      <c r="G266" s="4">
        <f t="shared" si="15"/>
        <v>1636.472448</v>
      </c>
      <c r="H266" s="4" t="s">
        <v>82</v>
      </c>
      <c r="I266" s="66"/>
      <c r="J266" s="66"/>
    </row>
    <row r="267" spans="1:11" s="3" customFormat="1" x14ac:dyDescent="0.35">
      <c r="A267" s="66">
        <v>4</v>
      </c>
      <c r="B267" s="66">
        <v>5</v>
      </c>
      <c r="C267" s="4" t="s">
        <v>185</v>
      </c>
      <c r="D267" s="66">
        <f>181.52*10.764</f>
        <v>1953.8812800000001</v>
      </c>
      <c r="E267" s="66"/>
      <c r="F267" s="4">
        <v>0</v>
      </c>
      <c r="G267" s="4">
        <f t="shared" si="15"/>
        <v>3126.2100480000004</v>
      </c>
      <c r="H267" s="4" t="s">
        <v>82</v>
      </c>
      <c r="I267" s="66"/>
      <c r="J267" s="66"/>
    </row>
    <row r="268" spans="1:11" s="3" customFormat="1" x14ac:dyDescent="0.35">
      <c r="A268" s="66">
        <v>5</v>
      </c>
      <c r="B268" s="66">
        <v>5</v>
      </c>
      <c r="C268" s="4" t="s">
        <v>186</v>
      </c>
      <c r="D268" s="66">
        <f>136.03*10.764</f>
        <v>1464.2269199999998</v>
      </c>
      <c r="E268" s="66"/>
      <c r="F268" s="4">
        <v>0</v>
      </c>
      <c r="G268" s="4">
        <f t="shared" si="15"/>
        <v>2342.7630719999997</v>
      </c>
      <c r="H268" s="4" t="s">
        <v>82</v>
      </c>
      <c r="I268" s="66"/>
      <c r="J268" s="66"/>
    </row>
    <row r="269" spans="1:11" s="3" customFormat="1" x14ac:dyDescent="0.35">
      <c r="A269" s="66">
        <v>6</v>
      </c>
      <c r="B269" s="66">
        <v>6</v>
      </c>
      <c r="C269" s="4" t="s">
        <v>186</v>
      </c>
      <c r="D269" s="66">
        <f>136.03*10.764</f>
        <v>1464.2269199999998</v>
      </c>
      <c r="E269" s="66"/>
      <c r="F269" s="4">
        <v>0</v>
      </c>
      <c r="G269" s="4">
        <f t="shared" si="15"/>
        <v>2342.7630719999997</v>
      </c>
      <c r="H269" s="4" t="s">
        <v>82</v>
      </c>
      <c r="I269" s="66"/>
      <c r="J269" s="66"/>
    </row>
    <row r="270" spans="1:11" s="3" customFormat="1" x14ac:dyDescent="0.35">
      <c r="A270" s="72" t="s">
        <v>218</v>
      </c>
      <c r="B270" s="72"/>
      <c r="C270" s="72"/>
      <c r="D270" s="72"/>
      <c r="E270" s="72"/>
      <c r="F270" s="72"/>
      <c r="G270" s="72"/>
      <c r="H270" s="72"/>
      <c r="I270" s="72"/>
      <c r="J270" s="72"/>
      <c r="K270" s="3">
        <v>1</v>
      </c>
    </row>
    <row r="271" spans="1:11" s="3" customFormat="1" ht="15.75" customHeight="1" x14ac:dyDescent="0.35">
      <c r="A271" s="66">
        <v>1</v>
      </c>
      <c r="B271" s="66"/>
      <c r="C271" s="4" t="s">
        <v>185</v>
      </c>
      <c r="D271" s="66">
        <f>246.43*10.764</f>
        <v>2652.5725199999997</v>
      </c>
      <c r="E271" s="66"/>
      <c r="F271" s="4">
        <v>0</v>
      </c>
      <c r="G271" s="4">
        <f t="shared" ref="G271:G274" si="16">D271*1.6</f>
        <v>4244.1160319999999</v>
      </c>
      <c r="H271" s="4" t="s">
        <v>82</v>
      </c>
      <c r="I271" s="66" t="str">
        <f>A270</f>
        <v>22nd Floor (Part Refuge Area)</v>
      </c>
      <c r="J271" s="66"/>
    </row>
    <row r="272" spans="1:11" s="3" customFormat="1" x14ac:dyDescent="0.35">
      <c r="A272" s="66">
        <v>2</v>
      </c>
      <c r="B272" s="66"/>
      <c r="C272" s="4" t="s">
        <v>186</v>
      </c>
      <c r="D272" s="66">
        <f>122.93*10.764</f>
        <v>1323.2185199999999</v>
      </c>
      <c r="E272" s="66"/>
      <c r="F272" s="4">
        <v>0</v>
      </c>
      <c r="G272" s="4">
        <f t="shared" si="16"/>
        <v>2117.1496320000001</v>
      </c>
      <c r="H272" s="4" t="s">
        <v>82</v>
      </c>
      <c r="I272" s="66"/>
      <c r="J272" s="66"/>
    </row>
    <row r="273" spans="1:11" s="3" customFormat="1" x14ac:dyDescent="0.35">
      <c r="A273" s="66">
        <v>3</v>
      </c>
      <c r="B273" s="66"/>
      <c r="C273" s="36" t="s">
        <v>187</v>
      </c>
      <c r="D273" s="73">
        <f>95.02*10.764</f>
        <v>1022.7952799999999</v>
      </c>
      <c r="E273" s="73"/>
      <c r="F273" s="4">
        <v>0</v>
      </c>
      <c r="G273" s="4">
        <f t="shared" si="16"/>
        <v>1636.472448</v>
      </c>
      <c r="H273" s="4" t="s">
        <v>82</v>
      </c>
      <c r="I273" s="66"/>
      <c r="J273" s="66"/>
    </row>
    <row r="274" spans="1:11" s="3" customFormat="1" x14ac:dyDescent="0.35">
      <c r="A274" s="66">
        <v>4</v>
      </c>
      <c r="B274" s="66">
        <v>5</v>
      </c>
      <c r="C274" s="4" t="s">
        <v>185</v>
      </c>
      <c r="D274" s="73">
        <f>180.69*10.764</f>
        <v>1944.9471599999999</v>
      </c>
      <c r="E274" s="73"/>
      <c r="F274" s="4">
        <v>0</v>
      </c>
      <c r="G274" s="4">
        <f t="shared" si="16"/>
        <v>3111.9154560000002</v>
      </c>
      <c r="H274" s="4" t="s">
        <v>82</v>
      </c>
      <c r="I274" s="66"/>
      <c r="J274" s="66"/>
    </row>
    <row r="275" spans="1:11" s="3" customFormat="1" x14ac:dyDescent="0.35">
      <c r="A275" s="66">
        <v>5</v>
      </c>
      <c r="B275" s="66">
        <v>5</v>
      </c>
      <c r="C275" s="66" t="s">
        <v>216</v>
      </c>
      <c r="D275" s="66"/>
      <c r="E275" s="66"/>
      <c r="F275" s="66"/>
      <c r="G275" s="66"/>
      <c r="H275" s="66"/>
      <c r="I275" s="66"/>
      <c r="J275" s="66"/>
    </row>
    <row r="276" spans="1:11" s="3" customFormat="1" x14ac:dyDescent="0.35">
      <c r="A276" s="66">
        <v>6</v>
      </c>
      <c r="B276" s="66">
        <v>6</v>
      </c>
      <c r="C276" s="66"/>
      <c r="D276" s="66"/>
      <c r="E276" s="66"/>
      <c r="F276" s="66"/>
      <c r="G276" s="66"/>
      <c r="H276" s="66"/>
      <c r="I276" s="66"/>
      <c r="J276" s="66"/>
    </row>
    <row r="277" spans="1:11" s="3" customFormat="1" x14ac:dyDescent="0.35">
      <c r="A277" s="72" t="s">
        <v>228</v>
      </c>
      <c r="B277" s="72"/>
      <c r="C277" s="72"/>
      <c r="D277" s="72"/>
      <c r="E277" s="72"/>
      <c r="F277" s="72"/>
      <c r="G277" s="72"/>
      <c r="H277" s="72"/>
      <c r="I277" s="72"/>
      <c r="J277" s="72"/>
    </row>
    <row r="278" spans="1:11" s="3" customFormat="1" x14ac:dyDescent="0.35">
      <c r="A278" s="72" t="s">
        <v>229</v>
      </c>
      <c r="B278" s="72"/>
      <c r="C278" s="72"/>
      <c r="D278" s="72"/>
      <c r="E278" s="72"/>
      <c r="F278" s="72"/>
      <c r="G278" s="72"/>
      <c r="H278" s="72"/>
      <c r="I278" s="72"/>
      <c r="J278" s="72"/>
    </row>
    <row r="279" spans="1:11" s="3" customFormat="1" ht="15.75" customHeight="1" x14ac:dyDescent="0.35">
      <c r="A279" s="72" t="s">
        <v>220</v>
      </c>
      <c r="B279" s="72"/>
      <c r="C279" s="72"/>
      <c r="D279" s="72"/>
      <c r="E279" s="72"/>
      <c r="F279" s="72"/>
      <c r="G279" s="72"/>
      <c r="H279" s="72"/>
      <c r="I279" s="72"/>
      <c r="J279" s="72"/>
      <c r="K279" s="3">
        <v>1</v>
      </c>
    </row>
    <row r="280" spans="1:11" s="3" customFormat="1" ht="15.75" customHeight="1" x14ac:dyDescent="0.35">
      <c r="A280" s="66">
        <v>1</v>
      </c>
      <c r="B280" s="66"/>
      <c r="C280" s="36" t="s">
        <v>185</v>
      </c>
      <c r="D280" s="73">
        <f>247.63*10.764</f>
        <v>2665.4893199999997</v>
      </c>
      <c r="E280" s="73"/>
      <c r="F280" s="4">
        <v>0</v>
      </c>
      <c r="G280" s="4">
        <f t="shared" ref="G280:G283" si="17">D280*1.6</f>
        <v>4264.7829119999997</v>
      </c>
      <c r="H280" s="4" t="s">
        <v>82</v>
      </c>
      <c r="I280" s="66" t="str">
        <f>A279</f>
        <v>29th Floor (Part Refuge Area)</v>
      </c>
      <c r="J280" s="66"/>
    </row>
    <row r="281" spans="1:11" s="3" customFormat="1" x14ac:dyDescent="0.35">
      <c r="A281" s="66">
        <v>2</v>
      </c>
      <c r="B281" s="66"/>
      <c r="C281" s="36" t="s">
        <v>186</v>
      </c>
      <c r="D281" s="73">
        <f>123.59*10.764</f>
        <v>1330.32276</v>
      </c>
      <c r="E281" s="73"/>
      <c r="F281" s="4">
        <v>0</v>
      </c>
      <c r="G281" s="4">
        <f t="shared" si="17"/>
        <v>2128.5164159999999</v>
      </c>
      <c r="H281" s="4" t="s">
        <v>82</v>
      </c>
      <c r="I281" s="66"/>
      <c r="J281" s="66"/>
    </row>
    <row r="282" spans="1:11" s="3" customFormat="1" x14ac:dyDescent="0.35">
      <c r="A282" s="66">
        <v>3</v>
      </c>
      <c r="B282" s="66"/>
      <c r="C282" s="36" t="s">
        <v>187</v>
      </c>
      <c r="D282" s="73">
        <f>95.35*10.764</f>
        <v>1026.3473999999999</v>
      </c>
      <c r="E282" s="73"/>
      <c r="F282" s="4">
        <v>0</v>
      </c>
      <c r="G282" s="4">
        <f t="shared" si="17"/>
        <v>1642.1558399999999</v>
      </c>
      <c r="H282" s="4" t="s">
        <v>82</v>
      </c>
      <c r="I282" s="66"/>
      <c r="J282" s="66"/>
    </row>
    <row r="283" spans="1:11" s="3" customFormat="1" x14ac:dyDescent="0.35">
      <c r="A283" s="66">
        <v>4</v>
      </c>
      <c r="B283" s="66">
        <v>5</v>
      </c>
      <c r="C283" s="36" t="s">
        <v>185</v>
      </c>
      <c r="D283" s="73">
        <f>181.51*10.764</f>
        <v>1953.7736399999999</v>
      </c>
      <c r="E283" s="73"/>
      <c r="F283" s="4">
        <v>0</v>
      </c>
      <c r="G283" s="4">
        <f t="shared" si="17"/>
        <v>3126.037824</v>
      </c>
      <c r="H283" s="4" t="s">
        <v>82</v>
      </c>
      <c r="I283" s="66"/>
      <c r="J283" s="66"/>
    </row>
    <row r="284" spans="1:11" s="3" customFormat="1" x14ac:dyDescent="0.35">
      <c r="A284" s="66">
        <v>5</v>
      </c>
      <c r="B284" s="66">
        <v>5</v>
      </c>
      <c r="C284" s="66" t="s">
        <v>216</v>
      </c>
      <c r="D284" s="66"/>
      <c r="E284" s="66"/>
      <c r="F284" s="66"/>
      <c r="G284" s="66"/>
      <c r="H284" s="66"/>
      <c r="I284" s="66"/>
      <c r="J284" s="66"/>
    </row>
    <row r="285" spans="1:11" s="3" customFormat="1" x14ac:dyDescent="0.35">
      <c r="A285" s="66">
        <v>6</v>
      </c>
      <c r="B285" s="66">
        <v>6</v>
      </c>
      <c r="C285" s="66"/>
      <c r="D285" s="66"/>
      <c r="E285" s="66"/>
      <c r="F285" s="66"/>
      <c r="G285" s="66"/>
      <c r="H285" s="66"/>
      <c r="I285" s="66"/>
      <c r="J285" s="66"/>
    </row>
    <row r="286" spans="1:11" s="3" customFormat="1" x14ac:dyDescent="0.35">
      <c r="A286" s="72" t="s">
        <v>259</v>
      </c>
      <c r="B286" s="72"/>
      <c r="C286" s="72"/>
      <c r="D286" s="72"/>
      <c r="E286" s="72"/>
      <c r="F286" s="72"/>
      <c r="G286" s="72"/>
      <c r="H286" s="72"/>
      <c r="I286" s="72"/>
      <c r="J286" s="72"/>
      <c r="K286" s="3">
        <v>1</v>
      </c>
    </row>
    <row r="287" spans="1:11" s="3" customFormat="1" x14ac:dyDescent="0.35">
      <c r="A287" s="66">
        <v>1</v>
      </c>
      <c r="B287" s="66"/>
      <c r="C287" s="4" t="s">
        <v>185</v>
      </c>
      <c r="D287" s="66">
        <f>247.63*10.764</f>
        <v>2665.4893199999997</v>
      </c>
      <c r="E287" s="66"/>
      <c r="F287" s="4">
        <v>0</v>
      </c>
      <c r="G287" s="4">
        <f t="shared" ref="G287:G292" si="18">D287*1.6</f>
        <v>4264.7829119999997</v>
      </c>
      <c r="H287" s="4" t="s">
        <v>82</v>
      </c>
      <c r="I287" s="66" t="str">
        <f>A286</f>
        <v>30th to 35th, 37th to 41st Floor</v>
      </c>
      <c r="J287" s="66"/>
    </row>
    <row r="288" spans="1:11" s="3" customFormat="1" x14ac:dyDescent="0.35">
      <c r="A288" s="66">
        <v>2</v>
      </c>
      <c r="B288" s="66"/>
      <c r="C288" s="4" t="s">
        <v>186</v>
      </c>
      <c r="D288" s="66">
        <f>123.58*10.764</f>
        <v>1330.2151199999998</v>
      </c>
      <c r="E288" s="66"/>
      <c r="F288" s="4">
        <v>0</v>
      </c>
      <c r="G288" s="4">
        <f t="shared" si="18"/>
        <v>2128.344192</v>
      </c>
      <c r="H288" s="4" t="s">
        <v>82</v>
      </c>
      <c r="I288" s="66"/>
      <c r="J288" s="66"/>
    </row>
    <row r="289" spans="1:11" s="3" customFormat="1" x14ac:dyDescent="0.35">
      <c r="A289" s="66">
        <v>3</v>
      </c>
      <c r="B289" s="66"/>
      <c r="C289" s="36" t="s">
        <v>187</v>
      </c>
      <c r="D289" s="73">
        <f>95.35*10.764</f>
        <v>1026.3473999999999</v>
      </c>
      <c r="E289" s="73"/>
      <c r="F289" s="4">
        <v>0</v>
      </c>
      <c r="G289" s="4">
        <f t="shared" si="18"/>
        <v>1642.1558399999999</v>
      </c>
      <c r="H289" s="4" t="s">
        <v>82</v>
      </c>
      <c r="I289" s="66"/>
      <c r="J289" s="66"/>
    </row>
    <row r="290" spans="1:11" s="3" customFormat="1" x14ac:dyDescent="0.35">
      <c r="A290" s="66">
        <v>4</v>
      </c>
      <c r="B290" s="66">
        <v>5</v>
      </c>
      <c r="C290" s="4" t="s">
        <v>185</v>
      </c>
      <c r="D290" s="66">
        <f>181.51*10.764</f>
        <v>1953.7736399999999</v>
      </c>
      <c r="E290" s="66"/>
      <c r="F290" s="4">
        <v>0</v>
      </c>
      <c r="G290" s="4">
        <f t="shared" si="18"/>
        <v>3126.037824</v>
      </c>
      <c r="H290" s="4" t="s">
        <v>82</v>
      </c>
      <c r="I290" s="66"/>
      <c r="J290" s="66"/>
    </row>
    <row r="291" spans="1:11" s="3" customFormat="1" x14ac:dyDescent="0.35">
      <c r="A291" s="66">
        <v>5</v>
      </c>
      <c r="B291" s="66">
        <v>5</v>
      </c>
      <c r="C291" s="4" t="s">
        <v>186</v>
      </c>
      <c r="D291" s="66">
        <f>136.34*10.764</f>
        <v>1467.56376</v>
      </c>
      <c r="E291" s="66"/>
      <c r="F291" s="4">
        <v>0</v>
      </c>
      <c r="G291" s="4">
        <f t="shared" si="18"/>
        <v>2348.1020160000003</v>
      </c>
      <c r="H291" s="4" t="s">
        <v>82</v>
      </c>
      <c r="I291" s="66"/>
      <c r="J291" s="66"/>
    </row>
    <row r="292" spans="1:11" s="3" customFormat="1" x14ac:dyDescent="0.35">
      <c r="A292" s="66">
        <v>6</v>
      </c>
      <c r="B292" s="66">
        <v>6</v>
      </c>
      <c r="C292" s="4" t="s">
        <v>186</v>
      </c>
      <c r="D292" s="66">
        <f>136.33*10.764</f>
        <v>1467.4561200000001</v>
      </c>
      <c r="E292" s="66"/>
      <c r="F292" s="4">
        <v>0</v>
      </c>
      <c r="G292" s="4">
        <f t="shared" si="18"/>
        <v>2347.9297920000004</v>
      </c>
      <c r="H292" s="4" t="s">
        <v>82</v>
      </c>
      <c r="I292" s="66"/>
      <c r="J292" s="66"/>
    </row>
    <row r="293" spans="1:11" s="3" customFormat="1" x14ac:dyDescent="0.35">
      <c r="A293" s="72" t="s">
        <v>219</v>
      </c>
      <c r="B293" s="72"/>
      <c r="C293" s="72"/>
      <c r="D293" s="72"/>
      <c r="E293" s="72"/>
      <c r="F293" s="72"/>
      <c r="G293" s="72"/>
      <c r="H293" s="72"/>
      <c r="I293" s="72"/>
      <c r="J293" s="72"/>
      <c r="K293" s="3">
        <v>1</v>
      </c>
    </row>
    <row r="294" spans="1:11" s="3" customFormat="1" ht="15.75" customHeight="1" x14ac:dyDescent="0.35">
      <c r="A294" s="66">
        <v>1</v>
      </c>
      <c r="B294" s="66"/>
      <c r="C294" s="4" t="s">
        <v>185</v>
      </c>
      <c r="D294" s="66">
        <f>247.63*10.764</f>
        <v>2665.4893199999997</v>
      </c>
      <c r="E294" s="66"/>
      <c r="F294" s="4">
        <v>0</v>
      </c>
      <c r="G294" s="4">
        <f t="shared" ref="G294:G297" si="19">D294*1.6</f>
        <v>4264.7829119999997</v>
      </c>
      <c r="H294" s="4" t="s">
        <v>82</v>
      </c>
      <c r="I294" s="66" t="str">
        <f>A293</f>
        <v>36th Floor (Part Refuge Area)</v>
      </c>
      <c r="J294" s="66"/>
    </row>
    <row r="295" spans="1:11" s="3" customFormat="1" x14ac:dyDescent="0.35">
      <c r="A295" s="66">
        <v>2</v>
      </c>
      <c r="B295" s="66"/>
      <c r="C295" s="36" t="s">
        <v>186</v>
      </c>
      <c r="D295" s="73">
        <f>123.59*10.764</f>
        <v>1330.32276</v>
      </c>
      <c r="E295" s="73"/>
      <c r="F295" s="4">
        <v>0</v>
      </c>
      <c r="G295" s="4">
        <f t="shared" si="19"/>
        <v>2128.5164159999999</v>
      </c>
      <c r="H295" s="4" t="s">
        <v>82</v>
      </c>
      <c r="I295" s="66"/>
      <c r="J295" s="66"/>
    </row>
    <row r="296" spans="1:11" s="3" customFormat="1" x14ac:dyDescent="0.35">
      <c r="A296" s="66">
        <v>3</v>
      </c>
      <c r="B296" s="66"/>
      <c r="C296" s="36" t="s">
        <v>187</v>
      </c>
      <c r="D296" s="73">
        <f>95.35*10.764</f>
        <v>1026.3473999999999</v>
      </c>
      <c r="E296" s="73"/>
      <c r="F296" s="4">
        <v>0</v>
      </c>
      <c r="G296" s="4">
        <f t="shared" si="19"/>
        <v>1642.1558399999999</v>
      </c>
      <c r="H296" s="4" t="s">
        <v>82</v>
      </c>
      <c r="I296" s="66"/>
      <c r="J296" s="66"/>
    </row>
    <row r="297" spans="1:11" s="3" customFormat="1" x14ac:dyDescent="0.35">
      <c r="A297" s="66">
        <v>4</v>
      </c>
      <c r="B297" s="66">
        <v>5</v>
      </c>
      <c r="C297" s="36" t="s">
        <v>185</v>
      </c>
      <c r="D297" s="73">
        <f>181.51*10.764</f>
        <v>1953.7736399999999</v>
      </c>
      <c r="E297" s="73"/>
      <c r="F297" s="4">
        <v>0</v>
      </c>
      <c r="G297" s="4">
        <f t="shared" si="19"/>
        <v>3126.037824</v>
      </c>
      <c r="H297" s="4" t="s">
        <v>82</v>
      </c>
      <c r="I297" s="66"/>
      <c r="J297" s="66"/>
    </row>
    <row r="298" spans="1:11" s="3" customFormat="1" x14ac:dyDescent="0.35">
      <c r="A298" s="66">
        <v>5</v>
      </c>
      <c r="B298" s="66">
        <v>5</v>
      </c>
      <c r="C298" s="66" t="s">
        <v>216</v>
      </c>
      <c r="D298" s="66"/>
      <c r="E298" s="66"/>
      <c r="F298" s="66"/>
      <c r="G298" s="66"/>
      <c r="H298" s="66"/>
      <c r="I298" s="66"/>
      <c r="J298" s="66"/>
    </row>
    <row r="299" spans="1:11" s="3" customFormat="1" x14ac:dyDescent="0.35">
      <c r="A299" s="66">
        <v>6</v>
      </c>
      <c r="B299" s="66">
        <v>6</v>
      </c>
      <c r="C299" s="66"/>
      <c r="D299" s="66"/>
      <c r="E299" s="66"/>
      <c r="F299" s="66"/>
      <c r="G299" s="66"/>
      <c r="H299" s="66"/>
      <c r="I299" s="66"/>
      <c r="J299" s="66"/>
    </row>
    <row r="300" spans="1:11" s="3" customFormat="1" x14ac:dyDescent="0.35">
      <c r="A300" s="72" t="s">
        <v>179</v>
      </c>
      <c r="B300" s="72"/>
      <c r="C300" s="72"/>
      <c r="D300" s="72"/>
      <c r="E300" s="72"/>
      <c r="F300" s="72"/>
      <c r="G300" s="72"/>
      <c r="H300" s="72"/>
      <c r="I300" s="72"/>
      <c r="J300" s="72"/>
    </row>
    <row r="301" spans="1:11" s="3" customFormat="1" ht="15.75" customHeight="1" x14ac:dyDescent="0.35">
      <c r="A301" s="72" t="s">
        <v>212</v>
      </c>
      <c r="B301" s="72"/>
      <c r="C301" s="72"/>
      <c r="D301" s="72"/>
      <c r="E301" s="72"/>
      <c r="F301" s="72"/>
      <c r="G301" s="72"/>
      <c r="H301" s="72"/>
      <c r="I301" s="72"/>
      <c r="J301" s="72"/>
    </row>
    <row r="302" spans="1:11" s="3" customFormat="1" ht="15.75" customHeight="1" x14ac:dyDescent="0.35">
      <c r="A302" s="72" t="s">
        <v>178</v>
      </c>
      <c r="B302" s="72"/>
      <c r="C302" s="72"/>
      <c r="D302" s="72"/>
      <c r="E302" s="72"/>
      <c r="F302" s="72"/>
      <c r="G302" s="72"/>
      <c r="H302" s="72"/>
      <c r="I302" s="72"/>
      <c r="J302" s="72"/>
    </row>
    <row r="303" spans="1:11" s="3" customFormat="1" ht="15.75" customHeight="1" x14ac:dyDescent="0.35">
      <c r="A303" s="72" t="s">
        <v>213</v>
      </c>
      <c r="B303" s="72"/>
      <c r="C303" s="72"/>
      <c r="D303" s="72"/>
      <c r="E303" s="72"/>
      <c r="F303" s="72"/>
      <c r="G303" s="72"/>
      <c r="H303" s="72"/>
      <c r="I303" s="72"/>
      <c r="J303" s="72"/>
    </row>
    <row r="304" spans="1:11" s="3" customFormat="1" ht="15.75" customHeight="1" x14ac:dyDescent="0.35">
      <c r="A304" s="72" t="s">
        <v>183</v>
      </c>
      <c r="B304" s="72"/>
      <c r="C304" s="72"/>
      <c r="D304" s="72"/>
      <c r="E304" s="72"/>
      <c r="F304" s="72"/>
      <c r="G304" s="72"/>
      <c r="H304" s="72"/>
      <c r="I304" s="72"/>
      <c r="J304" s="72"/>
    </row>
    <row r="305" spans="1:11" s="3" customFormat="1" x14ac:dyDescent="0.35">
      <c r="A305" s="72" t="s">
        <v>184</v>
      </c>
      <c r="B305" s="72"/>
      <c r="C305" s="72"/>
      <c r="D305" s="72"/>
      <c r="E305" s="72"/>
      <c r="F305" s="72"/>
      <c r="G305" s="72"/>
      <c r="H305" s="72"/>
      <c r="I305" s="72"/>
      <c r="J305" s="72"/>
      <c r="K305" s="3">
        <v>1</v>
      </c>
    </row>
    <row r="306" spans="1:11" s="3" customFormat="1" ht="15.75" customHeight="1" x14ac:dyDescent="0.35">
      <c r="A306" s="66">
        <v>1</v>
      </c>
      <c r="B306" s="66"/>
      <c r="C306" s="4" t="s">
        <v>186</v>
      </c>
      <c r="D306" s="159">
        <f>(93.72+3.44+2.81)*10.764</f>
        <v>1076.07708</v>
      </c>
      <c r="E306" s="160"/>
      <c r="F306" s="4">
        <v>0</v>
      </c>
      <c r="G306" s="4">
        <f t="shared" ref="G306:G311" si="20">D306*1.6</f>
        <v>1721.723328</v>
      </c>
      <c r="H306" s="4" t="s">
        <v>82</v>
      </c>
      <c r="I306" s="66" t="str">
        <f>A305</f>
        <v>2nd Floor for Residential</v>
      </c>
      <c r="J306" s="66"/>
    </row>
    <row r="307" spans="1:11" s="3" customFormat="1" x14ac:dyDescent="0.35">
      <c r="A307" s="66">
        <v>2</v>
      </c>
      <c r="B307" s="66"/>
      <c r="C307" s="4" t="s">
        <v>187</v>
      </c>
      <c r="D307" s="66">
        <f>(68.36+2.65)*10.764</f>
        <v>764.35163999999997</v>
      </c>
      <c r="E307" s="66"/>
      <c r="F307" s="4">
        <v>0</v>
      </c>
      <c r="G307" s="4">
        <f t="shared" si="20"/>
        <v>1222.962624</v>
      </c>
      <c r="H307" s="4" t="s">
        <v>82</v>
      </c>
      <c r="I307" s="66"/>
      <c r="J307" s="66"/>
    </row>
    <row r="308" spans="1:11" s="3" customFormat="1" x14ac:dyDescent="0.35">
      <c r="A308" s="66">
        <v>3</v>
      </c>
      <c r="B308" s="66"/>
      <c r="C308" s="4" t="s">
        <v>187</v>
      </c>
      <c r="D308" s="66">
        <f>(68.34+2.49)*10.764</f>
        <v>762.41411999999991</v>
      </c>
      <c r="E308" s="66"/>
      <c r="F308" s="4">
        <v>0</v>
      </c>
      <c r="G308" s="4">
        <f t="shared" si="20"/>
        <v>1219.8625919999999</v>
      </c>
      <c r="H308" s="4" t="s">
        <v>82</v>
      </c>
      <c r="I308" s="66"/>
      <c r="J308" s="66"/>
    </row>
    <row r="309" spans="1:11" s="3" customFormat="1" x14ac:dyDescent="0.35">
      <c r="A309" s="66">
        <v>4</v>
      </c>
      <c r="B309" s="66">
        <v>5</v>
      </c>
      <c r="C309" s="4" t="s">
        <v>187</v>
      </c>
      <c r="D309" s="66">
        <f>(68.34+2.49)*10.764</f>
        <v>762.41411999999991</v>
      </c>
      <c r="E309" s="66"/>
      <c r="F309" s="4">
        <v>0</v>
      </c>
      <c r="G309" s="4">
        <f t="shared" si="20"/>
        <v>1219.8625919999999</v>
      </c>
      <c r="H309" s="4" t="s">
        <v>82</v>
      </c>
      <c r="I309" s="66"/>
      <c r="J309" s="66"/>
    </row>
    <row r="310" spans="1:11" s="3" customFormat="1" x14ac:dyDescent="0.35">
      <c r="A310" s="66">
        <v>5</v>
      </c>
      <c r="B310" s="66">
        <v>5</v>
      </c>
      <c r="C310" s="4" t="s">
        <v>187</v>
      </c>
      <c r="D310" s="66">
        <f>(68.36+2.65)*10.764</f>
        <v>764.35163999999997</v>
      </c>
      <c r="E310" s="66"/>
      <c r="F310" s="4">
        <v>0</v>
      </c>
      <c r="G310" s="4">
        <f t="shared" si="20"/>
        <v>1222.962624</v>
      </c>
      <c r="H310" s="4" t="s">
        <v>82</v>
      </c>
      <c r="I310" s="66"/>
      <c r="J310" s="66"/>
    </row>
    <row r="311" spans="1:11" s="3" customFormat="1" x14ac:dyDescent="0.35">
      <c r="A311" s="66">
        <v>6</v>
      </c>
      <c r="B311" s="66">
        <v>6</v>
      </c>
      <c r="C311" s="4" t="s">
        <v>186</v>
      </c>
      <c r="D311" s="159">
        <f>(93.72+3.44+2.81)*10.764</f>
        <v>1076.07708</v>
      </c>
      <c r="E311" s="160"/>
      <c r="F311" s="4">
        <v>0</v>
      </c>
      <c r="G311" s="4">
        <f t="shared" si="20"/>
        <v>1721.723328</v>
      </c>
      <c r="H311" s="4" t="s">
        <v>82</v>
      </c>
      <c r="I311" s="66"/>
      <c r="J311" s="66"/>
    </row>
    <row r="312" spans="1:11" s="3" customFormat="1" ht="15.75" customHeight="1" x14ac:dyDescent="0.35">
      <c r="A312" s="66">
        <v>7</v>
      </c>
      <c r="B312" s="66">
        <v>5</v>
      </c>
      <c r="C312" s="66" t="s">
        <v>214</v>
      </c>
      <c r="D312" s="66"/>
      <c r="E312" s="66"/>
      <c r="F312" s="66"/>
      <c r="G312" s="66"/>
      <c r="H312" s="66"/>
      <c r="I312" s="66"/>
      <c r="J312" s="66"/>
    </row>
    <row r="313" spans="1:11" s="3" customFormat="1" ht="15.75" customHeight="1" x14ac:dyDescent="0.35">
      <c r="A313" s="66">
        <v>8</v>
      </c>
      <c r="B313" s="66">
        <v>4</v>
      </c>
      <c r="C313" s="66"/>
      <c r="D313" s="66"/>
      <c r="E313" s="66"/>
      <c r="F313" s="66"/>
      <c r="G313" s="66"/>
      <c r="H313" s="66"/>
      <c r="I313" s="66"/>
      <c r="J313" s="66"/>
    </row>
    <row r="314" spans="1:11" s="3" customFormat="1" x14ac:dyDescent="0.35">
      <c r="A314" s="72" t="s">
        <v>188</v>
      </c>
      <c r="B314" s="72"/>
      <c r="C314" s="72"/>
      <c r="D314" s="72"/>
      <c r="E314" s="72"/>
      <c r="F314" s="72"/>
      <c r="G314" s="72"/>
      <c r="H314" s="72"/>
      <c r="I314" s="72"/>
      <c r="J314" s="72"/>
      <c r="K314" s="3">
        <v>7</v>
      </c>
    </row>
    <row r="315" spans="1:11" s="3" customFormat="1" x14ac:dyDescent="0.35">
      <c r="A315" s="66">
        <v>1</v>
      </c>
      <c r="B315" s="66"/>
      <c r="C315" s="4" t="s">
        <v>186</v>
      </c>
      <c r="D315" s="159">
        <f>(93.72+3.44+2.81)*10.764</f>
        <v>1076.07708</v>
      </c>
      <c r="E315" s="160"/>
      <c r="F315" s="4">
        <v>0</v>
      </c>
      <c r="G315" s="4">
        <f t="shared" ref="G315:G322" si="21">D315*1.6</f>
        <v>1721.723328</v>
      </c>
      <c r="H315" s="4" t="s">
        <v>82</v>
      </c>
      <c r="I315" s="66" t="str">
        <f>A314</f>
        <v>3rd to 7th, 9th, 10th Floor</v>
      </c>
      <c r="J315" s="66"/>
    </row>
    <row r="316" spans="1:11" s="3" customFormat="1" x14ac:dyDescent="0.35">
      <c r="A316" s="66">
        <v>2</v>
      </c>
      <c r="B316" s="66"/>
      <c r="C316" s="4" t="s">
        <v>187</v>
      </c>
      <c r="D316" s="66">
        <f>(68.36+2.65)*10.764</f>
        <v>764.35163999999997</v>
      </c>
      <c r="E316" s="66"/>
      <c r="F316" s="4">
        <v>0</v>
      </c>
      <c r="G316" s="4">
        <f t="shared" si="21"/>
        <v>1222.962624</v>
      </c>
      <c r="H316" s="4" t="s">
        <v>82</v>
      </c>
      <c r="I316" s="66"/>
      <c r="J316" s="66"/>
    </row>
    <row r="317" spans="1:11" s="3" customFormat="1" x14ac:dyDescent="0.35">
      <c r="A317" s="66">
        <v>3</v>
      </c>
      <c r="B317" s="66"/>
      <c r="C317" s="4" t="s">
        <v>187</v>
      </c>
      <c r="D317" s="66">
        <f>(68.34+2.49)*10.764</f>
        <v>762.41411999999991</v>
      </c>
      <c r="E317" s="66"/>
      <c r="F317" s="4">
        <v>0</v>
      </c>
      <c r="G317" s="4">
        <f t="shared" si="21"/>
        <v>1219.8625919999999</v>
      </c>
      <c r="H317" s="4" t="s">
        <v>82</v>
      </c>
      <c r="I317" s="66"/>
      <c r="J317" s="66"/>
    </row>
    <row r="318" spans="1:11" s="3" customFormat="1" x14ac:dyDescent="0.35">
      <c r="A318" s="66">
        <v>4</v>
      </c>
      <c r="B318" s="66">
        <v>5</v>
      </c>
      <c r="C318" s="4" t="s">
        <v>187</v>
      </c>
      <c r="D318" s="66">
        <f>(68.34+2.49)*10.764</f>
        <v>762.41411999999991</v>
      </c>
      <c r="E318" s="66"/>
      <c r="F318" s="4">
        <v>0</v>
      </c>
      <c r="G318" s="4">
        <f t="shared" si="21"/>
        <v>1219.8625919999999</v>
      </c>
      <c r="H318" s="4" t="s">
        <v>82</v>
      </c>
      <c r="I318" s="66"/>
      <c r="J318" s="66"/>
    </row>
    <row r="319" spans="1:11" s="3" customFormat="1" x14ac:dyDescent="0.35">
      <c r="A319" s="66">
        <v>5</v>
      </c>
      <c r="B319" s="66">
        <v>5</v>
      </c>
      <c r="C319" s="4" t="s">
        <v>187</v>
      </c>
      <c r="D319" s="66">
        <f>(68.36+2.65)*10.764</f>
        <v>764.35163999999997</v>
      </c>
      <c r="E319" s="66"/>
      <c r="F319" s="4">
        <v>0</v>
      </c>
      <c r="G319" s="4">
        <f t="shared" si="21"/>
        <v>1222.962624</v>
      </c>
      <c r="H319" s="4" t="s">
        <v>82</v>
      </c>
      <c r="I319" s="66"/>
      <c r="J319" s="66"/>
    </row>
    <row r="320" spans="1:11" s="3" customFormat="1" x14ac:dyDescent="0.35">
      <c r="A320" s="66">
        <v>6</v>
      </c>
      <c r="B320" s="66">
        <v>6</v>
      </c>
      <c r="C320" s="4" t="s">
        <v>186</v>
      </c>
      <c r="D320" s="159">
        <f>(93.72+3.44+2.81)*10.764</f>
        <v>1076.07708</v>
      </c>
      <c r="E320" s="160"/>
      <c r="F320" s="4">
        <v>0</v>
      </c>
      <c r="G320" s="4">
        <f t="shared" si="21"/>
        <v>1721.723328</v>
      </c>
      <c r="H320" s="4" t="s">
        <v>82</v>
      </c>
      <c r="I320" s="66"/>
      <c r="J320" s="66"/>
    </row>
    <row r="321" spans="1:11" s="3" customFormat="1" x14ac:dyDescent="0.35">
      <c r="A321" s="66">
        <v>7</v>
      </c>
      <c r="B321" s="66"/>
      <c r="C321" s="4" t="s">
        <v>186</v>
      </c>
      <c r="D321" s="159">
        <f>(92.07+3.6+2.48)*10.764</f>
        <v>1056.4866</v>
      </c>
      <c r="E321" s="160"/>
      <c r="F321" s="4">
        <v>0</v>
      </c>
      <c r="G321" s="4">
        <f t="shared" si="21"/>
        <v>1690.3785600000001</v>
      </c>
      <c r="H321" s="4" t="s">
        <v>82</v>
      </c>
      <c r="I321" s="66"/>
      <c r="J321" s="66"/>
    </row>
    <row r="322" spans="1:11" s="3" customFormat="1" x14ac:dyDescent="0.35">
      <c r="A322" s="66">
        <v>8</v>
      </c>
      <c r="B322" s="66"/>
      <c r="C322" s="4" t="s">
        <v>186</v>
      </c>
      <c r="D322" s="159">
        <f>(92.07+3.6+2.48)*10.764</f>
        <v>1056.4866</v>
      </c>
      <c r="E322" s="160"/>
      <c r="F322" s="4">
        <v>0</v>
      </c>
      <c r="G322" s="4">
        <f t="shared" si="21"/>
        <v>1690.3785600000001</v>
      </c>
      <c r="H322" s="4" t="s">
        <v>82</v>
      </c>
      <c r="I322" s="66"/>
      <c r="J322" s="66"/>
    </row>
    <row r="323" spans="1:11" s="3" customFormat="1" x14ac:dyDescent="0.35">
      <c r="A323" s="72" t="s">
        <v>215</v>
      </c>
      <c r="B323" s="72"/>
      <c r="C323" s="72"/>
      <c r="D323" s="72"/>
      <c r="E323" s="72"/>
      <c r="F323" s="72"/>
      <c r="G323" s="72"/>
      <c r="H323" s="72"/>
      <c r="I323" s="72"/>
      <c r="J323" s="72"/>
      <c r="K323" s="3">
        <v>1</v>
      </c>
    </row>
    <row r="324" spans="1:11" s="3" customFormat="1" ht="15.75" customHeight="1" x14ac:dyDescent="0.35">
      <c r="A324" s="66">
        <v>1</v>
      </c>
      <c r="B324" s="66"/>
      <c r="C324" s="4" t="s">
        <v>185</v>
      </c>
      <c r="D324" s="159">
        <f>(113.3+3.44+2.81)*10.764</f>
        <v>1286.8362</v>
      </c>
      <c r="E324" s="160"/>
      <c r="F324" s="4">
        <v>0</v>
      </c>
      <c r="G324" s="4">
        <f>D324*1.6</f>
        <v>2058.9379199999998</v>
      </c>
      <c r="H324" s="4" t="s">
        <v>82</v>
      </c>
      <c r="I324" s="66" t="str">
        <f>A323</f>
        <v>8th Floor (Part Refuge Area)</v>
      </c>
      <c r="J324" s="66"/>
    </row>
    <row r="325" spans="1:11" s="3" customFormat="1" x14ac:dyDescent="0.35">
      <c r="A325" s="66">
        <v>2</v>
      </c>
      <c r="B325" s="66"/>
      <c r="C325" s="66" t="s">
        <v>216</v>
      </c>
      <c r="D325" s="66"/>
      <c r="E325" s="66"/>
      <c r="F325" s="66"/>
      <c r="G325" s="66"/>
      <c r="H325" s="4" t="s">
        <v>82</v>
      </c>
      <c r="I325" s="66"/>
      <c r="J325" s="66"/>
    </row>
    <row r="326" spans="1:11" s="3" customFormat="1" x14ac:dyDescent="0.35">
      <c r="A326" s="66">
        <v>3</v>
      </c>
      <c r="B326" s="66"/>
      <c r="C326" s="66" t="s">
        <v>216</v>
      </c>
      <c r="D326" s="66"/>
      <c r="E326" s="66"/>
      <c r="F326" s="66"/>
      <c r="G326" s="66"/>
      <c r="H326" s="4" t="s">
        <v>82</v>
      </c>
      <c r="I326" s="66"/>
      <c r="J326" s="66"/>
    </row>
    <row r="327" spans="1:11" s="3" customFormat="1" x14ac:dyDescent="0.35">
      <c r="A327" s="66">
        <v>4</v>
      </c>
      <c r="B327" s="66">
        <v>5</v>
      </c>
      <c r="C327" s="66" t="s">
        <v>216</v>
      </c>
      <c r="D327" s="66"/>
      <c r="E327" s="66"/>
      <c r="F327" s="66"/>
      <c r="G327" s="66"/>
      <c r="H327" s="4" t="s">
        <v>82</v>
      </c>
      <c r="I327" s="66"/>
      <c r="J327" s="66"/>
    </row>
    <row r="328" spans="1:11" s="3" customFormat="1" x14ac:dyDescent="0.35">
      <c r="A328" s="66">
        <v>5</v>
      </c>
      <c r="B328" s="66">
        <v>5</v>
      </c>
      <c r="C328" s="4" t="s">
        <v>187</v>
      </c>
      <c r="D328" s="66">
        <f>(68.36+2.65)*10.764</f>
        <v>764.35163999999997</v>
      </c>
      <c r="E328" s="66"/>
      <c r="F328" s="4">
        <v>0</v>
      </c>
      <c r="G328" s="4">
        <f t="shared" ref="G328:G331" si="22">D328*1.6</f>
        <v>1222.962624</v>
      </c>
      <c r="H328" s="4" t="s">
        <v>82</v>
      </c>
      <c r="I328" s="66"/>
      <c r="J328" s="66"/>
    </row>
    <row r="329" spans="1:11" s="3" customFormat="1" x14ac:dyDescent="0.35">
      <c r="A329" s="66">
        <v>6</v>
      </c>
      <c r="B329" s="66">
        <v>6</v>
      </c>
      <c r="C329" s="4" t="s">
        <v>186</v>
      </c>
      <c r="D329" s="159">
        <f>(93.72+3.44+2.81)*10.764</f>
        <v>1076.07708</v>
      </c>
      <c r="E329" s="160"/>
      <c r="F329" s="4">
        <v>0</v>
      </c>
      <c r="G329" s="4">
        <f t="shared" si="22"/>
        <v>1721.723328</v>
      </c>
      <c r="H329" s="4" t="s">
        <v>82</v>
      </c>
      <c r="I329" s="66" t="str">
        <f>I324</f>
        <v>8th Floor (Part Refuge Area)</v>
      </c>
      <c r="J329" s="66"/>
    </row>
    <row r="330" spans="1:11" s="3" customFormat="1" x14ac:dyDescent="0.35">
      <c r="A330" s="66">
        <v>7</v>
      </c>
      <c r="B330" s="66"/>
      <c r="C330" s="4" t="s">
        <v>186</v>
      </c>
      <c r="D330" s="159">
        <f>(92.07+3.6+2.48)*10.764</f>
        <v>1056.4866</v>
      </c>
      <c r="E330" s="160"/>
      <c r="F330" s="4">
        <v>0</v>
      </c>
      <c r="G330" s="4">
        <f t="shared" si="22"/>
        <v>1690.3785600000001</v>
      </c>
      <c r="H330" s="4" t="s">
        <v>82</v>
      </c>
      <c r="I330" s="66"/>
      <c r="J330" s="66"/>
    </row>
    <row r="331" spans="1:11" s="3" customFormat="1" x14ac:dyDescent="0.35">
      <c r="A331" s="66">
        <v>8</v>
      </c>
      <c r="B331" s="66"/>
      <c r="C331" s="4" t="s">
        <v>186</v>
      </c>
      <c r="D331" s="159">
        <f>(92.07+3.6+2.48)*10.764</f>
        <v>1056.4866</v>
      </c>
      <c r="E331" s="160"/>
      <c r="F331" s="4">
        <v>0</v>
      </c>
      <c r="G331" s="4">
        <f t="shared" si="22"/>
        <v>1690.3785600000001</v>
      </c>
      <c r="H331" s="4" t="s">
        <v>82</v>
      </c>
      <c r="I331" s="66"/>
      <c r="J331" s="66"/>
    </row>
    <row r="332" spans="1:11" s="3" customFormat="1" x14ac:dyDescent="0.35">
      <c r="A332" s="72" t="s">
        <v>191</v>
      </c>
      <c r="B332" s="72"/>
      <c r="C332" s="72"/>
      <c r="D332" s="72"/>
      <c r="E332" s="72"/>
      <c r="F332" s="72"/>
      <c r="G332" s="72"/>
      <c r="H332" s="72"/>
      <c r="I332" s="72"/>
      <c r="J332" s="72"/>
      <c r="K332" s="3">
        <v>1</v>
      </c>
    </row>
    <row r="333" spans="1:11" s="3" customFormat="1" x14ac:dyDescent="0.35">
      <c r="A333" s="66">
        <v>1</v>
      </c>
      <c r="B333" s="66"/>
      <c r="C333" s="4" t="s">
        <v>186</v>
      </c>
      <c r="D333" s="159">
        <f>(93.72+3.44+2.81)*10.764</f>
        <v>1076.07708</v>
      </c>
      <c r="E333" s="160"/>
      <c r="F333" s="4">
        <v>0</v>
      </c>
      <c r="G333" s="4">
        <f t="shared" ref="G333:G340" si="23">D333*1.6</f>
        <v>1721.723328</v>
      </c>
      <c r="H333" s="4" t="s">
        <v>82</v>
      </c>
      <c r="I333" s="66" t="str">
        <f>A332</f>
        <v>11th Floor</v>
      </c>
      <c r="J333" s="66"/>
    </row>
    <row r="334" spans="1:11" s="3" customFormat="1" x14ac:dyDescent="0.35">
      <c r="A334" s="66">
        <v>2</v>
      </c>
      <c r="B334" s="66"/>
      <c r="C334" s="4" t="s">
        <v>187</v>
      </c>
      <c r="D334" s="66">
        <f>(68.36+2.65)*10.764</f>
        <v>764.35163999999997</v>
      </c>
      <c r="E334" s="66"/>
      <c r="F334" s="4">
        <v>0</v>
      </c>
      <c r="G334" s="4">
        <f t="shared" si="23"/>
        <v>1222.962624</v>
      </c>
      <c r="H334" s="4" t="s">
        <v>82</v>
      </c>
      <c r="I334" s="66"/>
      <c r="J334" s="66"/>
    </row>
    <row r="335" spans="1:11" s="3" customFormat="1" x14ac:dyDescent="0.35">
      <c r="A335" s="66">
        <v>3</v>
      </c>
      <c r="B335" s="66"/>
      <c r="C335" s="4" t="s">
        <v>187</v>
      </c>
      <c r="D335" s="66">
        <f>(68.34+2.49)*10.764</f>
        <v>762.41411999999991</v>
      </c>
      <c r="E335" s="66"/>
      <c r="F335" s="4">
        <v>0</v>
      </c>
      <c r="G335" s="4">
        <f t="shared" si="23"/>
        <v>1219.8625919999999</v>
      </c>
      <c r="H335" s="4" t="s">
        <v>82</v>
      </c>
      <c r="I335" s="66"/>
      <c r="J335" s="66"/>
    </row>
    <row r="336" spans="1:11" s="3" customFormat="1" x14ac:dyDescent="0.35">
      <c r="A336" s="66">
        <v>4</v>
      </c>
      <c r="B336" s="66">
        <v>5</v>
      </c>
      <c r="C336" s="4" t="s">
        <v>187</v>
      </c>
      <c r="D336" s="66">
        <f>(68.34+2.49)*10.764</f>
        <v>762.41411999999991</v>
      </c>
      <c r="E336" s="66"/>
      <c r="F336" s="4">
        <v>0</v>
      </c>
      <c r="G336" s="4">
        <f t="shared" si="23"/>
        <v>1219.8625919999999</v>
      </c>
      <c r="H336" s="4" t="s">
        <v>82</v>
      </c>
      <c r="I336" s="66"/>
      <c r="J336" s="66"/>
    </row>
    <row r="337" spans="1:12" s="3" customFormat="1" x14ac:dyDescent="0.35">
      <c r="A337" s="66">
        <v>5</v>
      </c>
      <c r="B337" s="66">
        <v>5</v>
      </c>
      <c r="C337" s="4" t="s">
        <v>187</v>
      </c>
      <c r="D337" s="66">
        <f>(68.36+2.65)*10.764</f>
        <v>764.35163999999997</v>
      </c>
      <c r="E337" s="66"/>
      <c r="F337" s="4">
        <v>0</v>
      </c>
      <c r="G337" s="4">
        <f t="shared" si="23"/>
        <v>1222.962624</v>
      </c>
      <c r="H337" s="4" t="s">
        <v>82</v>
      </c>
      <c r="I337" s="66"/>
      <c r="J337" s="66"/>
    </row>
    <row r="338" spans="1:12" s="3" customFormat="1" x14ac:dyDescent="0.35">
      <c r="A338" s="66">
        <v>6</v>
      </c>
      <c r="B338" s="66">
        <v>6</v>
      </c>
      <c r="C338" s="4" t="s">
        <v>186</v>
      </c>
      <c r="D338" s="159">
        <f>(93.72+3.44+2.81)*10.764</f>
        <v>1076.07708</v>
      </c>
      <c r="E338" s="160"/>
      <c r="F338" s="4">
        <v>0</v>
      </c>
      <c r="G338" s="4">
        <f t="shared" si="23"/>
        <v>1721.723328</v>
      </c>
      <c r="H338" s="4" t="s">
        <v>82</v>
      </c>
      <c r="I338" s="66"/>
      <c r="J338" s="66"/>
    </row>
    <row r="339" spans="1:12" s="3" customFormat="1" x14ac:dyDescent="0.35">
      <c r="A339" s="66">
        <v>7</v>
      </c>
      <c r="B339" s="66"/>
      <c r="C339" s="4" t="s">
        <v>186</v>
      </c>
      <c r="D339" s="159">
        <f>(92.07+3.6+2.48)*10.764</f>
        <v>1056.4866</v>
      </c>
      <c r="E339" s="160"/>
      <c r="F339" s="4">
        <v>0</v>
      </c>
      <c r="G339" s="4">
        <f t="shared" si="23"/>
        <v>1690.3785600000001</v>
      </c>
      <c r="H339" s="4" t="s">
        <v>82</v>
      </c>
      <c r="I339" s="66"/>
      <c r="J339" s="66"/>
    </row>
    <row r="340" spans="1:12" s="3" customFormat="1" x14ac:dyDescent="0.35">
      <c r="A340" s="66">
        <v>8</v>
      </c>
      <c r="B340" s="66"/>
      <c r="C340" s="4" t="s">
        <v>186</v>
      </c>
      <c r="D340" s="159">
        <f>(92.07+3.6+2.48)*10.764</f>
        <v>1056.4866</v>
      </c>
      <c r="E340" s="160"/>
      <c r="F340" s="4">
        <v>0</v>
      </c>
      <c r="G340" s="4">
        <f t="shared" si="23"/>
        <v>1690.3785600000001</v>
      </c>
      <c r="H340" s="4" t="s">
        <v>82</v>
      </c>
      <c r="I340" s="66"/>
      <c r="J340" s="66"/>
    </row>
    <row r="341" spans="1:12" s="3" customFormat="1" x14ac:dyDescent="0.35">
      <c r="A341" s="72" t="s">
        <v>193</v>
      </c>
      <c r="B341" s="72"/>
      <c r="C341" s="72"/>
      <c r="D341" s="72"/>
      <c r="E341" s="72"/>
      <c r="F341" s="72"/>
      <c r="G341" s="72"/>
      <c r="H341" s="72"/>
      <c r="I341" s="72"/>
      <c r="J341" s="72"/>
      <c r="K341" s="3">
        <v>14</v>
      </c>
    </row>
    <row r="342" spans="1:12" s="3" customFormat="1" x14ac:dyDescent="0.35">
      <c r="A342" s="66">
        <v>1</v>
      </c>
      <c r="B342" s="66"/>
      <c r="C342" s="4" t="s">
        <v>186</v>
      </c>
      <c r="D342" s="159">
        <f>(94.08+3.44+2.86)*10.764</f>
        <v>1080.4903199999999</v>
      </c>
      <c r="E342" s="160"/>
      <c r="F342" s="4">
        <v>0</v>
      </c>
      <c r="G342" s="4">
        <f t="shared" ref="G342:G349" si="24">D342*1.6</f>
        <v>1728.7845119999999</v>
      </c>
      <c r="H342" s="4" t="s">
        <v>82</v>
      </c>
      <c r="I342" s="66" t="str">
        <f>A341</f>
        <v>12th to 14th, 16th to 21st, 23rd to 27th Floor</v>
      </c>
      <c r="J342" s="66"/>
    </row>
    <row r="343" spans="1:12" s="3" customFormat="1" x14ac:dyDescent="0.35">
      <c r="A343" s="66">
        <v>2</v>
      </c>
      <c r="B343" s="66"/>
      <c r="C343" s="4" t="s">
        <v>187</v>
      </c>
      <c r="D343" s="66">
        <f>(68.66+2.71)*10.764</f>
        <v>768.22667999999987</v>
      </c>
      <c r="E343" s="66"/>
      <c r="F343" s="4">
        <v>0</v>
      </c>
      <c r="G343" s="4">
        <f t="shared" si="24"/>
        <v>1229.1626879999999</v>
      </c>
      <c r="H343" s="4" t="s">
        <v>82</v>
      </c>
      <c r="I343" s="66"/>
      <c r="J343" s="66"/>
    </row>
    <row r="344" spans="1:12" s="3" customFormat="1" x14ac:dyDescent="0.35">
      <c r="A344" s="66">
        <v>3</v>
      </c>
      <c r="B344" s="66"/>
      <c r="C344" s="4" t="s">
        <v>187</v>
      </c>
      <c r="D344" s="66">
        <f>(69.04+2.6)*10.764</f>
        <v>771.13295999999991</v>
      </c>
      <c r="E344" s="66"/>
      <c r="F344" s="4">
        <v>0</v>
      </c>
      <c r="G344" s="4">
        <f t="shared" si="24"/>
        <v>1233.8127359999999</v>
      </c>
      <c r="H344" s="4" t="s">
        <v>82</v>
      </c>
      <c r="I344" s="66"/>
      <c r="J344" s="66"/>
    </row>
    <row r="345" spans="1:12" s="3" customFormat="1" x14ac:dyDescent="0.35">
      <c r="A345" s="66">
        <v>4</v>
      </c>
      <c r="B345" s="66">
        <v>5</v>
      </c>
      <c r="C345" s="4" t="s">
        <v>187</v>
      </c>
      <c r="D345" s="66">
        <f>(69.04+2.6)*10.764</f>
        <v>771.13295999999991</v>
      </c>
      <c r="E345" s="66"/>
      <c r="F345" s="4">
        <v>0</v>
      </c>
      <c r="G345" s="4">
        <f t="shared" si="24"/>
        <v>1233.8127359999999</v>
      </c>
      <c r="H345" s="4" t="s">
        <v>82</v>
      </c>
      <c r="I345" s="66"/>
      <c r="J345" s="66"/>
    </row>
    <row r="346" spans="1:12" s="3" customFormat="1" x14ac:dyDescent="0.35">
      <c r="A346" s="66">
        <v>5</v>
      </c>
      <c r="B346" s="66">
        <v>5</v>
      </c>
      <c r="C346" s="4" t="s">
        <v>187</v>
      </c>
      <c r="D346" s="66">
        <f>(68.66+2.71)*10.764</f>
        <v>768.22667999999987</v>
      </c>
      <c r="E346" s="66"/>
      <c r="F346" s="4">
        <v>0</v>
      </c>
      <c r="G346" s="4">
        <f t="shared" si="24"/>
        <v>1229.1626879999999</v>
      </c>
      <c r="H346" s="4" t="s">
        <v>82</v>
      </c>
      <c r="I346" s="66"/>
      <c r="J346" s="66"/>
    </row>
    <row r="347" spans="1:12" s="3" customFormat="1" x14ac:dyDescent="0.35">
      <c r="A347" s="66">
        <v>6</v>
      </c>
      <c r="B347" s="66">
        <v>6</v>
      </c>
      <c r="C347" s="4" t="s">
        <v>186</v>
      </c>
      <c r="D347" s="159">
        <f>(94.08+3.44+2.86)*10.764</f>
        <v>1080.4903199999999</v>
      </c>
      <c r="E347" s="160"/>
      <c r="F347" s="4">
        <v>0</v>
      </c>
      <c r="G347" s="4">
        <f t="shared" si="24"/>
        <v>1728.7845119999999</v>
      </c>
      <c r="H347" s="4" t="s">
        <v>82</v>
      </c>
      <c r="I347" s="66"/>
      <c r="J347" s="66"/>
    </row>
    <row r="348" spans="1:12" s="3" customFormat="1" x14ac:dyDescent="0.35">
      <c r="A348" s="66">
        <v>7</v>
      </c>
      <c r="B348" s="66"/>
      <c r="C348" s="4" t="s">
        <v>186</v>
      </c>
      <c r="D348" s="159">
        <f>(92.52+3.6+2.58)*10.764</f>
        <v>1062.4067999999997</v>
      </c>
      <c r="E348" s="160"/>
      <c r="F348" s="4">
        <v>0</v>
      </c>
      <c r="G348" s="4">
        <f t="shared" si="24"/>
        <v>1699.8508799999997</v>
      </c>
      <c r="H348" s="4" t="s">
        <v>82</v>
      </c>
      <c r="I348" s="66"/>
      <c r="J348" s="66"/>
      <c r="K348" s="3">
        <f>(51682056-L348)/G348</f>
        <v>29413.876368261201</v>
      </c>
      <c r="L348" s="3">
        <f>G348*11*90</f>
        <v>1682852.3711999997</v>
      </c>
    </row>
    <row r="349" spans="1:12" s="3" customFormat="1" x14ac:dyDescent="0.35">
      <c r="A349" s="66">
        <v>8</v>
      </c>
      <c r="B349" s="66"/>
      <c r="C349" s="4" t="s">
        <v>186</v>
      </c>
      <c r="D349" s="159">
        <f>(92.52+3.6+2.58)*10.764</f>
        <v>1062.4067999999997</v>
      </c>
      <c r="E349" s="160"/>
      <c r="F349" s="4">
        <v>0</v>
      </c>
      <c r="G349" s="4">
        <f t="shared" si="24"/>
        <v>1699.8508799999997</v>
      </c>
      <c r="H349" s="4" t="s">
        <v>82</v>
      </c>
      <c r="I349" s="66"/>
      <c r="J349" s="66"/>
    </row>
    <row r="350" spans="1:12" s="3" customFormat="1" x14ac:dyDescent="0.35">
      <c r="A350" s="72" t="s">
        <v>221</v>
      </c>
      <c r="B350" s="72"/>
      <c r="C350" s="72"/>
      <c r="D350" s="72"/>
      <c r="E350" s="72"/>
      <c r="F350" s="72"/>
      <c r="G350" s="72"/>
      <c r="H350" s="72"/>
      <c r="I350" s="72"/>
      <c r="J350" s="72"/>
    </row>
    <row r="351" spans="1:12" s="3" customFormat="1" x14ac:dyDescent="0.35">
      <c r="A351" s="66">
        <v>1</v>
      </c>
      <c r="B351" s="66"/>
      <c r="C351" s="4" t="s">
        <v>185</v>
      </c>
      <c r="D351" s="159">
        <f>(113.79+3.44+2.86)*10.764</f>
        <v>1292.64876</v>
      </c>
      <c r="E351" s="160"/>
      <c r="F351" s="4">
        <v>0</v>
      </c>
      <c r="G351" s="4">
        <f>D351*1.6</f>
        <v>2068.2380160000002</v>
      </c>
      <c r="H351" s="4" t="s">
        <v>82</v>
      </c>
      <c r="I351" s="66" t="str">
        <f>A350</f>
        <v>15th &amp; 22nd Floor (Part Refuge Area)</v>
      </c>
      <c r="J351" s="66"/>
    </row>
    <row r="352" spans="1:12" s="3" customFormat="1" x14ac:dyDescent="0.35">
      <c r="A352" s="66">
        <v>2</v>
      </c>
      <c r="B352" s="66"/>
      <c r="C352" s="66" t="s">
        <v>216</v>
      </c>
      <c r="D352" s="66"/>
      <c r="E352" s="66"/>
      <c r="F352" s="66"/>
      <c r="G352" s="66"/>
      <c r="H352" s="4" t="s">
        <v>82</v>
      </c>
      <c r="I352" s="66"/>
      <c r="J352" s="66"/>
    </row>
    <row r="353" spans="1:10" s="3" customFormat="1" x14ac:dyDescent="0.35">
      <c r="A353" s="66">
        <v>3</v>
      </c>
      <c r="B353" s="66"/>
      <c r="C353" s="66" t="s">
        <v>216</v>
      </c>
      <c r="D353" s="66"/>
      <c r="E353" s="66"/>
      <c r="F353" s="66"/>
      <c r="G353" s="66"/>
      <c r="H353" s="4" t="s">
        <v>82</v>
      </c>
      <c r="I353" s="66"/>
      <c r="J353" s="66"/>
    </row>
    <row r="354" spans="1:10" s="3" customFormat="1" x14ac:dyDescent="0.35">
      <c r="A354" s="66">
        <v>4</v>
      </c>
      <c r="B354" s="66">
        <v>5</v>
      </c>
      <c r="C354" s="66" t="s">
        <v>216</v>
      </c>
      <c r="D354" s="66"/>
      <c r="E354" s="66"/>
      <c r="F354" s="66"/>
      <c r="G354" s="66"/>
      <c r="H354" s="4" t="s">
        <v>82</v>
      </c>
      <c r="I354" s="66"/>
      <c r="J354" s="66"/>
    </row>
    <row r="355" spans="1:10" s="3" customFormat="1" x14ac:dyDescent="0.35">
      <c r="A355" s="66">
        <v>5</v>
      </c>
      <c r="B355" s="66">
        <v>5</v>
      </c>
      <c r="C355" s="4" t="s">
        <v>187</v>
      </c>
      <c r="D355" s="66">
        <f>(68.66+2.71)*10.764</f>
        <v>768.22667999999987</v>
      </c>
      <c r="E355" s="66"/>
      <c r="F355" s="4">
        <v>0</v>
      </c>
      <c r="G355" s="4">
        <f t="shared" ref="G355:G358" si="25">D355*1.6</f>
        <v>1229.1626879999999</v>
      </c>
      <c r="H355" s="4" t="s">
        <v>82</v>
      </c>
      <c r="I355" s="66"/>
      <c r="J355" s="66"/>
    </row>
    <row r="356" spans="1:10" s="3" customFormat="1" x14ac:dyDescent="0.35">
      <c r="A356" s="66">
        <v>6</v>
      </c>
      <c r="B356" s="66">
        <v>6</v>
      </c>
      <c r="C356" s="4" t="s">
        <v>186</v>
      </c>
      <c r="D356" s="159">
        <f>(94.08+3.44+2.86)*10.764</f>
        <v>1080.4903199999999</v>
      </c>
      <c r="E356" s="160"/>
      <c r="F356" s="4">
        <v>0</v>
      </c>
      <c r="G356" s="4">
        <f t="shared" si="25"/>
        <v>1728.7845119999999</v>
      </c>
      <c r="H356" s="4" t="s">
        <v>82</v>
      </c>
      <c r="I356" s="66"/>
      <c r="J356" s="66"/>
    </row>
    <row r="357" spans="1:10" s="3" customFormat="1" x14ac:dyDescent="0.35">
      <c r="A357" s="66">
        <v>7</v>
      </c>
      <c r="B357" s="66"/>
      <c r="C357" s="4" t="s">
        <v>186</v>
      </c>
      <c r="D357" s="159">
        <f>(92.52+3.6+2.58)*10.764</f>
        <v>1062.4067999999997</v>
      </c>
      <c r="E357" s="160"/>
      <c r="F357" s="4">
        <v>0</v>
      </c>
      <c r="G357" s="4">
        <f t="shared" si="25"/>
        <v>1699.8508799999997</v>
      </c>
      <c r="H357" s="4" t="s">
        <v>82</v>
      </c>
      <c r="I357" s="66"/>
      <c r="J357" s="66"/>
    </row>
    <row r="358" spans="1:10" s="3" customFormat="1" x14ac:dyDescent="0.35">
      <c r="A358" s="66">
        <v>8</v>
      </c>
      <c r="B358" s="66"/>
      <c r="C358" s="4" t="s">
        <v>186</v>
      </c>
      <c r="D358" s="159">
        <f>(92.52+3.6+2.58)*10.764</f>
        <v>1062.4067999999997</v>
      </c>
      <c r="E358" s="160"/>
      <c r="F358" s="4">
        <v>0</v>
      </c>
      <c r="G358" s="4">
        <f t="shared" si="25"/>
        <v>1699.8508799999997</v>
      </c>
      <c r="H358" s="4" t="s">
        <v>82</v>
      </c>
      <c r="I358" s="66"/>
      <c r="J358" s="66"/>
    </row>
    <row r="359" spans="1:10" s="3" customFormat="1" x14ac:dyDescent="0.35">
      <c r="A359" s="72" t="s">
        <v>192</v>
      </c>
      <c r="B359" s="72"/>
      <c r="C359" s="72"/>
      <c r="D359" s="72"/>
      <c r="E359" s="72"/>
      <c r="F359" s="72"/>
      <c r="G359" s="72"/>
      <c r="H359" s="72"/>
      <c r="I359" s="72"/>
      <c r="J359" s="72"/>
    </row>
    <row r="360" spans="1:10" s="3" customFormat="1" x14ac:dyDescent="0.35">
      <c r="A360" s="66">
        <v>1</v>
      </c>
      <c r="B360" s="66"/>
      <c r="C360" s="4" t="s">
        <v>186</v>
      </c>
      <c r="D360" s="159">
        <f>(94.08+3.44+2.86)*10.764</f>
        <v>1080.4903199999999</v>
      </c>
      <c r="E360" s="160"/>
      <c r="F360" s="4">
        <v>0</v>
      </c>
      <c r="G360" s="4">
        <f t="shared" ref="G360:G367" si="26">D360*1.6</f>
        <v>1728.7845119999999</v>
      </c>
      <c r="H360" s="4" t="s">
        <v>82</v>
      </c>
      <c r="I360" s="66" t="str">
        <f>A359</f>
        <v>28th, 30th &amp; 31st Floor</v>
      </c>
      <c r="J360" s="66"/>
    </row>
    <row r="361" spans="1:10" s="3" customFormat="1" x14ac:dyDescent="0.35">
      <c r="A361" s="66">
        <v>2</v>
      </c>
      <c r="B361" s="66"/>
      <c r="C361" s="4" t="s">
        <v>187</v>
      </c>
      <c r="D361" s="66">
        <f>(68.66+2.71)*10.764</f>
        <v>768.22667999999987</v>
      </c>
      <c r="E361" s="66"/>
      <c r="F361" s="4">
        <v>0</v>
      </c>
      <c r="G361" s="4">
        <f t="shared" si="26"/>
        <v>1229.1626879999999</v>
      </c>
      <c r="H361" s="4" t="s">
        <v>82</v>
      </c>
      <c r="I361" s="66"/>
      <c r="J361" s="66"/>
    </row>
    <row r="362" spans="1:10" s="3" customFormat="1" x14ac:dyDescent="0.35">
      <c r="A362" s="66">
        <v>3</v>
      </c>
      <c r="B362" s="66"/>
      <c r="C362" s="4" t="s">
        <v>187</v>
      </c>
      <c r="D362" s="66">
        <f>(69.04+2.6)*10.764</f>
        <v>771.13295999999991</v>
      </c>
      <c r="E362" s="66"/>
      <c r="F362" s="4">
        <v>0</v>
      </c>
      <c r="G362" s="4">
        <f t="shared" si="26"/>
        <v>1233.8127359999999</v>
      </c>
      <c r="H362" s="4" t="s">
        <v>82</v>
      </c>
      <c r="I362" s="66"/>
      <c r="J362" s="66"/>
    </row>
    <row r="363" spans="1:10" s="3" customFormat="1" x14ac:dyDescent="0.35">
      <c r="A363" s="66">
        <v>4</v>
      </c>
      <c r="B363" s="66">
        <v>5</v>
      </c>
      <c r="C363" s="4" t="s">
        <v>187</v>
      </c>
      <c r="D363" s="66">
        <f>(69.04+2.6)*10.764</f>
        <v>771.13295999999991</v>
      </c>
      <c r="E363" s="66"/>
      <c r="F363" s="4">
        <v>0</v>
      </c>
      <c r="G363" s="4">
        <f t="shared" si="26"/>
        <v>1233.8127359999999</v>
      </c>
      <c r="H363" s="4" t="s">
        <v>82</v>
      </c>
      <c r="I363" s="66"/>
      <c r="J363" s="66"/>
    </row>
    <row r="364" spans="1:10" s="3" customFormat="1" x14ac:dyDescent="0.35">
      <c r="A364" s="66">
        <v>5</v>
      </c>
      <c r="B364" s="66">
        <v>5</v>
      </c>
      <c r="C364" s="4" t="s">
        <v>187</v>
      </c>
      <c r="D364" s="66">
        <f>(68.66+2.71)*10.764</f>
        <v>768.22667999999987</v>
      </c>
      <c r="E364" s="66"/>
      <c r="F364" s="4">
        <v>0</v>
      </c>
      <c r="G364" s="4">
        <f t="shared" si="26"/>
        <v>1229.1626879999999</v>
      </c>
      <c r="H364" s="4" t="s">
        <v>82</v>
      </c>
      <c r="I364" s="66"/>
      <c r="J364" s="66"/>
    </row>
    <row r="365" spans="1:10" s="3" customFormat="1" x14ac:dyDescent="0.35">
      <c r="A365" s="66">
        <v>6</v>
      </c>
      <c r="B365" s="66">
        <v>6</v>
      </c>
      <c r="C365" s="4" t="s">
        <v>186</v>
      </c>
      <c r="D365" s="159">
        <f>(94.08+3.44+2.86)*10.764</f>
        <v>1080.4903199999999</v>
      </c>
      <c r="E365" s="160"/>
      <c r="F365" s="4">
        <v>0</v>
      </c>
      <c r="G365" s="4">
        <f t="shared" si="26"/>
        <v>1728.7845119999999</v>
      </c>
      <c r="H365" s="4" t="s">
        <v>82</v>
      </c>
      <c r="I365" s="66"/>
      <c r="J365" s="66"/>
    </row>
    <row r="366" spans="1:10" s="3" customFormat="1" x14ac:dyDescent="0.35">
      <c r="A366" s="66">
        <v>7</v>
      </c>
      <c r="B366" s="66"/>
      <c r="C366" s="4" t="s">
        <v>186</v>
      </c>
      <c r="D366" s="159">
        <f>(92.52+3.6+2.58)*10.764</f>
        <v>1062.4067999999997</v>
      </c>
      <c r="E366" s="160"/>
      <c r="F366" s="4">
        <v>0</v>
      </c>
      <c r="G366" s="4">
        <f t="shared" si="26"/>
        <v>1699.8508799999997</v>
      </c>
      <c r="H366" s="4" t="s">
        <v>82</v>
      </c>
      <c r="I366" s="66"/>
      <c r="J366" s="66"/>
    </row>
    <row r="367" spans="1:10" s="3" customFormat="1" x14ac:dyDescent="0.35">
      <c r="A367" s="66">
        <v>8</v>
      </c>
      <c r="B367" s="66"/>
      <c r="C367" s="4" t="s">
        <v>186</v>
      </c>
      <c r="D367" s="159">
        <f>(92.52+3.6+2.58)*10.764</f>
        <v>1062.4067999999997</v>
      </c>
      <c r="E367" s="160"/>
      <c r="F367" s="4">
        <v>0</v>
      </c>
      <c r="G367" s="4">
        <f t="shared" si="26"/>
        <v>1699.8508799999997</v>
      </c>
      <c r="H367" s="4" t="s">
        <v>82</v>
      </c>
      <c r="I367" s="66"/>
      <c r="J367" s="66"/>
    </row>
    <row r="368" spans="1:10" s="3" customFormat="1" x14ac:dyDescent="0.35">
      <c r="A368" s="72" t="s">
        <v>225</v>
      </c>
      <c r="B368" s="72"/>
      <c r="C368" s="72"/>
      <c r="D368" s="72"/>
      <c r="E368" s="72"/>
      <c r="F368" s="72"/>
      <c r="G368" s="72"/>
      <c r="H368" s="72"/>
      <c r="I368" s="72"/>
      <c r="J368" s="72"/>
    </row>
    <row r="369" spans="1:10" s="3" customFormat="1" x14ac:dyDescent="0.35">
      <c r="A369" s="72" t="s">
        <v>220</v>
      </c>
      <c r="B369" s="72"/>
      <c r="C369" s="72"/>
      <c r="D369" s="72"/>
      <c r="E369" s="72"/>
      <c r="F369" s="72"/>
      <c r="G369" s="72"/>
      <c r="H369" s="72"/>
      <c r="I369" s="72"/>
      <c r="J369" s="72"/>
    </row>
    <row r="370" spans="1:10" s="3" customFormat="1" x14ac:dyDescent="0.35">
      <c r="A370" s="66">
        <v>1</v>
      </c>
      <c r="B370" s="66"/>
      <c r="C370" s="4" t="s">
        <v>185</v>
      </c>
      <c r="D370" s="159">
        <f>(113.79+3.44+2.86)*10.764</f>
        <v>1292.64876</v>
      </c>
      <c r="E370" s="160"/>
      <c r="F370" s="4">
        <v>0</v>
      </c>
      <c r="G370" s="4">
        <f>D370*1.6</f>
        <v>2068.2380160000002</v>
      </c>
      <c r="H370" s="4" t="s">
        <v>82</v>
      </c>
      <c r="I370" s="66" t="str">
        <f>A369</f>
        <v>29th Floor (Part Refuge Area)</v>
      </c>
      <c r="J370" s="66"/>
    </row>
    <row r="371" spans="1:10" s="3" customFormat="1" x14ac:dyDescent="0.35">
      <c r="A371" s="66">
        <v>2</v>
      </c>
      <c r="B371" s="66"/>
      <c r="C371" s="66" t="s">
        <v>216</v>
      </c>
      <c r="D371" s="66"/>
      <c r="E371" s="66"/>
      <c r="F371" s="66"/>
      <c r="G371" s="66"/>
      <c r="H371" s="4" t="s">
        <v>82</v>
      </c>
      <c r="I371" s="66"/>
      <c r="J371" s="66"/>
    </row>
    <row r="372" spans="1:10" s="3" customFormat="1" x14ac:dyDescent="0.35">
      <c r="A372" s="66">
        <v>3</v>
      </c>
      <c r="B372" s="66"/>
      <c r="C372" s="66" t="s">
        <v>216</v>
      </c>
      <c r="D372" s="66"/>
      <c r="E372" s="66"/>
      <c r="F372" s="66"/>
      <c r="G372" s="66"/>
      <c r="H372" s="4" t="s">
        <v>82</v>
      </c>
      <c r="I372" s="66"/>
      <c r="J372" s="66"/>
    </row>
    <row r="373" spans="1:10" s="3" customFormat="1" x14ac:dyDescent="0.35">
      <c r="A373" s="66">
        <v>4</v>
      </c>
      <c r="B373" s="66">
        <v>5</v>
      </c>
      <c r="C373" s="66" t="s">
        <v>216</v>
      </c>
      <c r="D373" s="66"/>
      <c r="E373" s="66"/>
      <c r="F373" s="66"/>
      <c r="G373" s="66"/>
      <c r="H373" s="4" t="s">
        <v>82</v>
      </c>
      <c r="I373" s="66"/>
      <c r="J373" s="66"/>
    </row>
    <row r="374" spans="1:10" s="3" customFormat="1" x14ac:dyDescent="0.35">
      <c r="A374" s="66">
        <v>5</v>
      </c>
      <c r="B374" s="66">
        <v>5</v>
      </c>
      <c r="C374" s="4" t="s">
        <v>187</v>
      </c>
      <c r="D374" s="66">
        <f>(68.66+2.71)*10.764</f>
        <v>768.22667999999987</v>
      </c>
      <c r="E374" s="66"/>
      <c r="F374" s="4">
        <v>0</v>
      </c>
      <c r="G374" s="4">
        <f t="shared" ref="G374:G377" si="27">D374*1.6</f>
        <v>1229.1626879999999</v>
      </c>
      <c r="H374" s="4" t="s">
        <v>82</v>
      </c>
      <c r="I374" s="66"/>
      <c r="J374" s="66"/>
    </row>
    <row r="375" spans="1:10" s="3" customFormat="1" x14ac:dyDescent="0.35">
      <c r="A375" s="66">
        <v>6</v>
      </c>
      <c r="B375" s="66">
        <v>6</v>
      </c>
      <c r="C375" s="4" t="s">
        <v>186</v>
      </c>
      <c r="D375" s="159">
        <f>(94.08+3.44+2.86)*10.764</f>
        <v>1080.4903199999999</v>
      </c>
      <c r="E375" s="160"/>
      <c r="F375" s="4">
        <v>0</v>
      </c>
      <c r="G375" s="4">
        <f t="shared" si="27"/>
        <v>1728.7845119999999</v>
      </c>
      <c r="H375" s="4" t="s">
        <v>82</v>
      </c>
      <c r="I375" s="66"/>
      <c r="J375" s="66"/>
    </row>
    <row r="376" spans="1:10" s="3" customFormat="1" x14ac:dyDescent="0.35">
      <c r="A376" s="66">
        <v>7</v>
      </c>
      <c r="B376" s="66"/>
      <c r="C376" s="4" t="s">
        <v>186</v>
      </c>
      <c r="D376" s="159">
        <f>(92.52+3.6+2.58)*10.764</f>
        <v>1062.4067999999997</v>
      </c>
      <c r="E376" s="160"/>
      <c r="F376" s="4">
        <v>0</v>
      </c>
      <c r="G376" s="4">
        <f t="shared" si="27"/>
        <v>1699.8508799999997</v>
      </c>
      <c r="H376" s="4" t="s">
        <v>82</v>
      </c>
      <c r="I376" s="66"/>
      <c r="J376" s="66"/>
    </row>
    <row r="377" spans="1:10" s="3" customFormat="1" x14ac:dyDescent="0.35">
      <c r="A377" s="66">
        <v>8</v>
      </c>
      <c r="B377" s="66"/>
      <c r="C377" s="4" t="s">
        <v>186</v>
      </c>
      <c r="D377" s="159">
        <f>(92.52+3.6+2.58)*10.764</f>
        <v>1062.4067999999997</v>
      </c>
      <c r="E377" s="160"/>
      <c r="F377" s="4">
        <v>0</v>
      </c>
      <c r="G377" s="4">
        <f t="shared" si="27"/>
        <v>1699.8508799999997</v>
      </c>
      <c r="H377" s="4" t="s">
        <v>82</v>
      </c>
      <c r="I377" s="66"/>
      <c r="J377" s="66"/>
    </row>
    <row r="378" spans="1:10" s="3" customFormat="1" x14ac:dyDescent="0.35">
      <c r="A378" s="72" t="s">
        <v>195</v>
      </c>
      <c r="B378" s="72"/>
      <c r="C378" s="72"/>
      <c r="D378" s="72"/>
      <c r="E378" s="72"/>
      <c r="F378" s="72"/>
      <c r="G378" s="72"/>
      <c r="H378" s="72"/>
      <c r="I378" s="72"/>
      <c r="J378" s="72"/>
    </row>
    <row r="379" spans="1:10" s="3" customFormat="1" x14ac:dyDescent="0.35">
      <c r="A379" s="66">
        <v>1</v>
      </c>
      <c r="B379" s="66"/>
      <c r="C379" s="4" t="s">
        <v>186</v>
      </c>
      <c r="D379" s="159">
        <f>(94.96+3.44+3.08)*10.764</f>
        <v>1092.3307199999999</v>
      </c>
      <c r="E379" s="160"/>
      <c r="F379" s="4">
        <v>0</v>
      </c>
      <c r="G379" s="4">
        <f t="shared" ref="G379:G386" si="28">D379*1.6</f>
        <v>1747.7291519999999</v>
      </c>
      <c r="H379" s="4" t="s">
        <v>82</v>
      </c>
      <c r="I379" s="66" t="str">
        <f>A378</f>
        <v>32nd to 35th, 37th to 42nd Floor</v>
      </c>
      <c r="J379" s="66"/>
    </row>
    <row r="380" spans="1:10" s="3" customFormat="1" x14ac:dyDescent="0.35">
      <c r="A380" s="66">
        <v>2</v>
      </c>
      <c r="B380" s="66"/>
      <c r="C380" s="4" t="s">
        <v>187</v>
      </c>
      <c r="D380" s="66">
        <f>(69.67+2.93)*10.764</f>
        <v>781.46640000000002</v>
      </c>
      <c r="E380" s="66"/>
      <c r="F380" s="4">
        <v>0</v>
      </c>
      <c r="G380" s="4">
        <f t="shared" si="28"/>
        <v>1250.3462400000001</v>
      </c>
      <c r="H380" s="4" t="s">
        <v>82</v>
      </c>
      <c r="I380" s="66"/>
      <c r="J380" s="66"/>
    </row>
    <row r="381" spans="1:10" s="3" customFormat="1" x14ac:dyDescent="0.35">
      <c r="A381" s="66">
        <v>3</v>
      </c>
      <c r="B381" s="66"/>
      <c r="C381" s="4" t="s">
        <v>187</v>
      </c>
      <c r="D381" s="66">
        <f>(70.03+2.77)*10.764</f>
        <v>783.61919999999998</v>
      </c>
      <c r="E381" s="66"/>
      <c r="F381" s="4">
        <v>0</v>
      </c>
      <c r="G381" s="4">
        <f t="shared" si="28"/>
        <v>1253.79072</v>
      </c>
      <c r="H381" s="4" t="s">
        <v>82</v>
      </c>
      <c r="I381" s="66"/>
      <c r="J381" s="66"/>
    </row>
    <row r="382" spans="1:10" s="3" customFormat="1" x14ac:dyDescent="0.35">
      <c r="A382" s="66">
        <v>4</v>
      </c>
      <c r="B382" s="66">
        <v>5</v>
      </c>
      <c r="C382" s="4" t="s">
        <v>187</v>
      </c>
      <c r="D382" s="66">
        <f>(70.03+2.77)*10.764</f>
        <v>783.61919999999998</v>
      </c>
      <c r="E382" s="66"/>
      <c r="F382" s="4">
        <v>0</v>
      </c>
      <c r="G382" s="4">
        <f t="shared" si="28"/>
        <v>1253.79072</v>
      </c>
      <c r="H382" s="4" t="s">
        <v>82</v>
      </c>
      <c r="I382" s="66"/>
      <c r="J382" s="66"/>
    </row>
    <row r="383" spans="1:10" s="3" customFormat="1" x14ac:dyDescent="0.35">
      <c r="A383" s="66">
        <v>5</v>
      </c>
      <c r="B383" s="66">
        <v>5</v>
      </c>
      <c r="C383" s="4" t="s">
        <v>187</v>
      </c>
      <c r="D383" s="66">
        <f>(69.67+2.93)*10.764</f>
        <v>781.46640000000002</v>
      </c>
      <c r="E383" s="66"/>
      <c r="F383" s="4">
        <v>0</v>
      </c>
      <c r="G383" s="4">
        <f t="shared" si="28"/>
        <v>1250.3462400000001</v>
      </c>
      <c r="H383" s="4" t="s">
        <v>82</v>
      </c>
      <c r="I383" s="66"/>
      <c r="J383" s="66"/>
    </row>
    <row r="384" spans="1:10" s="3" customFormat="1" x14ac:dyDescent="0.35">
      <c r="A384" s="66">
        <v>6</v>
      </c>
      <c r="B384" s="66">
        <v>6</v>
      </c>
      <c r="C384" s="4" t="s">
        <v>186</v>
      </c>
      <c r="D384" s="159">
        <f>(94.96+3.44+3.08)*10.764</f>
        <v>1092.3307199999999</v>
      </c>
      <c r="E384" s="160"/>
      <c r="F384" s="4">
        <v>0</v>
      </c>
      <c r="G384" s="4">
        <f t="shared" si="28"/>
        <v>1747.7291519999999</v>
      </c>
      <c r="H384" s="4" t="s">
        <v>82</v>
      </c>
      <c r="I384" s="66"/>
      <c r="J384" s="66"/>
    </row>
    <row r="385" spans="1:10" s="3" customFormat="1" x14ac:dyDescent="0.35">
      <c r="A385" s="66">
        <v>7</v>
      </c>
      <c r="B385" s="66"/>
      <c r="C385" s="4" t="s">
        <v>186</v>
      </c>
      <c r="D385" s="159">
        <f>(93.44+3.6+2.73)*10.764</f>
        <v>1073.92428</v>
      </c>
      <c r="E385" s="160"/>
      <c r="F385" s="4">
        <v>0</v>
      </c>
      <c r="G385" s="4">
        <f t="shared" si="28"/>
        <v>1718.2788479999999</v>
      </c>
      <c r="H385" s="4" t="s">
        <v>82</v>
      </c>
      <c r="I385" s="66"/>
      <c r="J385" s="66"/>
    </row>
    <row r="386" spans="1:10" s="3" customFormat="1" x14ac:dyDescent="0.35">
      <c r="A386" s="66">
        <v>8</v>
      </c>
      <c r="B386" s="66"/>
      <c r="C386" s="4" t="s">
        <v>186</v>
      </c>
      <c r="D386" s="159">
        <f>(93.44+3.6+2.73)*10.764</f>
        <v>1073.92428</v>
      </c>
      <c r="E386" s="160"/>
      <c r="F386" s="4">
        <v>0</v>
      </c>
      <c r="G386" s="4">
        <f t="shared" si="28"/>
        <v>1718.2788479999999</v>
      </c>
      <c r="H386" s="4" t="s">
        <v>82</v>
      </c>
      <c r="I386" s="66"/>
      <c r="J386" s="66"/>
    </row>
    <row r="387" spans="1:10" s="3" customFormat="1" x14ac:dyDescent="0.35">
      <c r="A387" s="72" t="s">
        <v>219</v>
      </c>
      <c r="B387" s="72"/>
      <c r="C387" s="72"/>
      <c r="D387" s="72"/>
      <c r="E387" s="72"/>
      <c r="F387" s="72"/>
      <c r="G387" s="72"/>
      <c r="H387" s="72"/>
      <c r="I387" s="72"/>
      <c r="J387" s="72"/>
    </row>
    <row r="388" spans="1:10" s="3" customFormat="1" x14ac:dyDescent="0.35">
      <c r="A388" s="66">
        <v>1</v>
      </c>
      <c r="B388" s="66"/>
      <c r="C388" s="4" t="s">
        <v>185</v>
      </c>
      <c r="D388" s="66">
        <f>(114.9+3.44+3.08)*10.764</f>
        <v>1306.96488</v>
      </c>
      <c r="E388" s="66"/>
      <c r="F388" s="4">
        <v>0</v>
      </c>
      <c r="G388" s="4">
        <f>D388*1.6</f>
        <v>2091.1438080000003</v>
      </c>
      <c r="H388" s="4" t="s">
        <v>82</v>
      </c>
      <c r="I388" s="66" t="str">
        <f>A387</f>
        <v>36th Floor (Part Refuge Area)</v>
      </c>
      <c r="J388" s="66"/>
    </row>
    <row r="389" spans="1:10" s="3" customFormat="1" x14ac:dyDescent="0.35">
      <c r="A389" s="66">
        <v>2</v>
      </c>
      <c r="B389" s="66"/>
      <c r="C389" s="145" t="s">
        <v>216</v>
      </c>
      <c r="D389" s="162"/>
      <c r="E389" s="162"/>
      <c r="F389" s="162"/>
      <c r="G389" s="146"/>
      <c r="H389" s="4" t="s">
        <v>82</v>
      </c>
      <c r="I389" s="66"/>
      <c r="J389" s="66"/>
    </row>
    <row r="390" spans="1:10" s="3" customFormat="1" x14ac:dyDescent="0.35">
      <c r="A390" s="66">
        <v>3</v>
      </c>
      <c r="B390" s="66"/>
      <c r="C390" s="147"/>
      <c r="D390" s="67"/>
      <c r="E390" s="67"/>
      <c r="F390" s="67"/>
      <c r="G390" s="148"/>
      <c r="H390" s="4" t="s">
        <v>82</v>
      </c>
      <c r="I390" s="66"/>
      <c r="J390" s="66"/>
    </row>
    <row r="391" spans="1:10" s="3" customFormat="1" x14ac:dyDescent="0.35">
      <c r="A391" s="66">
        <v>4</v>
      </c>
      <c r="B391" s="66">
        <v>5</v>
      </c>
      <c r="C391" s="149"/>
      <c r="D391" s="163"/>
      <c r="E391" s="163"/>
      <c r="F391" s="163"/>
      <c r="G391" s="150"/>
      <c r="H391" s="4" t="s">
        <v>82</v>
      </c>
      <c r="I391" s="66"/>
      <c r="J391" s="66"/>
    </row>
    <row r="392" spans="1:10" s="3" customFormat="1" x14ac:dyDescent="0.35">
      <c r="A392" s="66">
        <v>5</v>
      </c>
      <c r="B392" s="66">
        <v>5</v>
      </c>
      <c r="C392" s="4" t="s">
        <v>187</v>
      </c>
      <c r="D392" s="66">
        <f>(69.67+2.93)*10.764</f>
        <v>781.46640000000002</v>
      </c>
      <c r="E392" s="66"/>
      <c r="F392" s="4">
        <v>0</v>
      </c>
      <c r="G392" s="4">
        <f t="shared" ref="G392:G395" si="29">D392*1.6</f>
        <v>1250.3462400000001</v>
      </c>
      <c r="H392" s="4" t="s">
        <v>82</v>
      </c>
      <c r="I392" s="66"/>
      <c r="J392" s="66"/>
    </row>
    <row r="393" spans="1:10" s="3" customFormat="1" x14ac:dyDescent="0.35">
      <c r="A393" s="66">
        <v>6</v>
      </c>
      <c r="B393" s="66">
        <v>6</v>
      </c>
      <c r="C393" s="4" t="s">
        <v>186</v>
      </c>
      <c r="D393" s="159">
        <f>(94.96+3.44+3.08)*10.764</f>
        <v>1092.3307199999999</v>
      </c>
      <c r="E393" s="160"/>
      <c r="F393" s="4">
        <v>0</v>
      </c>
      <c r="G393" s="4">
        <f t="shared" si="29"/>
        <v>1747.7291519999999</v>
      </c>
      <c r="H393" s="4" t="s">
        <v>82</v>
      </c>
      <c r="I393" s="66"/>
      <c r="J393" s="66"/>
    </row>
    <row r="394" spans="1:10" s="3" customFormat="1" x14ac:dyDescent="0.35">
      <c r="A394" s="66">
        <v>7</v>
      </c>
      <c r="B394" s="66"/>
      <c r="C394" s="4" t="s">
        <v>186</v>
      </c>
      <c r="D394" s="159">
        <f>(93.44+3.6+2.73)*10.764</f>
        <v>1073.92428</v>
      </c>
      <c r="E394" s="160"/>
      <c r="F394" s="4">
        <v>0</v>
      </c>
      <c r="G394" s="4">
        <f t="shared" si="29"/>
        <v>1718.2788479999999</v>
      </c>
      <c r="H394" s="4" t="s">
        <v>82</v>
      </c>
      <c r="I394" s="66"/>
      <c r="J394" s="66"/>
    </row>
    <row r="395" spans="1:10" s="3" customFormat="1" x14ac:dyDescent="0.35">
      <c r="A395" s="66">
        <v>8</v>
      </c>
      <c r="B395" s="66"/>
      <c r="C395" s="4" t="s">
        <v>186</v>
      </c>
      <c r="D395" s="159">
        <f>(93.44+3.6+2.73)*10.764</f>
        <v>1073.92428</v>
      </c>
      <c r="E395" s="160"/>
      <c r="F395" s="4">
        <v>0</v>
      </c>
      <c r="G395" s="4">
        <f t="shared" si="29"/>
        <v>1718.2788479999999</v>
      </c>
      <c r="H395" s="4" t="s">
        <v>82</v>
      </c>
      <c r="I395" s="66"/>
      <c r="J395" s="66"/>
    </row>
    <row r="396" spans="1:10" s="3" customFormat="1" x14ac:dyDescent="0.35">
      <c r="A396" s="72" t="s">
        <v>224</v>
      </c>
      <c r="B396" s="72"/>
      <c r="C396" s="72"/>
      <c r="D396" s="72"/>
      <c r="E396" s="72"/>
      <c r="F396" s="72"/>
      <c r="G396" s="72"/>
      <c r="H396" s="72"/>
      <c r="I396" s="72"/>
      <c r="J396" s="72"/>
    </row>
    <row r="397" spans="1:10" s="3" customFormat="1" ht="15.75" customHeight="1" x14ac:dyDescent="0.35">
      <c r="A397" s="66">
        <v>1</v>
      </c>
      <c r="B397" s="66"/>
      <c r="C397" s="4" t="s">
        <v>185</v>
      </c>
      <c r="D397" s="66">
        <f>(114.9+3.44+3.08)*10.764</f>
        <v>1306.96488</v>
      </c>
      <c r="E397" s="66"/>
      <c r="F397" s="4">
        <v>0</v>
      </c>
      <c r="G397" s="4">
        <f>D397*1.6</f>
        <v>2091.1438080000003</v>
      </c>
      <c r="H397" s="4" t="s">
        <v>82</v>
      </c>
      <c r="I397" s="66" t="str">
        <f>A396</f>
        <v>43rd Floor (Part Refuge Area)</v>
      </c>
      <c r="J397" s="66"/>
    </row>
    <row r="398" spans="1:10" s="3" customFormat="1" x14ac:dyDescent="0.35">
      <c r="A398" s="66">
        <v>2</v>
      </c>
      <c r="B398" s="66"/>
      <c r="C398" s="145" t="s">
        <v>216</v>
      </c>
      <c r="D398" s="162"/>
      <c r="E398" s="162"/>
      <c r="F398" s="162"/>
      <c r="G398" s="146"/>
      <c r="H398" s="4" t="s">
        <v>82</v>
      </c>
      <c r="I398" s="66"/>
      <c r="J398" s="66"/>
    </row>
    <row r="399" spans="1:10" s="3" customFormat="1" x14ac:dyDescent="0.35">
      <c r="A399" s="66">
        <v>3</v>
      </c>
      <c r="B399" s="66"/>
      <c r="C399" s="147"/>
      <c r="D399" s="67"/>
      <c r="E399" s="67"/>
      <c r="F399" s="67"/>
      <c r="G399" s="148"/>
      <c r="H399" s="4" t="s">
        <v>82</v>
      </c>
      <c r="I399" s="66"/>
      <c r="J399" s="66"/>
    </row>
    <row r="400" spans="1:10" s="3" customFormat="1" x14ac:dyDescent="0.35">
      <c r="A400" s="66">
        <v>4</v>
      </c>
      <c r="B400" s="66">
        <v>5</v>
      </c>
      <c r="C400" s="149"/>
      <c r="D400" s="163"/>
      <c r="E400" s="163"/>
      <c r="F400" s="163"/>
      <c r="G400" s="150"/>
      <c r="H400" s="4" t="s">
        <v>82</v>
      </c>
      <c r="I400" s="66"/>
      <c r="J400" s="66"/>
    </row>
    <row r="401" spans="1:11" s="3" customFormat="1" ht="15.75" customHeight="1" x14ac:dyDescent="0.35">
      <c r="A401" s="66">
        <v>5</v>
      </c>
      <c r="B401" s="66">
        <v>5</v>
      </c>
      <c r="C401" s="4" t="s">
        <v>187</v>
      </c>
      <c r="D401" s="66">
        <f>(69.67+2.93)*10.764</f>
        <v>781.46640000000002</v>
      </c>
      <c r="E401" s="66"/>
      <c r="F401" s="4">
        <v>0</v>
      </c>
      <c r="G401" s="4">
        <f t="shared" ref="G401:G404" si="30">D401*1.6</f>
        <v>1250.3462400000001</v>
      </c>
      <c r="H401" s="4" t="s">
        <v>82</v>
      </c>
      <c r="I401" s="66"/>
      <c r="J401" s="66"/>
    </row>
    <row r="402" spans="1:11" s="3" customFormat="1" x14ac:dyDescent="0.35">
      <c r="A402" s="66">
        <v>6</v>
      </c>
      <c r="B402" s="66">
        <v>6</v>
      </c>
      <c r="C402" s="4" t="s">
        <v>186</v>
      </c>
      <c r="D402" s="159">
        <f>(94.96+3.44+3.08)*10.764</f>
        <v>1092.3307199999999</v>
      </c>
      <c r="E402" s="160"/>
      <c r="F402" s="4">
        <v>0</v>
      </c>
      <c r="G402" s="4">
        <f t="shared" si="30"/>
        <v>1747.7291519999999</v>
      </c>
      <c r="H402" s="4" t="s">
        <v>82</v>
      </c>
      <c r="I402" s="66"/>
      <c r="J402" s="66"/>
    </row>
    <row r="403" spans="1:11" s="3" customFormat="1" x14ac:dyDescent="0.35">
      <c r="A403" s="66">
        <v>7</v>
      </c>
      <c r="B403" s="66"/>
      <c r="C403" s="4" t="s">
        <v>186</v>
      </c>
      <c r="D403" s="159">
        <f>(93.11+3.6+2.73)*10.764</f>
        <v>1070.3721599999999</v>
      </c>
      <c r="E403" s="160"/>
      <c r="F403" s="4">
        <v>0</v>
      </c>
      <c r="G403" s="4">
        <f t="shared" si="30"/>
        <v>1712.595456</v>
      </c>
      <c r="H403" s="4" t="s">
        <v>82</v>
      </c>
      <c r="I403" s="66"/>
      <c r="J403" s="66"/>
    </row>
    <row r="404" spans="1:11" s="3" customFormat="1" x14ac:dyDescent="0.35">
      <c r="A404" s="66">
        <v>8</v>
      </c>
      <c r="B404" s="66"/>
      <c r="C404" s="4" t="s">
        <v>186</v>
      </c>
      <c r="D404" s="159">
        <f>(93.11+3.6+2.73)*10.764</f>
        <v>1070.3721599999999</v>
      </c>
      <c r="E404" s="160"/>
      <c r="F404" s="4">
        <v>0</v>
      </c>
      <c r="G404" s="4">
        <f t="shared" si="30"/>
        <v>1712.595456</v>
      </c>
      <c r="H404" s="4" t="s">
        <v>82</v>
      </c>
      <c r="I404" s="66"/>
      <c r="J404" s="66"/>
    </row>
    <row r="405" spans="1:11" s="3" customFormat="1" x14ac:dyDescent="0.35">
      <c r="A405" s="72" t="s">
        <v>194</v>
      </c>
      <c r="B405" s="72"/>
      <c r="C405" s="72"/>
      <c r="D405" s="72"/>
      <c r="E405" s="72"/>
      <c r="F405" s="72"/>
      <c r="G405" s="72"/>
      <c r="H405" s="72"/>
      <c r="I405" s="72"/>
      <c r="J405" s="72"/>
    </row>
    <row r="406" spans="1:11" s="3" customFormat="1" x14ac:dyDescent="0.35">
      <c r="A406" s="66">
        <v>1</v>
      </c>
      <c r="B406" s="66"/>
      <c r="C406" s="4" t="s">
        <v>186</v>
      </c>
      <c r="D406" s="159">
        <f>(94.96+3.44+3.08)*10.764</f>
        <v>1092.3307199999999</v>
      </c>
      <c r="E406" s="160"/>
      <c r="F406" s="4">
        <v>0</v>
      </c>
      <c r="G406" s="4">
        <f t="shared" ref="G406:G413" si="31">D406*1.6</f>
        <v>1747.7291519999999</v>
      </c>
      <c r="H406" s="4" t="s">
        <v>82</v>
      </c>
      <c r="I406" s="66" t="str">
        <f>A405</f>
        <v>44th to 49th &amp; 51st Floor</v>
      </c>
      <c r="J406" s="66"/>
    </row>
    <row r="407" spans="1:11" s="3" customFormat="1" x14ac:dyDescent="0.35">
      <c r="A407" s="66">
        <v>2</v>
      </c>
      <c r="B407" s="66"/>
      <c r="C407" s="4" t="s">
        <v>187</v>
      </c>
      <c r="D407" s="66">
        <f>(69.67+2.93)*10.764</f>
        <v>781.46640000000002</v>
      </c>
      <c r="E407" s="66"/>
      <c r="F407" s="4">
        <v>0</v>
      </c>
      <c r="G407" s="4">
        <f t="shared" si="31"/>
        <v>1250.3462400000001</v>
      </c>
      <c r="H407" s="4" t="s">
        <v>82</v>
      </c>
      <c r="I407" s="66"/>
      <c r="J407" s="66"/>
    </row>
    <row r="408" spans="1:11" s="3" customFormat="1" x14ac:dyDescent="0.35">
      <c r="A408" s="66">
        <v>3</v>
      </c>
      <c r="B408" s="66"/>
      <c r="C408" s="4" t="s">
        <v>187</v>
      </c>
      <c r="D408" s="66">
        <f>(70.03+2.77)*10.764</f>
        <v>783.61919999999998</v>
      </c>
      <c r="E408" s="66"/>
      <c r="F408" s="4">
        <v>0</v>
      </c>
      <c r="G408" s="4">
        <f t="shared" si="31"/>
        <v>1253.79072</v>
      </c>
      <c r="H408" s="4" t="s">
        <v>82</v>
      </c>
      <c r="I408" s="66"/>
      <c r="J408" s="66"/>
    </row>
    <row r="409" spans="1:11" s="3" customFormat="1" x14ac:dyDescent="0.35">
      <c r="A409" s="66">
        <v>4</v>
      </c>
      <c r="B409" s="66">
        <v>5</v>
      </c>
      <c r="C409" s="4" t="s">
        <v>187</v>
      </c>
      <c r="D409" s="66">
        <f>(70.03+2.77)*10.764</f>
        <v>783.61919999999998</v>
      </c>
      <c r="E409" s="66"/>
      <c r="F409" s="4">
        <v>0</v>
      </c>
      <c r="G409" s="4">
        <f t="shared" si="31"/>
        <v>1253.79072</v>
      </c>
      <c r="H409" s="4" t="s">
        <v>82</v>
      </c>
      <c r="I409" s="66"/>
      <c r="J409" s="66"/>
      <c r="K409" s="51"/>
    </row>
    <row r="410" spans="1:11" s="3" customFormat="1" x14ac:dyDescent="0.35">
      <c r="A410" s="66">
        <v>5</v>
      </c>
      <c r="B410" s="66">
        <v>5</v>
      </c>
      <c r="C410" s="4" t="s">
        <v>187</v>
      </c>
      <c r="D410" s="66">
        <f>(69.67+2.93)*10.764</f>
        <v>781.46640000000002</v>
      </c>
      <c r="E410" s="66"/>
      <c r="F410" s="4">
        <v>0</v>
      </c>
      <c r="G410" s="4">
        <f t="shared" si="31"/>
        <v>1250.3462400000001</v>
      </c>
      <c r="H410" s="4" t="s">
        <v>82</v>
      </c>
      <c r="I410" s="66"/>
      <c r="J410" s="66"/>
    </row>
    <row r="411" spans="1:11" s="3" customFormat="1" x14ac:dyDescent="0.35">
      <c r="A411" s="66">
        <v>6</v>
      </c>
      <c r="B411" s="66">
        <v>6</v>
      </c>
      <c r="C411" s="4" t="s">
        <v>186</v>
      </c>
      <c r="D411" s="159">
        <f>(94.96+3.44+3.08)*10.764</f>
        <v>1092.3307199999999</v>
      </c>
      <c r="E411" s="160"/>
      <c r="F411" s="4">
        <v>0</v>
      </c>
      <c r="G411" s="4">
        <f t="shared" si="31"/>
        <v>1747.7291519999999</v>
      </c>
      <c r="H411" s="4" t="s">
        <v>82</v>
      </c>
      <c r="I411" s="66"/>
      <c r="J411" s="66"/>
    </row>
    <row r="412" spans="1:11" s="3" customFormat="1" x14ac:dyDescent="0.35">
      <c r="A412" s="66">
        <v>7</v>
      </c>
      <c r="B412" s="66"/>
      <c r="C412" s="4" t="s">
        <v>186</v>
      </c>
      <c r="D412" s="159">
        <f>(93.11+3.6+2.73)*10.764</f>
        <v>1070.3721599999999</v>
      </c>
      <c r="E412" s="160"/>
      <c r="F412" s="4">
        <v>0</v>
      </c>
      <c r="G412" s="4">
        <f t="shared" si="31"/>
        <v>1712.595456</v>
      </c>
      <c r="H412" s="4" t="s">
        <v>82</v>
      </c>
      <c r="I412" s="66"/>
      <c r="J412" s="66"/>
    </row>
    <row r="413" spans="1:11" s="3" customFormat="1" x14ac:dyDescent="0.35">
      <c r="A413" s="66">
        <v>8</v>
      </c>
      <c r="B413" s="66"/>
      <c r="C413" s="4" t="s">
        <v>186</v>
      </c>
      <c r="D413" s="159">
        <f>(93.11+3.6+2.73)*10.764</f>
        <v>1070.3721599999999</v>
      </c>
      <c r="E413" s="160"/>
      <c r="F413" s="4">
        <v>0</v>
      </c>
      <c r="G413" s="4">
        <f t="shared" si="31"/>
        <v>1712.595456</v>
      </c>
      <c r="H413" s="4" t="s">
        <v>82</v>
      </c>
      <c r="I413" s="66"/>
      <c r="J413" s="66"/>
    </row>
    <row r="414" spans="1:11" s="3" customFormat="1" x14ac:dyDescent="0.35">
      <c r="A414" s="72" t="s">
        <v>222</v>
      </c>
      <c r="B414" s="72"/>
      <c r="C414" s="72"/>
      <c r="D414" s="72"/>
      <c r="E414" s="72"/>
      <c r="F414" s="72"/>
      <c r="G414" s="72"/>
      <c r="H414" s="72"/>
      <c r="I414" s="72"/>
      <c r="J414" s="72"/>
    </row>
    <row r="415" spans="1:11" s="3" customFormat="1" x14ac:dyDescent="0.35">
      <c r="A415" s="66">
        <v>1</v>
      </c>
      <c r="B415" s="66"/>
      <c r="C415" s="4" t="s">
        <v>185</v>
      </c>
      <c r="D415" s="66">
        <f>(114.9+3.44+3.08)*10.764</f>
        <v>1306.96488</v>
      </c>
      <c r="E415" s="66"/>
      <c r="F415" s="4">
        <v>0</v>
      </c>
      <c r="G415" s="4">
        <f>D415*1.6</f>
        <v>2091.1438080000003</v>
      </c>
      <c r="H415" s="4" t="s">
        <v>82</v>
      </c>
      <c r="I415" s="66" t="str">
        <f>A414</f>
        <v>50th Floor (Part Refuge Area)</v>
      </c>
      <c r="J415" s="66"/>
    </row>
    <row r="416" spans="1:11" s="3" customFormat="1" x14ac:dyDescent="0.35">
      <c r="A416" s="66">
        <v>2</v>
      </c>
      <c r="B416" s="66"/>
      <c r="C416" s="145" t="s">
        <v>216</v>
      </c>
      <c r="D416" s="162"/>
      <c r="E416" s="162"/>
      <c r="F416" s="162"/>
      <c r="G416" s="146"/>
      <c r="H416" s="4" t="s">
        <v>82</v>
      </c>
      <c r="I416" s="66"/>
      <c r="J416" s="66"/>
    </row>
    <row r="417" spans="1:10" s="3" customFormat="1" x14ac:dyDescent="0.35">
      <c r="A417" s="66">
        <v>3</v>
      </c>
      <c r="B417" s="66"/>
      <c r="C417" s="147"/>
      <c r="D417" s="67"/>
      <c r="E417" s="67"/>
      <c r="F417" s="67"/>
      <c r="G417" s="148"/>
      <c r="H417" s="4" t="s">
        <v>82</v>
      </c>
      <c r="I417" s="66"/>
      <c r="J417" s="66"/>
    </row>
    <row r="418" spans="1:10" s="3" customFormat="1" x14ac:dyDescent="0.35">
      <c r="A418" s="66">
        <v>4</v>
      </c>
      <c r="B418" s="66">
        <v>5</v>
      </c>
      <c r="C418" s="149"/>
      <c r="D418" s="163"/>
      <c r="E418" s="163"/>
      <c r="F418" s="163"/>
      <c r="G418" s="150"/>
      <c r="H418" s="4" t="s">
        <v>82</v>
      </c>
      <c r="I418" s="66"/>
      <c r="J418" s="66"/>
    </row>
    <row r="419" spans="1:10" s="3" customFormat="1" x14ac:dyDescent="0.35">
      <c r="A419" s="66">
        <v>5</v>
      </c>
      <c r="B419" s="66">
        <v>5</v>
      </c>
      <c r="C419" s="4" t="s">
        <v>187</v>
      </c>
      <c r="D419" s="66">
        <f>(69.67+2.93)*10.764</f>
        <v>781.46640000000002</v>
      </c>
      <c r="E419" s="66"/>
      <c r="F419" s="4">
        <v>0</v>
      </c>
      <c r="G419" s="4">
        <f t="shared" ref="G419:G422" si="32">D419*1.6</f>
        <v>1250.3462400000001</v>
      </c>
      <c r="H419" s="4" t="s">
        <v>82</v>
      </c>
      <c r="I419" s="66"/>
      <c r="J419" s="66"/>
    </row>
    <row r="420" spans="1:10" s="3" customFormat="1" x14ac:dyDescent="0.35">
      <c r="A420" s="66">
        <v>6</v>
      </c>
      <c r="B420" s="66">
        <v>6</v>
      </c>
      <c r="C420" s="4" t="s">
        <v>186</v>
      </c>
      <c r="D420" s="159">
        <f>(94.96+3.44+3.08)*10.764</f>
        <v>1092.3307199999999</v>
      </c>
      <c r="E420" s="160"/>
      <c r="F420" s="4">
        <v>0</v>
      </c>
      <c r="G420" s="4">
        <f t="shared" si="32"/>
        <v>1747.7291519999999</v>
      </c>
      <c r="H420" s="4" t="s">
        <v>82</v>
      </c>
      <c r="I420" s="66"/>
      <c r="J420" s="66"/>
    </row>
    <row r="421" spans="1:10" s="3" customFormat="1" x14ac:dyDescent="0.35">
      <c r="A421" s="66">
        <v>7</v>
      </c>
      <c r="B421" s="66"/>
      <c r="C421" s="4" t="s">
        <v>186</v>
      </c>
      <c r="D421" s="159">
        <f>(93.11+3.6+2.73)*10.764</f>
        <v>1070.3721599999999</v>
      </c>
      <c r="E421" s="160"/>
      <c r="F421" s="4">
        <v>0</v>
      </c>
      <c r="G421" s="4">
        <f t="shared" si="32"/>
        <v>1712.595456</v>
      </c>
      <c r="H421" s="4" t="s">
        <v>82</v>
      </c>
      <c r="I421" s="66"/>
      <c r="J421" s="66"/>
    </row>
    <row r="422" spans="1:10" s="3" customFormat="1" x14ac:dyDescent="0.35">
      <c r="A422" s="66">
        <v>8</v>
      </c>
      <c r="B422" s="66"/>
      <c r="C422" s="4" t="s">
        <v>186</v>
      </c>
      <c r="D422" s="159">
        <f>(93.11+3.6+2.73)*10.764</f>
        <v>1070.3721599999999</v>
      </c>
      <c r="E422" s="160"/>
      <c r="F422" s="4">
        <v>0</v>
      </c>
      <c r="G422" s="4">
        <f t="shared" si="32"/>
        <v>1712.595456</v>
      </c>
      <c r="H422" s="4" t="s">
        <v>82</v>
      </c>
      <c r="I422" s="66"/>
      <c r="J422" s="66"/>
    </row>
    <row r="423" spans="1:10" s="3" customFormat="1" x14ac:dyDescent="0.35">
      <c r="A423" s="72" t="s">
        <v>260</v>
      </c>
      <c r="B423" s="72"/>
      <c r="C423" s="72"/>
      <c r="D423" s="72"/>
      <c r="E423" s="72"/>
      <c r="F423" s="72"/>
      <c r="G423" s="72"/>
      <c r="H423" s="72"/>
      <c r="I423" s="72"/>
      <c r="J423" s="72"/>
    </row>
    <row r="424" spans="1:10" s="3" customFormat="1" x14ac:dyDescent="0.35">
      <c r="A424" s="66">
        <v>1</v>
      </c>
      <c r="B424" s="66"/>
      <c r="C424" s="4" t="s">
        <v>275</v>
      </c>
      <c r="D424" s="66">
        <f>(167.6+3.44+3.19+3.04)*10.764</f>
        <v>1908.1342799999998</v>
      </c>
      <c r="E424" s="66"/>
      <c r="F424" s="4">
        <v>0</v>
      </c>
      <c r="G424" s="4">
        <f t="shared" ref="G424:G428" si="33">D424*1.6</f>
        <v>3053.0148479999998</v>
      </c>
      <c r="H424" s="4" t="s">
        <v>82</v>
      </c>
      <c r="I424" s="66" t="str">
        <f>A423</f>
        <v>52nd Floor</v>
      </c>
      <c r="J424" s="66"/>
    </row>
    <row r="425" spans="1:10" s="3" customFormat="1" x14ac:dyDescent="0.35">
      <c r="A425" s="66">
        <v>2</v>
      </c>
      <c r="B425" s="66"/>
      <c r="C425" s="4" t="s">
        <v>185</v>
      </c>
      <c r="D425" s="66">
        <f>(142.43+7.17+2.77+2.77)*10.764</f>
        <v>1669.92696</v>
      </c>
      <c r="E425" s="66"/>
      <c r="F425" s="4">
        <v>0</v>
      </c>
      <c r="G425" s="4">
        <f t="shared" si="33"/>
        <v>2671.8831360000004</v>
      </c>
      <c r="H425" s="4" t="s">
        <v>82</v>
      </c>
      <c r="I425" s="66"/>
      <c r="J425" s="66"/>
    </row>
    <row r="426" spans="1:10" s="3" customFormat="1" x14ac:dyDescent="0.35">
      <c r="A426" s="66">
        <v>3</v>
      </c>
      <c r="B426" s="66"/>
      <c r="C426" s="4" t="s">
        <v>275</v>
      </c>
      <c r="D426" s="66">
        <f>(167.6+3.44+3.19+3.04)*10.764</f>
        <v>1908.1342799999998</v>
      </c>
      <c r="E426" s="66"/>
      <c r="F426" s="4">
        <v>0</v>
      </c>
      <c r="G426" s="4">
        <f t="shared" si="33"/>
        <v>3053.0148479999998</v>
      </c>
      <c r="H426" s="4" t="s">
        <v>82</v>
      </c>
      <c r="I426" s="66"/>
      <c r="J426" s="66"/>
    </row>
    <row r="427" spans="1:10" s="3" customFormat="1" x14ac:dyDescent="0.35">
      <c r="A427" s="66">
        <v>4</v>
      </c>
      <c r="B427" s="66">
        <v>5</v>
      </c>
      <c r="C427" s="4" t="s">
        <v>186</v>
      </c>
      <c r="D427" s="159">
        <f>(93.31+3.6+2.73)*10.764</f>
        <v>1072.52496</v>
      </c>
      <c r="E427" s="160"/>
      <c r="F427" s="4">
        <v>0</v>
      </c>
      <c r="G427" s="4">
        <f t="shared" si="33"/>
        <v>1716.0399360000001</v>
      </c>
      <c r="H427" s="4" t="s">
        <v>82</v>
      </c>
      <c r="I427" s="66"/>
      <c r="J427" s="66"/>
    </row>
    <row r="428" spans="1:10" s="3" customFormat="1" x14ac:dyDescent="0.35">
      <c r="A428" s="66">
        <v>5</v>
      </c>
      <c r="B428" s="66">
        <v>5</v>
      </c>
      <c r="C428" s="4" t="s">
        <v>186</v>
      </c>
      <c r="D428" s="159">
        <f>(93.31+3.6+2.73)*10.764</f>
        <v>1072.52496</v>
      </c>
      <c r="E428" s="160"/>
      <c r="F428" s="4">
        <v>0</v>
      </c>
      <c r="G428" s="4">
        <f t="shared" si="33"/>
        <v>1716.0399360000001</v>
      </c>
      <c r="H428" s="4" t="s">
        <v>82</v>
      </c>
      <c r="I428" s="66"/>
      <c r="J428" s="66"/>
    </row>
    <row r="429" spans="1:10" s="3" customFormat="1" x14ac:dyDescent="0.35">
      <c r="A429" s="72" t="s">
        <v>261</v>
      </c>
      <c r="B429" s="72"/>
      <c r="C429" s="72"/>
      <c r="D429" s="72"/>
      <c r="E429" s="72"/>
      <c r="F429" s="72"/>
      <c r="G429" s="72"/>
      <c r="H429" s="72"/>
      <c r="I429" s="72"/>
      <c r="J429" s="72"/>
    </row>
    <row r="430" spans="1:10" s="3" customFormat="1" x14ac:dyDescent="0.35">
      <c r="A430" s="66">
        <v>1</v>
      </c>
      <c r="B430" s="66"/>
      <c r="C430" s="4" t="s">
        <v>275</v>
      </c>
      <c r="D430" s="66">
        <f>(169.3+3.44+1.43+3.04)*10.764</f>
        <v>1907.4884400000001</v>
      </c>
      <c r="E430" s="66"/>
      <c r="F430" s="4">
        <v>0</v>
      </c>
      <c r="G430" s="4">
        <f t="shared" ref="G430:G434" si="34">D430*1.6</f>
        <v>3051.9815040000003</v>
      </c>
      <c r="H430" s="4" t="s">
        <v>82</v>
      </c>
      <c r="I430" s="66" t="str">
        <f>A429</f>
        <v>53rd to 56th Floor</v>
      </c>
      <c r="J430" s="66"/>
    </row>
    <row r="431" spans="1:10" s="3" customFormat="1" x14ac:dyDescent="0.35">
      <c r="A431" s="66">
        <v>2</v>
      </c>
      <c r="B431" s="66"/>
      <c r="C431" s="4" t="s">
        <v>185</v>
      </c>
      <c r="D431" s="66">
        <f>(143.73+7.17+2.77+1.47)*10.764</f>
        <v>1669.9269599999998</v>
      </c>
      <c r="E431" s="66"/>
      <c r="F431" s="4">
        <v>0</v>
      </c>
      <c r="G431" s="4">
        <f t="shared" si="34"/>
        <v>2671.8831359999999</v>
      </c>
      <c r="H431" s="4" t="s">
        <v>82</v>
      </c>
      <c r="I431" s="66"/>
      <c r="J431" s="66"/>
    </row>
    <row r="432" spans="1:10" s="3" customFormat="1" x14ac:dyDescent="0.35">
      <c r="A432" s="66">
        <v>3</v>
      </c>
      <c r="B432" s="66"/>
      <c r="C432" s="4" t="s">
        <v>275</v>
      </c>
      <c r="D432" s="66">
        <f>(169.3+3.44+1.43+3.04)*10.764</f>
        <v>1907.4884400000001</v>
      </c>
      <c r="E432" s="66"/>
      <c r="F432" s="4">
        <v>0</v>
      </c>
      <c r="G432" s="4">
        <f t="shared" si="34"/>
        <v>3051.9815040000003</v>
      </c>
      <c r="H432" s="4" t="s">
        <v>82</v>
      </c>
      <c r="I432" s="66"/>
      <c r="J432" s="66"/>
    </row>
    <row r="433" spans="1:10" s="3" customFormat="1" x14ac:dyDescent="0.35">
      <c r="A433" s="66">
        <v>4</v>
      </c>
      <c r="B433" s="66">
        <v>5</v>
      </c>
      <c r="C433" s="4" t="s">
        <v>186</v>
      </c>
      <c r="D433" s="159">
        <f>(93.31+3.6+2.73)*10.764</f>
        <v>1072.52496</v>
      </c>
      <c r="E433" s="160"/>
      <c r="F433" s="4">
        <v>0</v>
      </c>
      <c r="G433" s="4">
        <f t="shared" si="34"/>
        <v>1716.0399360000001</v>
      </c>
      <c r="H433" s="4" t="s">
        <v>82</v>
      </c>
      <c r="I433" s="66"/>
      <c r="J433" s="66"/>
    </row>
    <row r="434" spans="1:10" s="3" customFormat="1" x14ac:dyDescent="0.35">
      <c r="A434" s="66">
        <v>5</v>
      </c>
      <c r="B434" s="66">
        <v>5</v>
      </c>
      <c r="C434" s="4" t="s">
        <v>186</v>
      </c>
      <c r="D434" s="159">
        <f>(93.31+3.6+2.73)*10.764</f>
        <v>1072.52496</v>
      </c>
      <c r="E434" s="160"/>
      <c r="F434" s="4">
        <v>0</v>
      </c>
      <c r="G434" s="4">
        <f t="shared" si="34"/>
        <v>1716.0399360000001</v>
      </c>
      <c r="H434" s="4" t="s">
        <v>82</v>
      </c>
      <c r="I434" s="66"/>
      <c r="J434" s="66"/>
    </row>
    <row r="435" spans="1:10" s="3" customFormat="1" x14ac:dyDescent="0.35">
      <c r="A435" s="72" t="s">
        <v>223</v>
      </c>
      <c r="B435" s="72"/>
      <c r="C435" s="72"/>
      <c r="D435" s="72"/>
      <c r="E435" s="72"/>
      <c r="F435" s="72"/>
      <c r="G435" s="72"/>
      <c r="H435" s="72"/>
      <c r="I435" s="72"/>
      <c r="J435" s="72"/>
    </row>
    <row r="436" spans="1:10" s="3" customFormat="1" x14ac:dyDescent="0.35">
      <c r="A436" s="66">
        <v>1</v>
      </c>
      <c r="B436" s="66"/>
      <c r="C436" s="4" t="s">
        <v>275</v>
      </c>
      <c r="D436" s="73">
        <f>(132.53+3.44+3.19)*10.764</f>
        <v>1497.91824</v>
      </c>
      <c r="E436" s="73"/>
      <c r="F436" s="4">
        <v>0</v>
      </c>
      <c r="G436" s="4">
        <f t="shared" ref="G436:G440" si="35">D436*1.6</f>
        <v>2396.6691839999999</v>
      </c>
      <c r="H436" s="4" t="s">
        <v>82</v>
      </c>
      <c r="I436" s="66" t="str">
        <f>A435</f>
        <v>57th Floor (Part Refuge Area)</v>
      </c>
      <c r="J436" s="66"/>
    </row>
    <row r="437" spans="1:10" s="3" customFormat="1" ht="16.5" customHeight="1" x14ac:dyDescent="0.35">
      <c r="A437" s="66">
        <v>2</v>
      </c>
      <c r="B437" s="66"/>
      <c r="C437" s="66" t="s">
        <v>216</v>
      </c>
      <c r="D437" s="66"/>
      <c r="E437" s="66"/>
      <c r="F437" s="66"/>
      <c r="G437" s="66"/>
      <c r="H437" s="66"/>
      <c r="I437" s="66"/>
      <c r="J437" s="66"/>
    </row>
    <row r="438" spans="1:10" s="3" customFormat="1" x14ac:dyDescent="0.35">
      <c r="A438" s="66">
        <v>3</v>
      </c>
      <c r="B438" s="66"/>
      <c r="C438" s="4" t="s">
        <v>275</v>
      </c>
      <c r="D438" s="66">
        <f>(169.3+3.44+1.43+3.04)*10.764</f>
        <v>1907.4884400000001</v>
      </c>
      <c r="E438" s="66"/>
      <c r="F438" s="4">
        <v>0</v>
      </c>
      <c r="G438" s="4">
        <f t="shared" si="35"/>
        <v>3051.9815040000003</v>
      </c>
      <c r="H438" s="4" t="s">
        <v>82</v>
      </c>
      <c r="I438" s="66"/>
      <c r="J438" s="66"/>
    </row>
    <row r="439" spans="1:10" s="3" customFormat="1" x14ac:dyDescent="0.35">
      <c r="A439" s="66">
        <v>4</v>
      </c>
      <c r="B439" s="66">
        <v>5</v>
      </c>
      <c r="C439" s="4" t="s">
        <v>186</v>
      </c>
      <c r="D439" s="159">
        <f>(93.31+3.6+2.73)*10.764</f>
        <v>1072.52496</v>
      </c>
      <c r="E439" s="160"/>
      <c r="F439" s="4">
        <v>0</v>
      </c>
      <c r="G439" s="4">
        <f t="shared" si="35"/>
        <v>1716.0399360000001</v>
      </c>
      <c r="H439" s="4" t="s">
        <v>82</v>
      </c>
      <c r="I439" s="66"/>
      <c r="J439" s="66"/>
    </row>
    <row r="440" spans="1:10" s="3" customFormat="1" x14ac:dyDescent="0.35">
      <c r="A440" s="66">
        <v>5</v>
      </c>
      <c r="B440" s="66">
        <v>5</v>
      </c>
      <c r="C440" s="4" t="s">
        <v>186</v>
      </c>
      <c r="D440" s="159">
        <f>(93.31+3.6+2.73)*10.764</f>
        <v>1072.52496</v>
      </c>
      <c r="E440" s="160"/>
      <c r="F440" s="4">
        <v>0</v>
      </c>
      <c r="G440" s="4">
        <f t="shared" si="35"/>
        <v>1716.0399360000001</v>
      </c>
      <c r="H440" s="4" t="s">
        <v>82</v>
      </c>
      <c r="I440" s="66"/>
      <c r="J440" s="66"/>
    </row>
    <row r="441" spans="1:10" s="3" customFormat="1" x14ac:dyDescent="0.35">
      <c r="A441" s="72" t="s">
        <v>262</v>
      </c>
      <c r="B441" s="72"/>
      <c r="C441" s="72"/>
      <c r="D441" s="72"/>
      <c r="E441" s="72"/>
      <c r="F441" s="72"/>
      <c r="G441" s="72"/>
      <c r="H441" s="72"/>
      <c r="I441" s="72"/>
      <c r="J441" s="72"/>
    </row>
    <row r="442" spans="1:10" s="3" customFormat="1" x14ac:dyDescent="0.35">
      <c r="A442" s="66">
        <v>1</v>
      </c>
      <c r="B442" s="66"/>
      <c r="C442" s="4" t="s">
        <v>275</v>
      </c>
      <c r="D442" s="66">
        <f>(169.3+3.44+1.43+3.04)*10.764</f>
        <v>1907.4884400000001</v>
      </c>
      <c r="E442" s="66"/>
      <c r="F442" s="4">
        <v>0</v>
      </c>
      <c r="G442" s="4">
        <f t="shared" ref="G442:G446" si="36">D442*1.6</f>
        <v>3051.9815040000003</v>
      </c>
      <c r="H442" s="4" t="s">
        <v>82</v>
      </c>
      <c r="I442" s="66" t="str">
        <f>A441</f>
        <v>59th to 63rd, 66th to 70th Floor</v>
      </c>
      <c r="J442" s="66"/>
    </row>
    <row r="443" spans="1:10" s="3" customFormat="1" x14ac:dyDescent="0.35">
      <c r="A443" s="66">
        <v>2</v>
      </c>
      <c r="B443" s="66"/>
      <c r="C443" s="4" t="s">
        <v>185</v>
      </c>
      <c r="D443" s="66">
        <f>(143.73+7.17+2.77+1.47)*10.764</f>
        <v>1669.9269599999998</v>
      </c>
      <c r="E443" s="66"/>
      <c r="F443" s="4">
        <v>0</v>
      </c>
      <c r="G443" s="4">
        <f t="shared" si="36"/>
        <v>2671.8831359999999</v>
      </c>
      <c r="H443" s="4" t="s">
        <v>82</v>
      </c>
      <c r="I443" s="66"/>
      <c r="J443" s="66"/>
    </row>
    <row r="444" spans="1:10" s="3" customFormat="1" x14ac:dyDescent="0.35">
      <c r="A444" s="66">
        <v>3</v>
      </c>
      <c r="B444" s="66"/>
      <c r="C444" s="4" t="s">
        <v>275</v>
      </c>
      <c r="D444" s="66">
        <f>(169.3+3.44+1.43+3.04)*10.764</f>
        <v>1907.4884400000001</v>
      </c>
      <c r="E444" s="66"/>
      <c r="F444" s="4">
        <v>0</v>
      </c>
      <c r="G444" s="4">
        <f t="shared" si="36"/>
        <v>3051.9815040000003</v>
      </c>
      <c r="H444" s="4" t="s">
        <v>82</v>
      </c>
      <c r="I444" s="66"/>
      <c r="J444" s="66"/>
    </row>
    <row r="445" spans="1:10" s="3" customFormat="1" x14ac:dyDescent="0.35">
      <c r="A445" s="66">
        <v>4</v>
      </c>
      <c r="B445" s="66">
        <v>5</v>
      </c>
      <c r="C445" s="4" t="s">
        <v>186</v>
      </c>
      <c r="D445" s="159">
        <f>(93.31+3.6+2.73)*10.764</f>
        <v>1072.52496</v>
      </c>
      <c r="E445" s="160"/>
      <c r="F445" s="4">
        <v>0</v>
      </c>
      <c r="G445" s="4">
        <f t="shared" si="36"/>
        <v>1716.0399360000001</v>
      </c>
      <c r="H445" s="4" t="s">
        <v>82</v>
      </c>
      <c r="I445" s="66"/>
      <c r="J445" s="66"/>
    </row>
    <row r="446" spans="1:10" s="3" customFormat="1" x14ac:dyDescent="0.35">
      <c r="A446" s="66">
        <v>5</v>
      </c>
      <c r="B446" s="66">
        <v>5</v>
      </c>
      <c r="C446" s="4" t="s">
        <v>186</v>
      </c>
      <c r="D446" s="159">
        <f>(93.31+3.6+2.73)*10.764</f>
        <v>1072.52496</v>
      </c>
      <c r="E446" s="160"/>
      <c r="F446" s="4">
        <v>0</v>
      </c>
      <c r="G446" s="4">
        <f t="shared" si="36"/>
        <v>1716.0399360000001</v>
      </c>
      <c r="H446" s="4" t="s">
        <v>82</v>
      </c>
      <c r="I446" s="66"/>
      <c r="J446" s="66"/>
    </row>
    <row r="447" spans="1:10" s="3" customFormat="1" x14ac:dyDescent="0.35">
      <c r="A447" s="72" t="s">
        <v>264</v>
      </c>
      <c r="B447" s="72"/>
      <c r="C447" s="72"/>
      <c r="D447" s="72"/>
      <c r="E447" s="72"/>
      <c r="F447" s="72"/>
      <c r="G447" s="72"/>
      <c r="H447" s="72"/>
      <c r="I447" s="72"/>
      <c r="J447" s="72"/>
    </row>
    <row r="448" spans="1:10" s="3" customFormat="1" x14ac:dyDescent="0.35">
      <c r="A448" s="66">
        <v>1</v>
      </c>
      <c r="B448" s="66"/>
      <c r="C448" s="4" t="s">
        <v>275</v>
      </c>
      <c r="D448" s="73">
        <f>(132.53+3.44+3.19)*10.764</f>
        <v>1497.91824</v>
      </c>
      <c r="E448" s="73"/>
      <c r="F448" s="4">
        <v>0</v>
      </c>
      <c r="G448" s="4">
        <f t="shared" ref="G448" si="37">D448*1.6</f>
        <v>2396.6691839999999</v>
      </c>
      <c r="H448" s="4" t="s">
        <v>82</v>
      </c>
      <c r="I448" s="66" t="str">
        <f>A447</f>
        <v>64th Floor (Part Refuge Area)</v>
      </c>
      <c r="J448" s="66"/>
    </row>
    <row r="449" spans="1:10" s="3" customFormat="1" ht="16.5" customHeight="1" x14ac:dyDescent="0.35">
      <c r="A449" s="66">
        <v>2</v>
      </c>
      <c r="B449" s="66"/>
      <c r="C449" s="66" t="s">
        <v>216</v>
      </c>
      <c r="D449" s="66"/>
      <c r="E449" s="66"/>
      <c r="F449" s="66"/>
      <c r="G449" s="66"/>
      <c r="H449" s="66"/>
      <c r="I449" s="66"/>
      <c r="J449" s="66"/>
    </row>
    <row r="450" spans="1:10" s="3" customFormat="1" x14ac:dyDescent="0.35">
      <c r="A450" s="66">
        <v>3</v>
      </c>
      <c r="B450" s="66"/>
      <c r="C450" s="4" t="s">
        <v>275</v>
      </c>
      <c r="D450" s="66">
        <f>(169.3+3.44+1.43+3.04)*10.764</f>
        <v>1907.4884400000001</v>
      </c>
      <c r="E450" s="66"/>
      <c r="F450" s="4">
        <v>0</v>
      </c>
      <c r="G450" s="4">
        <f t="shared" ref="G450:G452" si="38">D450*1.6</f>
        <v>3051.9815040000003</v>
      </c>
      <c r="H450" s="4" t="s">
        <v>82</v>
      </c>
      <c r="I450" s="66"/>
      <c r="J450" s="66"/>
    </row>
    <row r="451" spans="1:10" s="3" customFormat="1" x14ac:dyDescent="0.35">
      <c r="A451" s="66">
        <v>4</v>
      </c>
      <c r="B451" s="66">
        <v>5</v>
      </c>
      <c r="C451" s="4" t="s">
        <v>186</v>
      </c>
      <c r="D451" s="159">
        <f>(93.31+3.6+2.73)*10.764</f>
        <v>1072.52496</v>
      </c>
      <c r="E451" s="160"/>
      <c r="F451" s="4">
        <v>0</v>
      </c>
      <c r="G451" s="4">
        <f t="shared" si="38"/>
        <v>1716.0399360000001</v>
      </c>
      <c r="H451" s="4" t="s">
        <v>82</v>
      </c>
      <c r="I451" s="66"/>
      <c r="J451" s="66"/>
    </row>
    <row r="452" spans="1:10" s="3" customFormat="1" x14ac:dyDescent="0.35">
      <c r="A452" s="66">
        <v>5</v>
      </c>
      <c r="B452" s="66">
        <v>5</v>
      </c>
      <c r="C452" s="4" t="s">
        <v>186</v>
      </c>
      <c r="D452" s="159">
        <f>(93.31+3.6+2.73)*10.764</f>
        <v>1072.52496</v>
      </c>
      <c r="E452" s="160"/>
      <c r="F452" s="4">
        <v>0</v>
      </c>
      <c r="G452" s="4">
        <f t="shared" si="38"/>
        <v>1716.0399360000001</v>
      </c>
      <c r="H452" s="4" t="s">
        <v>82</v>
      </c>
      <c r="I452" s="66"/>
      <c r="J452" s="66"/>
    </row>
    <row r="453" spans="1:10" s="3" customFormat="1" x14ac:dyDescent="0.35">
      <c r="A453" s="72" t="s">
        <v>302</v>
      </c>
      <c r="B453" s="72"/>
      <c r="C453" s="72"/>
      <c r="D453" s="72"/>
      <c r="E453" s="72"/>
      <c r="F453" s="72"/>
      <c r="G453" s="72"/>
      <c r="H453" s="72"/>
      <c r="I453" s="72"/>
      <c r="J453" s="72"/>
    </row>
    <row r="454" spans="1:10" s="3" customFormat="1" x14ac:dyDescent="0.35">
      <c r="A454" s="66">
        <v>1</v>
      </c>
      <c r="B454" s="66"/>
      <c r="C454" s="4" t="s">
        <v>275</v>
      </c>
      <c r="D454" s="66">
        <f>(167.6+3.44+3.19+3.04)*10.764</f>
        <v>1908.1342799999998</v>
      </c>
      <c r="E454" s="66"/>
      <c r="F454" s="4">
        <v>0</v>
      </c>
      <c r="G454" s="4">
        <f t="shared" ref="G454:G458" si="39">D454*1.6</f>
        <v>3053.0148479999998</v>
      </c>
      <c r="H454" s="4" t="s">
        <v>82</v>
      </c>
      <c r="I454" s="66" t="str">
        <f>A453</f>
        <v>58th, 65th Floor</v>
      </c>
      <c r="J454" s="66"/>
    </row>
    <row r="455" spans="1:10" s="3" customFormat="1" x14ac:dyDescent="0.35">
      <c r="A455" s="66">
        <v>2</v>
      </c>
      <c r="B455" s="66"/>
      <c r="C455" s="4" t="s">
        <v>185</v>
      </c>
      <c r="D455" s="66">
        <f>(143.73+7.17+2.77+1.47)*10.764</f>
        <v>1669.9269599999998</v>
      </c>
      <c r="E455" s="66"/>
      <c r="F455" s="4">
        <v>0</v>
      </c>
      <c r="G455" s="4">
        <f t="shared" si="39"/>
        <v>2671.8831359999999</v>
      </c>
      <c r="H455" s="4" t="s">
        <v>82</v>
      </c>
      <c r="I455" s="66"/>
      <c r="J455" s="66"/>
    </row>
    <row r="456" spans="1:10" s="3" customFormat="1" x14ac:dyDescent="0.35">
      <c r="A456" s="66">
        <v>3</v>
      </c>
      <c r="B456" s="66"/>
      <c r="C456" s="4" t="s">
        <v>275</v>
      </c>
      <c r="D456" s="66">
        <f>(169.3+3.44+1.43+3.04)*10.764</f>
        <v>1907.4884400000001</v>
      </c>
      <c r="E456" s="66"/>
      <c r="F456" s="4">
        <v>0</v>
      </c>
      <c r="G456" s="4">
        <f t="shared" si="39"/>
        <v>3051.9815040000003</v>
      </c>
      <c r="H456" s="4" t="s">
        <v>82</v>
      </c>
      <c r="I456" s="66"/>
      <c r="J456" s="66"/>
    </row>
    <row r="457" spans="1:10" s="3" customFormat="1" x14ac:dyDescent="0.35">
      <c r="A457" s="66">
        <v>4</v>
      </c>
      <c r="B457" s="66">
        <v>5</v>
      </c>
      <c r="C457" s="4" t="s">
        <v>186</v>
      </c>
      <c r="D457" s="159">
        <f>(93.31+3.6+2.73)*10.764</f>
        <v>1072.52496</v>
      </c>
      <c r="E457" s="160"/>
      <c r="F457" s="4">
        <v>0</v>
      </c>
      <c r="G457" s="4">
        <f t="shared" si="39"/>
        <v>1716.0399360000001</v>
      </c>
      <c r="H457" s="4" t="s">
        <v>82</v>
      </c>
      <c r="I457" s="66"/>
      <c r="J457" s="66"/>
    </row>
    <row r="458" spans="1:10" s="3" customFormat="1" x14ac:dyDescent="0.35">
      <c r="A458" s="66">
        <v>5</v>
      </c>
      <c r="B458" s="66">
        <v>5</v>
      </c>
      <c r="C458" s="4" t="s">
        <v>186</v>
      </c>
      <c r="D458" s="159">
        <f>(93.31+3.6+2.73)*10.764</f>
        <v>1072.52496</v>
      </c>
      <c r="E458" s="160"/>
      <c r="F458" s="4">
        <v>0</v>
      </c>
      <c r="G458" s="4">
        <f t="shared" si="39"/>
        <v>1716.0399360000001</v>
      </c>
      <c r="H458" s="4" t="s">
        <v>82</v>
      </c>
      <c r="I458" s="66"/>
      <c r="J458" s="66"/>
    </row>
    <row r="459" spans="1:10" s="3" customFormat="1" x14ac:dyDescent="0.35">
      <c r="A459" s="72" t="s">
        <v>263</v>
      </c>
      <c r="B459" s="72"/>
      <c r="C459" s="72"/>
      <c r="D459" s="72"/>
      <c r="E459" s="72"/>
      <c r="F459" s="72"/>
      <c r="G459" s="72"/>
      <c r="H459" s="72"/>
      <c r="I459" s="72"/>
      <c r="J459" s="72"/>
    </row>
    <row r="460" spans="1:10" s="3" customFormat="1" ht="46.5" customHeight="1" x14ac:dyDescent="0.35">
      <c r="A460" s="66">
        <v>1</v>
      </c>
      <c r="B460" s="66"/>
      <c r="C460" s="4" t="s">
        <v>303</v>
      </c>
      <c r="D460" s="66">
        <f>((138.55+3.44+3.19)+(167.6+3.44+3.19+3.04))*10.764</f>
        <v>3470.8517999999995</v>
      </c>
      <c r="E460" s="66"/>
      <c r="F460" s="4">
        <v>0</v>
      </c>
      <c r="G460" s="4">
        <f t="shared" ref="G460:G463" si="40">D460*1.6</f>
        <v>5553.3628799999997</v>
      </c>
      <c r="H460" s="4" t="s">
        <v>82</v>
      </c>
      <c r="I460" s="66" t="str">
        <f>A459</f>
        <v>71st Floor (Part Refuge Area)</v>
      </c>
      <c r="J460" s="66"/>
    </row>
    <row r="461" spans="1:10" s="3" customFormat="1" ht="46.5" x14ac:dyDescent="0.35">
      <c r="A461" s="66">
        <v>2</v>
      </c>
      <c r="B461" s="66"/>
      <c r="C461" s="4" t="s">
        <v>304</v>
      </c>
      <c r="D461" s="66">
        <f>((143.73+7.17+2.77+1.47)+(143.73+7.17+2.77+1.47))*10.764</f>
        <v>3339.8539199999996</v>
      </c>
      <c r="E461" s="66"/>
      <c r="F461" s="4">
        <v>0</v>
      </c>
      <c r="G461" s="4">
        <f t="shared" si="40"/>
        <v>5343.7662719999998</v>
      </c>
      <c r="H461" s="4" t="s">
        <v>82</v>
      </c>
      <c r="I461" s="66"/>
      <c r="J461" s="66"/>
    </row>
    <row r="462" spans="1:10" s="3" customFormat="1" x14ac:dyDescent="0.35">
      <c r="A462" s="66">
        <v>3</v>
      </c>
      <c r="B462" s="66"/>
      <c r="C462" s="4" t="s">
        <v>275</v>
      </c>
      <c r="D462" s="66">
        <f>(169.3+3.44+1.43+3.04)*10.764</f>
        <v>1907.4884400000001</v>
      </c>
      <c r="E462" s="66"/>
      <c r="F462" s="4">
        <v>0</v>
      </c>
      <c r="G462" s="4">
        <f t="shared" si="40"/>
        <v>3051.9815040000003</v>
      </c>
      <c r="H462" s="4" t="s">
        <v>82</v>
      </c>
      <c r="I462" s="66"/>
      <c r="J462" s="66"/>
    </row>
    <row r="463" spans="1:10" s="3" customFormat="1" ht="31" x14ac:dyDescent="0.35">
      <c r="A463" s="66">
        <v>4</v>
      </c>
      <c r="B463" s="66">
        <v>5</v>
      </c>
      <c r="C463" s="4" t="s">
        <v>305</v>
      </c>
      <c r="D463" s="66">
        <f>((93.31+3.6+2.73)+(93.31+3.6+2.73)+(93.31+3.6+2.73)+(93.31+3.6+2.73))*10.764</f>
        <v>4290.0998399999999</v>
      </c>
      <c r="E463" s="66"/>
      <c r="F463" s="4">
        <v>0</v>
      </c>
      <c r="G463" s="4">
        <f t="shared" si="40"/>
        <v>6864.1597440000005</v>
      </c>
      <c r="H463" s="4" t="s">
        <v>82</v>
      </c>
      <c r="I463" s="66"/>
      <c r="J463" s="66"/>
    </row>
    <row r="464" spans="1:10" s="3" customFormat="1" x14ac:dyDescent="0.35">
      <c r="A464" s="72" t="s">
        <v>307</v>
      </c>
      <c r="B464" s="72"/>
      <c r="C464" s="72"/>
      <c r="D464" s="72"/>
      <c r="E464" s="72"/>
      <c r="F464" s="72"/>
      <c r="G464" s="72"/>
      <c r="H464" s="72"/>
      <c r="I464" s="72"/>
      <c r="J464" s="72"/>
    </row>
    <row r="465" spans="1:10" s="3" customFormat="1" x14ac:dyDescent="0.35">
      <c r="A465" s="66">
        <v>1</v>
      </c>
      <c r="B465" s="66"/>
      <c r="C465" s="159" t="s">
        <v>306</v>
      </c>
      <c r="D465" s="197"/>
      <c r="E465" s="197"/>
      <c r="F465" s="197"/>
      <c r="G465" s="197"/>
      <c r="H465" s="160"/>
      <c r="I465" s="66" t="str">
        <f>A464</f>
        <v>72nd Floor</v>
      </c>
      <c r="J465" s="66"/>
    </row>
    <row r="466" spans="1:10" s="3" customFormat="1" x14ac:dyDescent="0.35">
      <c r="A466" s="66">
        <v>2</v>
      </c>
      <c r="B466" s="66"/>
      <c r="C466" s="159" t="s">
        <v>308</v>
      </c>
      <c r="D466" s="197">
        <f>((143.73+7.17+2.77+1.47)+(143.73+7.17+2.77+1.47))*10.764</f>
        <v>3339.8539199999996</v>
      </c>
      <c r="E466" s="197"/>
      <c r="F466" s="197">
        <v>0</v>
      </c>
      <c r="G466" s="197">
        <f t="shared" ref="G466:G468" si="41">D466*1.6</f>
        <v>5343.7662719999998</v>
      </c>
      <c r="H466" s="160" t="s">
        <v>82</v>
      </c>
      <c r="I466" s="66"/>
      <c r="J466" s="66"/>
    </row>
    <row r="467" spans="1:10" s="3" customFormat="1" x14ac:dyDescent="0.35">
      <c r="A467" s="66">
        <v>3</v>
      </c>
      <c r="B467" s="66"/>
      <c r="C467" s="4" t="s">
        <v>275</v>
      </c>
      <c r="D467" s="66">
        <f>(169.3+3.44+1.43+3.04)*10.764</f>
        <v>1907.4884400000001</v>
      </c>
      <c r="E467" s="66"/>
      <c r="F467" s="4">
        <v>0</v>
      </c>
      <c r="G467" s="4">
        <f t="shared" si="41"/>
        <v>3051.9815040000003</v>
      </c>
      <c r="H467" s="4" t="s">
        <v>82</v>
      </c>
      <c r="I467" s="66"/>
      <c r="J467" s="66"/>
    </row>
    <row r="468" spans="1:10" s="3" customFormat="1" x14ac:dyDescent="0.35">
      <c r="A468" s="66">
        <v>4</v>
      </c>
      <c r="B468" s="66">
        <v>5</v>
      </c>
      <c r="C468" s="159" t="s">
        <v>309</v>
      </c>
      <c r="D468" s="197">
        <f>((93.31+3.6+2.73)+(93.31+3.6+2.73)+(93.31+3.6+2.73)+(93.31+3.6+2.73))*10.764</f>
        <v>4290.0998399999999</v>
      </c>
      <c r="E468" s="197"/>
      <c r="F468" s="197">
        <v>0</v>
      </c>
      <c r="G468" s="197">
        <f t="shared" si="41"/>
        <v>6864.1597440000005</v>
      </c>
      <c r="H468" s="160" t="s">
        <v>82</v>
      </c>
      <c r="I468" s="66"/>
      <c r="J468" s="66"/>
    </row>
    <row r="469" spans="1:10" s="3" customFormat="1" x14ac:dyDescent="0.35">
      <c r="A469" s="72" t="s">
        <v>274</v>
      </c>
      <c r="B469" s="72"/>
      <c r="C469" s="72"/>
      <c r="D469" s="72"/>
      <c r="E469" s="72"/>
      <c r="F469" s="72"/>
      <c r="G469" s="72"/>
      <c r="H469" s="72"/>
      <c r="I469" s="72"/>
      <c r="J469" s="72"/>
    </row>
    <row r="470" spans="1:10" s="3" customFormat="1" ht="15.65" customHeight="1" x14ac:dyDescent="0.35">
      <c r="A470" s="72" t="s">
        <v>393</v>
      </c>
      <c r="B470" s="72"/>
      <c r="C470" s="72"/>
      <c r="D470" s="72"/>
      <c r="E470" s="72"/>
      <c r="F470" s="72"/>
      <c r="G470" s="72"/>
      <c r="H470" s="72"/>
      <c r="I470" s="72"/>
      <c r="J470" s="72"/>
    </row>
    <row r="471" spans="1:10" s="3" customFormat="1" ht="15.75" customHeight="1" x14ac:dyDescent="0.35">
      <c r="A471" s="72" t="s">
        <v>392</v>
      </c>
      <c r="B471" s="72"/>
      <c r="C471" s="72"/>
      <c r="D471" s="72"/>
      <c r="E471" s="72"/>
      <c r="F471" s="72"/>
      <c r="G471" s="72"/>
      <c r="H471" s="72"/>
      <c r="I471" s="72"/>
      <c r="J471" s="72"/>
    </row>
    <row r="472" spans="1:10" s="3" customFormat="1" ht="15.75" customHeight="1" x14ac:dyDescent="0.35">
      <c r="A472" s="72" t="s">
        <v>183</v>
      </c>
      <c r="B472" s="72"/>
      <c r="C472" s="72"/>
      <c r="D472" s="72"/>
      <c r="E472" s="72"/>
      <c r="F472" s="72"/>
      <c r="G472" s="72"/>
      <c r="H472" s="72"/>
      <c r="I472" s="72"/>
      <c r="J472" s="72"/>
    </row>
    <row r="473" spans="1:10" s="3" customFormat="1" x14ac:dyDescent="0.35">
      <c r="A473" s="72" t="s">
        <v>184</v>
      </c>
      <c r="B473" s="72"/>
      <c r="C473" s="72"/>
      <c r="D473" s="72"/>
      <c r="E473" s="72"/>
      <c r="F473" s="72"/>
      <c r="G473" s="72"/>
      <c r="H473" s="72"/>
      <c r="I473" s="72"/>
      <c r="J473" s="72"/>
    </row>
    <row r="474" spans="1:10" s="3" customFormat="1" x14ac:dyDescent="0.35">
      <c r="A474" s="66">
        <v>1</v>
      </c>
      <c r="B474" s="66"/>
      <c r="C474" s="66" t="s">
        <v>266</v>
      </c>
      <c r="D474" s="66"/>
      <c r="E474" s="66"/>
      <c r="F474" s="66"/>
      <c r="G474" s="66"/>
      <c r="H474" s="66"/>
      <c r="I474" s="66" t="str">
        <f>A473</f>
        <v>2nd Floor for Residential</v>
      </c>
      <c r="J474" s="66"/>
    </row>
    <row r="475" spans="1:10" s="3" customFormat="1" x14ac:dyDescent="0.35">
      <c r="A475" s="66">
        <v>2</v>
      </c>
      <c r="B475" s="66"/>
      <c r="C475" s="66" t="s">
        <v>266</v>
      </c>
      <c r="D475" s="66"/>
      <c r="E475" s="66"/>
      <c r="F475" s="66"/>
      <c r="G475" s="66"/>
      <c r="H475" s="66"/>
      <c r="I475" s="66"/>
      <c r="J475" s="66"/>
    </row>
    <row r="476" spans="1:10" s="3" customFormat="1" ht="15.75" customHeight="1" x14ac:dyDescent="0.35">
      <c r="A476" s="66">
        <v>3</v>
      </c>
      <c r="B476" s="66"/>
      <c r="C476" s="4" t="s">
        <v>187</v>
      </c>
      <c r="D476" s="66">
        <f>(60.19+2.33*0.85)*10.764</f>
        <v>669.20326199999988</v>
      </c>
      <c r="E476" s="66"/>
      <c r="F476" s="4">
        <v>0</v>
      </c>
      <c r="G476" s="4">
        <f t="shared" ref="G476:G479" si="42">D476*1.6</f>
        <v>1070.7252191999999</v>
      </c>
      <c r="H476" s="4" t="s">
        <v>82</v>
      </c>
      <c r="I476" s="66"/>
      <c r="J476" s="66"/>
    </row>
    <row r="477" spans="1:10" s="3" customFormat="1" x14ac:dyDescent="0.35">
      <c r="A477" s="66">
        <v>4</v>
      </c>
      <c r="B477" s="66"/>
      <c r="C477" s="4" t="s">
        <v>187</v>
      </c>
      <c r="D477" s="66">
        <f>(60.19+2.33*0.85)*10.764</f>
        <v>669.20326199999988</v>
      </c>
      <c r="E477" s="66"/>
      <c r="F477" s="4">
        <v>0</v>
      </c>
      <c r="G477" s="4">
        <f t="shared" si="42"/>
        <v>1070.7252191999999</v>
      </c>
      <c r="H477" s="4" t="s">
        <v>82</v>
      </c>
      <c r="I477" s="66"/>
      <c r="J477" s="66"/>
    </row>
    <row r="478" spans="1:10" s="3" customFormat="1" x14ac:dyDescent="0.35">
      <c r="A478" s="66">
        <v>5</v>
      </c>
      <c r="B478" s="66"/>
      <c r="C478" s="4" t="s">
        <v>186</v>
      </c>
      <c r="D478" s="66">
        <f>(79.01+2.28*0.91)*10.764</f>
        <v>872.79678719999993</v>
      </c>
      <c r="E478" s="66"/>
      <c r="F478" s="4">
        <v>0</v>
      </c>
      <c r="G478" s="4">
        <f t="shared" si="42"/>
        <v>1396.4748595199999</v>
      </c>
      <c r="H478" s="4" t="s">
        <v>82</v>
      </c>
      <c r="I478" s="66"/>
      <c r="J478" s="66"/>
    </row>
    <row r="479" spans="1:10" s="3" customFormat="1" x14ac:dyDescent="0.35">
      <c r="A479" s="66">
        <v>6</v>
      </c>
      <c r="B479" s="66"/>
      <c r="C479" s="4" t="s">
        <v>186</v>
      </c>
      <c r="D479" s="66">
        <f>(79.56+2.28*0.91+3.15*1.07)*10.764</f>
        <v>914.99704919999999</v>
      </c>
      <c r="E479" s="66"/>
      <c r="F479" s="4">
        <v>0</v>
      </c>
      <c r="G479" s="4">
        <f t="shared" si="42"/>
        <v>1463.99527872</v>
      </c>
      <c r="H479" s="4" t="s">
        <v>82</v>
      </c>
      <c r="I479" s="66"/>
      <c r="J479" s="66"/>
    </row>
    <row r="480" spans="1:10" s="3" customFormat="1" x14ac:dyDescent="0.35">
      <c r="A480" s="72" t="s">
        <v>265</v>
      </c>
      <c r="B480" s="72"/>
      <c r="C480" s="72"/>
      <c r="D480" s="72"/>
      <c r="E480" s="72"/>
      <c r="F480" s="72"/>
      <c r="G480" s="72"/>
      <c r="H480" s="72"/>
      <c r="I480" s="72"/>
      <c r="J480" s="72"/>
    </row>
    <row r="481" spans="1:10" s="3" customFormat="1" ht="15.75" customHeight="1" x14ac:dyDescent="0.35">
      <c r="A481" s="66">
        <v>1</v>
      </c>
      <c r="B481" s="66"/>
      <c r="C481" s="4" t="s">
        <v>187</v>
      </c>
      <c r="D481" s="66">
        <f>(61.7+2.29*0.93+3.15*1.07)*10.764</f>
        <v>723.34295280000003</v>
      </c>
      <c r="E481" s="66"/>
      <c r="F481" s="4">
        <v>0</v>
      </c>
      <c r="G481" s="4">
        <f t="shared" ref="G481:G484" si="43">D481*1.6</f>
        <v>1157.3487244800001</v>
      </c>
      <c r="H481" s="4" t="s">
        <v>82</v>
      </c>
      <c r="I481" s="66" t="str">
        <f>A480</f>
        <v>3rd to 7th, 10th Floor</v>
      </c>
      <c r="J481" s="66"/>
    </row>
    <row r="482" spans="1:10" s="3" customFormat="1" x14ac:dyDescent="0.35">
      <c r="A482" s="66">
        <v>2</v>
      </c>
      <c r="B482" s="66"/>
      <c r="C482" s="4" t="s">
        <v>187</v>
      </c>
      <c r="D482" s="66">
        <f>(56.9+2.29*0.93)*10.764</f>
        <v>635.3956907999999</v>
      </c>
      <c r="E482" s="66"/>
      <c r="F482" s="4">
        <v>0</v>
      </c>
      <c r="G482" s="4">
        <f t="shared" si="43"/>
        <v>1016.6331052799999</v>
      </c>
      <c r="H482" s="4" t="s">
        <v>82</v>
      </c>
      <c r="I482" s="66"/>
      <c r="J482" s="66"/>
    </row>
    <row r="483" spans="1:10" s="3" customFormat="1" x14ac:dyDescent="0.35">
      <c r="A483" s="66">
        <v>3</v>
      </c>
      <c r="B483" s="66"/>
      <c r="C483" s="4" t="s">
        <v>187</v>
      </c>
      <c r="D483" s="66">
        <f>(60.19+2.33*0.85)*10.764</f>
        <v>669.20326199999988</v>
      </c>
      <c r="E483" s="66"/>
      <c r="F483" s="4">
        <v>0</v>
      </c>
      <c r="G483" s="4">
        <f t="shared" si="43"/>
        <v>1070.7252191999999</v>
      </c>
      <c r="H483" s="4" t="s">
        <v>82</v>
      </c>
      <c r="I483" s="66"/>
      <c r="J483" s="66"/>
    </row>
    <row r="484" spans="1:10" s="3" customFormat="1" x14ac:dyDescent="0.35">
      <c r="A484" s="66">
        <v>4</v>
      </c>
      <c r="B484" s="66"/>
      <c r="C484" s="4" t="s">
        <v>187</v>
      </c>
      <c r="D484" s="66">
        <f>(60.19+2.33*0.85)*10.764</f>
        <v>669.20326199999988</v>
      </c>
      <c r="E484" s="66"/>
      <c r="F484" s="4">
        <v>0</v>
      </c>
      <c r="G484" s="4">
        <f t="shared" si="43"/>
        <v>1070.7252191999999</v>
      </c>
      <c r="H484" s="4" t="s">
        <v>82</v>
      </c>
      <c r="I484" s="66"/>
      <c r="J484" s="66"/>
    </row>
    <row r="485" spans="1:10" s="3" customFormat="1" x14ac:dyDescent="0.35">
      <c r="A485" s="66">
        <v>5</v>
      </c>
      <c r="B485" s="66"/>
      <c r="C485" s="4" t="s">
        <v>186</v>
      </c>
      <c r="D485" s="66">
        <f>(79.01+2.28*0.91)*10.764</f>
        <v>872.79678719999993</v>
      </c>
      <c r="E485" s="66"/>
      <c r="F485" s="4">
        <v>0</v>
      </c>
      <c r="G485" s="4">
        <f t="shared" ref="G485:G486" si="44">D485*1.6</f>
        <v>1396.4748595199999</v>
      </c>
      <c r="H485" s="4" t="s">
        <v>82</v>
      </c>
      <c r="I485" s="66"/>
      <c r="J485" s="66"/>
    </row>
    <row r="486" spans="1:10" s="3" customFormat="1" x14ac:dyDescent="0.35">
      <c r="A486" s="66">
        <v>6</v>
      </c>
      <c r="B486" s="66"/>
      <c r="C486" s="4" t="s">
        <v>186</v>
      </c>
      <c r="D486" s="66">
        <f>(79.56+2.28*0.91+3.15*1.07)*10.764</f>
        <v>914.99704919999999</v>
      </c>
      <c r="E486" s="66"/>
      <c r="F486" s="4">
        <v>0</v>
      </c>
      <c r="G486" s="4">
        <f t="shared" si="44"/>
        <v>1463.99527872</v>
      </c>
      <c r="H486" s="4" t="s">
        <v>82</v>
      </c>
      <c r="I486" s="66"/>
      <c r="J486" s="66"/>
    </row>
    <row r="487" spans="1:10" s="3" customFormat="1" x14ac:dyDescent="0.35">
      <c r="A487" s="66">
        <v>7</v>
      </c>
      <c r="B487" s="66"/>
      <c r="C487" s="4" t="s">
        <v>187</v>
      </c>
      <c r="D487" s="66">
        <f>(64.44+2.33*0.85+3.2*1.07)*10.764</f>
        <v>751.80619800000011</v>
      </c>
      <c r="E487" s="66"/>
      <c r="F487" s="4">
        <v>0</v>
      </c>
      <c r="G487" s="4">
        <f t="shared" ref="G487:G488" si="45">D487*1.6</f>
        <v>1202.8899168000003</v>
      </c>
      <c r="H487" s="4" t="s">
        <v>82</v>
      </c>
      <c r="I487" s="66"/>
      <c r="J487" s="66"/>
    </row>
    <row r="488" spans="1:10" s="3" customFormat="1" x14ac:dyDescent="0.35">
      <c r="A488" s="66">
        <v>8</v>
      </c>
      <c r="B488" s="66"/>
      <c r="C488" s="4" t="s">
        <v>187</v>
      </c>
      <c r="D488" s="66">
        <f>(64.44+2.33*0.85+3.2*1.07)*10.764</f>
        <v>751.80619800000011</v>
      </c>
      <c r="E488" s="66"/>
      <c r="F488" s="4">
        <v>0</v>
      </c>
      <c r="G488" s="4">
        <f t="shared" si="45"/>
        <v>1202.8899168000003</v>
      </c>
      <c r="H488" s="4" t="s">
        <v>82</v>
      </c>
      <c r="I488" s="66"/>
      <c r="J488" s="66"/>
    </row>
    <row r="489" spans="1:10" s="3" customFormat="1" x14ac:dyDescent="0.35">
      <c r="A489" s="72" t="s">
        <v>267</v>
      </c>
      <c r="B489" s="72"/>
      <c r="C489" s="72"/>
      <c r="D489" s="72"/>
      <c r="E489" s="72"/>
      <c r="F489" s="72"/>
      <c r="G489" s="72"/>
      <c r="H489" s="72"/>
      <c r="I489" s="72"/>
      <c r="J489" s="72"/>
    </row>
    <row r="490" spans="1:10" s="3" customFormat="1" x14ac:dyDescent="0.35">
      <c r="A490" s="66">
        <v>1</v>
      </c>
      <c r="B490" s="66"/>
      <c r="C490" s="4" t="s">
        <v>187</v>
      </c>
      <c r="D490" s="66">
        <f>(61.7+2.29*0.93+3.15*1.07)*10.764</f>
        <v>723.34295280000003</v>
      </c>
      <c r="E490" s="66"/>
      <c r="F490" s="4">
        <v>0</v>
      </c>
      <c r="G490" s="4">
        <f t="shared" ref="G490:G497" si="46">D490*1.6</f>
        <v>1157.3487244800001</v>
      </c>
      <c r="H490" s="4" t="s">
        <v>82</v>
      </c>
      <c r="I490" s="66" t="str">
        <f>A489</f>
        <v>9th Floor</v>
      </c>
      <c r="J490" s="66"/>
    </row>
    <row r="491" spans="1:10" s="3" customFormat="1" x14ac:dyDescent="0.35">
      <c r="A491" s="66">
        <v>2</v>
      </c>
      <c r="B491" s="66"/>
      <c r="C491" s="4" t="s">
        <v>187</v>
      </c>
      <c r="D491" s="66">
        <f>(56.9+2.29*0.93)*10.764</f>
        <v>635.3956907999999</v>
      </c>
      <c r="E491" s="66"/>
      <c r="F491" s="4">
        <v>0</v>
      </c>
      <c r="G491" s="4">
        <f t="shared" si="46"/>
        <v>1016.6331052799999</v>
      </c>
      <c r="H491" s="4" t="s">
        <v>82</v>
      </c>
      <c r="I491" s="66"/>
      <c r="J491" s="66"/>
    </row>
    <row r="492" spans="1:10" s="3" customFormat="1" x14ac:dyDescent="0.35">
      <c r="A492" s="66">
        <v>3</v>
      </c>
      <c r="B492" s="66"/>
      <c r="C492" s="4" t="s">
        <v>187</v>
      </c>
      <c r="D492" s="66">
        <f>(60.19+2.33*0.85)*10.764</f>
        <v>669.20326199999988</v>
      </c>
      <c r="E492" s="66"/>
      <c r="F492" s="4">
        <v>0</v>
      </c>
      <c r="G492" s="4">
        <f t="shared" si="46"/>
        <v>1070.7252191999999</v>
      </c>
      <c r="H492" s="4" t="s">
        <v>82</v>
      </c>
      <c r="I492" s="66"/>
      <c r="J492" s="66"/>
    </row>
    <row r="493" spans="1:10" s="3" customFormat="1" x14ac:dyDescent="0.35">
      <c r="A493" s="66">
        <v>4</v>
      </c>
      <c r="B493" s="66"/>
      <c r="C493" s="4" t="s">
        <v>187</v>
      </c>
      <c r="D493" s="66">
        <f>(60.19+2.33*0.85)*10.764</f>
        <v>669.20326199999988</v>
      </c>
      <c r="E493" s="66"/>
      <c r="F493" s="4">
        <v>0</v>
      </c>
      <c r="G493" s="4">
        <f t="shared" si="46"/>
        <v>1070.7252191999999</v>
      </c>
      <c r="H493" s="4" t="s">
        <v>82</v>
      </c>
      <c r="I493" s="66"/>
      <c r="J493" s="66"/>
    </row>
    <row r="494" spans="1:10" s="3" customFormat="1" x14ac:dyDescent="0.35">
      <c r="A494" s="66">
        <v>5</v>
      </c>
      <c r="B494" s="66"/>
      <c r="C494" s="4" t="s">
        <v>186</v>
      </c>
      <c r="D494" s="66">
        <f>(79.01+2.28*0.91)*10.764</f>
        <v>872.79678719999993</v>
      </c>
      <c r="E494" s="66"/>
      <c r="F494" s="4">
        <v>0</v>
      </c>
      <c r="G494" s="4">
        <f t="shared" si="46"/>
        <v>1396.4748595199999</v>
      </c>
      <c r="H494" s="4" t="s">
        <v>82</v>
      </c>
      <c r="I494" s="66"/>
      <c r="J494" s="66"/>
    </row>
    <row r="495" spans="1:10" s="3" customFormat="1" x14ac:dyDescent="0.35">
      <c r="A495" s="66">
        <v>6</v>
      </c>
      <c r="B495" s="66"/>
      <c r="C495" s="4" t="s">
        <v>186</v>
      </c>
      <c r="D495" s="66">
        <f>(79.56+2.28*0.91+3.15*1.07)*10.764</f>
        <v>914.99704919999999</v>
      </c>
      <c r="E495" s="66"/>
      <c r="F495" s="4">
        <v>0</v>
      </c>
      <c r="G495" s="4">
        <f t="shared" si="46"/>
        <v>1463.99527872</v>
      </c>
      <c r="H495" s="4" t="s">
        <v>82</v>
      </c>
      <c r="I495" s="66"/>
      <c r="J495" s="66"/>
    </row>
    <row r="496" spans="1:10" s="3" customFormat="1" x14ac:dyDescent="0.35">
      <c r="A496" s="66">
        <v>7</v>
      </c>
      <c r="B496" s="66"/>
      <c r="C496" s="4" t="s">
        <v>187</v>
      </c>
      <c r="D496" s="66">
        <f>(64.44+2.33*0.85+3.2*1.07)*10.764</f>
        <v>751.80619800000011</v>
      </c>
      <c r="E496" s="66"/>
      <c r="F496" s="4">
        <v>0</v>
      </c>
      <c r="G496" s="4">
        <f t="shared" si="46"/>
        <v>1202.8899168000003</v>
      </c>
      <c r="H496" s="4" t="s">
        <v>82</v>
      </c>
      <c r="I496" s="66"/>
      <c r="J496" s="66"/>
    </row>
    <row r="497" spans="1:10" s="3" customFormat="1" x14ac:dyDescent="0.35">
      <c r="A497" s="66">
        <v>8</v>
      </c>
      <c r="B497" s="66"/>
      <c r="C497" s="4" t="s">
        <v>187</v>
      </c>
      <c r="D497" s="66">
        <f>(64.44+2.33*0.85+3.2*1.07)*10.764</f>
        <v>751.80619800000011</v>
      </c>
      <c r="E497" s="66"/>
      <c r="F497" s="4">
        <v>0</v>
      </c>
      <c r="G497" s="4">
        <f t="shared" si="46"/>
        <v>1202.8899168000003</v>
      </c>
      <c r="H497" s="4" t="s">
        <v>82</v>
      </c>
      <c r="I497" s="66"/>
      <c r="J497" s="66"/>
    </row>
    <row r="498" spans="1:10" s="3" customFormat="1" x14ac:dyDescent="0.35">
      <c r="A498" s="72" t="s">
        <v>189</v>
      </c>
      <c r="B498" s="72"/>
      <c r="C498" s="72"/>
      <c r="D498" s="72"/>
      <c r="E498" s="72"/>
      <c r="F498" s="72"/>
      <c r="G498" s="72"/>
      <c r="H498" s="72"/>
      <c r="I498" s="72"/>
      <c r="J498" s="72"/>
    </row>
    <row r="499" spans="1:10" s="3" customFormat="1" ht="15.75" customHeight="1" x14ac:dyDescent="0.35">
      <c r="A499" s="66">
        <v>1</v>
      </c>
      <c r="B499" s="66"/>
      <c r="C499" s="4" t="s">
        <v>187</v>
      </c>
      <c r="D499" s="66">
        <f>(61.7+2.29*0.93+3.15*1.07)*10.764</f>
        <v>723.34295280000003</v>
      </c>
      <c r="E499" s="66"/>
      <c r="F499" s="4">
        <v>0</v>
      </c>
      <c r="G499" s="4">
        <f t="shared" ref="G499:G506" si="47">D499*1.6</f>
        <v>1157.3487244800001</v>
      </c>
      <c r="H499" s="4" t="s">
        <v>82</v>
      </c>
      <c r="I499" s="145" t="str">
        <f>A498</f>
        <v>11th to 14th Floor</v>
      </c>
      <c r="J499" s="146"/>
    </row>
    <row r="500" spans="1:10" s="3" customFormat="1" x14ac:dyDescent="0.35">
      <c r="A500" s="66">
        <v>2</v>
      </c>
      <c r="B500" s="66"/>
      <c r="C500" s="4" t="s">
        <v>187</v>
      </c>
      <c r="D500" s="66">
        <f>(56.9+2.29*0.93)*10.764</f>
        <v>635.3956907999999</v>
      </c>
      <c r="E500" s="66"/>
      <c r="F500" s="4">
        <v>0</v>
      </c>
      <c r="G500" s="4">
        <f t="shared" si="47"/>
        <v>1016.6331052799999</v>
      </c>
      <c r="H500" s="4" t="s">
        <v>82</v>
      </c>
      <c r="I500" s="147"/>
      <c r="J500" s="148"/>
    </row>
    <row r="501" spans="1:10" s="3" customFormat="1" x14ac:dyDescent="0.35">
      <c r="A501" s="66">
        <v>3</v>
      </c>
      <c r="B501" s="66"/>
      <c r="C501" s="4" t="s">
        <v>187</v>
      </c>
      <c r="D501" s="66">
        <f>(60.19+2.33*0.85)*10.764</f>
        <v>669.20326199999988</v>
      </c>
      <c r="E501" s="66"/>
      <c r="F501" s="4">
        <v>0</v>
      </c>
      <c r="G501" s="4">
        <f t="shared" si="47"/>
        <v>1070.7252191999999</v>
      </c>
      <c r="H501" s="4" t="s">
        <v>82</v>
      </c>
      <c r="I501" s="147"/>
      <c r="J501" s="148"/>
    </row>
    <row r="502" spans="1:10" s="3" customFormat="1" x14ac:dyDescent="0.35">
      <c r="A502" s="66">
        <v>4</v>
      </c>
      <c r="B502" s="66"/>
      <c r="C502" s="4" t="s">
        <v>187</v>
      </c>
      <c r="D502" s="66">
        <f>(60.19+2.33*0.85)*10.764</f>
        <v>669.20326199999988</v>
      </c>
      <c r="E502" s="66"/>
      <c r="F502" s="4">
        <v>0</v>
      </c>
      <c r="G502" s="4">
        <f t="shared" si="47"/>
        <v>1070.7252191999999</v>
      </c>
      <c r="H502" s="4" t="s">
        <v>82</v>
      </c>
      <c r="I502" s="147"/>
      <c r="J502" s="148"/>
    </row>
    <row r="503" spans="1:10" s="3" customFormat="1" x14ac:dyDescent="0.35">
      <c r="A503" s="66">
        <v>5</v>
      </c>
      <c r="B503" s="66"/>
      <c r="C503" s="4" t="s">
        <v>186</v>
      </c>
      <c r="D503" s="66">
        <f>(79.01+2.28*0.91)*10.764</f>
        <v>872.79678719999993</v>
      </c>
      <c r="E503" s="66"/>
      <c r="F503" s="4">
        <v>0</v>
      </c>
      <c r="G503" s="4">
        <f t="shared" si="47"/>
        <v>1396.4748595199999</v>
      </c>
      <c r="H503" s="4" t="s">
        <v>82</v>
      </c>
      <c r="I503" s="147"/>
      <c r="J503" s="148"/>
    </row>
    <row r="504" spans="1:10" s="3" customFormat="1" x14ac:dyDescent="0.35">
      <c r="A504" s="66">
        <v>6</v>
      </c>
      <c r="B504" s="66"/>
      <c r="C504" s="4" t="s">
        <v>186</v>
      </c>
      <c r="D504" s="66">
        <f>(79.56+2.28*0.91+3.15*1.07)*10.764</f>
        <v>914.99704919999999</v>
      </c>
      <c r="E504" s="66"/>
      <c r="F504" s="4">
        <v>0</v>
      </c>
      <c r="G504" s="4">
        <f t="shared" si="47"/>
        <v>1463.99527872</v>
      </c>
      <c r="H504" s="4" t="s">
        <v>82</v>
      </c>
      <c r="I504" s="147"/>
      <c r="J504" s="148"/>
    </row>
    <row r="505" spans="1:10" s="3" customFormat="1" x14ac:dyDescent="0.35">
      <c r="A505" s="66">
        <v>7</v>
      </c>
      <c r="B505" s="66"/>
      <c r="C505" s="4" t="s">
        <v>187</v>
      </c>
      <c r="D505" s="66">
        <f>(64.44+2.33*0.85+3.2*1.07)*10.764</f>
        <v>751.80619800000011</v>
      </c>
      <c r="E505" s="66"/>
      <c r="F505" s="4">
        <v>0</v>
      </c>
      <c r="G505" s="4">
        <f t="shared" si="47"/>
        <v>1202.8899168000003</v>
      </c>
      <c r="H505" s="4" t="s">
        <v>82</v>
      </c>
      <c r="I505" s="147"/>
      <c r="J505" s="148"/>
    </row>
    <row r="506" spans="1:10" s="3" customFormat="1" x14ac:dyDescent="0.35">
      <c r="A506" s="66">
        <v>8</v>
      </c>
      <c r="B506" s="66"/>
      <c r="C506" s="4" t="s">
        <v>187</v>
      </c>
      <c r="D506" s="66">
        <f>(64.44+2.33*0.85+3.2*1.07)*10.764</f>
        <v>751.80619800000011</v>
      </c>
      <c r="E506" s="66"/>
      <c r="F506" s="4">
        <v>0</v>
      </c>
      <c r="G506" s="4">
        <f t="shared" si="47"/>
        <v>1202.8899168000003</v>
      </c>
      <c r="H506" s="4" t="s">
        <v>82</v>
      </c>
      <c r="I506" s="149"/>
      <c r="J506" s="150"/>
    </row>
    <row r="507" spans="1:10" s="3" customFormat="1" x14ac:dyDescent="0.35">
      <c r="A507" s="72" t="s">
        <v>268</v>
      </c>
      <c r="B507" s="72"/>
      <c r="C507" s="72"/>
      <c r="D507" s="72"/>
      <c r="E507" s="72"/>
      <c r="F507" s="72"/>
      <c r="G507" s="72"/>
      <c r="H507" s="72"/>
      <c r="I507" s="72"/>
      <c r="J507" s="72"/>
    </row>
    <row r="508" spans="1:10" s="3" customFormat="1" ht="15.75" customHeight="1" x14ac:dyDescent="0.35">
      <c r="A508" s="66">
        <v>1</v>
      </c>
      <c r="B508" s="66"/>
      <c r="C508" s="4" t="s">
        <v>187</v>
      </c>
      <c r="D508" s="66">
        <f>(61.7+2.29*0.93+3.15*1.07)*10.764</f>
        <v>723.34295280000003</v>
      </c>
      <c r="E508" s="66"/>
      <c r="F508" s="4">
        <v>0</v>
      </c>
      <c r="G508" s="4">
        <f t="shared" ref="G508:G515" si="48">D508*1.6</f>
        <v>1157.3487244800001</v>
      </c>
      <c r="H508" s="4" t="s">
        <v>82</v>
      </c>
      <c r="I508" s="66" t="str">
        <f>A507</f>
        <v>16th &amp; 23rd Floor</v>
      </c>
      <c r="J508" s="66"/>
    </row>
    <row r="509" spans="1:10" s="3" customFormat="1" x14ac:dyDescent="0.35">
      <c r="A509" s="66">
        <v>2</v>
      </c>
      <c r="B509" s="66"/>
      <c r="C509" s="4" t="s">
        <v>187</v>
      </c>
      <c r="D509" s="66">
        <f>(56.9+2.29*0.93)*10.764</f>
        <v>635.3956907999999</v>
      </c>
      <c r="E509" s="66"/>
      <c r="F509" s="4">
        <v>0</v>
      </c>
      <c r="G509" s="4">
        <f t="shared" si="48"/>
        <v>1016.6331052799999</v>
      </c>
      <c r="H509" s="4" t="s">
        <v>82</v>
      </c>
      <c r="I509" s="66"/>
      <c r="J509" s="66"/>
    </row>
    <row r="510" spans="1:10" s="3" customFormat="1" x14ac:dyDescent="0.35">
      <c r="A510" s="66">
        <v>3</v>
      </c>
      <c r="B510" s="66"/>
      <c r="C510" s="4" t="s">
        <v>187</v>
      </c>
      <c r="D510" s="66">
        <f>(60.19+2.33*0.85)*10.764</f>
        <v>669.20326199999988</v>
      </c>
      <c r="E510" s="66"/>
      <c r="F510" s="4">
        <v>0</v>
      </c>
      <c r="G510" s="4">
        <f t="shared" si="48"/>
        <v>1070.7252191999999</v>
      </c>
      <c r="H510" s="4" t="s">
        <v>82</v>
      </c>
      <c r="I510" s="66"/>
      <c r="J510" s="66"/>
    </row>
    <row r="511" spans="1:10" s="3" customFormat="1" x14ac:dyDescent="0.35">
      <c r="A511" s="66">
        <v>4</v>
      </c>
      <c r="B511" s="66"/>
      <c r="C511" s="4" t="s">
        <v>187</v>
      </c>
      <c r="D511" s="66">
        <f>(60.19+2.33*0.85)*10.764</f>
        <v>669.20326199999988</v>
      </c>
      <c r="E511" s="66"/>
      <c r="F511" s="4">
        <v>0</v>
      </c>
      <c r="G511" s="4">
        <f t="shared" si="48"/>
        <v>1070.7252191999999</v>
      </c>
      <c r="H511" s="4" t="s">
        <v>82</v>
      </c>
      <c r="I511" s="66"/>
      <c r="J511" s="66"/>
    </row>
    <row r="512" spans="1:10" s="3" customFormat="1" x14ac:dyDescent="0.35">
      <c r="A512" s="66">
        <v>5</v>
      </c>
      <c r="B512" s="66"/>
      <c r="C512" s="4" t="s">
        <v>186</v>
      </c>
      <c r="D512" s="66">
        <f>(79.01+2.28*0.91)*10.764</f>
        <v>872.79678719999993</v>
      </c>
      <c r="E512" s="66"/>
      <c r="F512" s="4">
        <v>0</v>
      </c>
      <c r="G512" s="4">
        <f t="shared" si="48"/>
        <v>1396.4748595199999</v>
      </c>
      <c r="H512" s="4" t="s">
        <v>82</v>
      </c>
      <c r="I512" s="66"/>
      <c r="J512" s="66"/>
    </row>
    <row r="513" spans="1:10" s="3" customFormat="1" x14ac:dyDescent="0.35">
      <c r="A513" s="66">
        <v>6</v>
      </c>
      <c r="B513" s="66"/>
      <c r="C513" s="4" t="s">
        <v>186</v>
      </c>
      <c r="D513" s="66">
        <f>(79.56+2.28*0.91+3.15*1.07)*10.764</f>
        <v>914.99704919999999</v>
      </c>
      <c r="E513" s="66"/>
      <c r="F513" s="4">
        <v>0</v>
      </c>
      <c r="G513" s="4">
        <f t="shared" si="48"/>
        <v>1463.99527872</v>
      </c>
      <c r="H513" s="4" t="s">
        <v>82</v>
      </c>
      <c r="I513" s="66"/>
      <c r="J513" s="66"/>
    </row>
    <row r="514" spans="1:10" s="3" customFormat="1" x14ac:dyDescent="0.35">
      <c r="A514" s="66">
        <v>7</v>
      </c>
      <c r="B514" s="66"/>
      <c r="C514" s="4" t="s">
        <v>187</v>
      </c>
      <c r="D514" s="66">
        <f>(64.44+2.33*0.85+3.2*1.07)*10.764</f>
        <v>751.80619800000011</v>
      </c>
      <c r="E514" s="66"/>
      <c r="F514" s="4">
        <v>0</v>
      </c>
      <c r="G514" s="4">
        <f t="shared" si="48"/>
        <v>1202.8899168000003</v>
      </c>
      <c r="H514" s="4" t="s">
        <v>82</v>
      </c>
      <c r="I514" s="66"/>
      <c r="J514" s="66"/>
    </row>
    <row r="515" spans="1:10" s="3" customFormat="1" x14ac:dyDescent="0.35">
      <c r="A515" s="66">
        <v>8</v>
      </c>
      <c r="B515" s="66"/>
      <c r="C515" s="4" t="s">
        <v>187</v>
      </c>
      <c r="D515" s="66">
        <f>(64.44+2.33*0.85+3.2*1.07)*10.764</f>
        <v>751.80619800000011</v>
      </c>
      <c r="E515" s="66"/>
      <c r="F515" s="4">
        <v>0</v>
      </c>
      <c r="G515" s="4">
        <f t="shared" si="48"/>
        <v>1202.8899168000003</v>
      </c>
      <c r="H515" s="4" t="s">
        <v>82</v>
      </c>
      <c r="I515" s="66"/>
      <c r="J515" s="66"/>
    </row>
    <row r="516" spans="1:10" s="3" customFormat="1" x14ac:dyDescent="0.35">
      <c r="A516" s="72" t="s">
        <v>269</v>
      </c>
      <c r="B516" s="72"/>
      <c r="C516" s="72"/>
      <c r="D516" s="72"/>
      <c r="E516" s="72"/>
      <c r="F516" s="72"/>
      <c r="G516" s="72"/>
      <c r="H516" s="72"/>
      <c r="I516" s="72"/>
      <c r="J516" s="72"/>
    </row>
    <row r="517" spans="1:10" s="3" customFormat="1" ht="15.75" customHeight="1" x14ac:dyDescent="0.35">
      <c r="A517" s="66">
        <v>1</v>
      </c>
      <c r="B517" s="66"/>
      <c r="C517" s="4" t="s">
        <v>187</v>
      </c>
      <c r="D517" s="66">
        <f>(61.7+2.29*0.93+3.15*1.07)*10.764</f>
        <v>723.34295280000003</v>
      </c>
      <c r="E517" s="66"/>
      <c r="F517" s="4">
        <v>0</v>
      </c>
      <c r="G517" s="4">
        <f t="shared" ref="G517:G524" si="49">D517*1.6</f>
        <v>1157.3487244800001</v>
      </c>
      <c r="H517" s="4" t="s">
        <v>82</v>
      </c>
      <c r="I517" s="66" t="str">
        <f>A516</f>
        <v>17th to 21st, 24th to 25th Floor</v>
      </c>
      <c r="J517" s="66"/>
    </row>
    <row r="518" spans="1:10" s="3" customFormat="1" x14ac:dyDescent="0.35">
      <c r="A518" s="66">
        <v>2</v>
      </c>
      <c r="B518" s="66"/>
      <c r="C518" s="4" t="s">
        <v>187</v>
      </c>
      <c r="D518" s="66">
        <f>(56.9+2.29*0.93)*10.764</f>
        <v>635.3956907999999</v>
      </c>
      <c r="E518" s="66"/>
      <c r="F518" s="4">
        <v>0</v>
      </c>
      <c r="G518" s="4">
        <f t="shared" si="49"/>
        <v>1016.6331052799999</v>
      </c>
      <c r="H518" s="4" t="s">
        <v>82</v>
      </c>
      <c r="I518" s="66"/>
      <c r="J518" s="66"/>
    </row>
    <row r="519" spans="1:10" s="3" customFormat="1" x14ac:dyDescent="0.35">
      <c r="A519" s="66">
        <v>3</v>
      </c>
      <c r="B519" s="66"/>
      <c r="C519" s="4" t="s">
        <v>187</v>
      </c>
      <c r="D519" s="66">
        <f>(60.19+2.33*0.85)*10.764</f>
        <v>669.20326199999988</v>
      </c>
      <c r="E519" s="66"/>
      <c r="F519" s="4">
        <v>0</v>
      </c>
      <c r="G519" s="4">
        <f t="shared" si="49"/>
        <v>1070.7252191999999</v>
      </c>
      <c r="H519" s="4" t="s">
        <v>82</v>
      </c>
      <c r="I519" s="66"/>
      <c r="J519" s="66"/>
    </row>
    <row r="520" spans="1:10" s="3" customFormat="1" x14ac:dyDescent="0.35">
      <c r="A520" s="66">
        <v>4</v>
      </c>
      <c r="B520" s="66"/>
      <c r="C520" s="4" t="s">
        <v>187</v>
      </c>
      <c r="D520" s="66">
        <f>(60.19+2.33*0.85)*10.764</f>
        <v>669.20326199999988</v>
      </c>
      <c r="E520" s="66"/>
      <c r="F520" s="4">
        <v>0</v>
      </c>
      <c r="G520" s="4">
        <f t="shared" si="49"/>
        <v>1070.7252191999999</v>
      </c>
      <c r="H520" s="4" t="s">
        <v>82</v>
      </c>
      <c r="I520" s="66"/>
      <c r="J520" s="66"/>
    </row>
    <row r="521" spans="1:10" s="3" customFormat="1" x14ac:dyDescent="0.35">
      <c r="A521" s="66">
        <v>5</v>
      </c>
      <c r="B521" s="66"/>
      <c r="C521" s="4" t="s">
        <v>186</v>
      </c>
      <c r="D521" s="66">
        <f>(79.01+2.28*0.91)*10.764</f>
        <v>872.79678719999993</v>
      </c>
      <c r="E521" s="66"/>
      <c r="F521" s="4">
        <v>0</v>
      </c>
      <c r="G521" s="4">
        <f t="shared" si="49"/>
        <v>1396.4748595199999</v>
      </c>
      <c r="H521" s="4" t="s">
        <v>82</v>
      </c>
      <c r="I521" s="66"/>
      <c r="J521" s="66"/>
    </row>
    <row r="522" spans="1:10" s="3" customFormat="1" x14ac:dyDescent="0.35">
      <c r="A522" s="66">
        <v>6</v>
      </c>
      <c r="B522" s="66"/>
      <c r="C522" s="4" t="s">
        <v>186</v>
      </c>
      <c r="D522" s="66">
        <f>(79.56+2.28*0.91+3.15*1.07)*10.764</f>
        <v>914.99704919999999</v>
      </c>
      <c r="E522" s="66"/>
      <c r="F522" s="4">
        <v>0</v>
      </c>
      <c r="G522" s="4">
        <f t="shared" si="49"/>
        <v>1463.99527872</v>
      </c>
      <c r="H522" s="4" t="s">
        <v>82</v>
      </c>
      <c r="I522" s="66"/>
      <c r="J522" s="66"/>
    </row>
    <row r="523" spans="1:10" s="3" customFormat="1" x14ac:dyDescent="0.35">
      <c r="A523" s="66">
        <v>7</v>
      </c>
      <c r="B523" s="66"/>
      <c r="C523" s="4" t="s">
        <v>187</v>
      </c>
      <c r="D523" s="66">
        <f>(64.44+2.33*0.85+3.2*1.07)*10.764</f>
        <v>751.80619800000011</v>
      </c>
      <c r="E523" s="66"/>
      <c r="F523" s="4">
        <v>0</v>
      </c>
      <c r="G523" s="4">
        <f t="shared" si="49"/>
        <v>1202.8899168000003</v>
      </c>
      <c r="H523" s="4" t="s">
        <v>82</v>
      </c>
      <c r="I523" s="66"/>
      <c r="J523" s="66"/>
    </row>
    <row r="524" spans="1:10" s="3" customFormat="1" x14ac:dyDescent="0.35">
      <c r="A524" s="66">
        <v>8</v>
      </c>
      <c r="B524" s="66"/>
      <c r="C524" s="4" t="s">
        <v>187</v>
      </c>
      <c r="D524" s="66">
        <f>(64.44+2.33*0.85+3.2*1.07)*10.764</f>
        <v>751.80619800000011</v>
      </c>
      <c r="E524" s="66"/>
      <c r="F524" s="4">
        <v>0</v>
      </c>
      <c r="G524" s="4">
        <f t="shared" si="49"/>
        <v>1202.8899168000003</v>
      </c>
      <c r="H524" s="4" t="s">
        <v>82</v>
      </c>
      <c r="I524" s="66"/>
      <c r="J524" s="66"/>
    </row>
    <row r="525" spans="1:10" s="3" customFormat="1" x14ac:dyDescent="0.35">
      <c r="A525" s="72" t="s">
        <v>270</v>
      </c>
      <c r="B525" s="72"/>
      <c r="C525" s="72"/>
      <c r="D525" s="72"/>
      <c r="E525" s="72"/>
      <c r="F525" s="72"/>
      <c r="G525" s="72"/>
      <c r="H525" s="72"/>
      <c r="I525" s="72"/>
      <c r="J525" s="72"/>
    </row>
    <row r="526" spans="1:10" s="3" customFormat="1" ht="15.75" customHeight="1" x14ac:dyDescent="0.35">
      <c r="A526" s="66">
        <v>1</v>
      </c>
      <c r="B526" s="66"/>
      <c r="C526" s="4" t="s">
        <v>187</v>
      </c>
      <c r="D526" s="66">
        <f>(61.7+2.29*0.93+3.15*1.07)*10.764</f>
        <v>723.34295280000003</v>
      </c>
      <c r="E526" s="66"/>
      <c r="F526" s="4">
        <v>0</v>
      </c>
      <c r="G526" s="4">
        <f t="shared" ref="G526:G533" si="50">D526*1.6</f>
        <v>1157.3487244800001</v>
      </c>
      <c r="H526" s="4" t="s">
        <v>82</v>
      </c>
      <c r="I526" s="66" t="str">
        <f>A525</f>
        <v>26th to 28th, 31st to 35th Floor</v>
      </c>
      <c r="J526" s="66"/>
    </row>
    <row r="527" spans="1:10" s="3" customFormat="1" x14ac:dyDescent="0.35">
      <c r="A527" s="66">
        <v>2</v>
      </c>
      <c r="B527" s="66"/>
      <c r="C527" s="4" t="s">
        <v>187</v>
      </c>
      <c r="D527" s="66">
        <f>(56.9+2.29*0.93)*10.764</f>
        <v>635.3956907999999</v>
      </c>
      <c r="E527" s="66"/>
      <c r="F527" s="4">
        <v>0</v>
      </c>
      <c r="G527" s="4">
        <f t="shared" si="50"/>
        <v>1016.6331052799999</v>
      </c>
      <c r="H527" s="4" t="s">
        <v>82</v>
      </c>
      <c r="I527" s="66"/>
      <c r="J527" s="66"/>
    </row>
    <row r="528" spans="1:10" s="3" customFormat="1" x14ac:dyDescent="0.35">
      <c r="A528" s="66">
        <v>3</v>
      </c>
      <c r="B528" s="66"/>
      <c r="C528" s="4" t="s">
        <v>187</v>
      </c>
      <c r="D528" s="66">
        <f>(60.19+2.33*0.85)*10.764</f>
        <v>669.20326199999988</v>
      </c>
      <c r="E528" s="66"/>
      <c r="F528" s="4">
        <v>0</v>
      </c>
      <c r="G528" s="4">
        <f t="shared" si="50"/>
        <v>1070.7252191999999</v>
      </c>
      <c r="H528" s="4" t="s">
        <v>82</v>
      </c>
      <c r="I528" s="66"/>
      <c r="J528" s="66"/>
    </row>
    <row r="529" spans="1:12" s="3" customFormat="1" x14ac:dyDescent="0.35">
      <c r="A529" s="66">
        <v>4</v>
      </c>
      <c r="B529" s="66"/>
      <c r="C529" s="4" t="s">
        <v>187</v>
      </c>
      <c r="D529" s="66">
        <f>(60.19+2.33*0.85)*10.764</f>
        <v>669.20326199999988</v>
      </c>
      <c r="E529" s="66"/>
      <c r="F529" s="4">
        <v>0</v>
      </c>
      <c r="G529" s="4">
        <f t="shared" si="50"/>
        <v>1070.7252191999999</v>
      </c>
      <c r="H529" s="4" t="s">
        <v>82</v>
      </c>
      <c r="I529" s="66"/>
      <c r="J529" s="66"/>
    </row>
    <row r="530" spans="1:12" s="3" customFormat="1" x14ac:dyDescent="0.35">
      <c r="A530" s="66">
        <v>5</v>
      </c>
      <c r="B530" s="66"/>
      <c r="C530" s="4" t="s">
        <v>186</v>
      </c>
      <c r="D530" s="66">
        <f>(79.01+2.28*0.91)*10.764</f>
        <v>872.79678719999993</v>
      </c>
      <c r="E530" s="66"/>
      <c r="F530" s="4">
        <v>0</v>
      </c>
      <c r="G530" s="4">
        <f t="shared" si="50"/>
        <v>1396.4748595199999</v>
      </c>
      <c r="H530" s="4" t="s">
        <v>82</v>
      </c>
      <c r="I530" s="66"/>
      <c r="J530" s="66"/>
    </row>
    <row r="531" spans="1:12" s="3" customFormat="1" x14ac:dyDescent="0.35">
      <c r="A531" s="66">
        <v>6</v>
      </c>
      <c r="B531" s="66"/>
      <c r="C531" s="4" t="s">
        <v>186</v>
      </c>
      <c r="D531" s="66">
        <f>(79.56+2.28*0.91+3.15*1.07)*10.764</f>
        <v>914.99704919999999</v>
      </c>
      <c r="E531" s="66"/>
      <c r="F531" s="4">
        <v>0</v>
      </c>
      <c r="G531" s="4">
        <f t="shared" si="50"/>
        <v>1463.99527872</v>
      </c>
      <c r="H531" s="4" t="s">
        <v>82</v>
      </c>
      <c r="I531" s="66"/>
      <c r="J531" s="66"/>
    </row>
    <row r="532" spans="1:12" s="3" customFormat="1" x14ac:dyDescent="0.35">
      <c r="A532" s="66">
        <v>7</v>
      </c>
      <c r="B532" s="66"/>
      <c r="C532" s="4" t="s">
        <v>187</v>
      </c>
      <c r="D532" s="66">
        <f>(64.44+2.33*0.85+3.2*1.07)*10.764</f>
        <v>751.80619800000011</v>
      </c>
      <c r="E532" s="66"/>
      <c r="F532" s="4">
        <v>0</v>
      </c>
      <c r="G532" s="4">
        <f t="shared" si="50"/>
        <v>1202.8899168000003</v>
      </c>
      <c r="H532" s="4" t="s">
        <v>82</v>
      </c>
      <c r="I532" s="66"/>
      <c r="J532" s="66"/>
    </row>
    <row r="533" spans="1:12" s="3" customFormat="1" x14ac:dyDescent="0.35">
      <c r="A533" s="66">
        <v>8</v>
      </c>
      <c r="B533" s="66"/>
      <c r="C533" s="4" t="s">
        <v>187</v>
      </c>
      <c r="D533" s="66">
        <f>(64.44+2.33*0.85+3.2*1.07)*10.764</f>
        <v>751.80619800000011</v>
      </c>
      <c r="E533" s="66"/>
      <c r="F533" s="4">
        <v>0</v>
      </c>
      <c r="G533" s="4">
        <f t="shared" si="50"/>
        <v>1202.8899168000003</v>
      </c>
      <c r="H533" s="4" t="s">
        <v>82</v>
      </c>
      <c r="I533" s="66"/>
      <c r="J533" s="66"/>
    </row>
    <row r="534" spans="1:12" s="3" customFormat="1" x14ac:dyDescent="0.35">
      <c r="A534" s="72" t="s">
        <v>190</v>
      </c>
      <c r="B534" s="72"/>
      <c r="C534" s="72"/>
      <c r="D534" s="72"/>
      <c r="E534" s="72"/>
      <c r="F534" s="72"/>
      <c r="G534" s="72"/>
      <c r="H534" s="72"/>
      <c r="I534" s="72"/>
      <c r="J534" s="72"/>
    </row>
    <row r="535" spans="1:12" s="3" customFormat="1" x14ac:dyDescent="0.35">
      <c r="A535" s="66">
        <v>1</v>
      </c>
      <c r="B535" s="66"/>
      <c r="C535" s="4" t="s">
        <v>187</v>
      </c>
      <c r="D535" s="66">
        <f>(61.7+2.29*0.93+3.15*1.07)*10.764</f>
        <v>723.34295280000003</v>
      </c>
      <c r="E535" s="66"/>
      <c r="F535" s="4">
        <v>0</v>
      </c>
      <c r="G535" s="4">
        <f t="shared" ref="G535:G542" si="51">D535*1.6</f>
        <v>1157.3487244800001</v>
      </c>
      <c r="H535" s="4" t="s">
        <v>82</v>
      </c>
      <c r="I535" s="66" t="str">
        <f>A534</f>
        <v>30th Floor</v>
      </c>
      <c r="J535" s="66"/>
    </row>
    <row r="536" spans="1:12" s="3" customFormat="1" x14ac:dyDescent="0.35">
      <c r="A536" s="66">
        <v>2</v>
      </c>
      <c r="B536" s="66"/>
      <c r="C536" s="4" t="s">
        <v>187</v>
      </c>
      <c r="D536" s="66">
        <f>(56.9+2.29*0.93)*10.764</f>
        <v>635.3956907999999</v>
      </c>
      <c r="E536" s="66"/>
      <c r="F536" s="4">
        <v>0</v>
      </c>
      <c r="G536" s="4">
        <f t="shared" si="51"/>
        <v>1016.6331052799999</v>
      </c>
      <c r="H536" s="4" t="s">
        <v>82</v>
      </c>
      <c r="I536" s="66"/>
      <c r="J536" s="66"/>
    </row>
    <row r="537" spans="1:12" s="3" customFormat="1" x14ac:dyDescent="0.35">
      <c r="A537" s="66">
        <v>3</v>
      </c>
      <c r="B537" s="66"/>
      <c r="C537" s="4" t="s">
        <v>187</v>
      </c>
      <c r="D537" s="66">
        <f>(60.19+2.33*0.85)*10.764</f>
        <v>669.20326199999988</v>
      </c>
      <c r="E537" s="66"/>
      <c r="F537" s="4">
        <v>0</v>
      </c>
      <c r="G537" s="4">
        <f t="shared" si="51"/>
        <v>1070.7252191999999</v>
      </c>
      <c r="H537" s="4" t="s">
        <v>82</v>
      </c>
      <c r="I537" s="66"/>
      <c r="J537" s="66"/>
    </row>
    <row r="538" spans="1:12" s="3" customFormat="1" x14ac:dyDescent="0.35">
      <c r="A538" s="66">
        <v>4</v>
      </c>
      <c r="B538" s="66"/>
      <c r="C538" s="4" t="s">
        <v>187</v>
      </c>
      <c r="D538" s="66">
        <f>(60.19+2.33*0.85)*10.764</f>
        <v>669.20326199999988</v>
      </c>
      <c r="E538" s="66"/>
      <c r="F538" s="4">
        <v>0</v>
      </c>
      <c r="G538" s="4">
        <f t="shared" si="51"/>
        <v>1070.7252191999999</v>
      </c>
      <c r="H538" s="4" t="s">
        <v>82</v>
      </c>
      <c r="I538" s="66"/>
      <c r="J538" s="66"/>
    </row>
    <row r="539" spans="1:12" s="3" customFormat="1" x14ac:dyDescent="0.35">
      <c r="A539" s="66">
        <v>5</v>
      </c>
      <c r="B539" s="66"/>
      <c r="C539" s="4" t="s">
        <v>186</v>
      </c>
      <c r="D539" s="66">
        <f>(79.01+2.28*0.91)*10.764</f>
        <v>872.79678719999993</v>
      </c>
      <c r="E539" s="66"/>
      <c r="F539" s="4">
        <v>0</v>
      </c>
      <c r="G539" s="4">
        <f t="shared" si="51"/>
        <v>1396.4748595199999</v>
      </c>
      <c r="H539" s="4" t="s">
        <v>82</v>
      </c>
      <c r="I539" s="66"/>
      <c r="J539" s="66"/>
    </row>
    <row r="540" spans="1:12" s="3" customFormat="1" x14ac:dyDescent="0.35">
      <c r="A540" s="66">
        <v>6</v>
      </c>
      <c r="B540" s="66"/>
      <c r="C540" s="4" t="s">
        <v>186</v>
      </c>
      <c r="D540" s="66">
        <f>(79.56+2.28*0.91+3.15*1.07)*10.764</f>
        <v>914.99704919999999</v>
      </c>
      <c r="E540" s="66"/>
      <c r="F540" s="4">
        <v>0</v>
      </c>
      <c r="G540" s="4">
        <f t="shared" si="51"/>
        <v>1463.99527872</v>
      </c>
      <c r="H540" s="4" t="s">
        <v>82</v>
      </c>
      <c r="I540" s="66"/>
      <c r="J540" s="66"/>
    </row>
    <row r="541" spans="1:12" s="3" customFormat="1" x14ac:dyDescent="0.35">
      <c r="A541" s="66">
        <v>7</v>
      </c>
      <c r="B541" s="66"/>
      <c r="C541" s="4" t="s">
        <v>187</v>
      </c>
      <c r="D541" s="66">
        <f>(64.44+2.33*0.85+3.2*1.07)*10.764</f>
        <v>751.80619800000011</v>
      </c>
      <c r="E541" s="66"/>
      <c r="F541" s="4">
        <v>0</v>
      </c>
      <c r="G541" s="4">
        <f t="shared" si="51"/>
        <v>1202.8899168000003</v>
      </c>
      <c r="H541" s="4" t="s">
        <v>82</v>
      </c>
      <c r="I541" s="66"/>
      <c r="J541" s="66"/>
    </row>
    <row r="542" spans="1:12" s="3" customFormat="1" x14ac:dyDescent="0.35">
      <c r="A542" s="66">
        <v>8</v>
      </c>
      <c r="B542" s="66"/>
      <c r="C542" s="4" t="s">
        <v>187</v>
      </c>
      <c r="D542" s="66">
        <f>(64.44+2.33*0.85+3.2*1.07)*10.764</f>
        <v>751.80619800000011</v>
      </c>
      <c r="E542" s="66"/>
      <c r="F542" s="4">
        <v>0</v>
      </c>
      <c r="G542" s="4">
        <f t="shared" si="51"/>
        <v>1202.8899168000003</v>
      </c>
      <c r="H542" s="4" t="s">
        <v>82</v>
      </c>
      <c r="I542" s="66"/>
      <c r="J542" s="66"/>
    </row>
    <row r="543" spans="1:12" s="3" customFormat="1" x14ac:dyDescent="0.35">
      <c r="A543" s="72" t="s">
        <v>319</v>
      </c>
      <c r="B543" s="72"/>
      <c r="C543" s="72"/>
      <c r="D543" s="72"/>
      <c r="E543" s="72"/>
      <c r="F543" s="72"/>
      <c r="G543" s="72"/>
      <c r="H543" s="72"/>
      <c r="I543" s="72"/>
      <c r="J543" s="72"/>
    </row>
    <row r="544" spans="1:12" s="3" customFormat="1" ht="15.75" customHeight="1" x14ac:dyDescent="0.35">
      <c r="A544" s="66">
        <v>1</v>
      </c>
      <c r="B544" s="66"/>
      <c r="C544" s="4" t="s">
        <v>187</v>
      </c>
      <c r="D544" s="66">
        <f>(61.7+2.29*0.93+3.15*1.07)*10.764</f>
        <v>723.34295280000003</v>
      </c>
      <c r="E544" s="66"/>
      <c r="F544" s="4">
        <v>0</v>
      </c>
      <c r="G544" s="4">
        <f t="shared" ref="G544:G551" si="52">D544*1.6</f>
        <v>1157.3487244800001</v>
      </c>
      <c r="H544" s="4" t="s">
        <v>82</v>
      </c>
      <c r="I544" s="66" t="str">
        <f>A543</f>
        <v>38th to 42nd, 45th Floor</v>
      </c>
      <c r="J544" s="66"/>
      <c r="L544" s="3">
        <f>3.2*4.99+2.28*2.43+3.05*3.05+3.2*4.27+2.79*1+2.28*1.45+1.45*2.28+1.56*1.12+1.5*1.12</f>
        <v>57.304099999999991</v>
      </c>
    </row>
    <row r="545" spans="1:10" s="3" customFormat="1" x14ac:dyDescent="0.35">
      <c r="A545" s="66">
        <v>2</v>
      </c>
      <c r="B545" s="66"/>
      <c r="C545" s="4" t="s">
        <v>187</v>
      </c>
      <c r="D545" s="66">
        <f>(56.9+2.29*0.93)*10.764</f>
        <v>635.3956907999999</v>
      </c>
      <c r="E545" s="66"/>
      <c r="F545" s="4">
        <v>0</v>
      </c>
      <c r="G545" s="4">
        <f t="shared" si="52"/>
        <v>1016.6331052799999</v>
      </c>
      <c r="H545" s="4" t="s">
        <v>82</v>
      </c>
      <c r="I545" s="66"/>
      <c r="J545" s="66"/>
    </row>
    <row r="546" spans="1:10" s="3" customFormat="1" x14ac:dyDescent="0.35">
      <c r="A546" s="66">
        <v>3</v>
      </c>
      <c r="B546" s="66"/>
      <c r="C546" s="4" t="s">
        <v>187</v>
      </c>
      <c r="D546" s="66">
        <f>(60.19+2.33*0.85)*10.764</f>
        <v>669.20326199999988</v>
      </c>
      <c r="E546" s="66"/>
      <c r="F546" s="4">
        <v>0</v>
      </c>
      <c r="G546" s="4">
        <f t="shared" si="52"/>
        <v>1070.7252191999999</v>
      </c>
      <c r="H546" s="4" t="s">
        <v>82</v>
      </c>
      <c r="I546" s="66"/>
      <c r="J546" s="66"/>
    </row>
    <row r="547" spans="1:10" s="3" customFormat="1" x14ac:dyDescent="0.35">
      <c r="A547" s="66">
        <v>4</v>
      </c>
      <c r="B547" s="66"/>
      <c r="C547" s="4" t="s">
        <v>187</v>
      </c>
      <c r="D547" s="66">
        <f>(60.19+2.33*0.85)*10.764</f>
        <v>669.20326199999988</v>
      </c>
      <c r="E547" s="66"/>
      <c r="F547" s="4">
        <v>0</v>
      </c>
      <c r="G547" s="4">
        <f t="shared" si="52"/>
        <v>1070.7252191999999</v>
      </c>
      <c r="H547" s="4" t="s">
        <v>82</v>
      </c>
      <c r="I547" s="66"/>
      <c r="J547" s="66"/>
    </row>
    <row r="548" spans="1:10" s="3" customFormat="1" x14ac:dyDescent="0.35">
      <c r="A548" s="66">
        <v>5</v>
      </c>
      <c r="B548" s="66"/>
      <c r="C548" s="4" t="s">
        <v>186</v>
      </c>
      <c r="D548" s="66">
        <f>(79.01+2.28*0.91)*10.764</f>
        <v>872.79678719999993</v>
      </c>
      <c r="E548" s="66"/>
      <c r="F548" s="4">
        <v>0</v>
      </c>
      <c r="G548" s="4">
        <f t="shared" si="52"/>
        <v>1396.4748595199999</v>
      </c>
      <c r="H548" s="4" t="s">
        <v>82</v>
      </c>
      <c r="I548" s="66"/>
      <c r="J548" s="66"/>
    </row>
    <row r="549" spans="1:10" s="3" customFormat="1" x14ac:dyDescent="0.35">
      <c r="A549" s="66">
        <v>6</v>
      </c>
      <c r="B549" s="66"/>
      <c r="C549" s="4" t="s">
        <v>186</v>
      </c>
      <c r="D549" s="66">
        <f>(79.56+2.28*0.91+3.15*1.07)*10.764</f>
        <v>914.99704919999999</v>
      </c>
      <c r="E549" s="66"/>
      <c r="F549" s="4">
        <v>0</v>
      </c>
      <c r="G549" s="4">
        <f t="shared" si="52"/>
        <v>1463.99527872</v>
      </c>
      <c r="H549" s="4" t="s">
        <v>82</v>
      </c>
      <c r="I549" s="66"/>
      <c r="J549" s="66"/>
    </row>
    <row r="550" spans="1:10" s="3" customFormat="1" x14ac:dyDescent="0.35">
      <c r="A550" s="66">
        <v>7</v>
      </c>
      <c r="B550" s="66"/>
      <c r="C550" s="4" t="s">
        <v>187</v>
      </c>
      <c r="D550" s="66">
        <f>(64.44+2.33*0.85+3.2*1.07)*10.764</f>
        <v>751.80619800000011</v>
      </c>
      <c r="E550" s="66"/>
      <c r="F550" s="4">
        <v>0</v>
      </c>
      <c r="G550" s="4">
        <f t="shared" si="52"/>
        <v>1202.8899168000003</v>
      </c>
      <c r="H550" s="4" t="s">
        <v>82</v>
      </c>
      <c r="I550" s="66"/>
      <c r="J550" s="66"/>
    </row>
    <row r="551" spans="1:10" s="3" customFormat="1" x14ac:dyDescent="0.35">
      <c r="A551" s="66">
        <v>8</v>
      </c>
      <c r="B551" s="66"/>
      <c r="C551" s="4" t="s">
        <v>187</v>
      </c>
      <c r="D551" s="66">
        <f>(64.44+2.33*0.85+3.2*1.07)*10.764</f>
        <v>751.80619800000011</v>
      </c>
      <c r="E551" s="66"/>
      <c r="F551" s="4">
        <v>0</v>
      </c>
      <c r="G551" s="4">
        <f t="shared" si="52"/>
        <v>1202.8899168000003</v>
      </c>
      <c r="H551" s="4" t="s">
        <v>82</v>
      </c>
      <c r="I551" s="66"/>
      <c r="J551" s="66"/>
    </row>
    <row r="552" spans="1:10" s="3" customFormat="1" ht="15.75" customHeight="1" x14ac:dyDescent="0.35">
      <c r="A552" s="72" t="s">
        <v>353</v>
      </c>
      <c r="B552" s="72"/>
      <c r="C552" s="72"/>
      <c r="D552" s="72"/>
      <c r="E552" s="72"/>
      <c r="F552" s="72"/>
      <c r="G552" s="72"/>
      <c r="H552" s="72"/>
      <c r="I552" s="72"/>
      <c r="J552" s="72"/>
    </row>
    <row r="553" spans="1:10" s="3" customFormat="1" ht="15.75" customHeight="1" x14ac:dyDescent="0.35">
      <c r="A553" s="66">
        <v>1</v>
      </c>
      <c r="B553" s="66"/>
      <c r="C553" s="4" t="s">
        <v>187</v>
      </c>
      <c r="D553" s="66">
        <f>(61.7+2.29*0.93+3.15*1.07)*10.764</f>
        <v>723.34295280000003</v>
      </c>
      <c r="E553" s="66"/>
      <c r="F553" s="4">
        <v>0</v>
      </c>
      <c r="G553" s="4">
        <f t="shared" ref="G553:G560" si="53">D553*1.6</f>
        <v>1157.3487244800001</v>
      </c>
      <c r="H553" s="4" t="s">
        <v>82</v>
      </c>
      <c r="I553" s="66" t="str">
        <f>A552</f>
        <v>8th, 15th, 22nd, 29th &amp; 36th Floor (Part Refuge Area)</v>
      </c>
      <c r="J553" s="66"/>
    </row>
    <row r="554" spans="1:10" s="3" customFormat="1" x14ac:dyDescent="0.35">
      <c r="A554" s="66">
        <v>2</v>
      </c>
      <c r="B554" s="66"/>
      <c r="C554" s="4" t="s">
        <v>187</v>
      </c>
      <c r="D554" s="66">
        <f>(56.9+2.29*0.93)*10.764</f>
        <v>635.3956907999999</v>
      </c>
      <c r="E554" s="66"/>
      <c r="F554" s="4">
        <v>0</v>
      </c>
      <c r="G554" s="4">
        <f t="shared" si="53"/>
        <v>1016.6331052799999</v>
      </c>
      <c r="H554" s="4" t="s">
        <v>82</v>
      </c>
      <c r="I554" s="66"/>
      <c r="J554" s="66"/>
    </row>
    <row r="555" spans="1:10" s="3" customFormat="1" ht="16.5" customHeight="1" x14ac:dyDescent="0.35">
      <c r="A555" s="66">
        <v>3</v>
      </c>
      <c r="B555" s="66"/>
      <c r="C555" s="66" t="s">
        <v>216</v>
      </c>
      <c r="D555" s="66"/>
      <c r="E555" s="66"/>
      <c r="F555" s="66"/>
      <c r="G555" s="66"/>
      <c r="H555" s="66"/>
      <c r="I555" s="66"/>
      <c r="J555" s="66"/>
    </row>
    <row r="556" spans="1:10" s="3" customFormat="1" x14ac:dyDescent="0.35">
      <c r="A556" s="66">
        <v>4</v>
      </c>
      <c r="B556" s="66"/>
      <c r="C556" s="66" t="s">
        <v>216</v>
      </c>
      <c r="D556" s="66"/>
      <c r="E556" s="66"/>
      <c r="F556" s="66"/>
      <c r="G556" s="66"/>
      <c r="H556" s="66"/>
      <c r="I556" s="66"/>
      <c r="J556" s="66"/>
    </row>
    <row r="557" spans="1:10" s="3" customFormat="1" x14ac:dyDescent="0.35">
      <c r="A557" s="66">
        <v>5</v>
      </c>
      <c r="B557" s="66"/>
      <c r="C557" s="4" t="s">
        <v>186</v>
      </c>
      <c r="D557" s="66">
        <f>(79.01+2.28*0.91)*10.764</f>
        <v>872.79678719999993</v>
      </c>
      <c r="E557" s="66"/>
      <c r="F557" s="4">
        <v>0</v>
      </c>
      <c r="G557" s="4">
        <f t="shared" si="53"/>
        <v>1396.4748595199999</v>
      </c>
      <c r="H557" s="4" t="s">
        <v>82</v>
      </c>
      <c r="I557" s="66"/>
      <c r="J557" s="66"/>
    </row>
    <row r="558" spans="1:10" s="3" customFormat="1" x14ac:dyDescent="0.35">
      <c r="A558" s="66">
        <v>6</v>
      </c>
      <c r="B558" s="66"/>
      <c r="C558" s="4" t="s">
        <v>186</v>
      </c>
      <c r="D558" s="66">
        <f>(79.56+2.28*0.91+3.15*1.07)*10.764</f>
        <v>914.99704919999999</v>
      </c>
      <c r="E558" s="66"/>
      <c r="F558" s="4">
        <v>0</v>
      </c>
      <c r="G558" s="4">
        <f t="shared" si="53"/>
        <v>1463.99527872</v>
      </c>
      <c r="H558" s="4" t="s">
        <v>82</v>
      </c>
      <c r="I558" s="66"/>
      <c r="J558" s="66"/>
    </row>
    <row r="559" spans="1:10" s="3" customFormat="1" x14ac:dyDescent="0.35">
      <c r="A559" s="66">
        <v>7</v>
      </c>
      <c r="B559" s="66"/>
      <c r="C559" s="4" t="s">
        <v>187</v>
      </c>
      <c r="D559" s="66">
        <f>(64.44+2.33*0.85+3.2*1.07)*10.764</f>
        <v>751.80619800000011</v>
      </c>
      <c r="E559" s="66"/>
      <c r="F559" s="4">
        <v>0</v>
      </c>
      <c r="G559" s="4">
        <f t="shared" si="53"/>
        <v>1202.8899168000003</v>
      </c>
      <c r="H559" s="4" t="s">
        <v>82</v>
      </c>
      <c r="I559" s="66"/>
      <c r="J559" s="66"/>
    </row>
    <row r="560" spans="1:10" s="3" customFormat="1" x14ac:dyDescent="0.35">
      <c r="A560" s="66">
        <v>8</v>
      </c>
      <c r="B560" s="66"/>
      <c r="C560" s="4" t="s">
        <v>187</v>
      </c>
      <c r="D560" s="66">
        <f>(64.44+2.33*0.85+3.2*1.07)*10.764</f>
        <v>751.80619800000011</v>
      </c>
      <c r="E560" s="66"/>
      <c r="F560" s="4">
        <v>0</v>
      </c>
      <c r="G560" s="4">
        <f t="shared" si="53"/>
        <v>1202.8899168000003</v>
      </c>
      <c r="H560" s="4" t="s">
        <v>82</v>
      </c>
      <c r="I560" s="66"/>
      <c r="J560" s="66"/>
    </row>
    <row r="561" spans="1:12" s="3" customFormat="1" x14ac:dyDescent="0.35">
      <c r="A561" s="72" t="s">
        <v>271</v>
      </c>
      <c r="B561" s="72"/>
      <c r="C561" s="72"/>
      <c r="D561" s="72"/>
      <c r="E561" s="72"/>
      <c r="F561" s="72"/>
      <c r="G561" s="72"/>
      <c r="H561" s="72"/>
      <c r="I561" s="72"/>
      <c r="J561" s="72"/>
    </row>
    <row r="562" spans="1:12" s="3" customFormat="1" ht="15.75" customHeight="1" x14ac:dyDescent="0.35">
      <c r="A562" s="66">
        <v>1</v>
      </c>
      <c r="B562" s="66"/>
      <c r="C562" s="4" t="s">
        <v>187</v>
      </c>
      <c r="D562" s="66">
        <f>(61.7+2.29*0.93+3.15*1.07)*10.764</f>
        <v>723.34295280000003</v>
      </c>
      <c r="E562" s="66"/>
      <c r="F562" s="4">
        <v>0</v>
      </c>
      <c r="G562" s="4">
        <f t="shared" ref="G562:G569" si="54">D562*1.6</f>
        <v>1157.3487244800001</v>
      </c>
      <c r="H562" s="4" t="s">
        <v>82</v>
      </c>
      <c r="I562" s="66" t="str">
        <f>A561</f>
        <v>37th &amp; 44th Floor</v>
      </c>
      <c r="J562" s="66"/>
      <c r="L562" s="3">
        <f>3.2*4.99+2.28*2.43+3.05*3.05+3.2*4.27+2.79*1+2.28*1.45+1.45*2.28+1.56*1.12+1.5*1.12</f>
        <v>57.304099999999991</v>
      </c>
    </row>
    <row r="563" spans="1:12" s="3" customFormat="1" x14ac:dyDescent="0.35">
      <c r="A563" s="66">
        <v>2</v>
      </c>
      <c r="B563" s="66"/>
      <c r="C563" s="4" t="s">
        <v>187</v>
      </c>
      <c r="D563" s="66">
        <f>(56.9+2.29*0.93)*10.764</f>
        <v>635.3956907999999</v>
      </c>
      <c r="E563" s="66"/>
      <c r="F563" s="4">
        <v>0</v>
      </c>
      <c r="G563" s="4">
        <f t="shared" si="54"/>
        <v>1016.6331052799999</v>
      </c>
      <c r="H563" s="4" t="s">
        <v>82</v>
      </c>
      <c r="I563" s="66"/>
      <c r="J563" s="66"/>
    </row>
    <row r="564" spans="1:12" s="3" customFormat="1" x14ac:dyDescent="0.35">
      <c r="A564" s="66">
        <v>3</v>
      </c>
      <c r="B564" s="66"/>
      <c r="C564" s="4" t="s">
        <v>187</v>
      </c>
      <c r="D564" s="66">
        <f>(60.19+2.33*0.85)*10.764</f>
        <v>669.20326199999988</v>
      </c>
      <c r="E564" s="66"/>
      <c r="F564" s="4">
        <v>0</v>
      </c>
      <c r="G564" s="4">
        <f t="shared" si="54"/>
        <v>1070.7252191999999</v>
      </c>
      <c r="H564" s="4" t="s">
        <v>82</v>
      </c>
      <c r="I564" s="66"/>
      <c r="J564" s="66"/>
    </row>
    <row r="565" spans="1:12" s="3" customFormat="1" x14ac:dyDescent="0.35">
      <c r="A565" s="66">
        <v>4</v>
      </c>
      <c r="B565" s="66"/>
      <c r="C565" s="4" t="s">
        <v>187</v>
      </c>
      <c r="D565" s="66">
        <f>(60.19+2.33*0.85)*10.764</f>
        <v>669.20326199999988</v>
      </c>
      <c r="E565" s="66"/>
      <c r="F565" s="4">
        <v>0</v>
      </c>
      <c r="G565" s="4">
        <f t="shared" si="54"/>
        <v>1070.7252191999999</v>
      </c>
      <c r="H565" s="4" t="s">
        <v>82</v>
      </c>
      <c r="I565" s="66"/>
      <c r="J565" s="66"/>
    </row>
    <row r="566" spans="1:12" s="3" customFormat="1" x14ac:dyDescent="0.35">
      <c r="A566" s="66">
        <v>5</v>
      </c>
      <c r="B566" s="66"/>
      <c r="C566" s="4" t="s">
        <v>186</v>
      </c>
      <c r="D566" s="66">
        <f>(79.01+2.28*0.91)*10.764</f>
        <v>872.79678719999993</v>
      </c>
      <c r="E566" s="66"/>
      <c r="F566" s="4">
        <v>0</v>
      </c>
      <c r="G566" s="4">
        <f t="shared" si="54"/>
        <v>1396.4748595199999</v>
      </c>
      <c r="H566" s="4" t="s">
        <v>82</v>
      </c>
      <c r="I566" s="66"/>
      <c r="J566" s="66"/>
    </row>
    <row r="567" spans="1:12" s="3" customFormat="1" x14ac:dyDescent="0.35">
      <c r="A567" s="66">
        <v>6</v>
      </c>
      <c r="B567" s="66"/>
      <c r="C567" s="4" t="s">
        <v>186</v>
      </c>
      <c r="D567" s="66">
        <f>(79.56+2.28*0.91+3.15*1.07)*10.764</f>
        <v>914.99704919999999</v>
      </c>
      <c r="E567" s="66"/>
      <c r="F567" s="4">
        <v>0</v>
      </c>
      <c r="G567" s="4">
        <f t="shared" si="54"/>
        <v>1463.99527872</v>
      </c>
      <c r="H567" s="4" t="s">
        <v>82</v>
      </c>
      <c r="I567" s="66"/>
      <c r="J567" s="66"/>
    </row>
    <row r="568" spans="1:12" s="3" customFormat="1" x14ac:dyDescent="0.35">
      <c r="A568" s="66">
        <v>7</v>
      </c>
      <c r="B568" s="66"/>
      <c r="C568" s="4" t="s">
        <v>187</v>
      </c>
      <c r="D568" s="66">
        <f>(64.44+2.33*0.85+3.2*1.07)*10.764</f>
        <v>751.80619800000011</v>
      </c>
      <c r="E568" s="66"/>
      <c r="F568" s="4">
        <v>0</v>
      </c>
      <c r="G568" s="4">
        <f t="shared" si="54"/>
        <v>1202.8899168000003</v>
      </c>
      <c r="H568" s="4" t="s">
        <v>82</v>
      </c>
      <c r="I568" s="66"/>
      <c r="J568" s="66"/>
    </row>
    <row r="569" spans="1:12" s="3" customFormat="1" x14ac:dyDescent="0.35">
      <c r="A569" s="66">
        <v>8</v>
      </c>
      <c r="B569" s="66"/>
      <c r="C569" s="4" t="s">
        <v>187</v>
      </c>
      <c r="D569" s="66">
        <f>(64.44+2.33*0.85+3.2*1.07)*10.764</f>
        <v>751.80619800000011</v>
      </c>
      <c r="E569" s="66"/>
      <c r="F569" s="4">
        <v>0</v>
      </c>
      <c r="G569" s="4">
        <f t="shared" si="54"/>
        <v>1202.8899168000003</v>
      </c>
      <c r="H569" s="4" t="s">
        <v>82</v>
      </c>
      <c r="I569" s="66"/>
      <c r="J569" s="66"/>
    </row>
    <row r="570" spans="1:12" s="3" customFormat="1" ht="15.75" customHeight="1" x14ac:dyDescent="0.35">
      <c r="A570" s="72" t="s">
        <v>224</v>
      </c>
      <c r="B570" s="72"/>
      <c r="C570" s="72"/>
      <c r="D570" s="72"/>
      <c r="E570" s="72"/>
      <c r="F570" s="72"/>
      <c r="G570" s="72"/>
      <c r="H570" s="72"/>
      <c r="I570" s="72"/>
      <c r="J570" s="72"/>
    </row>
    <row r="571" spans="1:12" s="3" customFormat="1" ht="15.75" customHeight="1" x14ac:dyDescent="0.35">
      <c r="A571" s="66">
        <v>1</v>
      </c>
      <c r="B571" s="66"/>
      <c r="C571" s="4" t="s">
        <v>187</v>
      </c>
      <c r="D571" s="66">
        <f>(61.7+2.29*0.93+3.15*1.07)*10.764</f>
        <v>723.34295280000003</v>
      </c>
      <c r="E571" s="66"/>
      <c r="F571" s="4">
        <v>0</v>
      </c>
      <c r="G571" s="4">
        <f t="shared" ref="G571:G573" si="55">D571*1.6</f>
        <v>1157.3487244800001</v>
      </c>
      <c r="H571" s="4" t="s">
        <v>82</v>
      </c>
      <c r="I571" s="66" t="str">
        <f>A570</f>
        <v>43rd Floor (Part Refuge Area)</v>
      </c>
      <c r="J571" s="66"/>
    </row>
    <row r="572" spans="1:12" s="3" customFormat="1" x14ac:dyDescent="0.35">
      <c r="A572" s="66">
        <v>2</v>
      </c>
      <c r="B572" s="66"/>
      <c r="C572" s="4" t="s">
        <v>187</v>
      </c>
      <c r="D572" s="66">
        <f>(56.9+2.29*0.93)*10.764</f>
        <v>635.3956907999999</v>
      </c>
      <c r="E572" s="66"/>
      <c r="F572" s="4">
        <v>0</v>
      </c>
      <c r="G572" s="4">
        <f t="shared" si="55"/>
        <v>1016.6331052799999</v>
      </c>
      <c r="H572" s="4" t="s">
        <v>82</v>
      </c>
      <c r="I572" s="66"/>
      <c r="J572" s="66"/>
    </row>
    <row r="573" spans="1:12" s="3" customFormat="1" ht="16.5" customHeight="1" x14ac:dyDescent="0.35">
      <c r="A573" s="66">
        <v>3</v>
      </c>
      <c r="B573" s="66"/>
      <c r="C573" s="4" t="s">
        <v>187</v>
      </c>
      <c r="D573" s="66">
        <f>(60.19+2.33*0.85)*10.764</f>
        <v>669.20326199999988</v>
      </c>
      <c r="E573" s="66"/>
      <c r="F573" s="4">
        <v>0</v>
      </c>
      <c r="G573" s="4">
        <f t="shared" si="55"/>
        <v>1070.7252191999999</v>
      </c>
      <c r="H573" s="4" t="s">
        <v>82</v>
      </c>
      <c r="I573" s="66"/>
      <c r="J573" s="66"/>
    </row>
    <row r="574" spans="1:12" s="3" customFormat="1" x14ac:dyDescent="0.35">
      <c r="A574" s="66">
        <v>4</v>
      </c>
      <c r="B574" s="66"/>
      <c r="C574" s="66" t="s">
        <v>216</v>
      </c>
      <c r="D574" s="66"/>
      <c r="E574" s="66"/>
      <c r="F574" s="66"/>
      <c r="G574" s="66"/>
      <c r="H574" s="66"/>
      <c r="I574" s="66"/>
      <c r="J574" s="66"/>
    </row>
    <row r="575" spans="1:12" s="3" customFormat="1" x14ac:dyDescent="0.35">
      <c r="A575" s="66">
        <v>5</v>
      </c>
      <c r="B575" s="66"/>
      <c r="C575" s="4" t="s">
        <v>186</v>
      </c>
      <c r="D575" s="66">
        <f>(79.01+2.28*0.91)*10.764</f>
        <v>872.79678719999993</v>
      </c>
      <c r="E575" s="66"/>
      <c r="F575" s="4">
        <v>0</v>
      </c>
      <c r="G575" s="4">
        <f t="shared" ref="G575:G578" si="56">D575*1.6</f>
        <v>1396.4748595199999</v>
      </c>
      <c r="H575" s="4" t="s">
        <v>82</v>
      </c>
      <c r="I575" s="66"/>
      <c r="J575" s="66"/>
    </row>
    <row r="576" spans="1:12" s="3" customFormat="1" x14ac:dyDescent="0.35">
      <c r="A576" s="66">
        <v>6</v>
      </c>
      <c r="B576" s="66"/>
      <c r="C576" s="4" t="s">
        <v>186</v>
      </c>
      <c r="D576" s="66">
        <f>(79.56+2.28*0.91+3.15*1.07)*10.764</f>
        <v>914.99704919999999</v>
      </c>
      <c r="E576" s="66"/>
      <c r="F576" s="4">
        <v>0</v>
      </c>
      <c r="G576" s="4">
        <f t="shared" si="56"/>
        <v>1463.99527872</v>
      </c>
      <c r="H576" s="4" t="s">
        <v>82</v>
      </c>
      <c r="I576" s="66"/>
      <c r="J576" s="66"/>
    </row>
    <row r="577" spans="1:11" s="3" customFormat="1" x14ac:dyDescent="0.35">
      <c r="A577" s="66">
        <v>7</v>
      </c>
      <c r="B577" s="66"/>
      <c r="C577" s="4" t="s">
        <v>187</v>
      </c>
      <c r="D577" s="66">
        <f>(64.44+2.33*0.85+3.2*1.07)*10.764</f>
        <v>751.80619800000011</v>
      </c>
      <c r="E577" s="66"/>
      <c r="F577" s="4">
        <v>0</v>
      </c>
      <c r="G577" s="4">
        <f t="shared" si="56"/>
        <v>1202.8899168000003</v>
      </c>
      <c r="H577" s="4" t="s">
        <v>82</v>
      </c>
      <c r="I577" s="66"/>
      <c r="J577" s="66"/>
    </row>
    <row r="578" spans="1:11" s="3" customFormat="1" x14ac:dyDescent="0.35">
      <c r="A578" s="66">
        <v>8</v>
      </c>
      <c r="B578" s="66"/>
      <c r="C578" s="4" t="s">
        <v>187</v>
      </c>
      <c r="D578" s="66">
        <f>(64.44+2.33*0.85+3.2*1.07)*10.764</f>
        <v>751.80619800000011</v>
      </c>
      <c r="E578" s="66"/>
      <c r="F578" s="4">
        <v>0</v>
      </c>
      <c r="G578" s="4">
        <f t="shared" si="56"/>
        <v>1202.8899168000003</v>
      </c>
      <c r="H578" s="4" t="s">
        <v>82</v>
      </c>
      <c r="I578" s="66"/>
      <c r="J578" s="66"/>
    </row>
    <row r="579" spans="1:11" s="3" customFormat="1" x14ac:dyDescent="0.35">
      <c r="A579" s="72" t="s">
        <v>296</v>
      </c>
      <c r="B579" s="72"/>
      <c r="C579" s="72"/>
      <c r="D579" s="72"/>
      <c r="E579" s="72"/>
      <c r="F579" s="72"/>
      <c r="G579" s="72"/>
      <c r="H579" s="72"/>
      <c r="I579" s="72"/>
      <c r="J579" s="72"/>
    </row>
    <row r="580" spans="1:11" s="3" customFormat="1" x14ac:dyDescent="0.35">
      <c r="A580" s="198" t="s">
        <v>391</v>
      </c>
      <c r="B580" s="199"/>
      <c r="C580" s="199"/>
      <c r="D580" s="199"/>
      <c r="E580" s="199"/>
      <c r="F580" s="199"/>
      <c r="G580" s="199"/>
      <c r="H580" s="199"/>
      <c r="I580" s="199"/>
      <c r="J580" s="200"/>
    </row>
    <row r="581" spans="1:11" s="3" customFormat="1" x14ac:dyDescent="0.35">
      <c r="A581" s="72" t="s">
        <v>343</v>
      </c>
      <c r="B581" s="72"/>
      <c r="C581" s="72"/>
      <c r="D581" s="72"/>
      <c r="E581" s="72"/>
      <c r="F581" s="72"/>
      <c r="G581" s="72"/>
      <c r="H581" s="72"/>
      <c r="I581" s="72"/>
      <c r="J581" s="72"/>
      <c r="K581" s="3">
        <v>4</v>
      </c>
    </row>
    <row r="582" spans="1:11" s="3" customFormat="1" ht="15.75" customHeight="1" x14ac:dyDescent="0.35">
      <c r="A582" s="66">
        <v>1</v>
      </c>
      <c r="B582" s="66"/>
      <c r="C582" s="4" t="s">
        <v>187</v>
      </c>
      <c r="D582" s="66">
        <f>(55.61+2.33*0.85)*10.764</f>
        <v>619.90414199999998</v>
      </c>
      <c r="E582" s="66"/>
      <c r="F582" s="4">
        <v>0</v>
      </c>
      <c r="G582" s="4">
        <f t="shared" ref="G582:G588" si="57">D582*1.6</f>
        <v>991.84662720000006</v>
      </c>
      <c r="H582" s="4" t="s">
        <v>82</v>
      </c>
      <c r="I582" s="66" t="str">
        <f>A581</f>
        <v>3rd, 4th &amp; 6th, 7th Floor</v>
      </c>
      <c r="J582" s="66"/>
    </row>
    <row r="583" spans="1:11" s="3" customFormat="1" x14ac:dyDescent="0.35">
      <c r="A583" s="66">
        <v>2</v>
      </c>
      <c r="B583" s="66"/>
      <c r="C583" s="4" t="s">
        <v>187</v>
      </c>
      <c r="D583" s="66">
        <f>(56.64+2.33*0.85)*10.764</f>
        <v>630.99106199999994</v>
      </c>
      <c r="E583" s="66"/>
      <c r="F583" s="4">
        <v>0</v>
      </c>
      <c r="G583" s="4">
        <f t="shared" si="57"/>
        <v>1009.5856991999999</v>
      </c>
      <c r="H583" s="4" t="s">
        <v>82</v>
      </c>
      <c r="I583" s="66"/>
      <c r="J583" s="66"/>
    </row>
    <row r="584" spans="1:11" s="3" customFormat="1" x14ac:dyDescent="0.35">
      <c r="A584" s="66">
        <v>3</v>
      </c>
      <c r="B584" s="66"/>
      <c r="C584" s="4" t="s">
        <v>187</v>
      </c>
      <c r="D584" s="66">
        <f>(63.99+1.9*0.8)*10.764</f>
        <v>705.14963999999998</v>
      </c>
      <c r="E584" s="66"/>
      <c r="F584" s="4">
        <v>0</v>
      </c>
      <c r="G584" s="4">
        <f t="shared" si="57"/>
        <v>1128.2394240000001</v>
      </c>
      <c r="H584" s="4" t="s">
        <v>82</v>
      </c>
      <c r="I584" s="66"/>
      <c r="J584" s="66"/>
    </row>
    <row r="585" spans="1:11" s="3" customFormat="1" x14ac:dyDescent="0.35">
      <c r="A585" s="66">
        <v>4</v>
      </c>
      <c r="B585" s="66"/>
      <c r="C585" s="4" t="s">
        <v>187</v>
      </c>
      <c r="D585" s="66">
        <f>(56.45+2.33*0.85)*10.764</f>
        <v>628.94590199999993</v>
      </c>
      <c r="E585" s="66"/>
      <c r="F585" s="4">
        <v>0</v>
      </c>
      <c r="G585" s="4">
        <f t="shared" si="57"/>
        <v>1006.3134431999999</v>
      </c>
      <c r="H585" s="4" t="s">
        <v>82</v>
      </c>
      <c r="I585" s="66"/>
      <c r="J585" s="66"/>
    </row>
    <row r="586" spans="1:11" s="3" customFormat="1" x14ac:dyDescent="0.35">
      <c r="A586" s="66">
        <v>5</v>
      </c>
      <c r="B586" s="66"/>
      <c r="C586" s="4" t="s">
        <v>187</v>
      </c>
      <c r="D586" s="66">
        <f>(55.29+2.33*0.85)*10.764</f>
        <v>616.45966199999998</v>
      </c>
      <c r="E586" s="66"/>
      <c r="F586" s="4">
        <v>0</v>
      </c>
      <c r="G586" s="4">
        <f t="shared" si="57"/>
        <v>986.33545920000006</v>
      </c>
      <c r="H586" s="4" t="s">
        <v>82</v>
      </c>
      <c r="I586" s="66"/>
      <c r="J586" s="66"/>
    </row>
    <row r="587" spans="1:11" s="3" customFormat="1" x14ac:dyDescent="0.35">
      <c r="A587" s="66">
        <v>6</v>
      </c>
      <c r="B587" s="66"/>
      <c r="C587" s="4" t="s">
        <v>186</v>
      </c>
      <c r="D587" s="66">
        <f>(72.68+2.12*0.92)*10.764</f>
        <v>803.32162560000006</v>
      </c>
      <c r="E587" s="66"/>
      <c r="F587" s="4">
        <v>0</v>
      </c>
      <c r="G587" s="4">
        <f t="shared" si="57"/>
        <v>1285.3146009600002</v>
      </c>
      <c r="H587" s="4" t="s">
        <v>82</v>
      </c>
      <c r="I587" s="66"/>
      <c r="J587" s="66"/>
    </row>
    <row r="588" spans="1:11" s="3" customFormat="1" x14ac:dyDescent="0.35">
      <c r="A588" s="66">
        <v>7</v>
      </c>
      <c r="B588" s="66"/>
      <c r="C588" s="4" t="s">
        <v>186</v>
      </c>
      <c r="D588" s="66">
        <f>(72.6+2.12*0.92)*10.764</f>
        <v>802.46050559999992</v>
      </c>
      <c r="E588" s="66"/>
      <c r="F588" s="4">
        <v>0</v>
      </c>
      <c r="G588" s="4">
        <f t="shared" si="57"/>
        <v>1283.93680896</v>
      </c>
      <c r="H588" s="4" t="s">
        <v>82</v>
      </c>
      <c r="I588" s="66"/>
      <c r="J588" s="66"/>
    </row>
    <row r="589" spans="1:11" s="3" customFormat="1" x14ac:dyDescent="0.35">
      <c r="A589" s="72" t="s">
        <v>311</v>
      </c>
      <c r="B589" s="72"/>
      <c r="C589" s="72"/>
      <c r="D589" s="72"/>
      <c r="E589" s="72"/>
      <c r="F589" s="72"/>
      <c r="G589" s="72"/>
      <c r="H589" s="72"/>
      <c r="I589" s="72"/>
      <c r="J589" s="72"/>
      <c r="K589" s="3">
        <v>1</v>
      </c>
    </row>
    <row r="590" spans="1:11" s="3" customFormat="1" x14ac:dyDescent="0.35">
      <c r="A590" s="66">
        <v>1</v>
      </c>
      <c r="B590" s="66"/>
      <c r="C590" s="4" t="s">
        <v>187</v>
      </c>
      <c r="D590" s="66">
        <f>(55.61+2.33*0.85)*10.764</f>
        <v>619.90414199999998</v>
      </c>
      <c r="E590" s="66"/>
      <c r="F590" s="4">
        <v>0</v>
      </c>
      <c r="G590" s="4">
        <f t="shared" ref="G590:G596" si="58">D590*1.6</f>
        <v>991.84662720000006</v>
      </c>
      <c r="H590" s="4" t="s">
        <v>82</v>
      </c>
      <c r="I590" s="66" t="str">
        <f>A589</f>
        <v>5th Floor (Refuge Area)</v>
      </c>
      <c r="J590" s="66"/>
    </row>
    <row r="591" spans="1:11" s="3" customFormat="1" x14ac:dyDescent="0.35">
      <c r="A591" s="66">
        <v>2</v>
      </c>
      <c r="B591" s="66"/>
      <c r="C591" s="4" t="s">
        <v>187</v>
      </c>
      <c r="D591" s="66">
        <f>(56.64+2.33*0.85)*10.764</f>
        <v>630.99106199999994</v>
      </c>
      <c r="E591" s="66"/>
      <c r="F591" s="4">
        <v>0</v>
      </c>
      <c r="G591" s="4">
        <f t="shared" si="58"/>
        <v>1009.5856991999999</v>
      </c>
      <c r="H591" s="4" t="s">
        <v>82</v>
      </c>
      <c r="I591" s="66"/>
      <c r="J591" s="66"/>
    </row>
    <row r="592" spans="1:11" s="3" customFormat="1" x14ac:dyDescent="0.35">
      <c r="A592" s="66">
        <v>3</v>
      </c>
      <c r="B592" s="66"/>
      <c r="C592" s="4" t="s">
        <v>187</v>
      </c>
      <c r="D592" s="66">
        <f>(63.99+1.9*0.8)*10.764</f>
        <v>705.14963999999998</v>
      </c>
      <c r="E592" s="66"/>
      <c r="F592" s="4">
        <v>0</v>
      </c>
      <c r="G592" s="4">
        <f t="shared" si="58"/>
        <v>1128.2394240000001</v>
      </c>
      <c r="H592" s="4" t="s">
        <v>82</v>
      </c>
      <c r="I592" s="66"/>
      <c r="J592" s="66"/>
    </row>
    <row r="593" spans="1:11" s="3" customFormat="1" x14ac:dyDescent="0.35">
      <c r="A593" s="66">
        <v>4</v>
      </c>
      <c r="B593" s="66"/>
      <c r="C593" s="4" t="s">
        <v>187</v>
      </c>
      <c r="D593" s="66">
        <f>(56.45+2.33*0.85)*10.764</f>
        <v>628.94590199999993</v>
      </c>
      <c r="E593" s="66"/>
      <c r="F593" s="4">
        <v>0</v>
      </c>
      <c r="G593" s="4">
        <f t="shared" si="58"/>
        <v>1006.3134431999999</v>
      </c>
      <c r="H593" s="4" t="s">
        <v>82</v>
      </c>
      <c r="I593" s="66"/>
      <c r="J593" s="66"/>
    </row>
    <row r="594" spans="1:11" s="3" customFormat="1" x14ac:dyDescent="0.35">
      <c r="A594" s="66">
        <v>5</v>
      </c>
      <c r="B594" s="66"/>
      <c r="C594" s="145" t="s">
        <v>216</v>
      </c>
      <c r="D594" s="162"/>
      <c r="E594" s="162"/>
      <c r="F594" s="162"/>
      <c r="G594" s="146"/>
      <c r="H594" s="4" t="s">
        <v>82</v>
      </c>
      <c r="I594" s="66"/>
      <c r="J594" s="66"/>
    </row>
    <row r="595" spans="1:11" s="3" customFormat="1" x14ac:dyDescent="0.35">
      <c r="A595" s="66">
        <v>6</v>
      </c>
      <c r="B595" s="66"/>
      <c r="C595" s="149"/>
      <c r="D595" s="163"/>
      <c r="E595" s="163"/>
      <c r="F595" s="163"/>
      <c r="G595" s="150"/>
      <c r="H595" s="4" t="s">
        <v>82</v>
      </c>
      <c r="I595" s="66"/>
      <c r="J595" s="66"/>
    </row>
    <row r="596" spans="1:11" s="3" customFormat="1" x14ac:dyDescent="0.35">
      <c r="A596" s="66">
        <v>7</v>
      </c>
      <c r="B596" s="66"/>
      <c r="C596" s="4" t="s">
        <v>186</v>
      </c>
      <c r="D596" s="66">
        <f>(72.6+2.12*0.92)*10.764</f>
        <v>802.46050559999992</v>
      </c>
      <c r="E596" s="66"/>
      <c r="F596" s="4">
        <v>0</v>
      </c>
      <c r="G596" s="4">
        <f t="shared" si="58"/>
        <v>1283.93680896</v>
      </c>
      <c r="H596" s="4" t="s">
        <v>82</v>
      </c>
      <c r="I596" s="66"/>
      <c r="J596" s="66"/>
    </row>
    <row r="597" spans="1:11" s="3" customFormat="1" x14ac:dyDescent="0.35">
      <c r="A597" s="72" t="s">
        <v>310</v>
      </c>
      <c r="B597" s="72"/>
      <c r="C597" s="72"/>
      <c r="D597" s="72"/>
      <c r="E597" s="72"/>
      <c r="F597" s="72"/>
      <c r="G597" s="72"/>
      <c r="H597" s="72"/>
      <c r="I597" s="72"/>
      <c r="J597" s="72"/>
      <c r="K597" s="3">
        <v>1</v>
      </c>
    </row>
    <row r="598" spans="1:11" s="3" customFormat="1" ht="15.75" customHeight="1" x14ac:dyDescent="0.35">
      <c r="A598" s="66">
        <v>1</v>
      </c>
      <c r="B598" s="66"/>
      <c r="C598" s="4" t="s">
        <v>187</v>
      </c>
      <c r="D598" s="66">
        <f>(55.61+2.33*0.85)*10.764</f>
        <v>619.90414199999998</v>
      </c>
      <c r="E598" s="66"/>
      <c r="F598" s="4">
        <v>0</v>
      </c>
      <c r="G598" s="4">
        <f t="shared" ref="G598:G604" si="59">D598*1.6</f>
        <v>991.84662720000006</v>
      </c>
      <c r="H598" s="4" t="s">
        <v>82</v>
      </c>
      <c r="I598" s="66" t="str">
        <f>A597</f>
        <v>8th Floor</v>
      </c>
      <c r="J598" s="66"/>
    </row>
    <row r="599" spans="1:11" s="3" customFormat="1" x14ac:dyDescent="0.35">
      <c r="A599" s="66">
        <v>2</v>
      </c>
      <c r="B599" s="66"/>
      <c r="C599" s="4" t="s">
        <v>187</v>
      </c>
      <c r="D599" s="66">
        <f>(56.64+2.33*0.85)*10.764</f>
        <v>630.99106199999994</v>
      </c>
      <c r="E599" s="66"/>
      <c r="F599" s="4">
        <v>0</v>
      </c>
      <c r="G599" s="4">
        <f t="shared" si="59"/>
        <v>1009.5856991999999</v>
      </c>
      <c r="H599" s="4" t="s">
        <v>82</v>
      </c>
      <c r="I599" s="66"/>
      <c r="J599" s="66"/>
    </row>
    <row r="600" spans="1:11" s="3" customFormat="1" x14ac:dyDescent="0.35">
      <c r="A600" s="66">
        <v>3</v>
      </c>
      <c r="B600" s="66"/>
      <c r="C600" s="4" t="s">
        <v>187</v>
      </c>
      <c r="D600" s="66">
        <f>(63.99+1.9*0.8)*10.764</f>
        <v>705.14963999999998</v>
      </c>
      <c r="E600" s="66"/>
      <c r="F600" s="4">
        <v>0</v>
      </c>
      <c r="G600" s="4">
        <f t="shared" si="59"/>
        <v>1128.2394240000001</v>
      </c>
      <c r="H600" s="4" t="s">
        <v>82</v>
      </c>
      <c r="I600" s="66"/>
      <c r="J600" s="66"/>
    </row>
    <row r="601" spans="1:11" s="3" customFormat="1" x14ac:dyDescent="0.35">
      <c r="A601" s="66">
        <v>4</v>
      </c>
      <c r="B601" s="66"/>
      <c r="C601" s="4" t="s">
        <v>187</v>
      </c>
      <c r="D601" s="66">
        <f>(56.45+2.33*0.85)*10.764</f>
        <v>628.94590199999993</v>
      </c>
      <c r="E601" s="66"/>
      <c r="F601" s="4">
        <v>0</v>
      </c>
      <c r="G601" s="4">
        <f t="shared" si="59"/>
        <v>1006.3134431999999</v>
      </c>
      <c r="H601" s="4" t="s">
        <v>82</v>
      </c>
      <c r="I601" s="66"/>
      <c r="J601" s="66"/>
    </row>
    <row r="602" spans="1:11" s="3" customFormat="1" x14ac:dyDescent="0.35">
      <c r="A602" s="66">
        <v>5</v>
      </c>
      <c r="B602" s="66"/>
      <c r="C602" s="4" t="s">
        <v>187</v>
      </c>
      <c r="D602" s="66">
        <f>(55.29+2.33*0.85)*10.764</f>
        <v>616.45966199999998</v>
      </c>
      <c r="E602" s="66"/>
      <c r="F602" s="4">
        <v>0</v>
      </c>
      <c r="G602" s="4">
        <f t="shared" si="59"/>
        <v>986.33545920000006</v>
      </c>
      <c r="H602" s="4" t="s">
        <v>82</v>
      </c>
      <c r="I602" s="66"/>
      <c r="J602" s="66"/>
    </row>
    <row r="603" spans="1:11" s="3" customFormat="1" x14ac:dyDescent="0.35">
      <c r="A603" s="66">
        <v>6</v>
      </c>
      <c r="B603" s="66"/>
      <c r="C603" s="4" t="s">
        <v>186</v>
      </c>
      <c r="D603" s="66">
        <f>(72.68+2.12*0.92)*10.764</f>
        <v>803.32162560000006</v>
      </c>
      <c r="E603" s="66"/>
      <c r="F603" s="4">
        <v>0</v>
      </c>
      <c r="G603" s="4">
        <f t="shared" si="59"/>
        <v>1285.3146009600002</v>
      </c>
      <c r="H603" s="4" t="s">
        <v>82</v>
      </c>
      <c r="I603" s="66"/>
      <c r="J603" s="66"/>
    </row>
    <row r="604" spans="1:11" s="3" customFormat="1" x14ac:dyDescent="0.35">
      <c r="A604" s="66">
        <v>7</v>
      </c>
      <c r="B604" s="66"/>
      <c r="C604" s="4" t="s">
        <v>186</v>
      </c>
      <c r="D604" s="66">
        <f>(72.6+2.12*0.92)*10.764</f>
        <v>802.46050559999992</v>
      </c>
      <c r="E604" s="66"/>
      <c r="F604" s="4">
        <v>0</v>
      </c>
      <c r="G604" s="4">
        <f t="shared" si="59"/>
        <v>1283.93680896</v>
      </c>
      <c r="H604" s="4" t="s">
        <v>82</v>
      </c>
      <c r="I604" s="66"/>
      <c r="J604" s="66"/>
    </row>
    <row r="605" spans="1:11" s="3" customFormat="1" x14ac:dyDescent="0.35">
      <c r="A605" s="72" t="s">
        <v>267</v>
      </c>
      <c r="B605" s="72"/>
      <c r="C605" s="72"/>
      <c r="D605" s="72"/>
      <c r="E605" s="72"/>
      <c r="F605" s="72"/>
      <c r="G605" s="72"/>
      <c r="H605" s="72"/>
      <c r="I605" s="72"/>
      <c r="J605" s="72"/>
      <c r="K605" s="3">
        <v>1</v>
      </c>
    </row>
    <row r="606" spans="1:11" s="3" customFormat="1" x14ac:dyDescent="0.35">
      <c r="A606" s="66">
        <v>1</v>
      </c>
      <c r="B606" s="66"/>
      <c r="C606" s="4" t="s">
        <v>187</v>
      </c>
      <c r="D606" s="66">
        <f>(55.61+2.33*0.85)*10.764</f>
        <v>619.90414199999998</v>
      </c>
      <c r="E606" s="66"/>
      <c r="F606" s="4">
        <v>0</v>
      </c>
      <c r="G606" s="4">
        <f t="shared" ref="G606:G612" si="60">D606*1.6</f>
        <v>991.84662720000006</v>
      </c>
      <c r="H606" s="4" t="s">
        <v>82</v>
      </c>
      <c r="I606" s="66" t="str">
        <f>A605</f>
        <v>9th Floor</v>
      </c>
      <c r="J606" s="66"/>
    </row>
    <row r="607" spans="1:11" s="3" customFormat="1" x14ac:dyDescent="0.35">
      <c r="A607" s="66">
        <v>2</v>
      </c>
      <c r="B607" s="66"/>
      <c r="C607" s="4" t="s">
        <v>187</v>
      </c>
      <c r="D607" s="66">
        <f>(56.64+2.33*0.85)*10.764</f>
        <v>630.99106199999994</v>
      </c>
      <c r="E607" s="66"/>
      <c r="F607" s="4">
        <v>0</v>
      </c>
      <c r="G607" s="4">
        <f t="shared" si="60"/>
        <v>1009.5856991999999</v>
      </c>
      <c r="H607" s="4" t="s">
        <v>82</v>
      </c>
      <c r="I607" s="66"/>
      <c r="J607" s="66"/>
    </row>
    <row r="608" spans="1:11" s="3" customFormat="1" x14ac:dyDescent="0.35">
      <c r="A608" s="66">
        <v>3</v>
      </c>
      <c r="B608" s="66"/>
      <c r="C608" s="4" t="s">
        <v>187</v>
      </c>
      <c r="D608" s="66">
        <f>(63.99+1.9*0.8)*10.764</f>
        <v>705.14963999999998</v>
      </c>
      <c r="E608" s="66"/>
      <c r="F608" s="4">
        <v>0</v>
      </c>
      <c r="G608" s="4">
        <f t="shared" si="60"/>
        <v>1128.2394240000001</v>
      </c>
      <c r="H608" s="4" t="s">
        <v>82</v>
      </c>
      <c r="I608" s="66"/>
      <c r="J608" s="66"/>
    </row>
    <row r="609" spans="1:11" s="3" customFormat="1" x14ac:dyDescent="0.35">
      <c r="A609" s="66">
        <v>4</v>
      </c>
      <c r="B609" s="66"/>
      <c r="C609" s="4" t="s">
        <v>187</v>
      </c>
      <c r="D609" s="66">
        <f>(56.45+2.33*0.85)*10.764</f>
        <v>628.94590199999993</v>
      </c>
      <c r="E609" s="66"/>
      <c r="F609" s="4">
        <v>0</v>
      </c>
      <c r="G609" s="4">
        <f t="shared" si="60"/>
        <v>1006.3134431999999</v>
      </c>
      <c r="H609" s="4" t="s">
        <v>82</v>
      </c>
      <c r="I609" s="66"/>
      <c r="J609" s="66"/>
    </row>
    <row r="610" spans="1:11" s="3" customFormat="1" x14ac:dyDescent="0.35">
      <c r="A610" s="66">
        <v>5</v>
      </c>
      <c r="B610" s="66"/>
      <c r="C610" s="4" t="s">
        <v>187</v>
      </c>
      <c r="D610" s="66">
        <f>(55.29+2.33*0.85)*10.764</f>
        <v>616.45966199999998</v>
      </c>
      <c r="E610" s="66"/>
      <c r="F610" s="4">
        <v>0</v>
      </c>
      <c r="G610" s="4">
        <f t="shared" si="60"/>
        <v>986.33545920000006</v>
      </c>
      <c r="H610" s="4" t="s">
        <v>82</v>
      </c>
      <c r="I610" s="66"/>
      <c r="J610" s="66"/>
    </row>
    <row r="611" spans="1:11" s="3" customFormat="1" x14ac:dyDescent="0.35">
      <c r="A611" s="66">
        <v>6</v>
      </c>
      <c r="B611" s="66"/>
      <c r="C611" s="4" t="s">
        <v>186</v>
      </c>
      <c r="D611" s="66">
        <f>(72.68+2.12*0.92)*10.764</f>
        <v>803.32162560000006</v>
      </c>
      <c r="E611" s="66"/>
      <c r="F611" s="4">
        <v>0</v>
      </c>
      <c r="G611" s="4">
        <f t="shared" si="60"/>
        <v>1285.3146009600002</v>
      </c>
      <c r="H611" s="4" t="s">
        <v>82</v>
      </c>
      <c r="I611" s="66"/>
      <c r="J611" s="66"/>
    </row>
    <row r="612" spans="1:11" s="3" customFormat="1" x14ac:dyDescent="0.35">
      <c r="A612" s="66">
        <v>7</v>
      </c>
      <c r="B612" s="66"/>
      <c r="C612" s="4" t="s">
        <v>186</v>
      </c>
      <c r="D612" s="66">
        <f>(72.6+2.12*0.92)*10.764</f>
        <v>802.46050559999992</v>
      </c>
      <c r="E612" s="66"/>
      <c r="F612" s="4">
        <v>0</v>
      </c>
      <c r="G612" s="4">
        <f t="shared" si="60"/>
        <v>1283.93680896</v>
      </c>
      <c r="H612" s="4" t="s">
        <v>82</v>
      </c>
      <c r="I612" s="66"/>
      <c r="J612" s="66"/>
    </row>
    <row r="613" spans="1:11" s="3" customFormat="1" x14ac:dyDescent="0.35">
      <c r="A613" s="72" t="s">
        <v>312</v>
      </c>
      <c r="B613" s="72"/>
      <c r="C613" s="72"/>
      <c r="D613" s="72"/>
      <c r="E613" s="72"/>
      <c r="F613" s="72"/>
      <c r="G613" s="72"/>
      <c r="H613" s="72"/>
      <c r="I613" s="72"/>
      <c r="J613" s="72"/>
      <c r="K613" s="3">
        <f>2+5</f>
        <v>7</v>
      </c>
    </row>
    <row r="614" spans="1:11" s="3" customFormat="1" ht="15.75" customHeight="1" x14ac:dyDescent="0.35">
      <c r="A614" s="66">
        <v>1</v>
      </c>
      <c r="B614" s="66"/>
      <c r="C614" s="4" t="s">
        <v>187</v>
      </c>
      <c r="D614" s="66">
        <f>(55.61+2.33*0.85)*10.764</f>
        <v>619.90414199999998</v>
      </c>
      <c r="E614" s="66"/>
      <c r="F614" s="4">
        <v>0</v>
      </c>
      <c r="G614" s="4">
        <f t="shared" ref="G614:G620" si="61">D614*1.6</f>
        <v>991.84662720000006</v>
      </c>
      <c r="H614" s="4" t="s">
        <v>82</v>
      </c>
      <c r="I614" s="145" t="str">
        <f>A613</f>
        <v>10th, 11th &amp; 13th to 17th Floor</v>
      </c>
      <c r="J614" s="146"/>
    </row>
    <row r="615" spans="1:11" s="3" customFormat="1" x14ac:dyDescent="0.35">
      <c r="A615" s="66">
        <v>2</v>
      </c>
      <c r="B615" s="66"/>
      <c r="C615" s="4" t="s">
        <v>187</v>
      </c>
      <c r="D615" s="66">
        <f>(56.64+2.33*0.85)*10.764</f>
        <v>630.99106199999994</v>
      </c>
      <c r="E615" s="66"/>
      <c r="F615" s="4">
        <v>0</v>
      </c>
      <c r="G615" s="4">
        <f t="shared" si="61"/>
        <v>1009.5856991999999</v>
      </c>
      <c r="H615" s="4" t="s">
        <v>82</v>
      </c>
      <c r="I615" s="147"/>
      <c r="J615" s="148"/>
    </row>
    <row r="616" spans="1:11" s="3" customFormat="1" x14ac:dyDescent="0.35">
      <c r="A616" s="66">
        <v>3</v>
      </c>
      <c r="B616" s="66"/>
      <c r="C616" s="4" t="s">
        <v>187</v>
      </c>
      <c r="D616" s="66">
        <f>(63.99+1.9*0.8)*10.764</f>
        <v>705.14963999999998</v>
      </c>
      <c r="E616" s="66"/>
      <c r="F616" s="4">
        <v>0</v>
      </c>
      <c r="G616" s="4">
        <f t="shared" si="61"/>
        <v>1128.2394240000001</v>
      </c>
      <c r="H616" s="4" t="s">
        <v>82</v>
      </c>
      <c r="I616" s="147"/>
      <c r="J616" s="148"/>
    </row>
    <row r="617" spans="1:11" s="3" customFormat="1" x14ac:dyDescent="0.35">
      <c r="A617" s="66">
        <v>4</v>
      </c>
      <c r="B617" s="66"/>
      <c r="C617" s="4" t="s">
        <v>187</v>
      </c>
      <c r="D617" s="66">
        <f>(56.45+2.33*0.85)*10.764</f>
        <v>628.94590199999993</v>
      </c>
      <c r="E617" s="66"/>
      <c r="F617" s="4">
        <v>0</v>
      </c>
      <c r="G617" s="4">
        <f t="shared" si="61"/>
        <v>1006.3134431999999</v>
      </c>
      <c r="H617" s="4" t="s">
        <v>82</v>
      </c>
      <c r="I617" s="147"/>
      <c r="J617" s="148"/>
    </row>
    <row r="618" spans="1:11" s="3" customFormat="1" x14ac:dyDescent="0.35">
      <c r="A618" s="66">
        <v>5</v>
      </c>
      <c r="B618" s="66"/>
      <c r="C618" s="4" t="s">
        <v>187</v>
      </c>
      <c r="D618" s="66">
        <f>(55.29+2.33*0.85)*10.764</f>
        <v>616.45966199999998</v>
      </c>
      <c r="E618" s="66"/>
      <c r="F618" s="4">
        <v>0</v>
      </c>
      <c r="G618" s="4">
        <f t="shared" si="61"/>
        <v>986.33545920000006</v>
      </c>
      <c r="H618" s="4" t="s">
        <v>82</v>
      </c>
      <c r="I618" s="147"/>
      <c r="J618" s="148"/>
    </row>
    <row r="619" spans="1:11" s="3" customFormat="1" x14ac:dyDescent="0.35">
      <c r="A619" s="66">
        <v>6</v>
      </c>
      <c r="B619" s="66"/>
      <c r="C619" s="4" t="s">
        <v>186</v>
      </c>
      <c r="D619" s="66">
        <f>(72.68+2.12*0.92)*10.764</f>
        <v>803.32162560000006</v>
      </c>
      <c r="E619" s="66"/>
      <c r="F619" s="4">
        <v>0</v>
      </c>
      <c r="G619" s="4">
        <f t="shared" si="61"/>
        <v>1285.3146009600002</v>
      </c>
      <c r="H619" s="4" t="s">
        <v>82</v>
      </c>
      <c r="I619" s="147"/>
      <c r="J619" s="148"/>
    </row>
    <row r="620" spans="1:11" s="3" customFormat="1" x14ac:dyDescent="0.35">
      <c r="A620" s="66">
        <v>7</v>
      </c>
      <c r="B620" s="66"/>
      <c r="C620" s="4" t="s">
        <v>186</v>
      </c>
      <c r="D620" s="66">
        <f>(72.6+2.12*0.92)*10.764</f>
        <v>802.46050559999992</v>
      </c>
      <c r="E620" s="66"/>
      <c r="F620" s="4">
        <v>0</v>
      </c>
      <c r="G620" s="4">
        <f t="shared" si="61"/>
        <v>1283.93680896</v>
      </c>
      <c r="H620" s="4" t="s">
        <v>82</v>
      </c>
      <c r="I620" s="147"/>
      <c r="J620" s="148"/>
    </row>
    <row r="621" spans="1:11" s="3" customFormat="1" x14ac:dyDescent="0.35">
      <c r="A621" s="72" t="s">
        <v>315</v>
      </c>
      <c r="B621" s="72"/>
      <c r="C621" s="72"/>
      <c r="D621" s="72"/>
      <c r="E621" s="72"/>
      <c r="F621" s="72"/>
      <c r="G621" s="72"/>
      <c r="H621" s="72"/>
      <c r="I621" s="72"/>
      <c r="J621" s="72"/>
      <c r="K621" s="3">
        <v>1</v>
      </c>
    </row>
    <row r="622" spans="1:11" s="3" customFormat="1" x14ac:dyDescent="0.35">
      <c r="A622" s="66">
        <v>1</v>
      </c>
      <c r="B622" s="66"/>
      <c r="C622" s="4" t="s">
        <v>187</v>
      </c>
      <c r="D622" s="66">
        <f>(55.61+2.33*0.85)*10.764</f>
        <v>619.90414199999998</v>
      </c>
      <c r="E622" s="66"/>
      <c r="F622" s="4">
        <v>0</v>
      </c>
      <c r="G622" s="4">
        <f t="shared" ref="G622:G625" si="62">D622*1.6</f>
        <v>991.84662720000006</v>
      </c>
      <c r="H622" s="4" t="s">
        <v>82</v>
      </c>
      <c r="I622" s="66" t="str">
        <f>A621</f>
        <v>12th Floor (Refuge Area)</v>
      </c>
      <c r="J622" s="66"/>
    </row>
    <row r="623" spans="1:11" s="3" customFormat="1" x14ac:dyDescent="0.35">
      <c r="A623" s="66">
        <v>2</v>
      </c>
      <c r="B623" s="66"/>
      <c r="C623" s="4" t="s">
        <v>187</v>
      </c>
      <c r="D623" s="66">
        <f>(56.64+2.33*0.85)*10.764</f>
        <v>630.99106199999994</v>
      </c>
      <c r="E623" s="66"/>
      <c r="F623" s="4">
        <v>0</v>
      </c>
      <c r="G623" s="4">
        <f t="shared" si="62"/>
        <v>1009.5856991999999</v>
      </c>
      <c r="H623" s="4" t="s">
        <v>82</v>
      </c>
      <c r="I623" s="66"/>
      <c r="J623" s="66"/>
    </row>
    <row r="624" spans="1:11" s="3" customFormat="1" x14ac:dyDescent="0.35">
      <c r="A624" s="66">
        <v>3</v>
      </c>
      <c r="B624" s="66"/>
      <c r="C624" s="4" t="s">
        <v>187</v>
      </c>
      <c r="D624" s="66">
        <f>(63.99+1.9*0.8)*10.764</f>
        <v>705.14963999999998</v>
      </c>
      <c r="E624" s="66"/>
      <c r="F624" s="4">
        <v>0</v>
      </c>
      <c r="G624" s="4">
        <f t="shared" si="62"/>
        <v>1128.2394240000001</v>
      </c>
      <c r="H624" s="4" t="s">
        <v>82</v>
      </c>
      <c r="I624" s="66"/>
      <c r="J624" s="66"/>
    </row>
    <row r="625" spans="1:11" s="3" customFormat="1" x14ac:dyDescent="0.35">
      <c r="A625" s="66">
        <v>4</v>
      </c>
      <c r="B625" s="66"/>
      <c r="C625" s="4" t="s">
        <v>187</v>
      </c>
      <c r="D625" s="66">
        <f>(56.45+2.33*0.85)*10.764</f>
        <v>628.94590199999993</v>
      </c>
      <c r="E625" s="66"/>
      <c r="F625" s="4">
        <v>0</v>
      </c>
      <c r="G625" s="4">
        <f t="shared" si="62"/>
        <v>1006.3134431999999</v>
      </c>
      <c r="H625" s="4" t="s">
        <v>82</v>
      </c>
      <c r="I625" s="66"/>
      <c r="J625" s="66"/>
    </row>
    <row r="626" spans="1:11" s="3" customFormat="1" x14ac:dyDescent="0.35">
      <c r="A626" s="66">
        <v>5</v>
      </c>
      <c r="B626" s="66"/>
      <c r="C626" s="145" t="s">
        <v>216</v>
      </c>
      <c r="D626" s="162"/>
      <c r="E626" s="162"/>
      <c r="F626" s="162"/>
      <c r="G626" s="146"/>
      <c r="H626" s="4" t="s">
        <v>82</v>
      </c>
      <c r="I626" s="66"/>
      <c r="J626" s="66"/>
    </row>
    <row r="627" spans="1:11" s="3" customFormat="1" x14ac:dyDescent="0.35">
      <c r="A627" s="66">
        <v>6</v>
      </c>
      <c r="B627" s="66"/>
      <c r="C627" s="149"/>
      <c r="D627" s="163"/>
      <c r="E627" s="163"/>
      <c r="F627" s="163"/>
      <c r="G627" s="150"/>
      <c r="H627" s="4" t="s">
        <v>82</v>
      </c>
      <c r="I627" s="66"/>
      <c r="J627" s="66"/>
    </row>
    <row r="628" spans="1:11" s="3" customFormat="1" x14ac:dyDescent="0.35">
      <c r="A628" s="66">
        <v>7</v>
      </c>
      <c r="B628" s="66"/>
      <c r="C628" s="4" t="s">
        <v>186</v>
      </c>
      <c r="D628" s="66">
        <f>(72.6+2.12*0.92)*10.764</f>
        <v>802.46050559999992</v>
      </c>
      <c r="E628" s="66"/>
      <c r="F628" s="4">
        <v>0</v>
      </c>
      <c r="G628" s="4">
        <f t="shared" ref="G628" si="63">D628*1.6</f>
        <v>1283.93680896</v>
      </c>
      <c r="H628" s="4" t="s">
        <v>82</v>
      </c>
      <c r="I628" s="66"/>
      <c r="J628" s="66"/>
    </row>
    <row r="629" spans="1:11" s="3" customFormat="1" x14ac:dyDescent="0.35">
      <c r="A629" s="72" t="s">
        <v>313</v>
      </c>
      <c r="B629" s="72"/>
      <c r="C629" s="72"/>
      <c r="D629" s="72"/>
      <c r="E629" s="72"/>
      <c r="F629" s="72"/>
      <c r="G629" s="72"/>
      <c r="H629" s="72"/>
      <c r="I629" s="72"/>
      <c r="J629" s="72"/>
      <c r="K629" s="3">
        <f>1+3</f>
        <v>4</v>
      </c>
    </row>
    <row r="630" spans="1:11" s="3" customFormat="1" ht="15.75" customHeight="1" x14ac:dyDescent="0.35">
      <c r="A630" s="66">
        <v>1</v>
      </c>
      <c r="B630" s="66"/>
      <c r="C630" s="4" t="s">
        <v>187</v>
      </c>
      <c r="D630" s="66">
        <f>(55.61+2.33*0.85)*10.764</f>
        <v>619.90414199999998</v>
      </c>
      <c r="E630" s="66"/>
      <c r="F630" s="4">
        <v>0</v>
      </c>
      <c r="G630" s="4">
        <f t="shared" ref="G630:G636" si="64">D630*1.6</f>
        <v>991.84662720000006</v>
      </c>
      <c r="H630" s="4" t="s">
        <v>82</v>
      </c>
      <c r="I630" s="66" t="str">
        <f>A629</f>
        <v>18th, 20th to 22nd Floor</v>
      </c>
      <c r="J630" s="66"/>
    </row>
    <row r="631" spans="1:11" s="3" customFormat="1" x14ac:dyDescent="0.35">
      <c r="A631" s="66">
        <v>2</v>
      </c>
      <c r="B631" s="66"/>
      <c r="C631" s="4" t="s">
        <v>187</v>
      </c>
      <c r="D631" s="66">
        <f>(56.64+2.33*0.85)*10.764</f>
        <v>630.99106199999994</v>
      </c>
      <c r="E631" s="66"/>
      <c r="F631" s="4">
        <v>0</v>
      </c>
      <c r="G631" s="4">
        <f t="shared" si="64"/>
        <v>1009.5856991999999</v>
      </c>
      <c r="H631" s="4" t="s">
        <v>82</v>
      </c>
      <c r="I631" s="66"/>
      <c r="J631" s="66"/>
    </row>
    <row r="632" spans="1:11" s="3" customFormat="1" x14ac:dyDescent="0.35">
      <c r="A632" s="66">
        <v>3</v>
      </c>
      <c r="B632" s="66"/>
      <c r="C632" s="4" t="s">
        <v>187</v>
      </c>
      <c r="D632" s="66">
        <f>(63.99+1.9*0.8)*10.764</f>
        <v>705.14963999999998</v>
      </c>
      <c r="E632" s="66"/>
      <c r="F632" s="4">
        <v>0</v>
      </c>
      <c r="G632" s="4">
        <f t="shared" si="64"/>
        <v>1128.2394240000001</v>
      </c>
      <c r="H632" s="4" t="s">
        <v>82</v>
      </c>
      <c r="I632" s="66"/>
      <c r="J632" s="66"/>
    </row>
    <row r="633" spans="1:11" s="3" customFormat="1" x14ac:dyDescent="0.35">
      <c r="A633" s="66">
        <v>4</v>
      </c>
      <c r="B633" s="66"/>
      <c r="C633" s="4" t="s">
        <v>187</v>
      </c>
      <c r="D633" s="66">
        <f>(56.45+2.33*0.85)*10.764</f>
        <v>628.94590199999993</v>
      </c>
      <c r="E633" s="66"/>
      <c r="F633" s="4">
        <v>0</v>
      </c>
      <c r="G633" s="4">
        <f t="shared" si="64"/>
        <v>1006.3134431999999</v>
      </c>
      <c r="H633" s="4" t="s">
        <v>82</v>
      </c>
      <c r="I633" s="66"/>
      <c r="J633" s="66"/>
    </row>
    <row r="634" spans="1:11" s="3" customFormat="1" x14ac:dyDescent="0.35">
      <c r="A634" s="66">
        <v>5</v>
      </c>
      <c r="B634" s="66"/>
      <c r="C634" s="4" t="s">
        <v>187</v>
      </c>
      <c r="D634" s="66">
        <f>(55.29+2.33*0.85)*10.764</f>
        <v>616.45966199999998</v>
      </c>
      <c r="E634" s="66"/>
      <c r="F634" s="4">
        <v>0</v>
      </c>
      <c r="G634" s="4">
        <f t="shared" si="64"/>
        <v>986.33545920000006</v>
      </c>
      <c r="H634" s="4" t="s">
        <v>82</v>
      </c>
      <c r="I634" s="66"/>
      <c r="J634" s="66"/>
    </row>
    <row r="635" spans="1:11" s="3" customFormat="1" x14ac:dyDescent="0.35">
      <c r="A635" s="66">
        <v>6</v>
      </c>
      <c r="B635" s="66"/>
      <c r="C635" s="4" t="s">
        <v>186</v>
      </c>
      <c r="D635" s="66">
        <f>(72.68+2.12*0.92)*10.764</f>
        <v>803.32162560000006</v>
      </c>
      <c r="E635" s="66"/>
      <c r="F635" s="4">
        <v>0</v>
      </c>
      <c r="G635" s="4">
        <f t="shared" si="64"/>
        <v>1285.3146009600002</v>
      </c>
      <c r="H635" s="4" t="s">
        <v>82</v>
      </c>
      <c r="I635" s="66"/>
      <c r="J635" s="66"/>
    </row>
    <row r="636" spans="1:11" s="3" customFormat="1" x14ac:dyDescent="0.35">
      <c r="A636" s="66">
        <v>7</v>
      </c>
      <c r="B636" s="66"/>
      <c r="C636" s="4" t="s">
        <v>186</v>
      </c>
      <c r="D636" s="66">
        <f>(72.6+2.12*0.92)*10.764</f>
        <v>802.46050559999992</v>
      </c>
      <c r="E636" s="66"/>
      <c r="F636" s="4">
        <v>0</v>
      </c>
      <c r="G636" s="4">
        <f t="shared" si="64"/>
        <v>1283.93680896</v>
      </c>
      <c r="H636" s="4" t="s">
        <v>82</v>
      </c>
      <c r="I636" s="66"/>
      <c r="J636" s="66"/>
    </row>
    <row r="637" spans="1:11" s="3" customFormat="1" x14ac:dyDescent="0.35">
      <c r="A637" s="72" t="s">
        <v>316</v>
      </c>
      <c r="B637" s="72"/>
      <c r="C637" s="72"/>
      <c r="D637" s="72"/>
      <c r="E637" s="72"/>
      <c r="F637" s="72"/>
      <c r="G637" s="72"/>
      <c r="H637" s="72"/>
      <c r="I637" s="72"/>
      <c r="J637" s="72"/>
      <c r="K637" s="3">
        <v>1</v>
      </c>
    </row>
    <row r="638" spans="1:11" s="3" customFormat="1" x14ac:dyDescent="0.35">
      <c r="A638" s="66">
        <v>1</v>
      </c>
      <c r="B638" s="66"/>
      <c r="C638" s="4" t="s">
        <v>187</v>
      </c>
      <c r="D638" s="66">
        <f>(55.61+2.33*0.85)*10.764</f>
        <v>619.90414199999998</v>
      </c>
      <c r="E638" s="66"/>
      <c r="F638" s="4">
        <v>0</v>
      </c>
      <c r="G638" s="4">
        <f t="shared" ref="G638:G641" si="65">D638*1.6</f>
        <v>991.84662720000006</v>
      </c>
      <c r="H638" s="4" t="s">
        <v>82</v>
      </c>
      <c r="I638" s="66" t="str">
        <f>A637</f>
        <v>19th Floor (Refuge Area)</v>
      </c>
      <c r="J638" s="66"/>
    </row>
    <row r="639" spans="1:11" s="3" customFormat="1" x14ac:dyDescent="0.35">
      <c r="A639" s="66">
        <v>2</v>
      </c>
      <c r="B639" s="66"/>
      <c r="C639" s="4" t="s">
        <v>187</v>
      </c>
      <c r="D639" s="66">
        <f>(56.64+2.33*0.85)*10.764</f>
        <v>630.99106199999994</v>
      </c>
      <c r="E639" s="66"/>
      <c r="F639" s="4">
        <v>0</v>
      </c>
      <c r="G639" s="4">
        <f t="shared" si="65"/>
        <v>1009.5856991999999</v>
      </c>
      <c r="H639" s="4" t="s">
        <v>82</v>
      </c>
      <c r="I639" s="66"/>
      <c r="J639" s="66"/>
    </row>
    <row r="640" spans="1:11" s="3" customFormat="1" x14ac:dyDescent="0.35">
      <c r="A640" s="66">
        <v>3</v>
      </c>
      <c r="B640" s="66"/>
      <c r="C640" s="4" t="s">
        <v>187</v>
      </c>
      <c r="D640" s="66">
        <f>(63.99+1.9*0.8)*10.764</f>
        <v>705.14963999999998</v>
      </c>
      <c r="E640" s="66"/>
      <c r="F640" s="4">
        <v>0</v>
      </c>
      <c r="G640" s="4">
        <f t="shared" si="65"/>
        <v>1128.2394240000001</v>
      </c>
      <c r="H640" s="4" t="s">
        <v>82</v>
      </c>
      <c r="I640" s="66"/>
      <c r="J640" s="66"/>
    </row>
    <row r="641" spans="1:11" s="3" customFormat="1" x14ac:dyDescent="0.35">
      <c r="A641" s="66">
        <v>4</v>
      </c>
      <c r="B641" s="66"/>
      <c r="C641" s="4" t="s">
        <v>187</v>
      </c>
      <c r="D641" s="66">
        <f>(56.45+2.33*0.85)*10.764</f>
        <v>628.94590199999993</v>
      </c>
      <c r="E641" s="66"/>
      <c r="F641" s="4">
        <v>0</v>
      </c>
      <c r="G641" s="4">
        <f t="shared" si="65"/>
        <v>1006.3134431999999</v>
      </c>
      <c r="H641" s="4" t="s">
        <v>82</v>
      </c>
      <c r="I641" s="66"/>
      <c r="J641" s="66"/>
    </row>
    <row r="642" spans="1:11" s="3" customFormat="1" x14ac:dyDescent="0.35">
      <c r="A642" s="66">
        <v>5</v>
      </c>
      <c r="B642" s="66"/>
      <c r="C642" s="145" t="s">
        <v>216</v>
      </c>
      <c r="D642" s="162"/>
      <c r="E642" s="162"/>
      <c r="F642" s="162"/>
      <c r="G642" s="146"/>
      <c r="H642" s="4" t="s">
        <v>82</v>
      </c>
      <c r="I642" s="66"/>
      <c r="J642" s="66"/>
    </row>
    <row r="643" spans="1:11" s="3" customFormat="1" x14ac:dyDescent="0.35">
      <c r="A643" s="66">
        <v>6</v>
      </c>
      <c r="B643" s="66"/>
      <c r="C643" s="149"/>
      <c r="D643" s="163"/>
      <c r="E643" s="163"/>
      <c r="F643" s="163"/>
      <c r="G643" s="150"/>
      <c r="H643" s="4" t="s">
        <v>82</v>
      </c>
      <c r="I643" s="66"/>
      <c r="J643" s="66"/>
    </row>
    <row r="644" spans="1:11" s="3" customFormat="1" x14ac:dyDescent="0.35">
      <c r="A644" s="66">
        <v>7</v>
      </c>
      <c r="B644" s="66"/>
      <c r="C644" s="4" t="s">
        <v>186</v>
      </c>
      <c r="D644" s="66">
        <f>(72.6+2.12*0.92)*10.764</f>
        <v>802.46050559999992</v>
      </c>
      <c r="E644" s="66"/>
      <c r="F644" s="4">
        <v>0</v>
      </c>
      <c r="G644" s="4">
        <f t="shared" ref="G644" si="66">D644*1.6</f>
        <v>1283.93680896</v>
      </c>
      <c r="H644" s="4" t="s">
        <v>82</v>
      </c>
      <c r="I644" s="66"/>
      <c r="J644" s="66"/>
    </row>
    <row r="645" spans="1:11" s="3" customFormat="1" x14ac:dyDescent="0.35">
      <c r="A645" s="72" t="s">
        <v>314</v>
      </c>
      <c r="B645" s="72"/>
      <c r="C645" s="72"/>
      <c r="D645" s="72"/>
      <c r="E645" s="72"/>
      <c r="F645" s="72"/>
      <c r="G645" s="72"/>
      <c r="H645" s="72"/>
      <c r="I645" s="72"/>
      <c r="J645" s="72"/>
      <c r="K645" s="3">
        <f>3+6</f>
        <v>9</v>
      </c>
    </row>
    <row r="646" spans="1:11" s="3" customFormat="1" ht="15.75" customHeight="1" x14ac:dyDescent="0.35">
      <c r="A646" s="66">
        <v>1</v>
      </c>
      <c r="B646" s="66"/>
      <c r="C646" s="4" t="s">
        <v>187</v>
      </c>
      <c r="D646" s="66">
        <f>(55.61+2.33*0.85)*10.764</f>
        <v>619.90414199999998</v>
      </c>
      <c r="E646" s="66"/>
      <c r="F646" s="4">
        <v>0</v>
      </c>
      <c r="G646" s="4">
        <f t="shared" ref="G646:G652" si="67">D646*1.6</f>
        <v>991.84662720000006</v>
      </c>
      <c r="H646" s="4" t="s">
        <v>82</v>
      </c>
      <c r="I646" s="66" t="str">
        <f>A645</f>
        <v>23rd to 25th, 27th to 32nd Floor</v>
      </c>
      <c r="J646" s="66"/>
    </row>
    <row r="647" spans="1:11" s="3" customFormat="1" x14ac:dyDescent="0.35">
      <c r="A647" s="66">
        <v>2</v>
      </c>
      <c r="B647" s="66"/>
      <c r="C647" s="4" t="s">
        <v>187</v>
      </c>
      <c r="D647" s="66">
        <f>(56.64+2.33*0.85)*10.764</f>
        <v>630.99106199999994</v>
      </c>
      <c r="E647" s="66"/>
      <c r="F647" s="4">
        <v>0</v>
      </c>
      <c r="G647" s="4">
        <f t="shared" si="67"/>
        <v>1009.5856991999999</v>
      </c>
      <c r="H647" s="4" t="s">
        <v>82</v>
      </c>
      <c r="I647" s="66"/>
      <c r="J647" s="66"/>
    </row>
    <row r="648" spans="1:11" s="3" customFormat="1" x14ac:dyDescent="0.35">
      <c r="A648" s="66">
        <v>3</v>
      </c>
      <c r="B648" s="66"/>
      <c r="C648" s="4" t="s">
        <v>187</v>
      </c>
      <c r="D648" s="66">
        <f>(63.99+1.9*0.8)*10.764</f>
        <v>705.14963999999998</v>
      </c>
      <c r="E648" s="66"/>
      <c r="F648" s="4">
        <v>0</v>
      </c>
      <c r="G648" s="4">
        <f t="shared" si="67"/>
        <v>1128.2394240000001</v>
      </c>
      <c r="H648" s="4" t="s">
        <v>82</v>
      </c>
      <c r="I648" s="66"/>
      <c r="J648" s="66"/>
    </row>
    <row r="649" spans="1:11" s="3" customFormat="1" x14ac:dyDescent="0.35">
      <c r="A649" s="66">
        <v>4</v>
      </c>
      <c r="B649" s="66"/>
      <c r="C649" s="4" t="s">
        <v>187</v>
      </c>
      <c r="D649" s="66">
        <f>(56.45+2.33*0.85)*10.764</f>
        <v>628.94590199999993</v>
      </c>
      <c r="E649" s="66"/>
      <c r="F649" s="4">
        <v>0</v>
      </c>
      <c r="G649" s="4">
        <f t="shared" si="67"/>
        <v>1006.3134431999999</v>
      </c>
      <c r="H649" s="4" t="s">
        <v>82</v>
      </c>
      <c r="I649" s="66"/>
      <c r="J649" s="66"/>
    </row>
    <row r="650" spans="1:11" s="3" customFormat="1" x14ac:dyDescent="0.35">
      <c r="A650" s="66">
        <v>5</v>
      </c>
      <c r="B650" s="66"/>
      <c r="C650" s="4" t="s">
        <v>187</v>
      </c>
      <c r="D650" s="66">
        <f>(55.29+2.33*0.85)*10.764</f>
        <v>616.45966199999998</v>
      </c>
      <c r="E650" s="66"/>
      <c r="F650" s="4">
        <v>0</v>
      </c>
      <c r="G650" s="4">
        <f t="shared" si="67"/>
        <v>986.33545920000006</v>
      </c>
      <c r="H650" s="4" t="s">
        <v>82</v>
      </c>
      <c r="I650" s="66"/>
      <c r="J650" s="66"/>
    </row>
    <row r="651" spans="1:11" s="3" customFormat="1" x14ac:dyDescent="0.35">
      <c r="A651" s="66">
        <v>6</v>
      </c>
      <c r="B651" s="66"/>
      <c r="C651" s="4" t="s">
        <v>186</v>
      </c>
      <c r="D651" s="66">
        <f>(72.68+2.12*0.92)*10.764</f>
        <v>803.32162560000006</v>
      </c>
      <c r="E651" s="66"/>
      <c r="F651" s="4">
        <v>0</v>
      </c>
      <c r="G651" s="4">
        <f t="shared" si="67"/>
        <v>1285.3146009600002</v>
      </c>
      <c r="H651" s="4" t="s">
        <v>82</v>
      </c>
      <c r="I651" s="66"/>
      <c r="J651" s="66"/>
    </row>
    <row r="652" spans="1:11" s="3" customFormat="1" x14ac:dyDescent="0.35">
      <c r="A652" s="66">
        <v>7</v>
      </c>
      <c r="B652" s="66"/>
      <c r="C652" s="4" t="s">
        <v>186</v>
      </c>
      <c r="D652" s="66">
        <f>(72.6+2.12*0.92)*10.764</f>
        <v>802.46050559999992</v>
      </c>
      <c r="E652" s="66"/>
      <c r="F652" s="4">
        <v>0</v>
      </c>
      <c r="G652" s="4">
        <f t="shared" si="67"/>
        <v>1283.93680896</v>
      </c>
      <c r="H652" s="4" t="s">
        <v>82</v>
      </c>
      <c r="I652" s="66"/>
      <c r="J652" s="66"/>
    </row>
    <row r="653" spans="1:11" s="3" customFormat="1" x14ac:dyDescent="0.35">
      <c r="A653" s="72" t="s">
        <v>317</v>
      </c>
      <c r="B653" s="72"/>
      <c r="C653" s="72"/>
      <c r="D653" s="72"/>
      <c r="E653" s="72"/>
      <c r="F653" s="72"/>
      <c r="G653" s="72"/>
      <c r="H653" s="72"/>
      <c r="I653" s="72"/>
      <c r="J653" s="72"/>
      <c r="K653" s="3">
        <v>1</v>
      </c>
    </row>
    <row r="654" spans="1:11" s="3" customFormat="1" x14ac:dyDescent="0.35">
      <c r="A654" s="66">
        <v>1</v>
      </c>
      <c r="B654" s="66"/>
      <c r="C654" s="4" t="s">
        <v>187</v>
      </c>
      <c r="D654" s="66">
        <f>(55.61+2.33*0.85)*10.764</f>
        <v>619.90414199999998</v>
      </c>
      <c r="E654" s="66"/>
      <c r="F654" s="4">
        <v>0</v>
      </c>
      <c r="G654" s="4">
        <f t="shared" ref="G654:G657" si="68">D654*1.6</f>
        <v>991.84662720000006</v>
      </c>
      <c r="H654" s="4" t="s">
        <v>82</v>
      </c>
      <c r="I654" s="66" t="str">
        <f>A653</f>
        <v>26th Floor (Refuge Area)</v>
      </c>
      <c r="J654" s="66"/>
    </row>
    <row r="655" spans="1:11" s="3" customFormat="1" x14ac:dyDescent="0.35">
      <c r="A655" s="66">
        <v>2</v>
      </c>
      <c r="B655" s="66"/>
      <c r="C655" s="4" t="s">
        <v>187</v>
      </c>
      <c r="D655" s="66">
        <f>(56.64+2.33*0.85)*10.764</f>
        <v>630.99106199999994</v>
      </c>
      <c r="E655" s="66"/>
      <c r="F655" s="4">
        <v>0</v>
      </c>
      <c r="G655" s="4">
        <f t="shared" si="68"/>
        <v>1009.5856991999999</v>
      </c>
      <c r="H655" s="4" t="s">
        <v>82</v>
      </c>
      <c r="I655" s="66"/>
      <c r="J655" s="66"/>
    </row>
    <row r="656" spans="1:11" s="3" customFormat="1" x14ac:dyDescent="0.35">
      <c r="A656" s="66">
        <v>3</v>
      </c>
      <c r="B656" s="66"/>
      <c r="C656" s="4" t="s">
        <v>187</v>
      </c>
      <c r="D656" s="66">
        <f>(63.99+1.9*0.8)*10.764</f>
        <v>705.14963999999998</v>
      </c>
      <c r="E656" s="66"/>
      <c r="F656" s="4">
        <v>0</v>
      </c>
      <c r="G656" s="4">
        <f t="shared" si="68"/>
        <v>1128.2394240000001</v>
      </c>
      <c r="H656" s="4" t="s">
        <v>82</v>
      </c>
      <c r="I656" s="66"/>
      <c r="J656" s="66"/>
    </row>
    <row r="657" spans="1:11" s="3" customFormat="1" x14ac:dyDescent="0.35">
      <c r="A657" s="66">
        <v>4</v>
      </c>
      <c r="B657" s="66"/>
      <c r="C657" s="4" t="s">
        <v>187</v>
      </c>
      <c r="D657" s="66">
        <f>(56.45+2.33*0.85)*10.764</f>
        <v>628.94590199999993</v>
      </c>
      <c r="E657" s="66"/>
      <c r="F657" s="4">
        <v>0</v>
      </c>
      <c r="G657" s="4">
        <f t="shared" si="68"/>
        <v>1006.3134431999999</v>
      </c>
      <c r="H657" s="4" t="s">
        <v>82</v>
      </c>
      <c r="I657" s="66"/>
      <c r="J657" s="66"/>
    </row>
    <row r="658" spans="1:11" s="3" customFormat="1" x14ac:dyDescent="0.35">
      <c r="A658" s="66">
        <v>5</v>
      </c>
      <c r="B658" s="66"/>
      <c r="C658" s="145" t="s">
        <v>216</v>
      </c>
      <c r="D658" s="162"/>
      <c r="E658" s="162"/>
      <c r="F658" s="162"/>
      <c r="G658" s="146"/>
      <c r="H658" s="4" t="s">
        <v>82</v>
      </c>
      <c r="I658" s="66"/>
      <c r="J658" s="66"/>
    </row>
    <row r="659" spans="1:11" s="3" customFormat="1" x14ac:dyDescent="0.35">
      <c r="A659" s="66">
        <v>6</v>
      </c>
      <c r="B659" s="66"/>
      <c r="C659" s="149"/>
      <c r="D659" s="163"/>
      <c r="E659" s="163"/>
      <c r="F659" s="163"/>
      <c r="G659" s="150"/>
      <c r="H659" s="4" t="s">
        <v>82</v>
      </c>
      <c r="I659" s="66"/>
      <c r="J659" s="66"/>
    </row>
    <row r="660" spans="1:11" s="3" customFormat="1" x14ac:dyDescent="0.35">
      <c r="A660" s="66">
        <v>7</v>
      </c>
      <c r="B660" s="66"/>
      <c r="C660" s="4" t="s">
        <v>186</v>
      </c>
      <c r="D660" s="66">
        <f>(72.6+2.12*0.92)*10.764</f>
        <v>802.46050559999992</v>
      </c>
      <c r="E660" s="66"/>
      <c r="F660" s="4">
        <v>0</v>
      </c>
      <c r="G660" s="4">
        <f t="shared" ref="G660" si="69">D660*1.6</f>
        <v>1283.93680896</v>
      </c>
      <c r="H660" s="4" t="s">
        <v>82</v>
      </c>
      <c r="I660" s="66"/>
      <c r="J660" s="66"/>
    </row>
    <row r="661" spans="1:11" s="3" customFormat="1" x14ac:dyDescent="0.35">
      <c r="A661" s="72" t="s">
        <v>348</v>
      </c>
      <c r="B661" s="72"/>
      <c r="C661" s="72"/>
      <c r="D661" s="72"/>
      <c r="E661" s="72"/>
      <c r="F661" s="72"/>
      <c r="G661" s="72"/>
      <c r="H661" s="72"/>
      <c r="I661" s="72"/>
      <c r="J661" s="72"/>
      <c r="K661" s="3">
        <v>1</v>
      </c>
    </row>
    <row r="662" spans="1:11" s="3" customFormat="1" x14ac:dyDescent="0.35">
      <c r="A662" s="66">
        <v>1</v>
      </c>
      <c r="B662" s="66"/>
      <c r="C662" s="4" t="s">
        <v>187</v>
      </c>
      <c r="D662" s="66">
        <f>(55.61+2.33*0.85)*10.764</f>
        <v>619.90414199999998</v>
      </c>
      <c r="E662" s="66"/>
      <c r="F662" s="4">
        <v>0</v>
      </c>
      <c r="G662" s="4">
        <f t="shared" ref="G662:G665" si="70">D662*1.6</f>
        <v>991.84662720000006</v>
      </c>
      <c r="H662" s="4" t="s">
        <v>82</v>
      </c>
      <c r="I662" s="66" t="str">
        <f>A661</f>
        <v>33rd Floor (Refuge Area)</v>
      </c>
      <c r="J662" s="66"/>
    </row>
    <row r="663" spans="1:11" s="3" customFormat="1" x14ac:dyDescent="0.35">
      <c r="A663" s="66">
        <v>2</v>
      </c>
      <c r="B663" s="66"/>
      <c r="C663" s="4" t="s">
        <v>187</v>
      </c>
      <c r="D663" s="66">
        <f>(56.64+2.33*0.85)*10.764</f>
        <v>630.99106199999994</v>
      </c>
      <c r="E663" s="66"/>
      <c r="F663" s="4">
        <v>0</v>
      </c>
      <c r="G663" s="4">
        <f t="shared" si="70"/>
        <v>1009.5856991999999</v>
      </c>
      <c r="H663" s="4" t="s">
        <v>82</v>
      </c>
      <c r="I663" s="66"/>
      <c r="J663" s="66"/>
    </row>
    <row r="664" spans="1:11" s="3" customFormat="1" x14ac:dyDescent="0.35">
      <c r="A664" s="66">
        <v>3</v>
      </c>
      <c r="B664" s="66"/>
      <c r="C664" s="4" t="s">
        <v>187</v>
      </c>
      <c r="D664" s="66">
        <f>(63.99+1.9*0.8)*10.764</f>
        <v>705.14963999999998</v>
      </c>
      <c r="E664" s="66"/>
      <c r="F664" s="4">
        <v>0</v>
      </c>
      <c r="G664" s="4">
        <f t="shared" si="70"/>
        <v>1128.2394240000001</v>
      </c>
      <c r="H664" s="4" t="s">
        <v>82</v>
      </c>
      <c r="I664" s="66"/>
      <c r="J664" s="66"/>
    </row>
    <row r="665" spans="1:11" s="3" customFormat="1" x14ac:dyDescent="0.35">
      <c r="A665" s="66">
        <v>4</v>
      </c>
      <c r="B665" s="66"/>
      <c r="C665" s="4" t="s">
        <v>187</v>
      </c>
      <c r="D665" s="66">
        <f>(56.45+2.33*0.85)*10.764</f>
        <v>628.94590199999993</v>
      </c>
      <c r="E665" s="66"/>
      <c r="F665" s="4">
        <v>0</v>
      </c>
      <c r="G665" s="4">
        <f t="shared" si="70"/>
        <v>1006.3134431999999</v>
      </c>
      <c r="H665" s="4" t="s">
        <v>82</v>
      </c>
      <c r="I665" s="66"/>
      <c r="J665" s="66"/>
    </row>
    <row r="666" spans="1:11" s="3" customFormat="1" x14ac:dyDescent="0.35">
      <c r="A666" s="66">
        <v>5</v>
      </c>
      <c r="B666" s="66"/>
      <c r="C666" s="145" t="s">
        <v>216</v>
      </c>
      <c r="D666" s="162"/>
      <c r="E666" s="162"/>
      <c r="F666" s="162"/>
      <c r="G666" s="146"/>
      <c r="H666" s="4" t="s">
        <v>82</v>
      </c>
      <c r="I666" s="66"/>
      <c r="J666" s="66"/>
    </row>
    <row r="667" spans="1:11" s="3" customFormat="1" x14ac:dyDescent="0.35">
      <c r="A667" s="66">
        <v>6</v>
      </c>
      <c r="B667" s="66"/>
      <c r="C667" s="149"/>
      <c r="D667" s="163"/>
      <c r="E667" s="163"/>
      <c r="F667" s="163"/>
      <c r="G667" s="150"/>
      <c r="H667" s="4" t="s">
        <v>82</v>
      </c>
      <c r="I667" s="66"/>
      <c r="J667" s="66"/>
    </row>
    <row r="668" spans="1:11" s="3" customFormat="1" x14ac:dyDescent="0.35">
      <c r="A668" s="66">
        <v>7</v>
      </c>
      <c r="B668" s="66"/>
      <c r="C668" s="4" t="s">
        <v>186</v>
      </c>
      <c r="D668" s="66">
        <f>(72.6+2.12*0.92)*10.764</f>
        <v>802.46050559999992</v>
      </c>
      <c r="E668" s="66"/>
      <c r="F668" s="4">
        <v>0</v>
      </c>
      <c r="G668" s="4">
        <f t="shared" ref="G668" si="71">D668*1.6</f>
        <v>1283.93680896</v>
      </c>
      <c r="H668" s="4" t="s">
        <v>82</v>
      </c>
      <c r="I668" s="66"/>
      <c r="J668" s="66"/>
    </row>
    <row r="669" spans="1:11" s="3" customFormat="1" x14ac:dyDescent="0.35">
      <c r="A669" s="72" t="s">
        <v>344</v>
      </c>
      <c r="B669" s="72"/>
      <c r="C669" s="72"/>
      <c r="D669" s="72"/>
      <c r="E669" s="72"/>
      <c r="F669" s="72"/>
      <c r="G669" s="72"/>
      <c r="H669" s="72"/>
      <c r="I669" s="72"/>
      <c r="J669" s="72"/>
      <c r="K669" s="3">
        <v>1</v>
      </c>
    </row>
    <row r="670" spans="1:11" s="3" customFormat="1" ht="15.75" customHeight="1" x14ac:dyDescent="0.35">
      <c r="A670" s="66">
        <v>1</v>
      </c>
      <c r="B670" s="66"/>
      <c r="C670" s="4" t="s">
        <v>187</v>
      </c>
      <c r="D670" s="66">
        <f>(55.61+2.33*0.85)*10.764</f>
        <v>619.90414199999998</v>
      </c>
      <c r="E670" s="66"/>
      <c r="F670" s="4">
        <v>0</v>
      </c>
      <c r="G670" s="4">
        <f t="shared" ref="G670:G676" si="72">D670*1.6</f>
        <v>991.84662720000006</v>
      </c>
      <c r="H670" s="4" t="s">
        <v>82</v>
      </c>
      <c r="I670" s="66" t="str">
        <f>A669</f>
        <v>34th Floor</v>
      </c>
      <c r="J670" s="66"/>
    </row>
    <row r="671" spans="1:11" s="3" customFormat="1" x14ac:dyDescent="0.35">
      <c r="A671" s="66">
        <v>2</v>
      </c>
      <c r="B671" s="66"/>
      <c r="C671" s="4" t="s">
        <v>187</v>
      </c>
      <c r="D671" s="66">
        <f>(56.64+2.33*0.85)*10.764</f>
        <v>630.99106199999994</v>
      </c>
      <c r="E671" s="66"/>
      <c r="F671" s="4">
        <v>0</v>
      </c>
      <c r="G671" s="4">
        <f t="shared" si="72"/>
        <v>1009.5856991999999</v>
      </c>
      <c r="H671" s="4" t="s">
        <v>82</v>
      </c>
      <c r="I671" s="66"/>
      <c r="J671" s="66"/>
    </row>
    <row r="672" spans="1:11" s="3" customFormat="1" x14ac:dyDescent="0.35">
      <c r="A672" s="66">
        <v>3</v>
      </c>
      <c r="B672" s="66"/>
      <c r="C672" s="4" t="s">
        <v>187</v>
      </c>
      <c r="D672" s="66">
        <f>(63.99+1.9*0.8)*10.764</f>
        <v>705.14963999999998</v>
      </c>
      <c r="E672" s="66"/>
      <c r="F672" s="4">
        <v>0</v>
      </c>
      <c r="G672" s="4">
        <f t="shared" si="72"/>
        <v>1128.2394240000001</v>
      </c>
      <c r="H672" s="4" t="s">
        <v>82</v>
      </c>
      <c r="I672" s="66"/>
      <c r="J672" s="66"/>
    </row>
    <row r="673" spans="1:11" s="3" customFormat="1" x14ac:dyDescent="0.35">
      <c r="A673" s="66">
        <v>4</v>
      </c>
      <c r="B673" s="66"/>
      <c r="C673" s="4" t="s">
        <v>187</v>
      </c>
      <c r="D673" s="66">
        <f>(56.45+2.33*0.85)*10.764</f>
        <v>628.94590199999993</v>
      </c>
      <c r="E673" s="66"/>
      <c r="F673" s="4">
        <v>0</v>
      </c>
      <c r="G673" s="4">
        <f t="shared" si="72"/>
        <v>1006.3134431999999</v>
      </c>
      <c r="H673" s="4" t="s">
        <v>82</v>
      </c>
      <c r="I673" s="66"/>
      <c r="J673" s="66"/>
    </row>
    <row r="674" spans="1:11" s="3" customFormat="1" x14ac:dyDescent="0.35">
      <c r="A674" s="66">
        <v>5</v>
      </c>
      <c r="B674" s="66"/>
      <c r="C674" s="4" t="s">
        <v>187</v>
      </c>
      <c r="D674" s="66">
        <f>(55.29+2.33*0.85)*10.764</f>
        <v>616.45966199999998</v>
      </c>
      <c r="E674" s="66"/>
      <c r="F674" s="4">
        <v>0</v>
      </c>
      <c r="G674" s="4">
        <f t="shared" si="72"/>
        <v>986.33545920000006</v>
      </c>
      <c r="H674" s="4" t="s">
        <v>82</v>
      </c>
      <c r="I674" s="66"/>
      <c r="J674" s="66"/>
    </row>
    <row r="675" spans="1:11" s="3" customFormat="1" x14ac:dyDescent="0.35">
      <c r="A675" s="66">
        <v>6</v>
      </c>
      <c r="B675" s="66"/>
      <c r="C675" s="4" t="s">
        <v>186</v>
      </c>
      <c r="D675" s="66">
        <f>(72.68+2.12*0.92)*10.764</f>
        <v>803.32162560000006</v>
      </c>
      <c r="E675" s="66"/>
      <c r="F675" s="4">
        <v>0</v>
      </c>
      <c r="G675" s="4">
        <f t="shared" si="72"/>
        <v>1285.3146009600002</v>
      </c>
      <c r="H675" s="4" t="s">
        <v>82</v>
      </c>
      <c r="I675" s="66"/>
      <c r="J675" s="66"/>
    </row>
    <row r="676" spans="1:11" s="3" customFormat="1" x14ac:dyDescent="0.35">
      <c r="A676" s="66">
        <v>7</v>
      </c>
      <c r="B676" s="66"/>
      <c r="C676" s="4" t="s">
        <v>186</v>
      </c>
      <c r="D676" s="66">
        <f>(72.6+2.12*0.92)*10.764</f>
        <v>802.46050559999992</v>
      </c>
      <c r="E676" s="66"/>
      <c r="F676" s="4">
        <v>0</v>
      </c>
      <c r="G676" s="4">
        <f t="shared" si="72"/>
        <v>1283.93680896</v>
      </c>
      <c r="H676" s="4" t="s">
        <v>82</v>
      </c>
      <c r="I676" s="66"/>
      <c r="J676" s="66"/>
    </row>
    <row r="677" spans="1:11" s="3" customFormat="1" x14ac:dyDescent="0.35">
      <c r="A677" s="72" t="s">
        <v>345</v>
      </c>
      <c r="B677" s="72"/>
      <c r="C677" s="72"/>
      <c r="D677" s="72"/>
      <c r="E677" s="72"/>
      <c r="F677" s="72"/>
      <c r="G677" s="72"/>
      <c r="H677" s="72"/>
      <c r="I677" s="72"/>
      <c r="J677" s="72"/>
      <c r="K677" s="3">
        <f>3</f>
        <v>3</v>
      </c>
    </row>
    <row r="678" spans="1:11" s="3" customFormat="1" ht="15.75" customHeight="1" x14ac:dyDescent="0.35">
      <c r="A678" s="66">
        <v>1</v>
      </c>
      <c r="B678" s="66"/>
      <c r="C678" s="4" t="s">
        <v>185</v>
      </c>
      <c r="D678" s="66">
        <f>(6.45*4.58+2.13*3+2.08*0.4+3.05*3.05+3.08*4.08+3.62*3.2+2.08*0.25+4.73*4.23+2.45*0.2+2.13*1.3+2.13*1.3+2.13*1.3+2.13*1.23+5.63*0.93+2.42*0.93+1.5*0.93+6.75*1.8)*10.764</f>
        <v>1326.0408408000003</v>
      </c>
      <c r="E678" s="66"/>
      <c r="F678" s="4">
        <v>0</v>
      </c>
      <c r="G678" s="4">
        <f t="shared" ref="G678:G682" si="73">D678*1.6</f>
        <v>2121.6653452800006</v>
      </c>
      <c r="H678" s="4" t="s">
        <v>82</v>
      </c>
      <c r="I678" s="66" t="str">
        <f>A677</f>
        <v>35th to 37th Floor</v>
      </c>
      <c r="J678" s="66"/>
    </row>
    <row r="679" spans="1:11" s="3" customFormat="1" x14ac:dyDescent="0.35">
      <c r="A679" s="66">
        <v>2</v>
      </c>
      <c r="B679" s="66"/>
      <c r="C679" s="4" t="s">
        <v>187</v>
      </c>
      <c r="D679" s="66">
        <f>(56.64+2.33*0.85)*10.764</f>
        <v>630.99106199999994</v>
      </c>
      <c r="E679" s="66"/>
      <c r="F679" s="4">
        <v>0</v>
      </c>
      <c r="G679" s="4">
        <f t="shared" si="73"/>
        <v>1009.5856991999999</v>
      </c>
      <c r="H679" s="4" t="s">
        <v>82</v>
      </c>
      <c r="I679" s="66"/>
      <c r="J679" s="66"/>
    </row>
    <row r="680" spans="1:11" s="3" customFormat="1" x14ac:dyDescent="0.35">
      <c r="A680" s="66">
        <v>3</v>
      </c>
      <c r="B680" s="66"/>
      <c r="C680" s="4" t="s">
        <v>185</v>
      </c>
      <c r="D680" s="66">
        <f>(6.45*4.58+2.13*3+2.08*0.4+3.05*3.05+3.08*4.08+3.62*3.2+2.08*0.25+4.73*4.23+2.45*0.2+2.13*1.3+2.13*1.3+2.13*1.3+2.13*1.23+5.63*0.93+2.42*0.93+1.5*0.93+6.75*1.8)*10.764</f>
        <v>1326.0408408000003</v>
      </c>
      <c r="E680" s="66"/>
      <c r="F680" s="4">
        <v>0</v>
      </c>
      <c r="G680" s="4">
        <f t="shared" si="73"/>
        <v>2121.6653452800006</v>
      </c>
      <c r="H680" s="4" t="s">
        <v>82</v>
      </c>
      <c r="I680" s="66"/>
      <c r="J680" s="66"/>
    </row>
    <row r="681" spans="1:11" s="3" customFormat="1" x14ac:dyDescent="0.35">
      <c r="A681" s="66">
        <v>4</v>
      </c>
      <c r="B681" s="66"/>
      <c r="C681" s="4" t="s">
        <v>186</v>
      </c>
      <c r="D681" s="66">
        <f>(72.68+5.82*1.8)*10.764</f>
        <v>895.091184</v>
      </c>
      <c r="E681" s="66"/>
      <c r="F681" s="4">
        <v>0</v>
      </c>
      <c r="G681" s="4">
        <f t="shared" si="73"/>
        <v>1432.1458944000001</v>
      </c>
      <c r="H681" s="4" t="s">
        <v>82</v>
      </c>
      <c r="I681" s="66"/>
      <c r="J681" s="66"/>
    </row>
    <row r="682" spans="1:11" s="3" customFormat="1" x14ac:dyDescent="0.35">
      <c r="A682" s="66">
        <v>5</v>
      </c>
      <c r="B682" s="66"/>
      <c r="C682" s="4" t="s">
        <v>186</v>
      </c>
      <c r="D682" s="66">
        <f>(72.6+5.58*1.85)*10.764</f>
        <v>892.58317199999999</v>
      </c>
      <c r="E682" s="66"/>
      <c r="F682" s="4">
        <v>0</v>
      </c>
      <c r="G682" s="4">
        <f t="shared" si="73"/>
        <v>1428.1330752000001</v>
      </c>
      <c r="H682" s="4" t="s">
        <v>82</v>
      </c>
      <c r="I682" s="66"/>
      <c r="J682" s="66"/>
    </row>
    <row r="683" spans="1:11" s="3" customFormat="1" x14ac:dyDescent="0.35">
      <c r="A683" s="72" t="s">
        <v>347</v>
      </c>
      <c r="B683" s="72"/>
      <c r="C683" s="72"/>
      <c r="D683" s="72"/>
      <c r="E683" s="72"/>
      <c r="F683" s="72"/>
      <c r="G683" s="72"/>
      <c r="H683" s="72"/>
      <c r="I683" s="72"/>
      <c r="J683" s="72"/>
      <c r="K683" s="3">
        <f>2+2</f>
        <v>4</v>
      </c>
    </row>
    <row r="684" spans="1:11" s="3" customFormat="1" ht="15.75" customHeight="1" x14ac:dyDescent="0.35">
      <c r="A684" s="66">
        <v>1</v>
      </c>
      <c r="B684" s="66"/>
      <c r="C684" s="4" t="s">
        <v>185</v>
      </c>
      <c r="D684" s="66">
        <f>(6.45*4.58+2.13*3+2.08*0.4+3.05*3.05+3.08*4.08+3.62*3.2+2.08*0.25+4.73*4.23+2.45*0.2+2.13*1.3+2.13*1.3+2.13*1.3+2.13*1.23+5.63*0.93+2.42*0.93+1.5*0.93+6.75*1.8)*10.764</f>
        <v>1326.0408408000003</v>
      </c>
      <c r="E684" s="66"/>
      <c r="F684" s="4">
        <v>0</v>
      </c>
      <c r="G684" s="4">
        <f t="shared" ref="G684:G688" si="74">D684*1.6</f>
        <v>2121.6653452800006</v>
      </c>
      <c r="H684" s="4" t="s">
        <v>82</v>
      </c>
      <c r="I684" s="66" t="str">
        <f>A683</f>
        <v>38th, 39th, 41st &amp; 42nd Floor</v>
      </c>
      <c r="J684" s="66"/>
    </row>
    <row r="685" spans="1:11" s="3" customFormat="1" x14ac:dyDescent="0.35">
      <c r="A685" s="66">
        <v>2</v>
      </c>
      <c r="B685" s="66"/>
      <c r="C685" s="4" t="s">
        <v>187</v>
      </c>
      <c r="D685" s="66">
        <f>(56.64+2.33*0.85)*10.764</f>
        <v>630.99106199999994</v>
      </c>
      <c r="E685" s="66"/>
      <c r="F685" s="4">
        <v>0</v>
      </c>
      <c r="G685" s="4">
        <f t="shared" si="74"/>
        <v>1009.5856991999999</v>
      </c>
      <c r="H685" s="4" t="s">
        <v>82</v>
      </c>
      <c r="I685" s="66"/>
      <c r="J685" s="66"/>
    </row>
    <row r="686" spans="1:11" s="3" customFormat="1" x14ac:dyDescent="0.35">
      <c r="A686" s="66">
        <v>3</v>
      </c>
      <c r="B686" s="66"/>
      <c r="C686" s="4" t="s">
        <v>185</v>
      </c>
      <c r="D686" s="66">
        <f>(6.45*4.58+2.13*3+2.08*0.4+3.05*3.05+3.08*4.08+3.62*3.2+2.08*0.25+4.73*4.23+2.45*0.2+2.13*1.3+2.13*1.3+2.13*1.3+2.13*1.23+5.63*0.93+2.42*0.93+1.5*0.93+6.75*1.8)*10.764</f>
        <v>1326.0408408000003</v>
      </c>
      <c r="E686" s="66"/>
      <c r="F686" s="4">
        <v>0</v>
      </c>
      <c r="G686" s="4">
        <f t="shared" si="74"/>
        <v>2121.6653452800006</v>
      </c>
      <c r="H686" s="4" t="s">
        <v>82</v>
      </c>
      <c r="I686" s="66"/>
      <c r="J686" s="66"/>
    </row>
    <row r="687" spans="1:11" s="3" customFormat="1" x14ac:dyDescent="0.35">
      <c r="A687" s="66">
        <v>4</v>
      </c>
      <c r="B687" s="66"/>
      <c r="C687" s="4" t="s">
        <v>186</v>
      </c>
      <c r="D687" s="66">
        <f>(72.68+5.82*1.8)*10.764</f>
        <v>895.091184</v>
      </c>
      <c r="E687" s="66"/>
      <c r="F687" s="4">
        <v>0</v>
      </c>
      <c r="G687" s="4">
        <f t="shared" si="74"/>
        <v>1432.1458944000001</v>
      </c>
      <c r="H687" s="4" t="s">
        <v>82</v>
      </c>
      <c r="I687" s="66"/>
      <c r="J687" s="66"/>
    </row>
    <row r="688" spans="1:11" s="3" customFormat="1" x14ac:dyDescent="0.35">
      <c r="A688" s="66">
        <v>5</v>
      </c>
      <c r="B688" s="66"/>
      <c r="C688" s="4" t="s">
        <v>186</v>
      </c>
      <c r="D688" s="66">
        <f>(72.6+5.58*1.85)*10.764</f>
        <v>892.58317199999999</v>
      </c>
      <c r="E688" s="66"/>
      <c r="F688" s="4">
        <v>0</v>
      </c>
      <c r="G688" s="4">
        <f t="shared" si="74"/>
        <v>1428.1330752000001</v>
      </c>
      <c r="H688" s="4" t="s">
        <v>82</v>
      </c>
      <c r="I688" s="66"/>
      <c r="J688" s="66"/>
    </row>
    <row r="689" spans="1:11" s="3" customFormat="1" x14ac:dyDescent="0.35">
      <c r="A689" s="72" t="s">
        <v>349</v>
      </c>
      <c r="B689" s="72"/>
      <c r="C689" s="72"/>
      <c r="D689" s="72"/>
      <c r="E689" s="72"/>
      <c r="F689" s="72"/>
      <c r="G689" s="72"/>
      <c r="H689" s="72"/>
      <c r="I689" s="72"/>
      <c r="J689" s="72"/>
      <c r="K689" s="3">
        <v>1</v>
      </c>
    </row>
    <row r="690" spans="1:11" s="3" customFormat="1" x14ac:dyDescent="0.35">
      <c r="A690" s="66">
        <v>1</v>
      </c>
      <c r="B690" s="66"/>
      <c r="C690" s="4" t="s">
        <v>185</v>
      </c>
      <c r="D690" s="66">
        <f>(6.45*4.58+2.13*3+2.08*0.4+3.05*3.05+3.08*4.08+3.62*3.2+2.08*0.25+4.73*4.23+2.45*0.2+2.13*1.3+2.13*1.3+2.13*1.3+2.13*1.23+5.63*0.93+2.42*0.93+1.5*0.93+6.75*1.8)*10.764</f>
        <v>1326.0408408000003</v>
      </c>
      <c r="E690" s="66"/>
      <c r="F690" s="4">
        <v>0</v>
      </c>
      <c r="G690" s="4">
        <f t="shared" ref="G690:G692" si="75">D690*1.6</f>
        <v>2121.6653452800006</v>
      </c>
      <c r="H690" s="4" t="s">
        <v>82</v>
      </c>
      <c r="I690" s="66" t="str">
        <f>A689</f>
        <v>40th Floor (Refuge Area)</v>
      </c>
      <c r="J690" s="66"/>
    </row>
    <row r="691" spans="1:11" s="3" customFormat="1" x14ac:dyDescent="0.35">
      <c r="A691" s="66">
        <v>2</v>
      </c>
      <c r="B691" s="66"/>
      <c r="C691" s="4" t="s">
        <v>187</v>
      </c>
      <c r="D691" s="66">
        <f>(56.64+2.33*0.85)*10.764</f>
        <v>630.99106199999994</v>
      </c>
      <c r="E691" s="66"/>
      <c r="F691" s="4">
        <v>0</v>
      </c>
      <c r="G691" s="4">
        <f>D691*1.6</f>
        <v>1009.5856991999999</v>
      </c>
      <c r="H691" s="4" t="s">
        <v>82</v>
      </c>
      <c r="I691" s="66"/>
      <c r="J691" s="66"/>
    </row>
    <row r="692" spans="1:11" s="3" customFormat="1" x14ac:dyDescent="0.35">
      <c r="A692" s="66">
        <v>3</v>
      </c>
      <c r="B692" s="66"/>
      <c r="C692" s="4" t="s">
        <v>187</v>
      </c>
      <c r="D692" s="66">
        <f>(63.99+3.3*1.8)*10.764</f>
        <v>752.72652000000005</v>
      </c>
      <c r="E692" s="66"/>
      <c r="F692" s="4">
        <v>0</v>
      </c>
      <c r="G692" s="4">
        <f t="shared" si="75"/>
        <v>1204.3624320000001</v>
      </c>
      <c r="H692" s="4" t="s">
        <v>82</v>
      </c>
      <c r="I692" s="66"/>
      <c r="J692" s="66"/>
    </row>
    <row r="693" spans="1:11" s="3" customFormat="1" x14ac:dyDescent="0.35">
      <c r="A693" s="66">
        <v>4</v>
      </c>
      <c r="B693" s="66"/>
      <c r="C693" s="145" t="s">
        <v>216</v>
      </c>
      <c r="D693" s="162"/>
      <c r="E693" s="162"/>
      <c r="F693" s="162"/>
      <c r="G693" s="146"/>
      <c r="H693" s="4" t="s">
        <v>82</v>
      </c>
      <c r="I693" s="66"/>
      <c r="J693" s="66"/>
    </row>
    <row r="694" spans="1:11" s="3" customFormat="1" x14ac:dyDescent="0.35">
      <c r="A694" s="66">
        <v>5</v>
      </c>
      <c r="B694" s="66"/>
      <c r="C694" s="4" t="s">
        <v>186</v>
      </c>
      <c r="D694" s="66">
        <f>(72.6+5.58*1.85)*10.764</f>
        <v>892.58317199999999</v>
      </c>
      <c r="E694" s="66"/>
      <c r="F694" s="4">
        <v>0</v>
      </c>
      <c r="G694" s="4">
        <f t="shared" ref="G694" si="76">D694*1.6</f>
        <v>1428.1330752000001</v>
      </c>
      <c r="H694" s="4" t="s">
        <v>82</v>
      </c>
      <c r="I694" s="66"/>
      <c r="J694" s="66"/>
    </row>
    <row r="695" spans="1:11" s="3" customFormat="1" x14ac:dyDescent="0.35">
      <c r="A695" s="72" t="s">
        <v>346</v>
      </c>
      <c r="B695" s="72"/>
      <c r="C695" s="72"/>
      <c r="D695" s="72"/>
      <c r="E695" s="72"/>
      <c r="F695" s="72"/>
      <c r="G695" s="72"/>
      <c r="H695" s="72"/>
      <c r="I695" s="72"/>
      <c r="J695" s="72"/>
      <c r="K695" s="3">
        <f>4+3</f>
        <v>7</v>
      </c>
    </row>
    <row r="696" spans="1:11" s="3" customFormat="1" x14ac:dyDescent="0.35">
      <c r="A696" s="66">
        <v>1</v>
      </c>
      <c r="B696" s="66"/>
      <c r="C696" s="4" t="s">
        <v>185</v>
      </c>
      <c r="D696" s="66">
        <f>(6.45*4.58+2.13*3+2.08*0.4+3.05*3.05+3.08*4.08+3.62*3.2+2.08*0.25+4.73*4.23+2.45*0.2+2.13*1.3+2.13*1.3+2.13*1.3+2.13*1.23+5.63*0.93+2.42*0.93+1.5*0.93+6.75*1.8)*10.764</f>
        <v>1326.0408408000003</v>
      </c>
      <c r="E696" s="66"/>
      <c r="F696" s="4">
        <v>0</v>
      </c>
      <c r="G696" s="4">
        <f t="shared" ref="G696:G700" si="77">D696*1.6</f>
        <v>2121.6653452800006</v>
      </c>
      <c r="H696" s="4" t="s">
        <v>82</v>
      </c>
      <c r="I696" s="66" t="str">
        <f>A695</f>
        <v>43rd to 46th, 48th to 50th Floor</v>
      </c>
      <c r="J696" s="66"/>
    </row>
    <row r="697" spans="1:11" s="3" customFormat="1" x14ac:dyDescent="0.35">
      <c r="A697" s="66">
        <v>2</v>
      </c>
      <c r="B697" s="66"/>
      <c r="C697" s="4" t="s">
        <v>187</v>
      </c>
      <c r="D697" s="66">
        <f>(56.64+2.33*0.85)*10.764</f>
        <v>630.99106199999994</v>
      </c>
      <c r="E697" s="66"/>
      <c r="F697" s="4">
        <v>0</v>
      </c>
      <c r="G697" s="4">
        <f t="shared" si="77"/>
        <v>1009.5856991999999</v>
      </c>
      <c r="H697" s="4" t="s">
        <v>82</v>
      </c>
      <c r="I697" s="66"/>
      <c r="J697" s="66"/>
    </row>
    <row r="698" spans="1:11" s="3" customFormat="1" x14ac:dyDescent="0.35">
      <c r="A698" s="66">
        <v>3</v>
      </c>
      <c r="B698" s="66"/>
      <c r="C698" s="4" t="s">
        <v>185</v>
      </c>
      <c r="D698" s="66">
        <f>(6.45*4.58+2.13*3+2.08*0.4+3.05*3.05+3.08*4.08+3.62*3.2+2.08*0.25+4.73*4.23+2.45*0.2+2.13*1.3+2.13*1.3+2.13*1.3+2.13*1.23+5.63*0.93+2.42*0.93+1.5*0.93+6.75*1.8)*10.764</f>
        <v>1326.0408408000003</v>
      </c>
      <c r="E698" s="66"/>
      <c r="F698" s="4">
        <v>0</v>
      </c>
      <c r="G698" s="4">
        <f t="shared" si="77"/>
        <v>2121.6653452800006</v>
      </c>
      <c r="H698" s="4" t="s">
        <v>82</v>
      </c>
      <c r="I698" s="66"/>
      <c r="J698" s="66"/>
    </row>
    <row r="699" spans="1:11" s="3" customFormat="1" x14ac:dyDescent="0.35">
      <c r="A699" s="66">
        <v>4</v>
      </c>
      <c r="B699" s="66"/>
      <c r="C699" s="4" t="s">
        <v>186</v>
      </c>
      <c r="D699" s="66">
        <f>(72.68+5.82*1.8)*10.764</f>
        <v>895.091184</v>
      </c>
      <c r="E699" s="66"/>
      <c r="F699" s="4">
        <v>0</v>
      </c>
      <c r="G699" s="4">
        <f t="shared" si="77"/>
        <v>1432.1458944000001</v>
      </c>
      <c r="H699" s="4" t="s">
        <v>82</v>
      </c>
      <c r="I699" s="66"/>
      <c r="J699" s="66"/>
    </row>
    <row r="700" spans="1:11" s="3" customFormat="1" x14ac:dyDescent="0.35">
      <c r="A700" s="66">
        <v>5</v>
      </c>
      <c r="B700" s="66"/>
      <c r="C700" s="4" t="s">
        <v>186</v>
      </c>
      <c r="D700" s="66">
        <f>(72.6+5.58*1.85)*10.764</f>
        <v>892.58317199999999</v>
      </c>
      <c r="E700" s="66"/>
      <c r="F700" s="4">
        <v>0</v>
      </c>
      <c r="G700" s="4">
        <f t="shared" si="77"/>
        <v>1428.1330752000001</v>
      </c>
      <c r="H700" s="4" t="s">
        <v>82</v>
      </c>
      <c r="I700" s="66"/>
      <c r="J700" s="66"/>
    </row>
    <row r="701" spans="1:11" s="3" customFormat="1" x14ac:dyDescent="0.35">
      <c r="A701" s="72" t="s">
        <v>350</v>
      </c>
      <c r="B701" s="72"/>
      <c r="C701" s="72"/>
      <c r="D701" s="72"/>
      <c r="E701" s="72"/>
      <c r="F701" s="72"/>
      <c r="G701" s="72"/>
      <c r="H701" s="72"/>
      <c r="I701" s="72"/>
      <c r="J701" s="72"/>
      <c r="K701" s="3">
        <v>1</v>
      </c>
    </row>
    <row r="702" spans="1:11" s="3" customFormat="1" x14ac:dyDescent="0.35">
      <c r="A702" s="66">
        <v>1</v>
      </c>
      <c r="B702" s="66"/>
      <c r="C702" s="4" t="s">
        <v>185</v>
      </c>
      <c r="D702" s="66">
        <f>(6.45*4.58+2.13*3+2.08*0.4+3.05*3.05+3.08*4.08+3.62*3.2+2.08*0.25+4.73*4.23+2.45*0.2+2.13*1.3+2.13*1.3+2.13*1.3+2.13*1.23+5.63*0.93+2.42*0.93+1.5*0.93+6.75*1.8)*10.764</f>
        <v>1326.0408408000003</v>
      </c>
      <c r="E702" s="66"/>
      <c r="F702" s="4">
        <v>0</v>
      </c>
      <c r="G702" s="4">
        <f t="shared" ref="G702:G706" si="78">D702*1.6</f>
        <v>2121.6653452800006</v>
      </c>
      <c r="H702" s="4" t="s">
        <v>82</v>
      </c>
      <c r="I702" s="66" t="str">
        <f>A701</f>
        <v>47th Floor (Part Refuge Area)</v>
      </c>
      <c r="J702" s="66"/>
    </row>
    <row r="703" spans="1:11" s="3" customFormat="1" x14ac:dyDescent="0.35">
      <c r="A703" s="66">
        <v>2</v>
      </c>
      <c r="B703" s="66"/>
      <c r="C703" s="4" t="s">
        <v>187</v>
      </c>
      <c r="D703" s="66">
        <f>(56.64+2.33*0.85)*10.764</f>
        <v>630.99106199999994</v>
      </c>
      <c r="E703" s="66"/>
      <c r="F703" s="4">
        <v>0</v>
      </c>
      <c r="G703" s="4">
        <f t="shared" si="78"/>
        <v>1009.5856991999999</v>
      </c>
      <c r="H703" s="4" t="s">
        <v>82</v>
      </c>
      <c r="I703" s="66"/>
      <c r="J703" s="66"/>
    </row>
    <row r="704" spans="1:11" s="3" customFormat="1" x14ac:dyDescent="0.35">
      <c r="A704" s="66">
        <v>3</v>
      </c>
      <c r="B704" s="66"/>
      <c r="C704" s="4" t="s">
        <v>185</v>
      </c>
      <c r="D704" s="66">
        <f>(6.45*4.58+2.13*3+2.08*0.4+3.05*3.05+3.08*4.08+3.62*3.2+2.08*0.25+4.73*4.23+2.45*0.2+2.13*1.3+2.13*1.3+2.13*1.3+2.13*1.23+5.63*0.93+2.42*0.93+1.5*0.93+6.75*1.8)*10.764</f>
        <v>1326.0408408000003</v>
      </c>
      <c r="E704" s="66"/>
      <c r="F704" s="4">
        <v>0</v>
      </c>
      <c r="G704" s="4">
        <f t="shared" si="78"/>
        <v>2121.6653452800006</v>
      </c>
      <c r="H704" s="4" t="s">
        <v>82</v>
      </c>
      <c r="I704" s="66"/>
      <c r="J704" s="66"/>
    </row>
    <row r="705" spans="1:10" s="3" customFormat="1" x14ac:dyDescent="0.35">
      <c r="A705" s="66">
        <v>4</v>
      </c>
      <c r="B705" s="66"/>
      <c r="C705" s="159" t="s">
        <v>216</v>
      </c>
      <c r="D705" s="197"/>
      <c r="E705" s="197"/>
      <c r="F705" s="197"/>
      <c r="G705" s="160"/>
      <c r="H705" s="4" t="s">
        <v>82</v>
      </c>
      <c r="I705" s="66"/>
      <c r="J705" s="66"/>
    </row>
    <row r="706" spans="1:10" s="3" customFormat="1" x14ac:dyDescent="0.35">
      <c r="A706" s="66">
        <v>5</v>
      </c>
      <c r="B706" s="66"/>
      <c r="C706" s="4" t="s">
        <v>186</v>
      </c>
      <c r="D706" s="66">
        <f>(72.6+5.58*1.85)*10.764</f>
        <v>892.58317199999999</v>
      </c>
      <c r="E706" s="66"/>
      <c r="F706" s="4">
        <v>0</v>
      </c>
      <c r="G706" s="4">
        <f t="shared" si="78"/>
        <v>1428.1330752000001</v>
      </c>
      <c r="H706" s="4" t="s">
        <v>82</v>
      </c>
      <c r="I706" s="66"/>
      <c r="J706" s="66"/>
    </row>
    <row r="707" spans="1:10" s="3" customFormat="1" hidden="1" x14ac:dyDescent="0.35">
      <c r="A707" s="72" t="s">
        <v>200</v>
      </c>
      <c r="B707" s="72"/>
      <c r="C707" s="72"/>
      <c r="D707" s="72"/>
      <c r="E707" s="72"/>
      <c r="F707" s="72"/>
      <c r="G707" s="72"/>
      <c r="H707" s="72"/>
      <c r="I707" s="72"/>
      <c r="J707" s="72"/>
    </row>
    <row r="708" spans="1:10" s="3" customFormat="1" hidden="1" x14ac:dyDescent="0.35">
      <c r="A708" s="72" t="s">
        <v>180</v>
      </c>
      <c r="B708" s="72"/>
      <c r="C708" s="72"/>
      <c r="D708" s="72"/>
      <c r="E708" s="72"/>
      <c r="F708" s="72"/>
      <c r="G708" s="72"/>
      <c r="H708" s="72"/>
      <c r="I708" s="72"/>
      <c r="J708" s="72"/>
    </row>
    <row r="709" spans="1:10" s="3" customFormat="1" hidden="1" x14ac:dyDescent="0.35">
      <c r="A709" s="72" t="s">
        <v>181</v>
      </c>
      <c r="B709" s="72"/>
      <c r="C709" s="72"/>
      <c r="D709" s="72"/>
      <c r="E709" s="72"/>
      <c r="F709" s="72"/>
      <c r="G709" s="72"/>
      <c r="H709" s="72"/>
      <c r="I709" s="72"/>
      <c r="J709" s="72"/>
    </row>
    <row r="710" spans="1:10" s="3" customFormat="1" hidden="1" x14ac:dyDescent="0.35">
      <c r="A710" s="72" t="s">
        <v>182</v>
      </c>
      <c r="B710" s="72"/>
      <c r="C710" s="72"/>
      <c r="D710" s="72"/>
      <c r="E710" s="72"/>
      <c r="F710" s="72"/>
      <c r="G710" s="72"/>
      <c r="H710" s="72"/>
      <c r="I710" s="72"/>
      <c r="J710" s="72"/>
    </row>
    <row r="711" spans="1:10" s="3" customFormat="1" hidden="1" x14ac:dyDescent="0.35">
      <c r="A711" s="72" t="s">
        <v>201</v>
      </c>
      <c r="B711" s="72"/>
      <c r="C711" s="72"/>
      <c r="D711" s="72"/>
      <c r="E711" s="72"/>
      <c r="F711" s="72"/>
      <c r="G711" s="72"/>
      <c r="H711" s="72"/>
      <c r="I711" s="72"/>
      <c r="J711" s="72"/>
    </row>
    <row r="712" spans="1:10" s="3" customFormat="1" hidden="1" x14ac:dyDescent="0.35">
      <c r="A712" s="72" t="s">
        <v>202</v>
      </c>
      <c r="B712" s="72"/>
      <c r="C712" s="72"/>
      <c r="D712" s="72"/>
      <c r="E712" s="72"/>
      <c r="F712" s="72"/>
      <c r="G712" s="72"/>
      <c r="H712" s="72"/>
      <c r="I712" s="72"/>
      <c r="J712" s="72"/>
    </row>
    <row r="713" spans="1:10" s="3" customFormat="1" hidden="1" x14ac:dyDescent="0.35">
      <c r="A713" s="72" t="s">
        <v>203</v>
      </c>
      <c r="B713" s="72"/>
      <c r="C713" s="72"/>
      <c r="D713" s="72"/>
      <c r="E713" s="72"/>
      <c r="F713" s="72"/>
      <c r="G713" s="72"/>
      <c r="H713" s="72"/>
      <c r="I713" s="72"/>
      <c r="J713" s="72"/>
    </row>
    <row r="714" spans="1:10" s="3" customFormat="1" hidden="1" x14ac:dyDescent="0.35">
      <c r="A714" s="72" t="s">
        <v>204</v>
      </c>
      <c r="B714" s="72"/>
      <c r="C714" s="72"/>
      <c r="D714" s="72"/>
      <c r="E714" s="72"/>
      <c r="F714" s="72"/>
      <c r="G714" s="72"/>
      <c r="H714" s="72"/>
      <c r="I714" s="72"/>
      <c r="J714" s="72"/>
    </row>
    <row r="715" spans="1:10" s="3" customFormat="1" hidden="1" x14ac:dyDescent="0.35">
      <c r="A715" s="72" t="s">
        <v>205</v>
      </c>
      <c r="B715" s="72"/>
      <c r="C715" s="72"/>
      <c r="D715" s="72"/>
      <c r="E715" s="72"/>
      <c r="F715" s="72"/>
      <c r="G715" s="72"/>
      <c r="H715" s="72"/>
      <c r="I715" s="72"/>
      <c r="J715" s="72"/>
    </row>
    <row r="716" spans="1:10" s="3" customFormat="1" hidden="1" x14ac:dyDescent="0.35">
      <c r="A716" s="72" t="s">
        <v>206</v>
      </c>
      <c r="B716" s="72"/>
      <c r="C716" s="72"/>
      <c r="D716" s="72"/>
      <c r="E716" s="72"/>
      <c r="F716" s="72"/>
      <c r="G716" s="72"/>
      <c r="H716" s="72"/>
      <c r="I716" s="72"/>
      <c r="J716" s="72"/>
    </row>
    <row r="717" spans="1:10" s="3" customFormat="1" ht="63.75" hidden="1" customHeight="1" x14ac:dyDescent="0.35">
      <c r="A717" s="66">
        <v>1</v>
      </c>
      <c r="B717" s="66"/>
      <c r="C717" s="4" t="s">
        <v>207</v>
      </c>
      <c r="D717" s="66">
        <f>(37.99*10.764)</f>
        <v>408.92435999999998</v>
      </c>
      <c r="E717" s="66"/>
      <c r="F717" s="4">
        <v>0</v>
      </c>
      <c r="G717" s="4">
        <f>D717*1.45</f>
        <v>592.94032199999992</v>
      </c>
      <c r="H717" s="4" t="s">
        <v>82</v>
      </c>
      <c r="I717" s="66" t="str">
        <f>A716</f>
        <v>Ground Floor for Residential &amp; Electric Room</v>
      </c>
      <c r="J717" s="66"/>
    </row>
    <row r="718" spans="1:10" s="3" customFormat="1" hidden="1" x14ac:dyDescent="0.35">
      <c r="A718" s="72" t="s">
        <v>209</v>
      </c>
      <c r="B718" s="72"/>
      <c r="C718" s="72"/>
      <c r="D718" s="72"/>
      <c r="E718" s="72"/>
      <c r="F718" s="72"/>
      <c r="G718" s="72"/>
      <c r="H718" s="72"/>
      <c r="I718" s="72"/>
      <c r="J718" s="72"/>
    </row>
    <row r="719" spans="1:10" s="3" customFormat="1" hidden="1" x14ac:dyDescent="0.35">
      <c r="A719" s="4">
        <v>1</v>
      </c>
      <c r="B719" s="4" t="s">
        <v>208</v>
      </c>
      <c r="C719" s="4" t="s">
        <v>207</v>
      </c>
      <c r="D719" s="66">
        <f>(37.99*10.764)</f>
        <v>408.92435999999998</v>
      </c>
      <c r="E719" s="66"/>
      <c r="F719" s="4">
        <v>0</v>
      </c>
      <c r="G719" s="4">
        <f>D719*1.45</f>
        <v>592.94032199999992</v>
      </c>
      <c r="H719" s="4" t="s">
        <v>82</v>
      </c>
      <c r="I719" s="66" t="str">
        <f>A718</f>
        <v>1st to 6th Floor</v>
      </c>
      <c r="J719" s="66"/>
    </row>
    <row r="720" spans="1:10" s="3" customFormat="1" hidden="1" x14ac:dyDescent="0.35">
      <c r="A720" s="4">
        <v>2</v>
      </c>
      <c r="B720" s="4" t="s">
        <v>208</v>
      </c>
      <c r="C720" s="4" t="s">
        <v>207</v>
      </c>
      <c r="D720" s="66">
        <f t="shared" ref="D720:D721" si="79">(37.99*10.764)</f>
        <v>408.92435999999998</v>
      </c>
      <c r="E720" s="66"/>
      <c r="F720" s="4">
        <v>0</v>
      </c>
      <c r="G720" s="4">
        <f t="shared" ref="G720:G721" si="80">D720*1.45</f>
        <v>592.94032199999992</v>
      </c>
      <c r="H720" s="4" t="s">
        <v>82</v>
      </c>
      <c r="I720" s="66"/>
      <c r="J720" s="66"/>
    </row>
    <row r="721" spans="1:15" s="3" customFormat="1" hidden="1" x14ac:dyDescent="0.35">
      <c r="A721" s="4">
        <v>3</v>
      </c>
      <c r="B721" s="4" t="s">
        <v>208</v>
      </c>
      <c r="C721" s="4" t="s">
        <v>207</v>
      </c>
      <c r="D721" s="66">
        <f t="shared" si="79"/>
        <v>408.92435999999998</v>
      </c>
      <c r="E721" s="66"/>
      <c r="F721" s="4">
        <v>0</v>
      </c>
      <c r="G721" s="4">
        <f t="shared" si="80"/>
        <v>592.94032199999992</v>
      </c>
      <c r="H721" s="4" t="s">
        <v>82</v>
      </c>
      <c r="I721" s="66"/>
      <c r="J721" s="66"/>
    </row>
    <row r="722" spans="1:15" s="3" customFormat="1" hidden="1" x14ac:dyDescent="0.35">
      <c r="A722" s="72" t="s">
        <v>210</v>
      </c>
      <c r="B722" s="72"/>
      <c r="C722" s="72"/>
      <c r="D722" s="72"/>
      <c r="E722" s="72"/>
      <c r="F722" s="72"/>
      <c r="G722" s="72"/>
      <c r="H722" s="72"/>
      <c r="I722" s="72"/>
      <c r="J722" s="72"/>
    </row>
    <row r="723" spans="1:15" s="3" customFormat="1" hidden="1" x14ac:dyDescent="0.35">
      <c r="A723" s="4">
        <v>1</v>
      </c>
      <c r="B723" s="4" t="s">
        <v>211</v>
      </c>
      <c r="C723" s="4" t="s">
        <v>207</v>
      </c>
      <c r="D723" s="66">
        <f>(37.99*10.764)</f>
        <v>408.92435999999998</v>
      </c>
      <c r="E723" s="66"/>
      <c r="F723" s="4">
        <v>0</v>
      </c>
      <c r="G723" s="4">
        <f>D723*1.45</f>
        <v>592.94032199999992</v>
      </c>
      <c r="H723" s="4" t="s">
        <v>82</v>
      </c>
      <c r="I723" s="66" t="str">
        <f>A722</f>
        <v>7th Floor</v>
      </c>
      <c r="J723" s="66"/>
    </row>
    <row r="724" spans="1:15" s="3" customFormat="1" hidden="1" x14ac:dyDescent="0.35">
      <c r="A724" s="4">
        <v>2</v>
      </c>
      <c r="B724" s="4" t="s">
        <v>211</v>
      </c>
      <c r="C724" s="4" t="s">
        <v>207</v>
      </c>
      <c r="D724" s="66">
        <f t="shared" ref="D724:D725" si="81">(37.99*10.764)</f>
        <v>408.92435999999998</v>
      </c>
      <c r="E724" s="66"/>
      <c r="F724" s="4">
        <v>0</v>
      </c>
      <c r="G724" s="4">
        <f t="shared" ref="G724:G725" si="82">D724*1.45</f>
        <v>592.94032199999992</v>
      </c>
      <c r="H724" s="4" t="s">
        <v>82</v>
      </c>
      <c r="I724" s="66"/>
      <c r="J724" s="66"/>
    </row>
    <row r="725" spans="1:15" s="3" customFormat="1" hidden="1" x14ac:dyDescent="0.35">
      <c r="A725" s="4">
        <v>3</v>
      </c>
      <c r="B725" s="4" t="s">
        <v>211</v>
      </c>
      <c r="C725" s="4" t="s">
        <v>207</v>
      </c>
      <c r="D725" s="66">
        <f t="shared" si="81"/>
        <v>408.92435999999998</v>
      </c>
      <c r="E725" s="66"/>
      <c r="F725" s="4">
        <v>0</v>
      </c>
      <c r="G725" s="4">
        <f t="shared" si="82"/>
        <v>592.94032199999992</v>
      </c>
      <c r="H725" s="4" t="s">
        <v>82</v>
      </c>
      <c r="I725" s="66"/>
      <c r="J725" s="66"/>
    </row>
    <row r="726" spans="1:15" s="1" customFormat="1" x14ac:dyDescent="0.35">
      <c r="A726" s="152" t="s">
        <v>92</v>
      </c>
      <c r="B726" s="152"/>
      <c r="C726" s="152"/>
      <c r="D726" s="152"/>
      <c r="E726" s="152"/>
      <c r="F726" s="152"/>
      <c r="G726" s="152"/>
      <c r="H726" s="152"/>
      <c r="I726" s="152"/>
      <c r="J726" s="152"/>
    </row>
    <row r="727" spans="1:15" s="15" customFormat="1" ht="310" customHeight="1" x14ac:dyDescent="0.35">
      <c r="A727" s="161" t="s">
        <v>401</v>
      </c>
      <c r="B727" s="161"/>
      <c r="C727" s="161"/>
      <c r="D727" s="161"/>
      <c r="E727" s="161"/>
      <c r="F727" s="161"/>
      <c r="G727" s="161"/>
      <c r="H727" s="161"/>
      <c r="I727" s="161"/>
      <c r="J727" s="161"/>
      <c r="K727" s="58"/>
      <c r="L727" s="58" t="s">
        <v>336</v>
      </c>
      <c r="M727" s="58"/>
      <c r="N727" s="58"/>
      <c r="O727" s="58"/>
    </row>
    <row r="728" spans="1:15" x14ac:dyDescent="0.35">
      <c r="A728" s="156" t="s">
        <v>83</v>
      </c>
      <c r="B728" s="157"/>
      <c r="C728" s="157"/>
      <c r="D728" s="157"/>
      <c r="E728" s="157"/>
      <c r="F728" s="157"/>
      <c r="G728" s="157"/>
      <c r="H728" s="157"/>
      <c r="I728" s="157"/>
      <c r="J728" s="158"/>
    </row>
    <row r="729" spans="1:15" x14ac:dyDescent="0.35">
      <c r="A729" s="83" t="s">
        <v>84</v>
      </c>
      <c r="B729" s="84"/>
      <c r="C729" s="84"/>
      <c r="D729" s="84"/>
      <c r="E729" s="84"/>
      <c r="F729" s="84"/>
      <c r="G729" s="84"/>
      <c r="H729" s="84"/>
      <c r="I729" s="84"/>
      <c r="J729" s="85"/>
    </row>
    <row r="730" spans="1:15" ht="15.75" customHeight="1" x14ac:dyDescent="0.35">
      <c r="A730" s="156" t="s">
        <v>85</v>
      </c>
      <c r="B730" s="157"/>
      <c r="C730" s="157"/>
      <c r="D730" s="157"/>
      <c r="E730" s="157"/>
      <c r="F730" s="157"/>
      <c r="G730" s="157"/>
      <c r="H730" s="157"/>
      <c r="I730" s="157"/>
      <c r="J730" s="158"/>
    </row>
    <row r="731" spans="1:15" x14ac:dyDescent="0.35">
      <c r="A731" s="83" t="s">
        <v>86</v>
      </c>
      <c r="B731" s="84"/>
      <c r="C731" s="84"/>
      <c r="D731" s="84"/>
      <c r="E731" s="84"/>
      <c r="F731" s="84"/>
      <c r="G731" s="84"/>
      <c r="H731" s="84"/>
      <c r="I731" s="84"/>
      <c r="J731" s="85"/>
    </row>
    <row r="732" spans="1:15" x14ac:dyDescent="0.35">
      <c r="A732" s="83" t="s">
        <v>87</v>
      </c>
      <c r="B732" s="84"/>
      <c r="C732" s="84"/>
      <c r="D732" s="84"/>
      <c r="E732" s="84"/>
      <c r="F732" s="84"/>
      <c r="G732" s="84"/>
      <c r="H732" s="84"/>
      <c r="I732" s="84"/>
      <c r="J732" s="85"/>
    </row>
    <row r="733" spans="1:15" x14ac:dyDescent="0.35">
      <c r="A733" s="83" t="s">
        <v>88</v>
      </c>
      <c r="B733" s="84"/>
      <c r="C733" s="84"/>
      <c r="D733" s="84"/>
      <c r="E733" s="84"/>
      <c r="F733" s="84"/>
      <c r="G733" s="84"/>
      <c r="H733" s="84"/>
      <c r="I733" s="84"/>
      <c r="J733" s="85"/>
    </row>
    <row r="734" spans="1:15" ht="35.25" customHeight="1" x14ac:dyDescent="0.35">
      <c r="A734" s="74" t="s">
        <v>89</v>
      </c>
      <c r="B734" s="75"/>
      <c r="C734" s="75"/>
      <c r="D734" s="75"/>
      <c r="E734" s="75"/>
      <c r="F734" s="75"/>
      <c r="G734" s="75"/>
      <c r="H734" s="75"/>
      <c r="I734" s="75"/>
      <c r="J734" s="76"/>
    </row>
    <row r="735" spans="1:15" x14ac:dyDescent="0.35">
      <c r="A735" s="154" t="s">
        <v>161</v>
      </c>
      <c r="B735" s="154"/>
      <c r="C735" s="155" t="s">
        <v>334</v>
      </c>
      <c r="D735" s="155"/>
      <c r="E735" s="154" t="s">
        <v>162</v>
      </c>
      <c r="F735" s="154"/>
      <c r="G735" s="154"/>
      <c r="H735" s="154" t="s">
        <v>400</v>
      </c>
      <c r="I735" s="154"/>
      <c r="J735" s="154"/>
    </row>
    <row r="736" spans="1:15" x14ac:dyDescent="0.35">
      <c r="A736" s="153" t="s">
        <v>164</v>
      </c>
      <c r="B736" s="153"/>
      <c r="C736" s="153"/>
      <c r="D736" s="153"/>
      <c r="E736" s="153"/>
      <c r="F736" s="153"/>
      <c r="G736" s="153"/>
      <c r="H736" s="153"/>
      <c r="I736" s="153"/>
      <c r="J736" s="153"/>
    </row>
    <row r="737" spans="1:10" x14ac:dyDescent="0.35">
      <c r="A737" s="153"/>
      <c r="B737" s="153"/>
      <c r="C737" s="153"/>
      <c r="D737" s="153"/>
      <c r="E737" s="153"/>
      <c r="F737" s="153"/>
      <c r="G737" s="153"/>
      <c r="H737" s="153"/>
      <c r="I737" s="153"/>
      <c r="J737" s="153"/>
    </row>
    <row r="738" spans="1:10" ht="33" customHeight="1" x14ac:dyDescent="0.35">
      <c r="A738" s="153"/>
      <c r="B738" s="153"/>
      <c r="C738" s="153"/>
      <c r="D738" s="153"/>
      <c r="E738" s="153"/>
      <c r="F738" s="153"/>
      <c r="G738" s="153"/>
      <c r="H738" s="153"/>
      <c r="I738" s="153"/>
      <c r="J738" s="153"/>
    </row>
    <row r="739" spans="1:10" s="3" customFormat="1" x14ac:dyDescent="0.35">
      <c r="A739" s="16" t="s">
        <v>90</v>
      </c>
      <c r="B739" s="17"/>
      <c r="C739" s="17"/>
      <c r="D739" s="16" t="str">
        <f>F8</f>
        <v>Piramal Aranya</v>
      </c>
      <c r="E739" s="12"/>
      <c r="F739" s="12"/>
      <c r="G739" s="37"/>
      <c r="H739" s="37"/>
      <c r="I739" s="67"/>
      <c r="J739" s="67"/>
    </row>
    <row r="740" spans="1:10" s="3" customFormat="1" x14ac:dyDescent="0.35">
      <c r="A740" s="67"/>
      <c r="B740" s="67"/>
      <c r="C740" s="37"/>
      <c r="D740" s="67"/>
      <c r="E740" s="67"/>
      <c r="F740" s="37"/>
      <c r="G740" s="37"/>
      <c r="H740" s="37"/>
      <c r="I740" s="67"/>
      <c r="J740" s="67"/>
    </row>
    <row r="741" spans="1:10" s="3" customFormat="1" x14ac:dyDescent="0.35">
      <c r="A741" s="67"/>
      <c r="B741" s="67"/>
      <c r="C741" s="37"/>
      <c r="D741" s="67"/>
      <c r="E741" s="67"/>
      <c r="F741" s="37"/>
      <c r="G741" s="37"/>
      <c r="H741" s="37"/>
      <c r="I741" s="67"/>
      <c r="J741" s="67"/>
    </row>
    <row r="742" spans="1:10" s="3" customFormat="1" x14ac:dyDescent="0.35">
      <c r="A742" s="67"/>
      <c r="B742" s="67"/>
      <c r="C742" s="37"/>
      <c r="D742" s="67"/>
      <c r="E742" s="67"/>
      <c r="F742" s="37"/>
      <c r="G742" s="37"/>
      <c r="H742" s="37"/>
      <c r="I742" s="67"/>
      <c r="J742" s="67"/>
    </row>
    <row r="743" spans="1:10" s="3" customFormat="1" x14ac:dyDescent="0.35">
      <c r="A743" s="67"/>
      <c r="B743" s="67"/>
      <c r="C743" s="37"/>
      <c r="D743" s="67"/>
      <c r="E743" s="67"/>
      <c r="F743" s="37"/>
      <c r="G743" s="37"/>
      <c r="H743" s="37"/>
      <c r="I743" s="67"/>
      <c r="J743" s="67"/>
    </row>
    <row r="744" spans="1:10" s="3" customFormat="1" x14ac:dyDescent="0.35">
      <c r="A744" s="67"/>
      <c r="B744" s="67"/>
      <c r="C744" s="37"/>
      <c r="D744" s="67"/>
      <c r="E744" s="67"/>
      <c r="F744" s="37"/>
      <c r="G744" s="37"/>
      <c r="H744" s="37"/>
      <c r="I744" s="67"/>
      <c r="J744" s="67"/>
    </row>
    <row r="745" spans="1:10" s="3" customFormat="1" x14ac:dyDescent="0.35">
      <c r="A745" s="67"/>
      <c r="B745" s="67"/>
      <c r="C745" s="37"/>
      <c r="D745" s="67"/>
      <c r="E745" s="67"/>
      <c r="F745" s="37"/>
      <c r="G745" s="37"/>
      <c r="H745" s="37"/>
      <c r="I745" s="67"/>
      <c r="J745" s="67"/>
    </row>
    <row r="746" spans="1:10" s="3" customFormat="1" x14ac:dyDescent="0.35">
      <c r="A746" s="37"/>
      <c r="B746" s="37"/>
      <c r="C746" s="37"/>
      <c r="D746" s="37"/>
      <c r="E746" s="37"/>
      <c r="F746" s="37"/>
      <c r="G746" s="37"/>
      <c r="H746" s="37"/>
      <c r="I746" s="37"/>
      <c r="J746" s="37"/>
    </row>
    <row r="747" spans="1:10" s="3" customFormat="1" x14ac:dyDescent="0.35">
      <c r="A747" s="37"/>
      <c r="B747" s="37"/>
      <c r="C747" s="37"/>
      <c r="D747" s="37"/>
      <c r="E747" s="37"/>
      <c r="F747" s="37"/>
      <c r="G747" s="37"/>
      <c r="H747" s="37"/>
      <c r="I747" s="37"/>
      <c r="J747" s="37"/>
    </row>
    <row r="748" spans="1:10" s="3" customFormat="1" x14ac:dyDescent="0.35">
      <c r="A748" s="37"/>
      <c r="B748" s="37"/>
      <c r="C748" s="37"/>
      <c r="D748" s="37"/>
      <c r="E748" s="37"/>
      <c r="F748" s="37"/>
      <c r="G748" s="37"/>
      <c r="H748" s="37"/>
      <c r="I748" s="37"/>
      <c r="J748" s="37"/>
    </row>
    <row r="749" spans="1:10" s="3" customFormat="1" x14ac:dyDescent="0.35">
      <c r="A749" s="37"/>
      <c r="B749" s="37"/>
      <c r="C749" s="37"/>
      <c r="D749" s="37"/>
      <c r="E749" s="37"/>
      <c r="F749" s="37"/>
      <c r="G749" s="37"/>
      <c r="H749" s="37"/>
      <c r="I749" s="37"/>
      <c r="J749" s="37"/>
    </row>
    <row r="750" spans="1:10" s="3" customFormat="1" x14ac:dyDescent="0.35">
      <c r="A750" s="37"/>
      <c r="B750" s="37"/>
      <c r="C750" s="37"/>
      <c r="D750" s="37"/>
      <c r="E750" s="37"/>
      <c r="F750" s="37"/>
      <c r="G750" s="37"/>
      <c r="H750" s="37"/>
      <c r="I750" s="37"/>
      <c r="J750" s="37"/>
    </row>
    <row r="751" spans="1:10" s="3" customFormat="1" x14ac:dyDescent="0.35">
      <c r="A751" s="37"/>
      <c r="B751" s="37"/>
      <c r="C751" s="37"/>
      <c r="D751" s="37"/>
      <c r="E751" s="37"/>
      <c r="F751" s="37"/>
      <c r="G751" s="37"/>
      <c r="H751" s="37"/>
      <c r="I751" s="37"/>
      <c r="J751" s="37"/>
    </row>
    <row r="752" spans="1:10" s="3" customFormat="1" x14ac:dyDescent="0.35">
      <c r="A752" s="37"/>
      <c r="B752" s="37"/>
      <c r="C752" s="37"/>
      <c r="D752" s="37"/>
      <c r="E752" s="37"/>
      <c r="F752" s="37"/>
      <c r="G752" s="37"/>
      <c r="H752" s="37"/>
      <c r="I752" s="37"/>
      <c r="J752" s="37"/>
    </row>
    <row r="753" spans="1:10" s="3" customFormat="1" x14ac:dyDescent="0.35">
      <c r="A753" s="37"/>
      <c r="B753" s="37"/>
      <c r="C753" s="37"/>
      <c r="D753"/>
      <c r="E753" s="37"/>
      <c r="F753" s="37"/>
      <c r="G753" s="37"/>
      <c r="H753" s="37"/>
      <c r="I753" s="37"/>
      <c r="J753" s="37"/>
    </row>
    <row r="754" spans="1:10" s="3" customFormat="1" x14ac:dyDescent="0.35">
      <c r="A754" s="37"/>
      <c r="B754" s="37"/>
      <c r="C754" s="37"/>
      <c r="D754" s="37"/>
      <c r="E754" s="37"/>
      <c r="F754" s="37"/>
      <c r="G754" s="37"/>
      <c r="H754" s="37"/>
      <c r="I754" s="37"/>
      <c r="J754" s="37"/>
    </row>
    <row r="755" spans="1:10" s="3" customFormat="1" x14ac:dyDescent="0.35">
      <c r="A755" s="37"/>
      <c r="B755" s="37"/>
      <c r="C755" s="37"/>
      <c r="D755"/>
      <c r="E755" s="37"/>
      <c r="F755" s="37"/>
      <c r="G755" s="37"/>
      <c r="H755" s="37"/>
      <c r="I755" s="37"/>
      <c r="J755" s="37"/>
    </row>
    <row r="756" spans="1:10" s="3" customFormat="1" x14ac:dyDescent="0.35">
      <c r="A756" s="37"/>
      <c r="B756" s="37"/>
      <c r="C756" s="37"/>
      <c r="D756" s="37"/>
      <c r="E756" s="37"/>
      <c r="F756" s="37"/>
      <c r="G756" s="37"/>
      <c r="H756" s="37"/>
      <c r="I756" s="37"/>
      <c r="J756" s="37"/>
    </row>
    <row r="757" spans="1:10" s="3" customFormat="1" x14ac:dyDescent="0.35">
      <c r="A757" s="37"/>
      <c r="B757" s="37"/>
      <c r="C757" s="37"/>
      <c r="D757" s="37"/>
      <c r="E757" s="37"/>
      <c r="F757" s="37"/>
      <c r="G757" s="37"/>
      <c r="H757" s="37"/>
      <c r="I757" s="37"/>
      <c r="J757" s="37"/>
    </row>
    <row r="758" spans="1:10" x14ac:dyDescent="0.35">
      <c r="G758" s="17"/>
      <c r="H758" s="17"/>
      <c r="I758" s="17"/>
      <c r="J758" s="17"/>
    </row>
    <row r="759" spans="1:10" s="3" customFormat="1" x14ac:dyDescent="0.35">
      <c r="A759" s="67"/>
      <c r="B759" s="67"/>
      <c r="C759" s="37"/>
      <c r="D759" s="67"/>
      <c r="E759" s="67"/>
      <c r="F759"/>
      <c r="G759" s="37"/>
      <c r="H759" s="37"/>
      <c r="I759" s="67"/>
      <c r="J759" s="67"/>
    </row>
    <row r="760" spans="1:10" s="3" customFormat="1" x14ac:dyDescent="0.35">
      <c r="A760" s="67"/>
      <c r="B760" s="67"/>
      <c r="C760" s="37"/>
      <c r="D760" s="67"/>
      <c r="E760" s="67"/>
      <c r="F760" s="37"/>
      <c r="G760" s="37"/>
      <c r="H760" s="37"/>
      <c r="I760" s="67"/>
      <c r="J760" s="67"/>
    </row>
    <row r="761" spans="1:10" s="3" customFormat="1" x14ac:dyDescent="0.35">
      <c r="A761" s="67"/>
      <c r="B761" s="67"/>
      <c r="C761" s="37"/>
      <c r="D761" s="67"/>
      <c r="E761" s="67"/>
      <c r="F761" s="37"/>
      <c r="G761" s="37"/>
      <c r="H761" s="37"/>
      <c r="I761" s="67"/>
      <c r="J761" s="67"/>
    </row>
    <row r="762" spans="1:10" s="3" customFormat="1" x14ac:dyDescent="0.35">
      <c r="A762" s="67"/>
      <c r="B762" s="67"/>
      <c r="C762" s="37"/>
      <c r="D762" s="67"/>
      <c r="E762" s="67"/>
      <c r="F762" s="37"/>
      <c r="G762" s="37"/>
      <c r="H762" s="37"/>
      <c r="I762" s="67"/>
      <c r="J762" s="67"/>
    </row>
    <row r="763" spans="1:10" s="3" customFormat="1" x14ac:dyDescent="0.35">
      <c r="A763" s="67"/>
      <c r="B763" s="67"/>
      <c r="C763" s="37"/>
      <c r="D763" s="67"/>
      <c r="E763" s="67"/>
      <c r="F763" s="37"/>
      <c r="G763" s="37"/>
      <c r="H763" s="37"/>
      <c r="I763" s="67"/>
      <c r="J763" s="67"/>
    </row>
    <row r="764" spans="1:10" s="3" customFormat="1" x14ac:dyDescent="0.35">
      <c r="A764" s="37"/>
      <c r="B764" s="37"/>
      <c r="C764" s="37"/>
      <c r="D764" s="37"/>
      <c r="E764" s="37"/>
      <c r="F764" s="37"/>
      <c r="G764" s="37"/>
      <c r="H764" s="37"/>
      <c r="I764" s="37"/>
      <c r="J764" s="37"/>
    </row>
    <row r="765" spans="1:10" s="3" customFormat="1" x14ac:dyDescent="0.35">
      <c r="A765" s="37"/>
      <c r="B765" s="37"/>
      <c r="C765" s="37"/>
      <c r="D765" s="37"/>
      <c r="E765" s="37"/>
      <c r="F765" s="37"/>
      <c r="G765" s="37"/>
      <c r="H765" s="37"/>
      <c r="I765" s="37"/>
      <c r="J765" s="37"/>
    </row>
    <row r="766" spans="1:10" s="3" customFormat="1" x14ac:dyDescent="0.35">
      <c r="A766" s="37"/>
      <c r="B766" s="37"/>
      <c r="C766" s="37"/>
      <c r="D766" s="37"/>
      <c r="E766" s="37"/>
      <c r="F766" s="37"/>
      <c r="G766" s="37"/>
      <c r="H766" s="37"/>
      <c r="I766" s="37"/>
      <c r="J766" s="37"/>
    </row>
    <row r="767" spans="1:10" s="3" customFormat="1" x14ac:dyDescent="0.35">
      <c r="A767" s="37"/>
      <c r="B767" s="37"/>
      <c r="C767" s="37"/>
      <c r="D767" s="37"/>
      <c r="E767" s="37"/>
      <c r="F767" s="37"/>
      <c r="G767" s="37"/>
      <c r="H767" s="37"/>
      <c r="I767" s="37"/>
      <c r="J767" s="37"/>
    </row>
    <row r="768" spans="1:10" s="3" customFormat="1" x14ac:dyDescent="0.35">
      <c r="A768" s="37"/>
      <c r="B768" s="37"/>
      <c r="C768" s="37"/>
      <c r="D768" s="37"/>
      <c r="E768" s="37"/>
      <c r="F768" s="37"/>
      <c r="G768" s="37"/>
      <c r="H768" s="37"/>
      <c r="I768" s="37"/>
      <c r="J768" s="37"/>
    </row>
    <row r="769" spans="1:10" s="3" customFormat="1" x14ac:dyDescent="0.35">
      <c r="A769" s="37"/>
      <c r="B769" s="37"/>
      <c r="C769" s="37"/>
      <c r="D769" s="37"/>
      <c r="E769" s="37"/>
      <c r="F769" s="37"/>
      <c r="G769" s="37"/>
      <c r="H769" s="37"/>
      <c r="I769" s="37"/>
      <c r="J769" s="37"/>
    </row>
    <row r="770" spans="1:10" s="3" customFormat="1" x14ac:dyDescent="0.35">
      <c r="A770" s="37"/>
      <c r="B770" s="37"/>
      <c r="C770" s="37"/>
      <c r="D770" s="37"/>
      <c r="E770" s="37"/>
      <c r="F770" s="37"/>
      <c r="G770" s="37"/>
      <c r="H770" s="37"/>
      <c r="I770" s="37"/>
      <c r="J770" s="37"/>
    </row>
    <row r="771" spans="1:10" s="3" customFormat="1" x14ac:dyDescent="0.35">
      <c r="A771" s="37"/>
      <c r="B771" s="37"/>
      <c r="C771" s="37"/>
      <c r="D771" s="37"/>
      <c r="E771" s="37"/>
      <c r="F771" s="37"/>
      <c r="G771" s="37"/>
      <c r="H771" s="37"/>
      <c r="I771" s="37"/>
      <c r="J771" s="37"/>
    </row>
    <row r="772" spans="1:10" s="3" customFormat="1" x14ac:dyDescent="0.35">
      <c r="A772" s="37"/>
      <c r="B772" s="37"/>
      <c r="C772" s="37"/>
      <c r="D772" s="37"/>
      <c r="E772" s="37"/>
      <c r="F772" s="37"/>
      <c r="G772" s="37"/>
      <c r="H772" s="37"/>
      <c r="I772" s="37"/>
      <c r="J772" s="37"/>
    </row>
    <row r="773" spans="1:10" s="3" customFormat="1" x14ac:dyDescent="0.35">
      <c r="A773" s="37"/>
      <c r="B773" s="37"/>
      <c r="C773" s="37"/>
      <c r="D773" s="37"/>
      <c r="E773" s="37"/>
      <c r="F773" s="37"/>
      <c r="G773" s="37"/>
      <c r="H773" s="37"/>
      <c r="I773" s="37"/>
      <c r="J773" s="37"/>
    </row>
    <row r="774" spans="1:10" s="3" customFormat="1" x14ac:dyDescent="0.35">
      <c r="A774" s="37"/>
      <c r="B774" s="37"/>
      <c r="C774" s="37"/>
      <c r="D774" s="37"/>
      <c r="E774" s="37"/>
      <c r="F774" s="37"/>
      <c r="G774" s="37"/>
      <c r="H774" s="37"/>
      <c r="I774" s="37"/>
      <c r="J774" s="37"/>
    </row>
    <row r="775" spans="1:10" s="3" customFormat="1" x14ac:dyDescent="0.35">
      <c r="A775" s="67"/>
      <c r="B775" s="67"/>
      <c r="C775" s="37"/>
      <c r="D775" s="67"/>
      <c r="E775" s="67"/>
      <c r="F775" s="37"/>
      <c r="G775" s="37"/>
      <c r="H775" s="37"/>
      <c r="I775" s="67"/>
      <c r="J775" s="67"/>
    </row>
    <row r="776" spans="1:10" s="3" customFormat="1" x14ac:dyDescent="0.35">
      <c r="A776" s="67"/>
      <c r="B776" s="67"/>
      <c r="C776" s="37"/>
      <c r="D776" s="67"/>
      <c r="E776" s="67"/>
      <c r="F776" s="37"/>
      <c r="G776" s="37"/>
      <c r="H776" s="37"/>
      <c r="I776" s="67"/>
      <c r="J776" s="67"/>
    </row>
    <row r="777" spans="1:10" s="3" customFormat="1" x14ac:dyDescent="0.35">
      <c r="A777" s="67"/>
      <c r="B777" s="67"/>
      <c r="C777" s="37"/>
      <c r="D777" s="67"/>
      <c r="E777" s="67"/>
      <c r="F777" s="37"/>
      <c r="G777" s="37"/>
      <c r="H777" s="37"/>
      <c r="I777" s="67"/>
      <c r="J777" s="67"/>
    </row>
    <row r="778" spans="1:10" s="3" customFormat="1" x14ac:dyDescent="0.35">
      <c r="A778" s="67"/>
      <c r="B778" s="67"/>
      <c r="C778" s="37"/>
      <c r="D778" s="67"/>
      <c r="E778" s="67"/>
      <c r="F778" s="37"/>
      <c r="G778" s="37"/>
      <c r="H778" s="37"/>
      <c r="I778" s="67"/>
      <c r="J778" s="67"/>
    </row>
    <row r="779" spans="1:10" s="3" customFormat="1" x14ac:dyDescent="0.35">
      <c r="A779" s="67"/>
      <c r="B779" s="67"/>
      <c r="C779" s="37"/>
      <c r="D779" s="67"/>
      <c r="E779" s="67"/>
      <c r="F779" s="37"/>
      <c r="G779" s="37"/>
      <c r="H779" s="37"/>
      <c r="I779" s="67"/>
      <c r="J779" s="67"/>
    </row>
    <row r="780" spans="1:10" s="3" customFormat="1" x14ac:dyDescent="0.35">
      <c r="A780" s="16"/>
      <c r="B780" s="17"/>
      <c r="C780" s="17"/>
      <c r="D780" s="16"/>
      <c r="E780" s="12"/>
      <c r="F780" s="12"/>
      <c r="G780" s="37"/>
      <c r="H780" s="37"/>
      <c r="I780" s="67"/>
      <c r="J780" s="67"/>
    </row>
    <row r="781" spans="1:10" s="3" customFormat="1" x14ac:dyDescent="0.35">
      <c r="A781" s="67"/>
      <c r="B781" s="67"/>
      <c r="C781" s="37"/>
      <c r="D781" s="67"/>
      <c r="E781" s="67"/>
      <c r="F781" s="37"/>
      <c r="G781" s="37"/>
      <c r="H781" s="37"/>
      <c r="I781" s="67"/>
      <c r="J781" s="67"/>
    </row>
    <row r="782" spans="1:10" s="3" customFormat="1" x14ac:dyDescent="0.35">
      <c r="A782" s="67"/>
      <c r="B782" s="67"/>
      <c r="C782" s="37"/>
      <c r="D782" s="67"/>
      <c r="E782" s="67"/>
      <c r="F782" s="37"/>
      <c r="G782" s="37"/>
      <c r="H782" s="37"/>
      <c r="I782" s="67"/>
      <c r="J782" s="67"/>
    </row>
    <row r="783" spans="1:10" s="3" customFormat="1" x14ac:dyDescent="0.35">
      <c r="A783" s="67"/>
      <c r="B783" s="67"/>
      <c r="C783" s="37"/>
      <c r="D783" s="67"/>
      <c r="E783" s="67"/>
      <c r="F783" s="37"/>
      <c r="G783" s="37"/>
      <c r="H783" s="37"/>
      <c r="I783" s="67"/>
      <c r="J783" s="67"/>
    </row>
    <row r="784" spans="1:10" s="3" customFormat="1" x14ac:dyDescent="0.35">
      <c r="A784" s="71" t="s">
        <v>322</v>
      </c>
      <c r="B784" s="71"/>
      <c r="C784" s="37"/>
      <c r="D784" s="67"/>
      <c r="E784" s="67"/>
      <c r="F784" s="37"/>
      <c r="G784" s="37"/>
      <c r="H784" s="37"/>
      <c r="I784" s="67"/>
      <c r="J784" s="67"/>
    </row>
    <row r="785" spans="1:10" s="3" customFormat="1" x14ac:dyDescent="0.35">
      <c r="A785" s="67"/>
      <c r="B785" s="67"/>
      <c r="C785" s="37"/>
      <c r="D785" s="67"/>
      <c r="E785" s="67"/>
      <c r="F785" s="37"/>
      <c r="G785" s="37"/>
      <c r="H785" s="37"/>
      <c r="I785" s="67"/>
      <c r="J785" s="67"/>
    </row>
    <row r="786" spans="1:10" s="3" customFormat="1" x14ac:dyDescent="0.35">
      <c r="A786" s="67"/>
      <c r="B786" s="67"/>
      <c r="C786" s="37"/>
      <c r="D786" s="67"/>
      <c r="E786" s="67"/>
      <c r="F786" s="37"/>
      <c r="G786" s="37"/>
      <c r="H786" s="37"/>
      <c r="I786" s="67"/>
      <c r="J786" s="67"/>
    </row>
    <row r="787" spans="1:10" s="3" customFormat="1" x14ac:dyDescent="0.35">
      <c r="A787" s="37"/>
      <c r="B787" s="37"/>
      <c r="C787" s="37"/>
      <c r="D787" s="37"/>
      <c r="E787" s="37"/>
      <c r="F787" s="37"/>
      <c r="G787" s="37"/>
      <c r="H787" s="37"/>
      <c r="I787" s="37"/>
      <c r="J787" s="37"/>
    </row>
    <row r="788" spans="1:10" s="3" customFormat="1" x14ac:dyDescent="0.35">
      <c r="A788" s="37"/>
      <c r="B788" s="37"/>
      <c r="C788" s="37"/>
      <c r="D788" s="37"/>
      <c r="E788" s="37"/>
      <c r="F788" s="37"/>
      <c r="G788" s="37"/>
      <c r="H788" s="37"/>
      <c r="I788" s="37"/>
      <c r="J788" s="37"/>
    </row>
    <row r="789" spans="1:10" s="3" customFormat="1" x14ac:dyDescent="0.35">
      <c r="A789" s="37"/>
      <c r="B789" s="37"/>
      <c r="C789" s="37"/>
      <c r="D789" s="37"/>
      <c r="E789" s="37"/>
      <c r="F789" s="37"/>
      <c r="G789" s="37"/>
      <c r="H789" s="37"/>
      <c r="I789" s="37"/>
      <c r="J789" s="37"/>
    </row>
    <row r="790" spans="1:10" s="3" customFormat="1" x14ac:dyDescent="0.35">
      <c r="A790" s="37"/>
      <c r="B790" s="37"/>
      <c r="C790" s="37"/>
      <c r="D790" s="37"/>
      <c r="E790" s="37"/>
      <c r="F790" s="37"/>
      <c r="G790" s="37"/>
      <c r="H790" s="37"/>
      <c r="I790" s="37"/>
      <c r="J790" s="37"/>
    </row>
    <row r="791" spans="1:10" s="3" customFormat="1" x14ac:dyDescent="0.35">
      <c r="A791" s="37"/>
      <c r="B791" s="37"/>
      <c r="C791" s="37"/>
      <c r="D791" s="37"/>
      <c r="E791" s="37"/>
      <c r="F791" s="37"/>
      <c r="G791" s="37"/>
      <c r="H791" s="37"/>
      <c r="I791" s="37"/>
      <c r="J791" s="37"/>
    </row>
    <row r="792" spans="1:10" s="3" customFormat="1" x14ac:dyDescent="0.35">
      <c r="A792" s="37"/>
      <c r="B792" s="37"/>
      <c r="C792" s="37"/>
      <c r="D792" s="37"/>
      <c r="E792" s="37"/>
      <c r="F792" s="37"/>
      <c r="G792" s="37"/>
      <c r="H792" s="37"/>
      <c r="I792" s="37"/>
      <c r="J792" s="37"/>
    </row>
    <row r="793" spans="1:10" s="3" customFormat="1" x14ac:dyDescent="0.35">
      <c r="A793" s="37"/>
      <c r="B793" s="37"/>
      <c r="C793" s="37"/>
      <c r="D793" s="37"/>
      <c r="E793" s="37"/>
      <c r="F793" s="37"/>
      <c r="G793" s="37"/>
      <c r="H793" s="37"/>
      <c r="I793" s="37"/>
      <c r="J793" s="37"/>
    </row>
    <row r="794" spans="1:10" s="3" customFormat="1" x14ac:dyDescent="0.35">
      <c r="A794" s="37"/>
      <c r="B794" s="37"/>
      <c r="C794" s="37"/>
      <c r="D794"/>
      <c r="E794" s="37"/>
      <c r="F794" s="37"/>
      <c r="G794" s="37"/>
      <c r="H794" s="37"/>
      <c r="I794" s="37"/>
      <c r="J794" s="37"/>
    </row>
    <row r="795" spans="1:10" s="3" customFormat="1" x14ac:dyDescent="0.35">
      <c r="A795" s="37"/>
      <c r="B795" s="37"/>
      <c r="C795" s="37"/>
      <c r="D795" s="37"/>
      <c r="E795" s="37"/>
      <c r="F795" s="37"/>
      <c r="G795" s="37"/>
      <c r="H795" s="37"/>
      <c r="I795" s="37"/>
      <c r="J795" s="37"/>
    </row>
    <row r="796" spans="1:10" s="3" customFormat="1" x14ac:dyDescent="0.35">
      <c r="A796" s="37"/>
      <c r="B796" s="37"/>
      <c r="C796" s="37"/>
      <c r="D796"/>
      <c r="E796" s="37"/>
      <c r="F796" s="37"/>
      <c r="G796" s="37"/>
      <c r="H796" s="37"/>
      <c r="I796" s="37"/>
      <c r="J796" s="37"/>
    </row>
    <row r="797" spans="1:10" s="3" customFormat="1" x14ac:dyDescent="0.35">
      <c r="A797" s="37"/>
      <c r="B797" s="37"/>
      <c r="C797" s="37"/>
      <c r="D797" s="37"/>
      <c r="E797" s="37"/>
      <c r="F797" s="37"/>
      <c r="G797" s="37"/>
      <c r="H797" s="37"/>
      <c r="I797" s="37"/>
      <c r="J797" s="37"/>
    </row>
    <row r="798" spans="1:10" s="3" customFormat="1" x14ac:dyDescent="0.35">
      <c r="A798" s="37"/>
      <c r="B798" s="37"/>
      <c r="C798" s="37"/>
      <c r="D798" s="37"/>
      <c r="E798" s="37"/>
      <c r="F798" s="37"/>
      <c r="G798" s="37"/>
      <c r="H798" s="37"/>
      <c r="I798" s="37"/>
      <c r="J798" s="37"/>
    </row>
    <row r="799" spans="1:10" x14ac:dyDescent="0.35">
      <c r="G799" s="17"/>
      <c r="H799" s="17"/>
      <c r="I799" s="17"/>
      <c r="J799" s="17"/>
    </row>
    <row r="800" spans="1:10" s="3" customFormat="1" x14ac:dyDescent="0.35">
      <c r="A800" s="67"/>
      <c r="B800" s="67"/>
      <c r="C800" s="37"/>
      <c r="D800" s="67"/>
      <c r="E800" s="67"/>
      <c r="F800"/>
      <c r="G800" s="37"/>
      <c r="H800" s="37"/>
      <c r="I800" s="67"/>
      <c r="J800" s="67"/>
    </row>
    <row r="801" spans="1:10" s="3" customFormat="1" x14ac:dyDescent="0.35">
      <c r="A801" s="67"/>
      <c r="B801" s="67"/>
      <c r="C801" s="37"/>
      <c r="D801" s="67"/>
      <c r="E801" s="67"/>
      <c r="F801" s="37"/>
      <c r="G801" s="37"/>
      <c r="H801" s="37"/>
      <c r="I801" s="67"/>
      <c r="J801" s="67"/>
    </row>
    <row r="802" spans="1:10" s="3" customFormat="1" x14ac:dyDescent="0.35">
      <c r="A802" s="67"/>
      <c r="B802" s="67"/>
      <c r="C802" s="37"/>
      <c r="D802" s="67"/>
      <c r="E802" s="67"/>
      <c r="F802" s="37"/>
      <c r="G802" s="37"/>
      <c r="H802" s="37"/>
      <c r="I802" s="67"/>
      <c r="J802" s="67"/>
    </row>
    <row r="803" spans="1:10" s="3" customFormat="1" x14ac:dyDescent="0.35">
      <c r="A803" s="67"/>
      <c r="B803" s="67"/>
      <c r="C803" s="37"/>
      <c r="D803" s="67"/>
      <c r="E803" s="67"/>
      <c r="F803" s="37"/>
      <c r="G803" s="37"/>
      <c r="H803" s="37"/>
      <c r="I803" s="67"/>
      <c r="J803" s="67"/>
    </row>
    <row r="804" spans="1:10" s="3" customFormat="1" x14ac:dyDescent="0.35">
      <c r="A804" s="67"/>
      <c r="B804" s="67"/>
      <c r="C804" s="37"/>
      <c r="D804" s="67"/>
      <c r="E804" s="67"/>
      <c r="F804" s="37"/>
      <c r="G804" s="37"/>
      <c r="H804" s="37"/>
      <c r="I804" s="67"/>
      <c r="J804" s="67"/>
    </row>
    <row r="805" spans="1:10" s="3" customFormat="1" x14ac:dyDescent="0.35">
      <c r="A805" s="37"/>
      <c r="B805" s="37"/>
      <c r="C805" s="37"/>
      <c r="D805" s="37"/>
      <c r="E805" s="37"/>
      <c r="F805" s="37"/>
      <c r="G805" s="37"/>
      <c r="H805" s="37"/>
      <c r="I805" s="37"/>
      <c r="J805" s="37"/>
    </row>
    <row r="806" spans="1:10" s="3" customFormat="1" x14ac:dyDescent="0.35">
      <c r="A806" s="37"/>
      <c r="B806" s="37"/>
      <c r="C806" s="37"/>
      <c r="D806" s="37"/>
      <c r="E806" s="37"/>
      <c r="F806" s="37"/>
      <c r="G806" s="37"/>
      <c r="H806" s="37"/>
      <c r="I806" s="37"/>
      <c r="J806" s="37"/>
    </row>
    <row r="807" spans="1:10" s="3" customFormat="1" x14ac:dyDescent="0.35">
      <c r="A807" s="37"/>
      <c r="B807" s="37"/>
      <c r="C807" s="37"/>
      <c r="D807" s="37"/>
      <c r="E807" s="37"/>
      <c r="F807" s="37"/>
      <c r="G807" s="37"/>
      <c r="H807" s="37"/>
      <c r="I807" s="37"/>
      <c r="J807" s="37"/>
    </row>
    <row r="808" spans="1:10" s="3" customFormat="1" x14ac:dyDescent="0.35">
      <c r="A808" s="37"/>
      <c r="B808" s="37"/>
      <c r="C808" s="37"/>
      <c r="D808" s="37"/>
      <c r="E808" s="37"/>
      <c r="F808" s="37"/>
      <c r="G808" s="37"/>
      <c r="H808" s="37"/>
      <c r="I808" s="37"/>
      <c r="J808" s="37"/>
    </row>
    <row r="809" spans="1:10" s="3" customFormat="1" x14ac:dyDescent="0.35">
      <c r="A809" s="37"/>
      <c r="B809" s="37"/>
      <c r="C809" s="37"/>
      <c r="D809" s="37"/>
      <c r="E809" s="37"/>
      <c r="F809" s="37"/>
      <c r="G809" s="37"/>
      <c r="H809" s="37"/>
      <c r="I809" s="37"/>
      <c r="J809" s="37"/>
    </row>
    <row r="810" spans="1:10" s="3" customFormat="1" x14ac:dyDescent="0.35">
      <c r="A810" s="37"/>
      <c r="B810" s="37"/>
      <c r="C810" s="37"/>
      <c r="D810" s="37"/>
      <c r="E810" s="37"/>
      <c r="F810" s="37"/>
      <c r="G810" s="37"/>
      <c r="H810" s="37"/>
      <c r="I810" s="37"/>
      <c r="J810" s="37"/>
    </row>
    <row r="811" spans="1:10" s="3" customFormat="1" x14ac:dyDescent="0.35">
      <c r="A811" s="37"/>
      <c r="B811" s="37"/>
      <c r="C811" s="37"/>
      <c r="D811" s="37"/>
      <c r="E811" s="37"/>
      <c r="F811" s="37"/>
      <c r="G811" s="37"/>
      <c r="H811" s="37"/>
      <c r="I811" s="37"/>
      <c r="J811" s="37"/>
    </row>
    <row r="812" spans="1:10" s="3" customFormat="1" x14ac:dyDescent="0.35">
      <c r="A812" s="37"/>
      <c r="B812" s="37"/>
      <c r="C812" s="37"/>
      <c r="D812" s="37"/>
      <c r="E812" s="37"/>
      <c r="F812" s="37"/>
      <c r="G812" s="37"/>
      <c r="H812" s="37"/>
      <c r="I812" s="37"/>
      <c r="J812" s="37"/>
    </row>
    <row r="813" spans="1:10" s="3" customFormat="1" x14ac:dyDescent="0.35">
      <c r="A813" s="37"/>
      <c r="B813" s="37"/>
      <c r="C813" s="37"/>
      <c r="D813" s="37"/>
      <c r="E813" s="37"/>
      <c r="F813" s="37"/>
      <c r="G813" s="37"/>
      <c r="H813" s="37"/>
      <c r="I813" s="37"/>
      <c r="J813" s="37"/>
    </row>
    <row r="814" spans="1:10" s="3" customFormat="1" x14ac:dyDescent="0.35">
      <c r="A814" s="37"/>
      <c r="B814" s="37"/>
      <c r="C814" s="37"/>
      <c r="D814" s="37"/>
      <c r="E814" s="37"/>
      <c r="F814" s="37"/>
      <c r="G814" s="37"/>
      <c r="H814" s="37"/>
      <c r="I814" s="37"/>
      <c r="J814" s="37"/>
    </row>
    <row r="815" spans="1:10" s="3" customFormat="1" x14ac:dyDescent="0.35">
      <c r="A815" s="37"/>
      <c r="B815" s="37"/>
      <c r="C815" s="37"/>
      <c r="D815" s="37"/>
      <c r="E815" s="37"/>
      <c r="F815" s="37"/>
      <c r="G815" s="37"/>
      <c r="H815" s="37"/>
      <c r="I815" s="37"/>
      <c r="J815" s="37"/>
    </row>
    <row r="816" spans="1:10" s="3" customFormat="1" x14ac:dyDescent="0.35">
      <c r="A816" s="67"/>
      <c r="B816" s="67"/>
      <c r="C816" s="37"/>
      <c r="D816" s="67"/>
      <c r="E816" s="67"/>
      <c r="F816" s="37"/>
      <c r="G816" s="37"/>
      <c r="H816" s="37"/>
      <c r="I816" s="67"/>
      <c r="J816" s="67"/>
    </row>
    <row r="817" spans="1:10" s="3" customFormat="1" x14ac:dyDescent="0.35">
      <c r="A817" s="67"/>
      <c r="B817" s="67"/>
      <c r="C817" s="37"/>
      <c r="D817" s="67"/>
      <c r="E817" s="67"/>
      <c r="F817" s="37"/>
      <c r="G817" s="37"/>
      <c r="H817" s="37"/>
      <c r="I817" s="67"/>
      <c r="J817" s="67"/>
    </row>
    <row r="818" spans="1:10" s="3" customFormat="1" x14ac:dyDescent="0.35">
      <c r="A818" s="67"/>
      <c r="B818" s="67"/>
      <c r="C818" s="37"/>
      <c r="D818" s="67"/>
      <c r="E818" s="67"/>
      <c r="F818" s="37"/>
      <c r="G818" s="37"/>
      <c r="H818" s="37"/>
      <c r="I818" s="67"/>
      <c r="J818" s="67"/>
    </row>
    <row r="819" spans="1:10" s="3" customFormat="1" x14ac:dyDescent="0.35">
      <c r="A819" s="67"/>
      <c r="B819" s="67"/>
      <c r="C819" s="37"/>
      <c r="D819" s="67"/>
      <c r="E819" s="67"/>
      <c r="F819" s="37"/>
      <c r="G819" s="37"/>
      <c r="H819" s="37"/>
      <c r="I819" s="67"/>
      <c r="J819" s="67"/>
    </row>
    <row r="820" spans="1:10" s="3" customFormat="1" x14ac:dyDescent="0.35">
      <c r="A820" s="67"/>
      <c r="B820" s="67"/>
      <c r="C820" s="37"/>
      <c r="D820" s="67"/>
      <c r="E820" s="67"/>
      <c r="F820" s="37"/>
      <c r="G820" s="37"/>
      <c r="H820" s="37"/>
      <c r="I820" s="67"/>
      <c r="J820" s="67"/>
    </row>
    <row r="821" spans="1:10" s="3" customFormat="1" x14ac:dyDescent="0.35">
      <c r="A821" s="71" t="s">
        <v>397</v>
      </c>
      <c r="B821" s="71"/>
      <c r="C821" s="37"/>
      <c r="D821" s="67"/>
      <c r="E821" s="67"/>
      <c r="F821" s="37"/>
      <c r="G821" s="37"/>
      <c r="H821" s="37"/>
      <c r="I821" s="67"/>
      <c r="J821" s="67"/>
    </row>
    <row r="822" spans="1:10" s="3" customFormat="1" x14ac:dyDescent="0.35">
      <c r="A822" s="67"/>
      <c r="B822" s="67"/>
      <c r="C822" s="37"/>
      <c r="D822" s="67"/>
      <c r="E822" s="67"/>
      <c r="F822" s="37"/>
      <c r="G822" s="37"/>
      <c r="H822" s="37"/>
      <c r="I822" s="67"/>
      <c r="J822" s="67"/>
    </row>
    <row r="823" spans="1:10" s="3" customFormat="1" x14ac:dyDescent="0.35">
      <c r="A823" s="67"/>
      <c r="B823" s="67"/>
      <c r="C823" s="37"/>
      <c r="D823" s="67"/>
      <c r="E823" s="67"/>
      <c r="F823" s="37"/>
      <c r="G823" s="37"/>
      <c r="H823" s="37"/>
      <c r="I823" s="67"/>
      <c r="J823" s="67"/>
    </row>
    <row r="824" spans="1:10" s="3" customFormat="1" x14ac:dyDescent="0.35">
      <c r="A824" s="37"/>
      <c r="B824" s="37"/>
      <c r="C824" s="37"/>
      <c r="D824" s="37"/>
      <c r="E824" s="37"/>
      <c r="F824" s="37"/>
      <c r="G824" s="37"/>
      <c r="H824" s="37"/>
      <c r="I824" s="37"/>
      <c r="J824" s="37"/>
    </row>
    <row r="825" spans="1:10" s="3" customFormat="1" x14ac:dyDescent="0.35">
      <c r="A825" s="37"/>
      <c r="B825" s="37"/>
      <c r="C825" s="37"/>
      <c r="D825" s="37"/>
      <c r="E825" s="37"/>
      <c r="F825" s="37"/>
      <c r="G825" s="37"/>
      <c r="H825" s="37"/>
      <c r="I825" s="37"/>
      <c r="J825" s="37"/>
    </row>
    <row r="826" spans="1:10" s="3" customFormat="1" x14ac:dyDescent="0.35">
      <c r="A826" s="37"/>
      <c r="B826" s="37"/>
      <c r="C826" s="37"/>
      <c r="D826" s="37"/>
      <c r="E826" s="37"/>
      <c r="F826" s="37"/>
      <c r="G826" s="37"/>
      <c r="H826" s="37"/>
      <c r="I826" s="37"/>
      <c r="J826" s="37"/>
    </row>
    <row r="827" spans="1:10" s="3" customFormat="1" x14ac:dyDescent="0.35">
      <c r="A827" s="37"/>
      <c r="B827" s="37"/>
      <c r="C827" s="37"/>
      <c r="D827" s="37"/>
      <c r="E827" s="37"/>
      <c r="F827" s="37"/>
      <c r="G827" s="37"/>
      <c r="H827" s="37"/>
      <c r="I827" s="37"/>
      <c r="J827" s="37"/>
    </row>
    <row r="828" spans="1:10" s="3" customFormat="1" x14ac:dyDescent="0.35">
      <c r="A828" s="37"/>
      <c r="B828" s="37"/>
      <c r="C828" s="37"/>
      <c r="D828" s="37"/>
      <c r="E828" s="37"/>
      <c r="F828" s="37"/>
      <c r="G828" s="37"/>
      <c r="H828" s="37"/>
      <c r="I828" s="37"/>
      <c r="J828" s="37"/>
    </row>
    <row r="829" spans="1:10" s="3" customFormat="1" x14ac:dyDescent="0.35">
      <c r="A829" s="37"/>
      <c r="B829" s="37"/>
      <c r="C829" s="37"/>
      <c r="D829" s="37"/>
      <c r="E829" s="37"/>
      <c r="F829" s="37"/>
      <c r="G829" s="37"/>
      <c r="H829" s="37"/>
      <c r="I829" s="37"/>
      <c r="J829" s="37"/>
    </row>
    <row r="830" spans="1:10" s="3" customFormat="1" x14ac:dyDescent="0.35">
      <c r="A830" s="37"/>
      <c r="B830" s="37"/>
      <c r="C830" s="37"/>
      <c r="D830" s="37"/>
      <c r="E830" s="37"/>
      <c r="F830" s="37"/>
      <c r="G830" s="37"/>
      <c r="H830" s="37"/>
      <c r="I830" s="37"/>
      <c r="J830" s="37"/>
    </row>
    <row r="831" spans="1:10" s="3" customFormat="1" x14ac:dyDescent="0.35">
      <c r="A831" s="37"/>
      <c r="B831" s="37"/>
      <c r="C831" s="37"/>
      <c r="D831"/>
      <c r="E831" s="37"/>
      <c r="F831" s="37"/>
      <c r="G831" s="37"/>
      <c r="H831" s="37"/>
      <c r="I831" s="37"/>
      <c r="J831" s="37"/>
    </row>
    <row r="832" spans="1:10" s="3" customFormat="1" x14ac:dyDescent="0.35">
      <c r="A832" s="37"/>
      <c r="B832" s="37"/>
      <c r="C832" s="37"/>
      <c r="D832" s="37"/>
      <c r="E832" s="37"/>
      <c r="F832" s="37"/>
      <c r="G832" s="37"/>
      <c r="H832" s="37"/>
      <c r="I832" s="37"/>
      <c r="J832" s="37"/>
    </row>
    <row r="833" spans="1:10" s="3" customFormat="1" x14ac:dyDescent="0.35">
      <c r="A833" s="37"/>
      <c r="B833" s="37"/>
      <c r="C833" s="37"/>
      <c r="D833"/>
      <c r="E833" s="37"/>
      <c r="F833" s="37"/>
      <c r="G833" s="37"/>
      <c r="H833" s="37"/>
      <c r="I833" s="37"/>
      <c r="J833" s="37"/>
    </row>
    <row r="834" spans="1:10" s="3" customFormat="1" x14ac:dyDescent="0.35">
      <c r="A834" s="37"/>
      <c r="B834" s="37"/>
      <c r="C834" s="37"/>
      <c r="D834" s="37"/>
      <c r="E834" s="37"/>
      <c r="F834" s="37"/>
      <c r="G834" s="37"/>
      <c r="H834" s="37"/>
      <c r="I834" s="37"/>
      <c r="J834" s="37"/>
    </row>
    <row r="835" spans="1:10" s="3" customFormat="1" x14ac:dyDescent="0.35">
      <c r="A835" s="37"/>
      <c r="B835" s="37"/>
      <c r="C835" s="37"/>
      <c r="D835" s="37"/>
      <c r="E835" s="37"/>
      <c r="F835" s="37"/>
      <c r="G835" s="37"/>
      <c r="H835" s="37"/>
      <c r="I835" s="37"/>
      <c r="J835" s="37"/>
    </row>
    <row r="836" spans="1:10" x14ac:dyDescent="0.35">
      <c r="G836" s="17"/>
      <c r="H836" s="17"/>
      <c r="I836" s="17"/>
      <c r="J836" s="17"/>
    </row>
    <row r="837" spans="1:10" s="3" customFormat="1" x14ac:dyDescent="0.35">
      <c r="A837" s="67"/>
      <c r="B837" s="67"/>
      <c r="C837" s="37"/>
      <c r="D837" s="67"/>
      <c r="E837" s="67"/>
      <c r="F837"/>
      <c r="G837" s="37"/>
      <c r="H837" s="37"/>
      <c r="I837" s="67"/>
      <c r="J837" s="67"/>
    </row>
    <row r="838" spans="1:10" s="3" customFormat="1" x14ac:dyDescent="0.35">
      <c r="A838" s="67"/>
      <c r="B838" s="67"/>
      <c r="C838" s="37"/>
      <c r="D838" s="67"/>
      <c r="E838" s="67"/>
      <c r="F838" s="37"/>
      <c r="G838" s="37"/>
      <c r="H838" s="37"/>
      <c r="I838" s="67"/>
      <c r="J838" s="67"/>
    </row>
    <row r="839" spans="1:10" s="3" customFormat="1" x14ac:dyDescent="0.35">
      <c r="A839" s="67"/>
      <c r="B839" s="67"/>
      <c r="C839" s="37"/>
      <c r="D839" s="67"/>
      <c r="E839" s="67"/>
      <c r="F839" s="37"/>
      <c r="G839" s="37"/>
      <c r="H839" s="37"/>
      <c r="I839" s="67"/>
      <c r="J839" s="67"/>
    </row>
    <row r="840" spans="1:10" s="3" customFormat="1" x14ac:dyDescent="0.35">
      <c r="A840" s="67"/>
      <c r="B840" s="67"/>
      <c r="C840" s="37"/>
      <c r="D840" s="67"/>
      <c r="E840" s="67"/>
      <c r="F840" s="37"/>
      <c r="G840" s="37"/>
      <c r="H840" s="37"/>
      <c r="I840" s="67"/>
      <c r="J840" s="67"/>
    </row>
    <row r="841" spans="1:10" s="3" customFormat="1" x14ac:dyDescent="0.35">
      <c r="A841" s="67"/>
      <c r="B841" s="67"/>
      <c r="C841" s="37"/>
      <c r="D841" s="67"/>
      <c r="E841" s="67"/>
      <c r="F841" s="37"/>
      <c r="G841" s="37"/>
      <c r="H841" s="37"/>
      <c r="I841" s="67"/>
      <c r="J841" s="67"/>
    </row>
    <row r="842" spans="1:10" s="3" customFormat="1" x14ac:dyDescent="0.35">
      <c r="A842" s="37"/>
      <c r="B842" s="37"/>
      <c r="C842" s="37"/>
      <c r="D842" s="37"/>
      <c r="E842" s="37"/>
      <c r="F842" s="37"/>
      <c r="G842" s="37"/>
      <c r="H842" s="37"/>
      <c r="I842" s="37"/>
      <c r="J842" s="37"/>
    </row>
    <row r="843" spans="1:10" s="3" customFormat="1" x14ac:dyDescent="0.35">
      <c r="A843" s="37"/>
      <c r="B843" s="37"/>
      <c r="C843" s="37"/>
      <c r="D843" s="37"/>
      <c r="E843" s="37"/>
      <c r="F843" s="37"/>
      <c r="G843" s="37"/>
      <c r="H843" s="37"/>
      <c r="I843" s="37"/>
      <c r="J843" s="37"/>
    </row>
    <row r="844" spans="1:10" s="3" customFormat="1" x14ac:dyDescent="0.35">
      <c r="A844" s="37"/>
      <c r="B844" s="37"/>
      <c r="C844" s="37"/>
      <c r="D844" s="37"/>
      <c r="E844" s="37"/>
      <c r="F844" s="37"/>
      <c r="G844" s="37"/>
      <c r="H844" s="37"/>
      <c r="I844" s="37"/>
      <c r="J844" s="37"/>
    </row>
    <row r="845" spans="1:10" s="3" customFormat="1" x14ac:dyDescent="0.35">
      <c r="A845" s="37"/>
      <c r="B845" s="37"/>
      <c r="C845" s="37"/>
      <c r="D845" s="37"/>
      <c r="E845" s="37"/>
      <c r="F845" s="37"/>
      <c r="G845" s="37"/>
      <c r="H845" s="37"/>
      <c r="I845" s="37"/>
      <c r="J845" s="37"/>
    </row>
    <row r="846" spans="1:10" s="3" customFormat="1" x14ac:dyDescent="0.35">
      <c r="A846" s="37"/>
      <c r="B846" s="37"/>
      <c r="C846" s="37"/>
      <c r="D846" s="37"/>
      <c r="E846" s="37"/>
      <c r="F846" s="37"/>
      <c r="G846" s="37"/>
      <c r="H846" s="37"/>
      <c r="I846" s="37"/>
      <c r="J846" s="37"/>
    </row>
    <row r="847" spans="1:10" s="3" customFormat="1" x14ac:dyDescent="0.35">
      <c r="A847" s="37"/>
      <c r="B847" s="37"/>
      <c r="C847" s="37"/>
      <c r="D847" s="37"/>
      <c r="E847" s="37"/>
      <c r="F847" s="37"/>
      <c r="G847" s="37"/>
      <c r="H847" s="37"/>
      <c r="I847" s="37"/>
      <c r="J847" s="37"/>
    </row>
    <row r="848" spans="1:10" s="3" customFormat="1" x14ac:dyDescent="0.35">
      <c r="A848" s="37"/>
      <c r="B848" s="37"/>
      <c r="C848" s="37"/>
      <c r="D848" s="37"/>
      <c r="E848" s="37"/>
      <c r="F848" s="37"/>
      <c r="G848" s="37"/>
      <c r="H848" s="37"/>
      <c r="I848" s="37"/>
      <c r="J848" s="37"/>
    </row>
    <row r="849" spans="1:10" s="3" customFormat="1" x14ac:dyDescent="0.35">
      <c r="A849" s="37"/>
      <c r="B849" s="37"/>
      <c r="C849" s="37"/>
      <c r="D849" s="37"/>
      <c r="E849" s="37"/>
      <c r="F849" s="37"/>
      <c r="G849" s="37"/>
      <c r="H849" s="37"/>
      <c r="I849" s="37"/>
      <c r="J849" s="37"/>
    </row>
    <row r="850" spans="1:10" s="3" customFormat="1" x14ac:dyDescent="0.35">
      <c r="A850" s="37"/>
      <c r="B850" s="37"/>
      <c r="C850" s="37"/>
      <c r="D850" s="37"/>
      <c r="E850" s="37"/>
      <c r="F850" s="37"/>
      <c r="G850" s="37"/>
      <c r="H850" s="37"/>
      <c r="I850" s="37"/>
      <c r="J850" s="37"/>
    </row>
    <row r="851" spans="1:10" s="3" customFormat="1" x14ac:dyDescent="0.35">
      <c r="A851" s="37"/>
      <c r="B851" s="37"/>
      <c r="C851" s="37"/>
      <c r="D851" s="37"/>
      <c r="E851" s="37"/>
      <c r="F851" s="37"/>
      <c r="G851" s="37"/>
      <c r="H851" s="37"/>
      <c r="I851" s="37"/>
      <c r="J851" s="37"/>
    </row>
    <row r="852" spans="1:10" s="3" customFormat="1" x14ac:dyDescent="0.35">
      <c r="A852" s="37"/>
      <c r="B852" s="37"/>
      <c r="C852" s="37"/>
      <c r="D852" s="37"/>
      <c r="E852" s="37"/>
      <c r="F852" s="37"/>
      <c r="G852" s="37"/>
      <c r="H852" s="37"/>
      <c r="I852" s="37"/>
      <c r="J852" s="37"/>
    </row>
    <row r="853" spans="1:10" s="3" customFormat="1" x14ac:dyDescent="0.35">
      <c r="A853" s="67"/>
      <c r="B853" s="67"/>
      <c r="C853" s="37"/>
      <c r="D853" s="67"/>
      <c r="E853" s="67"/>
      <c r="F853" s="37"/>
      <c r="G853" s="37"/>
      <c r="H853" s="37"/>
      <c r="I853" s="67"/>
      <c r="J853" s="67"/>
    </row>
    <row r="854" spans="1:10" s="3" customFormat="1" x14ac:dyDescent="0.35">
      <c r="A854" s="67"/>
      <c r="B854" s="67"/>
      <c r="C854" s="37"/>
      <c r="D854" s="67"/>
      <c r="E854" s="67"/>
      <c r="F854" s="37"/>
      <c r="G854" s="37"/>
      <c r="H854" s="37"/>
      <c r="I854" s="67"/>
      <c r="J854" s="67"/>
    </row>
    <row r="855" spans="1:10" s="3" customFormat="1" x14ac:dyDescent="0.35">
      <c r="A855" s="37"/>
      <c r="B855" s="37"/>
      <c r="C855" s="37"/>
      <c r="D855" s="37"/>
      <c r="E855" s="37"/>
      <c r="F855" s="37"/>
      <c r="G855" s="37"/>
      <c r="H855" s="37"/>
      <c r="I855" s="37"/>
      <c r="J855" s="37"/>
    </row>
    <row r="856" spans="1:10" s="3" customFormat="1" x14ac:dyDescent="0.35">
      <c r="A856" s="37"/>
      <c r="B856" s="37"/>
      <c r="C856" s="37"/>
      <c r="D856" s="37"/>
      <c r="E856" s="37"/>
      <c r="F856" s="37"/>
      <c r="G856" s="37"/>
      <c r="H856" s="37"/>
      <c r="I856" s="37"/>
      <c r="J856" s="37"/>
    </row>
    <row r="857" spans="1:10" s="3" customFormat="1" x14ac:dyDescent="0.35">
      <c r="A857" s="37"/>
      <c r="B857" s="37"/>
      <c r="C857" s="37"/>
      <c r="D857" s="37"/>
      <c r="E857" s="37"/>
      <c r="F857" s="37"/>
      <c r="G857" s="37"/>
      <c r="H857" s="37"/>
      <c r="I857" s="37"/>
      <c r="J857" s="37"/>
    </row>
    <row r="858" spans="1:10" s="3" customFormat="1" x14ac:dyDescent="0.35">
      <c r="A858" s="37"/>
      <c r="B858" s="37"/>
      <c r="C858" s="37"/>
      <c r="D858" s="37"/>
      <c r="E858" s="37"/>
      <c r="F858" s="37"/>
      <c r="G858" s="37"/>
      <c r="H858" s="37"/>
      <c r="I858" s="37"/>
      <c r="J858" s="37"/>
    </row>
    <row r="859" spans="1:10" s="3" customFormat="1" x14ac:dyDescent="0.35">
      <c r="A859" s="37"/>
      <c r="B859" s="37"/>
      <c r="C859" s="37"/>
      <c r="D859" s="37"/>
      <c r="E859" s="37"/>
      <c r="F859" s="37"/>
      <c r="G859" s="37"/>
      <c r="H859" s="37"/>
      <c r="I859" s="37"/>
      <c r="J859" s="37"/>
    </row>
    <row r="860" spans="1:10" s="3" customFormat="1" x14ac:dyDescent="0.35">
      <c r="A860" s="67"/>
      <c r="B860" s="67"/>
      <c r="C860" s="37"/>
      <c r="D860" s="67"/>
      <c r="E860" s="67"/>
      <c r="F860" s="37"/>
      <c r="G860" s="37"/>
      <c r="H860" s="37"/>
      <c r="I860" s="67"/>
      <c r="J860" s="67"/>
    </row>
    <row r="861" spans="1:10" s="3" customFormat="1" x14ac:dyDescent="0.35">
      <c r="A861" s="67"/>
      <c r="B861" s="67"/>
      <c r="C861" s="37"/>
      <c r="D861" s="67"/>
      <c r="E861" s="67"/>
      <c r="F861" s="37"/>
      <c r="G861" s="37"/>
      <c r="H861" s="37"/>
      <c r="I861" s="67"/>
      <c r="J861" s="67"/>
    </row>
    <row r="862" spans="1:10" s="3" customFormat="1" x14ac:dyDescent="0.35">
      <c r="A862" s="67"/>
      <c r="B862" s="67"/>
      <c r="C862" s="37"/>
      <c r="D862" s="67"/>
      <c r="E862" s="67"/>
      <c r="F862" s="37"/>
      <c r="G862" s="37"/>
      <c r="H862" s="37"/>
      <c r="I862" s="67"/>
      <c r="J862" s="67"/>
    </row>
    <row r="863" spans="1:10" s="3" customFormat="1" x14ac:dyDescent="0.35">
      <c r="A863" s="67"/>
      <c r="B863" s="67"/>
      <c r="C863" s="37"/>
      <c r="D863" s="67"/>
      <c r="E863" s="67"/>
      <c r="F863" s="37"/>
      <c r="G863" s="37"/>
      <c r="H863" s="37"/>
      <c r="I863" s="67"/>
      <c r="J863" s="67"/>
    </row>
    <row r="864" spans="1:10" s="3" customFormat="1" x14ac:dyDescent="0.35">
      <c r="A864" s="67"/>
      <c r="B864" s="67"/>
      <c r="C864" s="37"/>
      <c r="D864" s="67"/>
      <c r="E864" s="67"/>
      <c r="F864" s="37"/>
      <c r="G864" s="37"/>
      <c r="H864" s="37"/>
      <c r="I864" s="67"/>
      <c r="J864" s="67"/>
    </row>
    <row r="865" spans="1:10" s="3" customFormat="1" x14ac:dyDescent="0.35">
      <c r="A865" s="18" t="s">
        <v>91</v>
      </c>
      <c r="B865" s="12"/>
      <c r="C865" s="37"/>
      <c r="D865" s="67"/>
      <c r="E865" s="67"/>
      <c r="F865" s="37"/>
      <c r="G865" s="37"/>
      <c r="H865" s="37"/>
      <c r="I865" s="67"/>
      <c r="J865" s="67"/>
    </row>
    <row r="866" spans="1:10" s="3" customFormat="1" x14ac:dyDescent="0.35">
      <c r="A866" s="67"/>
      <c r="B866" s="67"/>
      <c r="C866" s="37"/>
      <c r="D866" s="67"/>
      <c r="E866" s="67"/>
      <c r="F866" s="37"/>
      <c r="G866" s="37"/>
      <c r="H866" s="37"/>
      <c r="I866" s="67"/>
      <c r="J866" s="67"/>
    </row>
    <row r="867" spans="1:10" s="3" customFormat="1" x14ac:dyDescent="0.35">
      <c r="A867" s="67"/>
      <c r="B867" s="67"/>
      <c r="C867" s="37"/>
      <c r="D867" s="67"/>
      <c r="E867" s="67"/>
      <c r="F867" s="37"/>
      <c r="G867" s="37"/>
      <c r="H867" s="37"/>
      <c r="I867" s="67"/>
      <c r="J867" s="67"/>
    </row>
    <row r="868" spans="1:10" s="3" customFormat="1" x14ac:dyDescent="0.35">
      <c r="A868" s="67"/>
      <c r="B868" s="67"/>
      <c r="C868" s="37"/>
      <c r="D868" s="67"/>
      <c r="E868" s="67"/>
      <c r="F868" s="37"/>
      <c r="G868" s="37"/>
      <c r="H868" s="37"/>
      <c r="I868" s="67"/>
      <c r="J868" s="67"/>
    </row>
    <row r="869" spans="1:10" s="3" customFormat="1" x14ac:dyDescent="0.35">
      <c r="A869" s="67"/>
      <c r="B869" s="67"/>
      <c r="C869" s="37"/>
      <c r="D869" s="67"/>
      <c r="E869" s="67"/>
      <c r="F869" s="37"/>
      <c r="G869" s="37"/>
      <c r="H869" s="37"/>
      <c r="I869" s="67"/>
      <c r="J869" s="67"/>
    </row>
    <row r="870" spans="1:10" s="3" customFormat="1" x14ac:dyDescent="0.35">
      <c r="A870" s="67"/>
      <c r="B870" s="67"/>
      <c r="C870" s="37"/>
      <c r="D870" s="67"/>
      <c r="E870" s="67"/>
      <c r="F870" s="37"/>
      <c r="G870" s="37"/>
      <c r="H870" s="37"/>
      <c r="I870" s="67"/>
      <c r="J870" s="67"/>
    </row>
    <row r="871" spans="1:10" s="3" customFormat="1" x14ac:dyDescent="0.35">
      <c r="A871" s="67"/>
      <c r="B871" s="67"/>
      <c r="C871" s="37"/>
      <c r="D871" s="67"/>
      <c r="E871" s="67"/>
      <c r="F871" s="37"/>
      <c r="G871" s="37"/>
      <c r="H871" s="37"/>
      <c r="I871" s="67"/>
      <c r="J871" s="67"/>
    </row>
    <row r="872" spans="1:10" s="3" customFormat="1" x14ac:dyDescent="0.35">
      <c r="A872" s="67"/>
      <c r="B872" s="67"/>
      <c r="C872" s="37"/>
      <c r="D872" s="67"/>
      <c r="E872" s="67"/>
      <c r="F872" s="37"/>
      <c r="G872" s="37"/>
      <c r="H872" s="37"/>
      <c r="I872" s="67"/>
      <c r="J872" s="67"/>
    </row>
    <row r="873" spans="1:10" s="3" customFormat="1" x14ac:dyDescent="0.35">
      <c r="A873" s="67"/>
      <c r="B873" s="67"/>
      <c r="C873" s="37"/>
      <c r="D873" s="67"/>
      <c r="E873" s="67"/>
      <c r="F873" s="37"/>
      <c r="G873" s="37"/>
      <c r="H873" s="37"/>
      <c r="I873" s="67"/>
      <c r="J873" s="67"/>
    </row>
    <row r="874" spans="1:10" s="3" customFormat="1" x14ac:dyDescent="0.35">
      <c r="A874" s="67"/>
      <c r="B874" s="67"/>
      <c r="C874" s="37"/>
      <c r="D874" s="67"/>
      <c r="E874" s="67"/>
      <c r="F874" s="37"/>
      <c r="G874" s="37"/>
      <c r="H874" s="37"/>
      <c r="I874" s="67"/>
      <c r="J874" s="67"/>
    </row>
    <row r="875" spans="1:10" s="3" customFormat="1" x14ac:dyDescent="0.35">
      <c r="A875" s="67"/>
      <c r="B875" s="67"/>
      <c r="C875" s="37"/>
      <c r="D875" s="67"/>
      <c r="E875" s="67"/>
      <c r="F875" s="37"/>
      <c r="G875" s="37"/>
      <c r="H875" s="37"/>
      <c r="I875" s="67"/>
      <c r="J875" s="67"/>
    </row>
    <row r="876" spans="1:10" s="3" customFormat="1" x14ac:dyDescent="0.35">
      <c r="A876" s="67"/>
      <c r="B876" s="67"/>
      <c r="C876" s="37"/>
      <c r="D876" s="67"/>
      <c r="E876" s="67"/>
      <c r="F876" s="37"/>
      <c r="G876" s="37"/>
      <c r="H876" s="37"/>
      <c r="I876" s="67"/>
      <c r="J876" s="67"/>
    </row>
    <row r="877" spans="1:10" s="3" customFormat="1" x14ac:dyDescent="0.35">
      <c r="A877" s="67"/>
      <c r="B877" s="67"/>
      <c r="C877" s="37"/>
      <c r="D877" s="67"/>
      <c r="E877" s="67"/>
      <c r="F877" s="37"/>
      <c r="G877" s="37"/>
      <c r="H877" s="37"/>
      <c r="I877" s="67"/>
      <c r="J877" s="67"/>
    </row>
    <row r="878" spans="1:10" s="3" customFormat="1" x14ac:dyDescent="0.35">
      <c r="A878" s="67"/>
      <c r="B878" s="67"/>
      <c r="C878" s="37"/>
      <c r="D878" s="67"/>
      <c r="E878" s="67"/>
      <c r="F878" s="37"/>
      <c r="G878" s="37"/>
      <c r="H878" s="37"/>
      <c r="I878" s="67"/>
      <c r="J878" s="67"/>
    </row>
    <row r="879" spans="1:10" s="3" customFormat="1" x14ac:dyDescent="0.35">
      <c r="A879" s="67"/>
      <c r="B879" s="67"/>
      <c r="C879" s="37"/>
      <c r="D879" s="67"/>
      <c r="E879" s="67"/>
      <c r="F879" s="37"/>
      <c r="G879" s="37"/>
      <c r="H879" s="37"/>
      <c r="I879" s="67"/>
      <c r="J879" s="67"/>
    </row>
    <row r="880" spans="1:10" s="3" customFormat="1" x14ac:dyDescent="0.35">
      <c r="A880" s="67"/>
      <c r="B880" s="67"/>
      <c r="C880" s="37"/>
      <c r="D880" s="67"/>
      <c r="E880" s="67"/>
      <c r="F880" s="37"/>
      <c r="G880" s="37"/>
      <c r="H880" s="37"/>
      <c r="I880" s="67"/>
      <c r="J880" s="67"/>
    </row>
    <row r="881" spans="1:10" s="3" customFormat="1" x14ac:dyDescent="0.35">
      <c r="A881" s="67"/>
      <c r="B881" s="67"/>
      <c r="C881" s="37"/>
      <c r="D881" s="67"/>
      <c r="E881" s="67"/>
      <c r="F881" s="37"/>
      <c r="G881" s="37"/>
      <c r="H881" s="37"/>
      <c r="I881" s="67"/>
      <c r="J881" s="67"/>
    </row>
    <row r="882" spans="1:10" s="3" customFormat="1" x14ac:dyDescent="0.35">
      <c r="A882" s="67"/>
      <c r="B882" s="67"/>
      <c r="C882" s="37"/>
      <c r="D882" s="67"/>
      <c r="E882" s="67"/>
      <c r="F882" s="37"/>
      <c r="G882" s="37"/>
      <c r="H882" s="37"/>
      <c r="I882" s="67"/>
      <c r="J882" s="67"/>
    </row>
    <row r="883" spans="1:10" s="3" customFormat="1" x14ac:dyDescent="0.35">
      <c r="A883" s="67"/>
      <c r="B883" s="67"/>
      <c r="C883" s="37"/>
      <c r="D883" s="67"/>
      <c r="E883" s="67"/>
      <c r="F883" s="37"/>
      <c r="G883" s="37"/>
      <c r="H883" s="37"/>
      <c r="I883" s="67"/>
      <c r="J883" s="67"/>
    </row>
    <row r="885" spans="1:10" s="3" customFormat="1" x14ac:dyDescent="0.35">
      <c r="A885" s="67"/>
      <c r="B885" s="67"/>
      <c r="C885" s="37"/>
      <c r="D885" s="67"/>
      <c r="E885" s="67"/>
      <c r="F885" s="37"/>
      <c r="G885" s="37"/>
      <c r="H885" s="37"/>
      <c r="I885" s="67"/>
      <c r="J885" s="67"/>
    </row>
    <row r="886" spans="1:10" s="3" customFormat="1" x14ac:dyDescent="0.35">
      <c r="A886" s="67"/>
      <c r="B886" s="67"/>
      <c r="C886" s="37"/>
      <c r="D886" s="67"/>
      <c r="E886" s="67"/>
      <c r="F886" s="37"/>
      <c r="G886" s="37"/>
      <c r="H886" s="37"/>
      <c r="I886" s="67"/>
      <c r="J886" s="67"/>
    </row>
    <row r="887" spans="1:10" s="3" customFormat="1" x14ac:dyDescent="0.35">
      <c r="A887" s="67"/>
      <c r="B887" s="67"/>
      <c r="C887" s="37"/>
      <c r="D887" s="67"/>
      <c r="E887" s="67"/>
      <c r="F887" s="37"/>
      <c r="G887" s="37"/>
      <c r="H887" s="37"/>
      <c r="I887" s="67"/>
      <c r="J887" s="67"/>
    </row>
    <row r="888" spans="1:10" s="3" customFormat="1" x14ac:dyDescent="0.35">
      <c r="A888" s="67"/>
      <c r="B888" s="67"/>
      <c r="C888" s="37"/>
      <c r="D888" s="67"/>
      <c r="E888" s="67"/>
      <c r="F888" s="37"/>
      <c r="G888" s="37"/>
      <c r="H888" s="37"/>
      <c r="I888" s="67"/>
      <c r="J888" s="67"/>
    </row>
    <row r="889" spans="1:10" s="3" customFormat="1" x14ac:dyDescent="0.35">
      <c r="A889" s="67"/>
      <c r="B889" s="67"/>
      <c r="C889" s="37"/>
      <c r="D889" s="67"/>
      <c r="E889" s="67"/>
      <c r="F889" s="37"/>
      <c r="G889" s="37"/>
      <c r="H889" s="37"/>
      <c r="I889" s="67"/>
      <c r="J889" s="67"/>
    </row>
    <row r="890" spans="1:10" s="3" customFormat="1" x14ac:dyDescent="0.35">
      <c r="A890" s="67"/>
      <c r="B890" s="67"/>
      <c r="C890" s="37"/>
      <c r="D890" s="67"/>
      <c r="E890" s="67"/>
      <c r="F890" s="37"/>
      <c r="G890" s="37"/>
      <c r="H890" s="37"/>
      <c r="I890" s="67"/>
      <c r="J890" s="67"/>
    </row>
    <row r="891" spans="1:10" s="3" customFormat="1" x14ac:dyDescent="0.35">
      <c r="A891" s="67"/>
      <c r="B891" s="67"/>
      <c r="C891" s="37"/>
      <c r="D891" s="67"/>
      <c r="E891" s="67"/>
      <c r="F891" s="37"/>
      <c r="G891" s="37"/>
      <c r="H891" s="37"/>
      <c r="I891" s="67"/>
      <c r="J891" s="67"/>
    </row>
    <row r="892" spans="1:10" s="3" customFormat="1" x14ac:dyDescent="0.35">
      <c r="A892" s="67"/>
      <c r="B892" s="67"/>
      <c r="C892" s="37"/>
      <c r="D892" s="67"/>
      <c r="E892" s="67"/>
      <c r="F892" s="37"/>
      <c r="G892" s="37"/>
      <c r="H892" s="37"/>
      <c r="I892" s="67"/>
      <c r="J892" s="67"/>
    </row>
    <row r="893" spans="1:10" s="3" customFormat="1" x14ac:dyDescent="0.35">
      <c r="A893" s="67"/>
      <c r="B893" s="67"/>
      <c r="C893" s="37"/>
      <c r="D893" s="67"/>
      <c r="E893" s="67"/>
      <c r="F893" s="37"/>
      <c r="G893" s="37"/>
      <c r="H893" s="37"/>
      <c r="I893" s="67"/>
      <c r="J893" s="67"/>
    </row>
    <row r="894" spans="1:10" s="3" customFormat="1" x14ac:dyDescent="0.35">
      <c r="A894" s="67"/>
      <c r="B894" s="67"/>
      <c r="C894" s="37"/>
      <c r="D894" s="67"/>
      <c r="E894" s="67"/>
      <c r="F894" s="37"/>
      <c r="G894" s="37"/>
      <c r="H894" s="37"/>
      <c r="I894" s="67"/>
      <c r="J894" s="67"/>
    </row>
    <row r="895" spans="1:10" s="3" customFormat="1" x14ac:dyDescent="0.35">
      <c r="A895" s="67"/>
      <c r="B895" s="67"/>
      <c r="C895" s="37"/>
      <c r="D895" s="67"/>
      <c r="E895" s="67"/>
      <c r="F895" s="37"/>
      <c r="G895" s="37"/>
      <c r="H895" s="37"/>
      <c r="I895" s="67"/>
      <c r="J895" s="67"/>
    </row>
    <row r="896" spans="1:10" s="3" customFormat="1" x14ac:dyDescent="0.35">
      <c r="A896" s="67"/>
      <c r="B896" s="67"/>
      <c r="C896" s="37"/>
      <c r="D896" s="67"/>
      <c r="E896" s="67"/>
      <c r="F896" s="37"/>
      <c r="G896" s="37"/>
      <c r="H896" s="37"/>
      <c r="I896" s="67"/>
      <c r="J896" s="67"/>
    </row>
    <row r="897" spans="1:10" s="3" customFormat="1" x14ac:dyDescent="0.35">
      <c r="A897" s="67"/>
      <c r="B897" s="67"/>
      <c r="C897" s="37"/>
      <c r="D897" s="67"/>
      <c r="E897" s="67"/>
      <c r="F897" s="37"/>
      <c r="G897" s="37"/>
      <c r="H897" s="37"/>
      <c r="I897" s="67"/>
      <c r="J897" s="67"/>
    </row>
    <row r="898" spans="1:10" s="3" customFormat="1" x14ac:dyDescent="0.35">
      <c r="A898" s="67"/>
      <c r="B898" s="67"/>
      <c r="C898" s="37"/>
      <c r="D898" s="67"/>
      <c r="E898" s="67"/>
      <c r="F898" s="37"/>
      <c r="G898" s="37"/>
      <c r="H898" s="37"/>
      <c r="I898" s="67"/>
      <c r="J898" s="67"/>
    </row>
    <row r="899" spans="1:10" s="3" customFormat="1" x14ac:dyDescent="0.35">
      <c r="A899" s="67"/>
      <c r="B899" s="67"/>
      <c r="C899" s="37"/>
      <c r="D899" s="67"/>
      <c r="E899" s="67"/>
      <c r="F899" s="37"/>
      <c r="G899" s="37"/>
      <c r="H899" s="37"/>
      <c r="I899" s="67"/>
      <c r="J899" s="67"/>
    </row>
    <row r="900" spans="1:10" s="3" customFormat="1" x14ac:dyDescent="0.35">
      <c r="A900" s="67"/>
      <c r="B900" s="67"/>
      <c r="C900" s="37"/>
      <c r="D900" s="67"/>
      <c r="E900" s="67"/>
      <c r="F900" s="37"/>
      <c r="G900" s="37"/>
      <c r="H900" s="37"/>
      <c r="I900" s="67"/>
      <c r="J900" s="67"/>
    </row>
    <row r="901" spans="1:10" s="3" customFormat="1" x14ac:dyDescent="0.35">
      <c r="A901" s="67"/>
      <c r="B901" s="67"/>
      <c r="C901" s="37"/>
      <c r="D901" s="67"/>
      <c r="E901" s="67"/>
      <c r="F901" s="37"/>
      <c r="G901" s="37"/>
      <c r="H901" s="37"/>
      <c r="I901" s="67"/>
      <c r="J901" s="67"/>
    </row>
    <row r="902" spans="1:10" s="3" customFormat="1" x14ac:dyDescent="0.35">
      <c r="A902" s="67"/>
      <c r="B902" s="67"/>
      <c r="C902" s="37"/>
      <c r="D902" s="67"/>
      <c r="E902" s="67"/>
      <c r="F902" s="37"/>
      <c r="G902" s="37"/>
      <c r="H902" s="37"/>
      <c r="I902" s="67"/>
      <c r="J902" s="67"/>
    </row>
    <row r="903" spans="1:10" s="3" customFormat="1" x14ac:dyDescent="0.35">
      <c r="A903" s="67"/>
      <c r="B903" s="67"/>
      <c r="C903" s="37"/>
      <c r="D903" s="67"/>
      <c r="E903" s="67"/>
      <c r="F903" s="37"/>
      <c r="G903" s="37"/>
      <c r="H903" s="37"/>
      <c r="I903" s="67"/>
      <c r="J903" s="67"/>
    </row>
    <row r="904" spans="1:10" s="3" customFormat="1" x14ac:dyDescent="0.35">
      <c r="A904" s="67"/>
      <c r="B904" s="67"/>
      <c r="C904" s="37"/>
      <c r="D904" s="67"/>
      <c r="E904" s="67"/>
      <c r="F904" s="37"/>
      <c r="G904" s="37"/>
      <c r="H904" s="37"/>
      <c r="I904" s="67"/>
      <c r="J904" s="67"/>
    </row>
    <row r="905" spans="1:10" s="3" customFormat="1" x14ac:dyDescent="0.35">
      <c r="A905" s="67"/>
      <c r="B905" s="67"/>
      <c r="C905" s="37"/>
      <c r="D905" s="67"/>
      <c r="E905" s="67"/>
      <c r="F905" s="37"/>
      <c r="G905" s="37"/>
      <c r="H905" s="37"/>
      <c r="I905" s="67"/>
      <c r="J905" s="67"/>
    </row>
    <row r="906" spans="1:10" s="3" customFormat="1" x14ac:dyDescent="0.35">
      <c r="A906" s="67"/>
      <c r="B906" s="67"/>
      <c r="C906" s="37"/>
      <c r="D906" s="67"/>
      <c r="E906" s="67"/>
      <c r="F906" s="37"/>
      <c r="G906" s="37"/>
      <c r="H906" s="37"/>
      <c r="I906" s="67"/>
      <c r="J906" s="67"/>
    </row>
    <row r="907" spans="1:10" s="3" customFormat="1" x14ac:dyDescent="0.35">
      <c r="A907" s="67"/>
      <c r="B907" s="67"/>
      <c r="C907" s="37"/>
      <c r="D907" s="67"/>
      <c r="E907" s="67"/>
      <c r="F907" s="37"/>
      <c r="G907" s="37"/>
      <c r="H907" s="37"/>
      <c r="I907" s="67"/>
      <c r="J907" s="67"/>
    </row>
    <row r="908" spans="1:10" s="3" customFormat="1" x14ac:dyDescent="0.35">
      <c r="A908" s="67"/>
      <c r="B908" s="67"/>
      <c r="C908" s="37"/>
      <c r="D908" s="67"/>
      <c r="E908" s="67"/>
      <c r="F908" s="37"/>
      <c r="G908" s="37"/>
      <c r="H908" s="37"/>
      <c r="I908" s="67"/>
      <c r="J908" s="67"/>
    </row>
    <row r="909" spans="1:10" s="3" customFormat="1" x14ac:dyDescent="0.35">
      <c r="A909" s="67"/>
      <c r="B909" s="67"/>
      <c r="C909" s="37"/>
      <c r="D909" s="67"/>
      <c r="E909" s="67"/>
      <c r="F909" s="37"/>
      <c r="G909" s="37"/>
      <c r="H909" s="37"/>
      <c r="I909" s="67"/>
      <c r="J909" s="67"/>
    </row>
    <row r="910" spans="1:10" s="3" customFormat="1" x14ac:dyDescent="0.35">
      <c r="A910" s="67"/>
      <c r="B910" s="67"/>
      <c r="C910" s="37"/>
      <c r="D910" s="67"/>
      <c r="E910" s="67"/>
      <c r="F910" s="37"/>
      <c r="G910" s="37"/>
      <c r="H910" s="37"/>
      <c r="I910" s="67"/>
      <c r="J910" s="67"/>
    </row>
    <row r="911" spans="1:10" s="3" customFormat="1" x14ac:dyDescent="0.35">
      <c r="A911" s="67"/>
      <c r="B911" s="67"/>
      <c r="C911" s="37"/>
      <c r="D911" s="67"/>
      <c r="E911" s="67"/>
      <c r="F911" s="37"/>
      <c r="G911" s="37"/>
      <c r="H911" s="37"/>
      <c r="I911" s="67"/>
      <c r="J911" s="67"/>
    </row>
    <row r="912" spans="1:10" s="3" customFormat="1" x14ac:dyDescent="0.35">
      <c r="A912" s="67"/>
      <c r="B912" s="67"/>
      <c r="C912" s="37"/>
      <c r="D912" s="67"/>
      <c r="E912" s="67"/>
      <c r="F912" s="37"/>
      <c r="G912" s="37"/>
      <c r="H912" s="37"/>
      <c r="I912" s="67"/>
      <c r="J912" s="67"/>
    </row>
    <row r="913" spans="1:10" ht="15" customHeight="1" x14ac:dyDescent="0.35">
      <c r="A913" s="16"/>
      <c r="B913" s="17"/>
      <c r="C913" s="17"/>
      <c r="D913" s="17"/>
      <c r="E913" s="17"/>
      <c r="F913" s="17"/>
      <c r="G913" s="17"/>
      <c r="H913" s="17"/>
      <c r="I913" s="17"/>
      <c r="J913" s="17"/>
    </row>
    <row r="914" spans="1:10" ht="15" customHeight="1" x14ac:dyDescent="0.35">
      <c r="A914" s="16"/>
      <c r="B914" s="17"/>
      <c r="C914" s="17"/>
      <c r="D914" s="17"/>
      <c r="E914" s="17"/>
      <c r="F914" s="17"/>
      <c r="G914" s="17"/>
      <c r="H914" s="17"/>
      <c r="I914" s="17"/>
      <c r="J914" s="17"/>
    </row>
    <row r="916" spans="1:10" x14ac:dyDescent="0.35">
      <c r="A916" s="17"/>
      <c r="B916" s="17"/>
      <c r="C916" s="17"/>
      <c r="D916" s="17"/>
      <c r="E916" s="17"/>
      <c r="F916" s="17"/>
      <c r="G916" s="17"/>
      <c r="H916" s="17"/>
      <c r="I916" s="17"/>
      <c r="J916" s="17"/>
    </row>
    <row r="917" spans="1:10" x14ac:dyDescent="0.35">
      <c r="A917" s="17"/>
      <c r="B917" s="17"/>
      <c r="C917" s="17"/>
      <c r="D917" s="17"/>
      <c r="E917" s="17"/>
      <c r="F917" s="17"/>
      <c r="G917" s="17"/>
      <c r="H917" s="17"/>
      <c r="I917" s="17"/>
      <c r="J917" s="17"/>
    </row>
    <row r="918" spans="1:10" ht="15" customHeight="1" x14ac:dyDescent="0.35"/>
  </sheetData>
  <mergeCells count="1734">
    <mergeCell ref="A60:C60"/>
    <mergeCell ref="D60:J60"/>
    <mergeCell ref="A129:F129"/>
    <mergeCell ref="G129:J129"/>
    <mergeCell ref="A130:F130"/>
    <mergeCell ref="G130:J130"/>
    <mergeCell ref="A147:B147"/>
    <mergeCell ref="D147:F147"/>
    <mergeCell ref="D63:J63"/>
    <mergeCell ref="A64:C64"/>
    <mergeCell ref="D64:J64"/>
    <mergeCell ref="A65:C65"/>
    <mergeCell ref="D65:J65"/>
    <mergeCell ref="A61:C61"/>
    <mergeCell ref="D149:F149"/>
    <mergeCell ref="G149:J149"/>
    <mergeCell ref="A122:B122"/>
    <mergeCell ref="D122:E122"/>
    <mergeCell ref="A109:B109"/>
    <mergeCell ref="C109:J109"/>
    <mergeCell ref="E110:F110"/>
    <mergeCell ref="I110:J110"/>
    <mergeCell ref="A111:B111"/>
    <mergeCell ref="C111:J111"/>
    <mergeCell ref="A112:B112"/>
    <mergeCell ref="A66:C66"/>
    <mergeCell ref="D66:J66"/>
    <mergeCell ref="G140:J140"/>
    <mergeCell ref="A141:B141"/>
    <mergeCell ref="D141:F141"/>
    <mergeCell ref="G141:J141"/>
    <mergeCell ref="A149:B149"/>
    <mergeCell ref="C46:G46"/>
    <mergeCell ref="I46:J46"/>
    <mergeCell ref="C47:G47"/>
    <mergeCell ref="I47:J47"/>
    <mergeCell ref="C48:G48"/>
    <mergeCell ref="I48:J48"/>
    <mergeCell ref="C49:G49"/>
    <mergeCell ref="C50:G50"/>
    <mergeCell ref="C51:G51"/>
    <mergeCell ref="C52:G52"/>
    <mergeCell ref="C53:G53"/>
    <mergeCell ref="I53:J53"/>
    <mergeCell ref="C54:G54"/>
    <mergeCell ref="I54:J54"/>
    <mergeCell ref="A57:C57"/>
    <mergeCell ref="D56:J56"/>
    <mergeCell ref="D57:J57"/>
    <mergeCell ref="I51:J51"/>
    <mergeCell ref="A52:B52"/>
    <mergeCell ref="I52:J52"/>
    <mergeCell ref="A48:B48"/>
    <mergeCell ref="A54:B54"/>
    <mergeCell ref="A58:C58"/>
    <mergeCell ref="D58:J58"/>
    <mergeCell ref="A59:C59"/>
    <mergeCell ref="D59:J59"/>
    <mergeCell ref="A63:C63"/>
    <mergeCell ref="D178:E178"/>
    <mergeCell ref="A171:B171"/>
    <mergeCell ref="D171:E171"/>
    <mergeCell ref="A172:B172"/>
    <mergeCell ref="D172:E172"/>
    <mergeCell ref="A174:B174"/>
    <mergeCell ref="D174:E174"/>
    <mergeCell ref="A175:B175"/>
    <mergeCell ref="D175:E175"/>
    <mergeCell ref="A197:J197"/>
    <mergeCell ref="A570:J570"/>
    <mergeCell ref="A571:B571"/>
    <mergeCell ref="D571:E571"/>
    <mergeCell ref="I571:J578"/>
    <mergeCell ref="A572:B572"/>
    <mergeCell ref="D572:E572"/>
    <mergeCell ref="D61:J61"/>
    <mergeCell ref="A152:B153"/>
    <mergeCell ref="C152:C153"/>
    <mergeCell ref="D152:E153"/>
    <mergeCell ref="F152:F153"/>
    <mergeCell ref="H152:H153"/>
    <mergeCell ref="I152:J153"/>
    <mergeCell ref="A137:J137"/>
    <mergeCell ref="A138:B138"/>
    <mergeCell ref="D138:F138"/>
    <mergeCell ref="G138:J138"/>
    <mergeCell ref="A139:B139"/>
    <mergeCell ref="D139:F139"/>
    <mergeCell ref="G139:J139"/>
    <mergeCell ref="A140:B140"/>
    <mergeCell ref="D140:F140"/>
    <mergeCell ref="D663:E663"/>
    <mergeCell ref="A664:B664"/>
    <mergeCell ref="D664:E664"/>
    <mergeCell ref="A665:B665"/>
    <mergeCell ref="D665:E665"/>
    <mergeCell ref="M154:N154"/>
    <mergeCell ref="M163:N163"/>
    <mergeCell ref="A156:J156"/>
    <mergeCell ref="A157:B157"/>
    <mergeCell ref="D157:E157"/>
    <mergeCell ref="M157:N157"/>
    <mergeCell ref="A158:B158"/>
    <mergeCell ref="D158:E158"/>
    <mergeCell ref="A159:B159"/>
    <mergeCell ref="D159:E159"/>
    <mergeCell ref="A160:B160"/>
    <mergeCell ref="D160:E160"/>
    <mergeCell ref="A161:B161"/>
    <mergeCell ref="D161:E161"/>
    <mergeCell ref="I157:J161"/>
    <mergeCell ref="A577:B577"/>
    <mergeCell ref="D577:E577"/>
    <mergeCell ref="D573:E573"/>
    <mergeCell ref="A168:B168"/>
    <mergeCell ref="D168:E168"/>
    <mergeCell ref="A169:B169"/>
    <mergeCell ref="D169:E169"/>
    <mergeCell ref="A176:B176"/>
    <mergeCell ref="D176:E176"/>
    <mergeCell ref="A177:B177"/>
    <mergeCell ref="D177:E177"/>
    <mergeCell ref="A178:B178"/>
    <mergeCell ref="D698:E698"/>
    <mergeCell ref="A699:B699"/>
    <mergeCell ref="D699:E699"/>
    <mergeCell ref="A700:B700"/>
    <mergeCell ref="D700:E700"/>
    <mergeCell ref="A702:B702"/>
    <mergeCell ref="D702:E702"/>
    <mergeCell ref="I702:J706"/>
    <mergeCell ref="A703:B703"/>
    <mergeCell ref="D703:E703"/>
    <mergeCell ref="A704:B704"/>
    <mergeCell ref="D704:E704"/>
    <mergeCell ref="A705:B705"/>
    <mergeCell ref="A706:B706"/>
    <mergeCell ref="D706:E706"/>
    <mergeCell ref="C705:G705"/>
    <mergeCell ref="A151:J151"/>
    <mergeCell ref="A154:J154"/>
    <mergeCell ref="A155:J155"/>
    <mergeCell ref="A162:J162"/>
    <mergeCell ref="A163:B163"/>
    <mergeCell ref="D163:E163"/>
    <mergeCell ref="A164:B164"/>
    <mergeCell ref="D164:E164"/>
    <mergeCell ref="A165:B165"/>
    <mergeCell ref="D165:E165"/>
    <mergeCell ref="A166:B166"/>
    <mergeCell ref="A167:B167"/>
    <mergeCell ref="D662:E662"/>
    <mergeCell ref="A661:J661"/>
    <mergeCell ref="I662:J668"/>
    <mergeCell ref="A663:B663"/>
    <mergeCell ref="A862:B862"/>
    <mergeCell ref="D862:E862"/>
    <mergeCell ref="I862:J862"/>
    <mergeCell ref="A863:B863"/>
    <mergeCell ref="D863:E863"/>
    <mergeCell ref="I863:J863"/>
    <mergeCell ref="A668:B668"/>
    <mergeCell ref="D668:E668"/>
    <mergeCell ref="A701:J701"/>
    <mergeCell ref="C693:G693"/>
    <mergeCell ref="D694:E694"/>
    <mergeCell ref="A669:J669"/>
    <mergeCell ref="A670:B670"/>
    <mergeCell ref="D670:E670"/>
    <mergeCell ref="I670:J676"/>
    <mergeCell ref="A671:B671"/>
    <mergeCell ref="D671:E671"/>
    <mergeCell ref="A672:B672"/>
    <mergeCell ref="D672:E672"/>
    <mergeCell ref="A673:B673"/>
    <mergeCell ref="D673:E673"/>
    <mergeCell ref="A674:B674"/>
    <mergeCell ref="D674:E674"/>
    <mergeCell ref="A675:B675"/>
    <mergeCell ref="D675:E675"/>
    <mergeCell ref="A676:B676"/>
    <mergeCell ref="D676:E676"/>
    <mergeCell ref="A688:B688"/>
    <mergeCell ref="D688:E688"/>
    <mergeCell ref="A682:B682"/>
    <mergeCell ref="D682:E682"/>
    <mergeCell ref="D697:E697"/>
    <mergeCell ref="A853:B853"/>
    <mergeCell ref="D853:E853"/>
    <mergeCell ref="I853:J853"/>
    <mergeCell ref="A854:B854"/>
    <mergeCell ref="D854:E854"/>
    <mergeCell ref="I854:J854"/>
    <mergeCell ref="A840:B840"/>
    <mergeCell ref="D840:E840"/>
    <mergeCell ref="I840:J840"/>
    <mergeCell ref="A841:B841"/>
    <mergeCell ref="D841:E841"/>
    <mergeCell ref="I841:J841"/>
    <mergeCell ref="A860:B860"/>
    <mergeCell ref="D860:E860"/>
    <mergeCell ref="I860:J860"/>
    <mergeCell ref="A861:B861"/>
    <mergeCell ref="D861:E861"/>
    <mergeCell ref="I861:J861"/>
    <mergeCell ref="A640:B640"/>
    <mergeCell ref="A821:B821"/>
    <mergeCell ref="D821:E821"/>
    <mergeCell ref="I821:J821"/>
    <mergeCell ref="A822:B822"/>
    <mergeCell ref="D822:E822"/>
    <mergeCell ref="I822:J822"/>
    <mergeCell ref="A823:B823"/>
    <mergeCell ref="D823:E823"/>
    <mergeCell ref="I823:J823"/>
    <mergeCell ref="A837:B837"/>
    <mergeCell ref="D837:E837"/>
    <mergeCell ref="I837:J837"/>
    <mergeCell ref="A838:B838"/>
    <mergeCell ref="D838:E838"/>
    <mergeCell ref="I838:J838"/>
    <mergeCell ref="A683:J683"/>
    <mergeCell ref="A684:B684"/>
    <mergeCell ref="D684:E684"/>
    <mergeCell ref="I684:J688"/>
    <mergeCell ref="A685:B685"/>
    <mergeCell ref="D685:E685"/>
    <mergeCell ref="A686:B686"/>
    <mergeCell ref="D686:E686"/>
    <mergeCell ref="A687:B687"/>
    <mergeCell ref="D687:E687"/>
    <mergeCell ref="A695:J695"/>
    <mergeCell ref="A696:B696"/>
    <mergeCell ref="D696:E696"/>
    <mergeCell ref="I696:J700"/>
    <mergeCell ref="A697:B697"/>
    <mergeCell ref="A698:B698"/>
    <mergeCell ref="A627:B627"/>
    <mergeCell ref="A628:B628"/>
    <mergeCell ref="D628:E628"/>
    <mergeCell ref="A637:J637"/>
    <mergeCell ref="A689:J689"/>
    <mergeCell ref="A690:B690"/>
    <mergeCell ref="D690:E690"/>
    <mergeCell ref="I690:J694"/>
    <mergeCell ref="A691:B691"/>
    <mergeCell ref="D691:E691"/>
    <mergeCell ref="A692:B692"/>
    <mergeCell ref="D692:E692"/>
    <mergeCell ref="A693:B693"/>
    <mergeCell ref="A694:B694"/>
    <mergeCell ref="A638:B638"/>
    <mergeCell ref="D638:E638"/>
    <mergeCell ref="I638:J644"/>
    <mergeCell ref="A639:B639"/>
    <mergeCell ref="A636:B636"/>
    <mergeCell ref="D636:E636"/>
    <mergeCell ref="A677:J677"/>
    <mergeCell ref="A678:B678"/>
    <mergeCell ref="D678:E678"/>
    <mergeCell ref="I678:J682"/>
    <mergeCell ref="A679:B679"/>
    <mergeCell ref="D679:E679"/>
    <mergeCell ref="A680:B680"/>
    <mergeCell ref="D680:E680"/>
    <mergeCell ref="A681:B681"/>
    <mergeCell ref="D681:E681"/>
    <mergeCell ref="D641:E641"/>
    <mergeCell ref="D639:E639"/>
    <mergeCell ref="A592:B592"/>
    <mergeCell ref="D640:E640"/>
    <mergeCell ref="A641:B641"/>
    <mergeCell ref="A573:B573"/>
    <mergeCell ref="A574:B574"/>
    <mergeCell ref="C574:H574"/>
    <mergeCell ref="A575:B575"/>
    <mergeCell ref="D575:E575"/>
    <mergeCell ref="D593:E593"/>
    <mergeCell ref="A594:B594"/>
    <mergeCell ref="A595:B595"/>
    <mergeCell ref="A596:B596"/>
    <mergeCell ref="D596:E596"/>
    <mergeCell ref="A653:J653"/>
    <mergeCell ref="A654:B654"/>
    <mergeCell ref="D654:E654"/>
    <mergeCell ref="I654:J660"/>
    <mergeCell ref="A655:B655"/>
    <mergeCell ref="D655:E655"/>
    <mergeCell ref="A656:B656"/>
    <mergeCell ref="D656:E656"/>
    <mergeCell ref="A657:B657"/>
    <mergeCell ref="D657:E657"/>
    <mergeCell ref="A658:B658"/>
    <mergeCell ref="C658:G659"/>
    <mergeCell ref="A659:B659"/>
    <mergeCell ref="A660:B660"/>
    <mergeCell ref="D660:E660"/>
    <mergeCell ref="C594:G595"/>
    <mergeCell ref="A621:J621"/>
    <mergeCell ref="A622:B622"/>
    <mergeCell ref="C626:G627"/>
    <mergeCell ref="I553:J560"/>
    <mergeCell ref="A552:J552"/>
    <mergeCell ref="C556:H556"/>
    <mergeCell ref="A557:B557"/>
    <mergeCell ref="D622:E622"/>
    <mergeCell ref="A634:B634"/>
    <mergeCell ref="D634:E634"/>
    <mergeCell ref="A635:B635"/>
    <mergeCell ref="D635:E635"/>
    <mergeCell ref="I622:J628"/>
    <mergeCell ref="A623:B623"/>
    <mergeCell ref="A644:B644"/>
    <mergeCell ref="D644:E644"/>
    <mergeCell ref="A548:B548"/>
    <mergeCell ref="D548:E548"/>
    <mergeCell ref="A597:J597"/>
    <mergeCell ref="A598:B598"/>
    <mergeCell ref="D598:E598"/>
    <mergeCell ref="I598:J604"/>
    <mergeCell ref="A599:B599"/>
    <mergeCell ref="D599:E599"/>
    <mergeCell ref="A600:B600"/>
    <mergeCell ref="D600:E600"/>
    <mergeCell ref="A601:B601"/>
    <mergeCell ref="D601:E601"/>
    <mergeCell ref="A602:B602"/>
    <mergeCell ref="D602:E602"/>
    <mergeCell ref="A603:B603"/>
    <mergeCell ref="D603:E603"/>
    <mergeCell ref="A604:B604"/>
    <mergeCell ref="D604:E604"/>
    <mergeCell ref="A589:J589"/>
    <mergeCell ref="D112:E112"/>
    <mergeCell ref="F112:G112"/>
    <mergeCell ref="H112:J112"/>
    <mergeCell ref="A113:B113"/>
    <mergeCell ref="D113:E113"/>
    <mergeCell ref="F113:G122"/>
    <mergeCell ref="H113:J122"/>
    <mergeCell ref="A114:B114"/>
    <mergeCell ref="D114:E114"/>
    <mergeCell ref="A115:B115"/>
    <mergeCell ref="D115:E115"/>
    <mergeCell ref="A116:B116"/>
    <mergeCell ref="D116:E116"/>
    <mergeCell ref="A117:B117"/>
    <mergeCell ref="D117:E117"/>
    <mergeCell ref="A118:B118"/>
    <mergeCell ref="D118:E118"/>
    <mergeCell ref="A119:B119"/>
    <mergeCell ref="D119:E119"/>
    <mergeCell ref="A642:B642"/>
    <mergeCell ref="C642:G643"/>
    <mergeCell ref="A643:B643"/>
    <mergeCell ref="A662:B662"/>
    <mergeCell ref="A666:B666"/>
    <mergeCell ref="C666:G667"/>
    <mergeCell ref="A667:B667"/>
    <mergeCell ref="D618:E618"/>
    <mergeCell ref="A619:B619"/>
    <mergeCell ref="D619:E619"/>
    <mergeCell ref="A620:B620"/>
    <mergeCell ref="D620:E620"/>
    <mergeCell ref="D623:E623"/>
    <mergeCell ref="A645:J645"/>
    <mergeCell ref="A646:B646"/>
    <mergeCell ref="D646:E646"/>
    <mergeCell ref="I646:J652"/>
    <mergeCell ref="A647:B647"/>
    <mergeCell ref="D647:E647"/>
    <mergeCell ref="A648:B648"/>
    <mergeCell ref="D648:E648"/>
    <mergeCell ref="A649:B649"/>
    <mergeCell ref="D649:E649"/>
    <mergeCell ref="A650:B650"/>
    <mergeCell ref="D650:E650"/>
    <mergeCell ref="A651:B651"/>
    <mergeCell ref="D651:E651"/>
    <mergeCell ref="A652:B652"/>
    <mergeCell ref="D652:E652"/>
    <mergeCell ref="A629:J629"/>
    <mergeCell ref="A630:B630"/>
    <mergeCell ref="D630:E630"/>
    <mergeCell ref="I630:J636"/>
    <mergeCell ref="A631:B631"/>
    <mergeCell ref="D631:E631"/>
    <mergeCell ref="A632:B632"/>
    <mergeCell ref="D632:E632"/>
    <mergeCell ref="A633:B633"/>
    <mergeCell ref="D633:E633"/>
    <mergeCell ref="A624:B624"/>
    <mergeCell ref="D624:E624"/>
    <mergeCell ref="A625:B625"/>
    <mergeCell ref="D625:E625"/>
    <mergeCell ref="A626:B626"/>
    <mergeCell ref="A605:J605"/>
    <mergeCell ref="A606:B606"/>
    <mergeCell ref="D606:E606"/>
    <mergeCell ref="I606:J612"/>
    <mergeCell ref="A607:B607"/>
    <mergeCell ref="D607:E607"/>
    <mergeCell ref="A608:B608"/>
    <mergeCell ref="D608:E608"/>
    <mergeCell ref="A609:B609"/>
    <mergeCell ref="D609:E609"/>
    <mergeCell ref="A610:B610"/>
    <mergeCell ref="D610:E610"/>
    <mergeCell ref="A611:B611"/>
    <mergeCell ref="D611:E611"/>
    <mergeCell ref="A612:B612"/>
    <mergeCell ref="D612:E612"/>
    <mergeCell ref="A613:J613"/>
    <mergeCell ref="A614:B614"/>
    <mergeCell ref="D614:E614"/>
    <mergeCell ref="I614:J620"/>
    <mergeCell ref="A615:B615"/>
    <mergeCell ref="D615:E615"/>
    <mergeCell ref="A616:B616"/>
    <mergeCell ref="D616:E616"/>
    <mergeCell ref="A617:B617"/>
    <mergeCell ref="D617:E617"/>
    <mergeCell ref="A618:B618"/>
    <mergeCell ref="D584:E584"/>
    <mergeCell ref="A585:B585"/>
    <mergeCell ref="D585:E585"/>
    <mergeCell ref="A586:B586"/>
    <mergeCell ref="D586:E586"/>
    <mergeCell ref="A587:B587"/>
    <mergeCell ref="D587:E587"/>
    <mergeCell ref="A588:B588"/>
    <mergeCell ref="D588:E588"/>
    <mergeCell ref="A579:J579"/>
    <mergeCell ref="A580:J580"/>
    <mergeCell ref="I590:J596"/>
    <mergeCell ref="A591:B591"/>
    <mergeCell ref="A581:J581"/>
    <mergeCell ref="A582:B582"/>
    <mergeCell ref="D582:E582"/>
    <mergeCell ref="I582:J588"/>
    <mergeCell ref="A583:B583"/>
    <mergeCell ref="D583:E583"/>
    <mergeCell ref="A584:B584"/>
    <mergeCell ref="A590:B590"/>
    <mergeCell ref="D590:E590"/>
    <mergeCell ref="D592:E592"/>
    <mergeCell ref="A593:B593"/>
    <mergeCell ref="D591:E591"/>
    <mergeCell ref="D557:E557"/>
    <mergeCell ref="A558:B558"/>
    <mergeCell ref="D558:E558"/>
    <mergeCell ref="A559:B559"/>
    <mergeCell ref="D559:E559"/>
    <mergeCell ref="A560:B560"/>
    <mergeCell ref="D560:E560"/>
    <mergeCell ref="C555:H555"/>
    <mergeCell ref="A553:B553"/>
    <mergeCell ref="D553:E553"/>
    <mergeCell ref="A554:B554"/>
    <mergeCell ref="D554:E554"/>
    <mergeCell ref="A555:B555"/>
    <mergeCell ref="A576:B576"/>
    <mergeCell ref="D576:E576"/>
    <mergeCell ref="A578:B578"/>
    <mergeCell ref="D578:E578"/>
    <mergeCell ref="A556:B556"/>
    <mergeCell ref="G147:J147"/>
    <mergeCell ref="A549:B549"/>
    <mergeCell ref="D549:E549"/>
    <mergeCell ref="A550:B550"/>
    <mergeCell ref="D550:E550"/>
    <mergeCell ref="A551:B551"/>
    <mergeCell ref="D551:E551"/>
    <mergeCell ref="A544:B544"/>
    <mergeCell ref="D544:E544"/>
    <mergeCell ref="A545:B545"/>
    <mergeCell ref="D545:E545"/>
    <mergeCell ref="A546:B546"/>
    <mergeCell ref="D546:E546"/>
    <mergeCell ref="A547:B547"/>
    <mergeCell ref="D547:E547"/>
    <mergeCell ref="A539:B539"/>
    <mergeCell ref="D539:E539"/>
    <mergeCell ref="A540:B540"/>
    <mergeCell ref="D540:E540"/>
    <mergeCell ref="A541:B541"/>
    <mergeCell ref="D541:E541"/>
    <mergeCell ref="A542:B542"/>
    <mergeCell ref="D542:E542"/>
    <mergeCell ref="I544:J551"/>
    <mergeCell ref="D167:E167"/>
    <mergeCell ref="A179:B179"/>
    <mergeCell ref="D179:E179"/>
    <mergeCell ref="A170:B170"/>
    <mergeCell ref="D170:E170"/>
    <mergeCell ref="A543:J543"/>
    <mergeCell ref="A535:B535"/>
    <mergeCell ref="D535:E535"/>
    <mergeCell ref="A536:B536"/>
    <mergeCell ref="D536:E536"/>
    <mergeCell ref="A537:B537"/>
    <mergeCell ref="D537:E537"/>
    <mergeCell ref="A538:B538"/>
    <mergeCell ref="D538:E538"/>
    <mergeCell ref="I535:J542"/>
    <mergeCell ref="A530:B530"/>
    <mergeCell ref="D530:E530"/>
    <mergeCell ref="A531:B531"/>
    <mergeCell ref="D531:E531"/>
    <mergeCell ref="A532:B532"/>
    <mergeCell ref="D532:E532"/>
    <mergeCell ref="A533:B533"/>
    <mergeCell ref="D533:E533"/>
    <mergeCell ref="A534:J534"/>
    <mergeCell ref="A526:B526"/>
    <mergeCell ref="D526:E526"/>
    <mergeCell ref="A527:B527"/>
    <mergeCell ref="D527:E527"/>
    <mergeCell ref="A528:B528"/>
    <mergeCell ref="D528:E528"/>
    <mergeCell ref="A529:B529"/>
    <mergeCell ref="D529:E529"/>
    <mergeCell ref="I526:J533"/>
    <mergeCell ref="A521:B521"/>
    <mergeCell ref="D521:E521"/>
    <mergeCell ref="A522:B522"/>
    <mergeCell ref="D522:E522"/>
    <mergeCell ref="A523:B523"/>
    <mergeCell ref="D523:E523"/>
    <mergeCell ref="A524:B524"/>
    <mergeCell ref="D524:E524"/>
    <mergeCell ref="A525:J525"/>
    <mergeCell ref="A517:B517"/>
    <mergeCell ref="D517:E517"/>
    <mergeCell ref="A518:B518"/>
    <mergeCell ref="D518:E518"/>
    <mergeCell ref="A519:B519"/>
    <mergeCell ref="D519:E519"/>
    <mergeCell ref="A520:B520"/>
    <mergeCell ref="D520:E520"/>
    <mergeCell ref="I517:J524"/>
    <mergeCell ref="A512:B512"/>
    <mergeCell ref="D512:E512"/>
    <mergeCell ref="A513:B513"/>
    <mergeCell ref="D513:E513"/>
    <mergeCell ref="A514:B514"/>
    <mergeCell ref="D514:E514"/>
    <mergeCell ref="A515:B515"/>
    <mergeCell ref="D515:E515"/>
    <mergeCell ref="A516:J516"/>
    <mergeCell ref="A508:B508"/>
    <mergeCell ref="D508:E508"/>
    <mergeCell ref="A509:B509"/>
    <mergeCell ref="D509:E509"/>
    <mergeCell ref="A510:B510"/>
    <mergeCell ref="D510:E510"/>
    <mergeCell ref="A511:B511"/>
    <mergeCell ref="D511:E511"/>
    <mergeCell ref="I508:J515"/>
    <mergeCell ref="A503:B503"/>
    <mergeCell ref="D503:E503"/>
    <mergeCell ref="A504:B504"/>
    <mergeCell ref="D504:E504"/>
    <mergeCell ref="A505:B505"/>
    <mergeCell ref="D505:E505"/>
    <mergeCell ref="A506:B506"/>
    <mergeCell ref="D506:E506"/>
    <mergeCell ref="A507:J507"/>
    <mergeCell ref="I499:J506"/>
    <mergeCell ref="A499:B499"/>
    <mergeCell ref="D499:E499"/>
    <mergeCell ref="A500:B500"/>
    <mergeCell ref="D500:E500"/>
    <mergeCell ref="A501:B501"/>
    <mergeCell ref="D501:E501"/>
    <mergeCell ref="A502:B502"/>
    <mergeCell ref="D502:E502"/>
    <mergeCell ref="A494:B494"/>
    <mergeCell ref="D494:E494"/>
    <mergeCell ref="A495:B495"/>
    <mergeCell ref="D495:E495"/>
    <mergeCell ref="A496:B496"/>
    <mergeCell ref="D496:E496"/>
    <mergeCell ref="A497:B497"/>
    <mergeCell ref="D497:E497"/>
    <mergeCell ref="A498:J498"/>
    <mergeCell ref="A489:J489"/>
    <mergeCell ref="A490:B490"/>
    <mergeCell ref="D490:E490"/>
    <mergeCell ref="A491:B491"/>
    <mergeCell ref="D491:E491"/>
    <mergeCell ref="A492:B492"/>
    <mergeCell ref="D492:E492"/>
    <mergeCell ref="A493:B493"/>
    <mergeCell ref="D493:E493"/>
    <mergeCell ref="I490:J497"/>
    <mergeCell ref="A487:B487"/>
    <mergeCell ref="D487:E487"/>
    <mergeCell ref="A474:B474"/>
    <mergeCell ref="A475:B475"/>
    <mergeCell ref="C474:H474"/>
    <mergeCell ref="A480:J480"/>
    <mergeCell ref="A481:B481"/>
    <mergeCell ref="D481:E481"/>
    <mergeCell ref="A482:B482"/>
    <mergeCell ref="D482:E482"/>
    <mergeCell ref="A483:B483"/>
    <mergeCell ref="D483:E483"/>
    <mergeCell ref="A484:B484"/>
    <mergeCell ref="D484:E484"/>
    <mergeCell ref="I481:J488"/>
    <mergeCell ref="A488:B488"/>
    <mergeCell ref="D488:E488"/>
    <mergeCell ref="I474:J479"/>
    <mergeCell ref="C475:H475"/>
    <mergeCell ref="A485:B485"/>
    <mergeCell ref="D485:E485"/>
    <mergeCell ref="A486:B486"/>
    <mergeCell ref="D486:E486"/>
    <mergeCell ref="D477:E477"/>
    <mergeCell ref="I465:J468"/>
    <mergeCell ref="A466:B466"/>
    <mergeCell ref="A467:B467"/>
    <mergeCell ref="A476:B476"/>
    <mergeCell ref="D476:E476"/>
    <mergeCell ref="A464:J464"/>
    <mergeCell ref="A465:B465"/>
    <mergeCell ref="D467:E467"/>
    <mergeCell ref="A468:B468"/>
    <mergeCell ref="C465:H465"/>
    <mergeCell ref="C466:H466"/>
    <mergeCell ref="C468:H468"/>
    <mergeCell ref="D439:E439"/>
    <mergeCell ref="A440:B440"/>
    <mergeCell ref="D440:E440"/>
    <mergeCell ref="C437:H437"/>
    <mergeCell ref="D421:E421"/>
    <mergeCell ref="D422:E422"/>
    <mergeCell ref="A452:B452"/>
    <mergeCell ref="D452:E452"/>
    <mergeCell ref="A459:J459"/>
    <mergeCell ref="A460:B460"/>
    <mergeCell ref="D460:E460"/>
    <mergeCell ref="I460:J463"/>
    <mergeCell ref="A461:B461"/>
    <mergeCell ref="D461:E461"/>
    <mergeCell ref="A462:B462"/>
    <mergeCell ref="D462:E462"/>
    <mergeCell ref="A463:B463"/>
    <mergeCell ref="D463:E463"/>
    <mergeCell ref="I430:J434"/>
    <mergeCell ref="A469:J469"/>
    <mergeCell ref="A120:B120"/>
    <mergeCell ref="D120:E120"/>
    <mergeCell ref="A121:B121"/>
    <mergeCell ref="D121:E121"/>
    <mergeCell ref="A447:J447"/>
    <mergeCell ref="A448:B448"/>
    <mergeCell ref="D448:E448"/>
    <mergeCell ref="I448:J452"/>
    <mergeCell ref="A449:B449"/>
    <mergeCell ref="C449:H449"/>
    <mergeCell ref="A450:B450"/>
    <mergeCell ref="D450:E450"/>
    <mergeCell ref="A451:B451"/>
    <mergeCell ref="D451:E451"/>
    <mergeCell ref="A256:J256"/>
    <mergeCell ref="A257:B257"/>
    <mergeCell ref="D257:E257"/>
    <mergeCell ref="I257:J262"/>
    <mergeCell ref="A258:B258"/>
    <mergeCell ref="D258:E258"/>
    <mergeCell ref="A259:B259"/>
    <mergeCell ref="D259:E259"/>
    <mergeCell ref="A260:B260"/>
    <mergeCell ref="D260:E260"/>
    <mergeCell ref="A261:B261"/>
    <mergeCell ref="D261:E261"/>
    <mergeCell ref="A262:B262"/>
    <mergeCell ref="D262:E262"/>
    <mergeCell ref="A263:J263"/>
    <mergeCell ref="A264:B264"/>
    <mergeCell ref="D264:E264"/>
    <mergeCell ref="I264:J269"/>
    <mergeCell ref="A99:B99"/>
    <mergeCell ref="D99:E99"/>
    <mergeCell ref="F99:G108"/>
    <mergeCell ref="H99:J108"/>
    <mergeCell ref="A100:B100"/>
    <mergeCell ref="D100:E100"/>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95:B95"/>
    <mergeCell ref="C95:J95"/>
    <mergeCell ref="E96:F96"/>
    <mergeCell ref="I96:J96"/>
    <mergeCell ref="A97:B97"/>
    <mergeCell ref="C97:J97"/>
    <mergeCell ref="A84:B84"/>
    <mergeCell ref="D84:E84"/>
    <mergeCell ref="F84:G84"/>
    <mergeCell ref="H84:J84"/>
    <mergeCell ref="A98:B98"/>
    <mergeCell ref="D98:E98"/>
    <mergeCell ref="F98:G98"/>
    <mergeCell ref="H98:J98"/>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79:B79"/>
    <mergeCell ref="D79:E79"/>
    <mergeCell ref="A80:B80"/>
    <mergeCell ref="A81:B81"/>
    <mergeCell ref="C81:J81"/>
    <mergeCell ref="E82:F82"/>
    <mergeCell ref="I82:J82"/>
    <mergeCell ref="A83:B83"/>
    <mergeCell ref="C83:J83"/>
    <mergeCell ref="F71:G80"/>
    <mergeCell ref="H71:J80"/>
    <mergeCell ref="A72:B72"/>
    <mergeCell ref="D72:E72"/>
    <mergeCell ref="A73:B73"/>
    <mergeCell ref="D73:E73"/>
    <mergeCell ref="A74:B74"/>
    <mergeCell ref="A94:B94"/>
    <mergeCell ref="D94:E94"/>
    <mergeCell ref="A71:B71"/>
    <mergeCell ref="D71:E71"/>
    <mergeCell ref="A204:J204"/>
    <mergeCell ref="A145:B145"/>
    <mergeCell ref="D145:F145"/>
    <mergeCell ref="G145:J145"/>
    <mergeCell ref="A127:F127"/>
    <mergeCell ref="G127:J127"/>
    <mergeCell ref="A150:J150"/>
    <mergeCell ref="A198:J198"/>
    <mergeCell ref="A67:B67"/>
    <mergeCell ref="C67:J67"/>
    <mergeCell ref="E68:F68"/>
    <mergeCell ref="I68:J68"/>
    <mergeCell ref="A69:B69"/>
    <mergeCell ref="C69:J69"/>
    <mergeCell ref="A70:B70"/>
    <mergeCell ref="D70:E70"/>
    <mergeCell ref="H70:J70"/>
    <mergeCell ref="D74:E74"/>
    <mergeCell ref="A75:B75"/>
    <mergeCell ref="D75:E75"/>
    <mergeCell ref="A76:B76"/>
    <mergeCell ref="D76:E76"/>
    <mergeCell ref="A77:B77"/>
    <mergeCell ref="D77:E77"/>
    <mergeCell ref="A92:B92"/>
    <mergeCell ref="D92:E92"/>
    <mergeCell ref="A93:B93"/>
    <mergeCell ref="D93:E93"/>
    <mergeCell ref="A78:B78"/>
    <mergeCell ref="D78:E78"/>
    <mergeCell ref="G132:J132"/>
    <mergeCell ref="A146:B146"/>
    <mergeCell ref="D274:E274"/>
    <mergeCell ref="D273:E273"/>
    <mergeCell ref="A267:B267"/>
    <mergeCell ref="D267:E267"/>
    <mergeCell ref="A268:B268"/>
    <mergeCell ref="D268:E268"/>
    <mergeCell ref="A269:B269"/>
    <mergeCell ref="D269:E269"/>
    <mergeCell ref="A249:J249"/>
    <mergeCell ref="A250:B250"/>
    <mergeCell ref="D250:E250"/>
    <mergeCell ref="I250:J255"/>
    <mergeCell ref="A251:B251"/>
    <mergeCell ref="D251:E251"/>
    <mergeCell ref="A252:B252"/>
    <mergeCell ref="I243:J248"/>
    <mergeCell ref="A232:B232"/>
    <mergeCell ref="A233:B233"/>
    <mergeCell ref="A234:B234"/>
    <mergeCell ref="A243:B243"/>
    <mergeCell ref="I229:J234"/>
    <mergeCell ref="D252:E252"/>
    <mergeCell ref="A253:B253"/>
    <mergeCell ref="D253:E253"/>
    <mergeCell ref="A254:B254"/>
    <mergeCell ref="D254:E254"/>
    <mergeCell ref="A255:B255"/>
    <mergeCell ref="D255:E255"/>
    <mergeCell ref="A265:B265"/>
    <mergeCell ref="D265:E265"/>
    <mergeCell ref="A266:B266"/>
    <mergeCell ref="D266:E266"/>
    <mergeCell ref="A430:B430"/>
    <mergeCell ref="A431:B431"/>
    <mergeCell ref="A433:B433"/>
    <mergeCell ref="A434:B434"/>
    <mergeCell ref="D454:E454"/>
    <mergeCell ref="D455:E455"/>
    <mergeCell ref="D456:E456"/>
    <mergeCell ref="D457:E457"/>
    <mergeCell ref="D458:E458"/>
    <mergeCell ref="D431:E431"/>
    <mergeCell ref="A441:J441"/>
    <mergeCell ref="A442:B442"/>
    <mergeCell ref="D442:E442"/>
    <mergeCell ref="A443:B443"/>
    <mergeCell ref="D443:E443"/>
    <mergeCell ref="A444:B444"/>
    <mergeCell ref="D444:E444"/>
    <mergeCell ref="A445:B445"/>
    <mergeCell ref="D445:E445"/>
    <mergeCell ref="A446:B446"/>
    <mergeCell ref="D446:E446"/>
    <mergeCell ref="A435:J435"/>
    <mergeCell ref="A436:B436"/>
    <mergeCell ref="D436:E436"/>
    <mergeCell ref="I436:J440"/>
    <mergeCell ref="A437:B437"/>
    <mergeCell ref="A438:B438"/>
    <mergeCell ref="D438:E438"/>
    <mergeCell ref="A439:B439"/>
    <mergeCell ref="D721:E721"/>
    <mergeCell ref="I723:J725"/>
    <mergeCell ref="I719:J721"/>
    <mergeCell ref="D428:E428"/>
    <mergeCell ref="A453:J453"/>
    <mergeCell ref="A423:J423"/>
    <mergeCell ref="D424:E424"/>
    <mergeCell ref="D425:E425"/>
    <mergeCell ref="D426:E426"/>
    <mergeCell ref="D427:E427"/>
    <mergeCell ref="I454:J458"/>
    <mergeCell ref="I424:J428"/>
    <mergeCell ref="A427:B427"/>
    <mergeCell ref="A428:B428"/>
    <mergeCell ref="A454:B454"/>
    <mergeCell ref="A455:B455"/>
    <mergeCell ref="A456:B456"/>
    <mergeCell ref="A457:B457"/>
    <mergeCell ref="A458:B458"/>
    <mergeCell ref="A432:B432"/>
    <mergeCell ref="A424:B424"/>
    <mergeCell ref="A425:B425"/>
    <mergeCell ref="A426:B426"/>
    <mergeCell ref="A429:J429"/>
    <mergeCell ref="I442:J446"/>
    <mergeCell ref="A478:B478"/>
    <mergeCell ref="D478:E478"/>
    <mergeCell ref="A473:J473"/>
    <mergeCell ref="D430:E430"/>
    <mergeCell ref="D432:E432"/>
    <mergeCell ref="D433:E433"/>
    <mergeCell ref="D434:E434"/>
    <mergeCell ref="D404:E404"/>
    <mergeCell ref="A414:J414"/>
    <mergeCell ref="D415:E415"/>
    <mergeCell ref="I415:J422"/>
    <mergeCell ref="A415:B415"/>
    <mergeCell ref="A416:B416"/>
    <mergeCell ref="A417:B417"/>
    <mergeCell ref="A418:B418"/>
    <mergeCell ref="A419:B419"/>
    <mergeCell ref="A420:B420"/>
    <mergeCell ref="A421:B421"/>
    <mergeCell ref="A422:B422"/>
    <mergeCell ref="I397:J404"/>
    <mergeCell ref="D401:E401"/>
    <mergeCell ref="D402:E402"/>
    <mergeCell ref="D403:E403"/>
    <mergeCell ref="D410:E410"/>
    <mergeCell ref="D411:E411"/>
    <mergeCell ref="D412:E412"/>
    <mergeCell ref="D413:E413"/>
    <mergeCell ref="A405:J405"/>
    <mergeCell ref="D406:E406"/>
    <mergeCell ref="D407:E407"/>
    <mergeCell ref="D408:E408"/>
    <mergeCell ref="D409:E409"/>
    <mergeCell ref="C416:G418"/>
    <mergeCell ref="A404:B404"/>
    <mergeCell ref="D419:E419"/>
    <mergeCell ref="D420:E420"/>
    <mergeCell ref="D394:E394"/>
    <mergeCell ref="D395:E395"/>
    <mergeCell ref="A396:J396"/>
    <mergeCell ref="D397:E397"/>
    <mergeCell ref="A397:B397"/>
    <mergeCell ref="A398:B398"/>
    <mergeCell ref="A399:B399"/>
    <mergeCell ref="A400:B400"/>
    <mergeCell ref="A401:B401"/>
    <mergeCell ref="A402:B402"/>
    <mergeCell ref="A403:B403"/>
    <mergeCell ref="I388:J395"/>
    <mergeCell ref="A388:B388"/>
    <mergeCell ref="A389:B389"/>
    <mergeCell ref="A390:B390"/>
    <mergeCell ref="A391:B391"/>
    <mergeCell ref="A392:B392"/>
    <mergeCell ref="A393:B393"/>
    <mergeCell ref="A394:B394"/>
    <mergeCell ref="A395:B395"/>
    <mergeCell ref="C389:G391"/>
    <mergeCell ref="C398:G400"/>
    <mergeCell ref="D377:E377"/>
    <mergeCell ref="I406:J413"/>
    <mergeCell ref="A406:B406"/>
    <mergeCell ref="A407:B407"/>
    <mergeCell ref="A408:B408"/>
    <mergeCell ref="A409:B409"/>
    <mergeCell ref="A410:B410"/>
    <mergeCell ref="A411:B411"/>
    <mergeCell ref="A412:B412"/>
    <mergeCell ref="A413:B413"/>
    <mergeCell ref="D379:E379"/>
    <mergeCell ref="D380:E380"/>
    <mergeCell ref="D381:E381"/>
    <mergeCell ref="D382:E382"/>
    <mergeCell ref="D383:E383"/>
    <mergeCell ref="A378:J378"/>
    <mergeCell ref="I379:J386"/>
    <mergeCell ref="A379:B379"/>
    <mergeCell ref="A380:B380"/>
    <mergeCell ref="A381:B381"/>
    <mergeCell ref="A382:B382"/>
    <mergeCell ref="A383:B383"/>
    <mergeCell ref="A384:B384"/>
    <mergeCell ref="A385:B385"/>
    <mergeCell ref="A386:B386"/>
    <mergeCell ref="D392:E392"/>
    <mergeCell ref="D393:E393"/>
    <mergeCell ref="D384:E384"/>
    <mergeCell ref="D385:E385"/>
    <mergeCell ref="D386:E386"/>
    <mergeCell ref="A387:J387"/>
    <mergeCell ref="D388:E388"/>
    <mergeCell ref="A369:J369"/>
    <mergeCell ref="D370:E370"/>
    <mergeCell ref="C371:G371"/>
    <mergeCell ref="C372:G372"/>
    <mergeCell ref="C353:G353"/>
    <mergeCell ref="C354:G354"/>
    <mergeCell ref="D355:E355"/>
    <mergeCell ref="D356:E356"/>
    <mergeCell ref="D357:E357"/>
    <mergeCell ref="I370:J377"/>
    <mergeCell ref="A370:B370"/>
    <mergeCell ref="A371:B371"/>
    <mergeCell ref="A372:B372"/>
    <mergeCell ref="A373:B373"/>
    <mergeCell ref="A374:B374"/>
    <mergeCell ref="A375:B375"/>
    <mergeCell ref="A376:B376"/>
    <mergeCell ref="A377:B377"/>
    <mergeCell ref="D365:E365"/>
    <mergeCell ref="D366:E366"/>
    <mergeCell ref="D367:E367"/>
    <mergeCell ref="A368:J368"/>
    <mergeCell ref="I351:J358"/>
    <mergeCell ref="D358:E358"/>
    <mergeCell ref="D361:E361"/>
    <mergeCell ref="D362:E362"/>
    <mergeCell ref="D363:E363"/>
    <mergeCell ref="D364:E364"/>
    <mergeCell ref="C373:G373"/>
    <mergeCell ref="D374:E374"/>
    <mergeCell ref="D375:E375"/>
    <mergeCell ref="D376:E376"/>
    <mergeCell ref="D360:E360"/>
    <mergeCell ref="I342:J349"/>
    <mergeCell ref="I360:J367"/>
    <mergeCell ref="D348:E348"/>
    <mergeCell ref="D349:E349"/>
    <mergeCell ref="A360:B360"/>
    <mergeCell ref="A361:B361"/>
    <mergeCell ref="A362:B362"/>
    <mergeCell ref="A363:B363"/>
    <mergeCell ref="A364:B364"/>
    <mergeCell ref="A365:B365"/>
    <mergeCell ref="A366:B366"/>
    <mergeCell ref="A367:B367"/>
    <mergeCell ref="A342:B342"/>
    <mergeCell ref="A343:B343"/>
    <mergeCell ref="D345:E345"/>
    <mergeCell ref="A359:J359"/>
    <mergeCell ref="A353:B353"/>
    <mergeCell ref="A354:B354"/>
    <mergeCell ref="A355:B355"/>
    <mergeCell ref="A356:B356"/>
    <mergeCell ref="A350:J350"/>
    <mergeCell ref="D351:E351"/>
    <mergeCell ref="C352:G352"/>
    <mergeCell ref="D343:E343"/>
    <mergeCell ref="D344:E344"/>
    <mergeCell ref="A344:B344"/>
    <mergeCell ref="A345:B345"/>
    <mergeCell ref="A346:B346"/>
    <mergeCell ref="A347:B347"/>
    <mergeCell ref="A348:B348"/>
    <mergeCell ref="A349:B349"/>
    <mergeCell ref="C326:G326"/>
    <mergeCell ref="A324:B324"/>
    <mergeCell ref="A325:B325"/>
    <mergeCell ref="A326:B326"/>
    <mergeCell ref="A327:B327"/>
    <mergeCell ref="A328:B328"/>
    <mergeCell ref="A329:B329"/>
    <mergeCell ref="A330:B330"/>
    <mergeCell ref="A331:B331"/>
    <mergeCell ref="I324:J328"/>
    <mergeCell ref="I329:J331"/>
    <mergeCell ref="D346:E346"/>
    <mergeCell ref="D347:E347"/>
    <mergeCell ref="D337:E337"/>
    <mergeCell ref="D338:E338"/>
    <mergeCell ref="D339:E339"/>
    <mergeCell ref="D340:E340"/>
    <mergeCell ref="A332:J332"/>
    <mergeCell ref="D333:E333"/>
    <mergeCell ref="D334:E334"/>
    <mergeCell ref="D335:E335"/>
    <mergeCell ref="D336:E336"/>
    <mergeCell ref="I333:J340"/>
    <mergeCell ref="A333:B333"/>
    <mergeCell ref="A334:B334"/>
    <mergeCell ref="A335:B335"/>
    <mergeCell ref="A300:J300"/>
    <mergeCell ref="A304:J304"/>
    <mergeCell ref="D319:E319"/>
    <mergeCell ref="D320:E320"/>
    <mergeCell ref="D308:E308"/>
    <mergeCell ref="D309:E309"/>
    <mergeCell ref="D310:E310"/>
    <mergeCell ref="I315:J322"/>
    <mergeCell ref="A322:B322"/>
    <mergeCell ref="A311:B311"/>
    <mergeCell ref="A313:B313"/>
    <mergeCell ref="D306:E306"/>
    <mergeCell ref="D307:E307"/>
    <mergeCell ref="A315:B315"/>
    <mergeCell ref="A316:B316"/>
    <mergeCell ref="A317:B317"/>
    <mergeCell ref="A312:B312"/>
    <mergeCell ref="A314:J314"/>
    <mergeCell ref="D315:E315"/>
    <mergeCell ref="D316:E316"/>
    <mergeCell ref="D317:E317"/>
    <mergeCell ref="I306:J313"/>
    <mergeCell ref="C312:H313"/>
    <mergeCell ref="A306:B306"/>
    <mergeCell ref="A307:B307"/>
    <mergeCell ref="A308:B308"/>
    <mergeCell ref="A309:B309"/>
    <mergeCell ref="A310:B310"/>
    <mergeCell ref="A301:J301"/>
    <mergeCell ref="D900:E900"/>
    <mergeCell ref="I900:J900"/>
    <mergeCell ref="A894:B894"/>
    <mergeCell ref="D894:E894"/>
    <mergeCell ref="D311:E311"/>
    <mergeCell ref="D321:E321"/>
    <mergeCell ref="A305:J305"/>
    <mergeCell ref="A318:B318"/>
    <mergeCell ref="A319:B319"/>
    <mergeCell ref="A320:B320"/>
    <mergeCell ref="A321:B321"/>
    <mergeCell ref="D318:E318"/>
    <mergeCell ref="A471:J471"/>
    <mergeCell ref="D328:E328"/>
    <mergeCell ref="D329:E329"/>
    <mergeCell ref="D330:E330"/>
    <mergeCell ref="D331:E331"/>
    <mergeCell ref="C327:G327"/>
    <mergeCell ref="A323:J323"/>
    <mergeCell ref="A336:B336"/>
    <mergeCell ref="A896:B896"/>
    <mergeCell ref="A337:B337"/>
    <mergeCell ref="D896:E896"/>
    <mergeCell ref="A338:B338"/>
    <mergeCell ref="A339:B339"/>
    <mergeCell ref="A340:B340"/>
    <mergeCell ref="A351:B351"/>
    <mergeCell ref="A352:B352"/>
    <mergeCell ref="A357:B357"/>
    <mergeCell ref="A358:B358"/>
    <mergeCell ref="A341:J341"/>
    <mergeCell ref="D342:E342"/>
    <mergeCell ref="A912:B912"/>
    <mergeCell ref="D912:E912"/>
    <mergeCell ref="I909:J909"/>
    <mergeCell ref="A910:B910"/>
    <mergeCell ref="D910:E910"/>
    <mergeCell ref="I910:J910"/>
    <mergeCell ref="A897:B897"/>
    <mergeCell ref="D897:E897"/>
    <mergeCell ref="I897:J897"/>
    <mergeCell ref="A898:B898"/>
    <mergeCell ref="I912:J912"/>
    <mergeCell ref="A909:B909"/>
    <mergeCell ref="D909:E909"/>
    <mergeCell ref="A905:B905"/>
    <mergeCell ref="D905:E905"/>
    <mergeCell ref="I905:J905"/>
    <mergeCell ref="A906:B906"/>
    <mergeCell ref="D906:E906"/>
    <mergeCell ref="I906:J906"/>
    <mergeCell ref="A907:B907"/>
    <mergeCell ref="D907:E907"/>
    <mergeCell ref="I907:J907"/>
    <mergeCell ref="A908:B908"/>
    <mergeCell ref="D908:E908"/>
    <mergeCell ref="D898:E898"/>
    <mergeCell ref="I898:J898"/>
    <mergeCell ref="A903:B903"/>
    <mergeCell ref="D903:E903"/>
    <mergeCell ref="A899:B899"/>
    <mergeCell ref="D899:E899"/>
    <mergeCell ref="I899:J899"/>
    <mergeCell ref="A900:B900"/>
    <mergeCell ref="A279:J279"/>
    <mergeCell ref="D280:E280"/>
    <mergeCell ref="D281:E281"/>
    <mergeCell ref="D217:E217"/>
    <mergeCell ref="D206:E206"/>
    <mergeCell ref="D207:E207"/>
    <mergeCell ref="D208:E208"/>
    <mergeCell ref="C284:H285"/>
    <mergeCell ref="D236:E236"/>
    <mergeCell ref="A235:J235"/>
    <mergeCell ref="D237:E237"/>
    <mergeCell ref="D215:E215"/>
    <mergeCell ref="D216:E216"/>
    <mergeCell ref="D218:E218"/>
    <mergeCell ref="D243:E243"/>
    <mergeCell ref="D222:E222"/>
    <mergeCell ref="D230:E230"/>
    <mergeCell ref="D282:E282"/>
    <mergeCell ref="D283:E283"/>
    <mergeCell ref="A270:J270"/>
    <mergeCell ref="I220:J225"/>
    <mergeCell ref="I236:J241"/>
    <mergeCell ref="I271:J276"/>
    <mergeCell ref="A236:B236"/>
    <mergeCell ref="A237:B237"/>
    <mergeCell ref="A238:B238"/>
    <mergeCell ref="A239:B239"/>
    <mergeCell ref="A271:B271"/>
    <mergeCell ref="A272:B272"/>
    <mergeCell ref="A273:B273"/>
    <mergeCell ref="A274:B274"/>
    <mergeCell ref="A221:B221"/>
    <mergeCell ref="D290:E290"/>
    <mergeCell ref="D291:E291"/>
    <mergeCell ref="I908:J908"/>
    <mergeCell ref="A911:B911"/>
    <mergeCell ref="D911:E911"/>
    <mergeCell ref="I911:J911"/>
    <mergeCell ref="D901:E901"/>
    <mergeCell ref="I901:J901"/>
    <mergeCell ref="A902:B902"/>
    <mergeCell ref="D902:E902"/>
    <mergeCell ref="I902:J902"/>
    <mergeCell ref="A901:B901"/>
    <mergeCell ref="I903:J903"/>
    <mergeCell ref="A904:B904"/>
    <mergeCell ref="D904:E904"/>
    <mergeCell ref="I904:J904"/>
    <mergeCell ref="I894:J894"/>
    <mergeCell ref="A895:B895"/>
    <mergeCell ref="D895:E895"/>
    <mergeCell ref="I895:J895"/>
    <mergeCell ref="D324:E324"/>
    <mergeCell ref="C325:G325"/>
    <mergeCell ref="A472:J472"/>
    <mergeCell ref="D322:E322"/>
    <mergeCell ref="A479:B479"/>
    <mergeCell ref="D479:E479"/>
    <mergeCell ref="A477:B477"/>
    <mergeCell ref="A727:J727"/>
    <mergeCell ref="A728:J728"/>
    <mergeCell ref="A729:J729"/>
    <mergeCell ref="A302:J302"/>
    <mergeCell ref="A303:J303"/>
    <mergeCell ref="I896:J896"/>
    <mergeCell ref="A888:B888"/>
    <mergeCell ref="D888:E888"/>
    <mergeCell ref="I888:J888"/>
    <mergeCell ref="A889:B889"/>
    <mergeCell ref="D889:E889"/>
    <mergeCell ref="I889:J889"/>
    <mergeCell ref="A885:B885"/>
    <mergeCell ref="D885:E885"/>
    <mergeCell ref="I885:J885"/>
    <mergeCell ref="A886:B886"/>
    <mergeCell ref="D886:E886"/>
    <mergeCell ref="I886:J886"/>
    <mergeCell ref="A887:B887"/>
    <mergeCell ref="D887:E887"/>
    <mergeCell ref="I887:J887"/>
    <mergeCell ref="A893:B893"/>
    <mergeCell ref="D893:E893"/>
    <mergeCell ref="I893:J893"/>
    <mergeCell ref="A890:B890"/>
    <mergeCell ref="D890:E890"/>
    <mergeCell ref="I890:J890"/>
    <mergeCell ref="A891:B891"/>
    <mergeCell ref="D891:E891"/>
    <mergeCell ref="I891:J891"/>
    <mergeCell ref="A892:B892"/>
    <mergeCell ref="D892:E892"/>
    <mergeCell ref="I892:J892"/>
    <mergeCell ref="A881:B881"/>
    <mergeCell ref="D881:E881"/>
    <mergeCell ref="I881:J881"/>
    <mergeCell ref="A882:B882"/>
    <mergeCell ref="D882:E882"/>
    <mergeCell ref="I882:J882"/>
    <mergeCell ref="A883:B883"/>
    <mergeCell ref="D883:E883"/>
    <mergeCell ref="I883:J883"/>
    <mergeCell ref="A880:B880"/>
    <mergeCell ref="D880:E880"/>
    <mergeCell ref="I880:J880"/>
    <mergeCell ref="A877:B877"/>
    <mergeCell ref="D877:E877"/>
    <mergeCell ref="I877:J877"/>
    <mergeCell ref="A878:B878"/>
    <mergeCell ref="D878:E878"/>
    <mergeCell ref="I878:J878"/>
    <mergeCell ref="A871:B871"/>
    <mergeCell ref="D871:E871"/>
    <mergeCell ref="I871:J871"/>
    <mergeCell ref="A879:B879"/>
    <mergeCell ref="D879:E879"/>
    <mergeCell ref="I879:J879"/>
    <mergeCell ref="A875:B875"/>
    <mergeCell ref="D875:E875"/>
    <mergeCell ref="I875:J875"/>
    <mergeCell ref="A876:B876"/>
    <mergeCell ref="D876:E876"/>
    <mergeCell ref="I876:J876"/>
    <mergeCell ref="A872:B872"/>
    <mergeCell ref="D872:E872"/>
    <mergeCell ref="I872:J872"/>
    <mergeCell ref="A873:B873"/>
    <mergeCell ref="D873:E873"/>
    <mergeCell ref="I873:J873"/>
    <mergeCell ref="A874:B874"/>
    <mergeCell ref="D874:E874"/>
    <mergeCell ref="I874:J874"/>
    <mergeCell ref="A778:B778"/>
    <mergeCell ref="D778:E778"/>
    <mergeCell ref="I778:J778"/>
    <mergeCell ref="A779:B779"/>
    <mergeCell ref="D779:E779"/>
    <mergeCell ref="I779:J779"/>
    <mergeCell ref="A775:B775"/>
    <mergeCell ref="D775:E775"/>
    <mergeCell ref="I775:J775"/>
    <mergeCell ref="A867:B867"/>
    <mergeCell ref="D867:E867"/>
    <mergeCell ref="I867:J867"/>
    <mergeCell ref="A869:B869"/>
    <mergeCell ref="D869:E869"/>
    <mergeCell ref="I869:J869"/>
    <mergeCell ref="A870:B870"/>
    <mergeCell ref="D870:E870"/>
    <mergeCell ref="I870:J870"/>
    <mergeCell ref="A868:B868"/>
    <mergeCell ref="D868:E868"/>
    <mergeCell ref="I868:J868"/>
    <mergeCell ref="D865:E865"/>
    <mergeCell ref="I865:J865"/>
    <mergeCell ref="A866:B866"/>
    <mergeCell ref="D866:E866"/>
    <mergeCell ref="I866:J866"/>
    <mergeCell ref="A839:B839"/>
    <mergeCell ref="D839:E839"/>
    <mergeCell ref="I839:J839"/>
    <mergeCell ref="A864:B864"/>
    <mergeCell ref="D864:E864"/>
    <mergeCell ref="I864:J864"/>
    <mergeCell ref="I742:J742"/>
    <mergeCell ref="A744:B744"/>
    <mergeCell ref="D744:E744"/>
    <mergeCell ref="I744:J744"/>
    <mergeCell ref="A743:B743"/>
    <mergeCell ref="D743:E743"/>
    <mergeCell ref="I743:J743"/>
    <mergeCell ref="A740:B740"/>
    <mergeCell ref="D740:E740"/>
    <mergeCell ref="A776:B776"/>
    <mergeCell ref="D776:E776"/>
    <mergeCell ref="I776:J776"/>
    <mergeCell ref="A777:B777"/>
    <mergeCell ref="D777:E777"/>
    <mergeCell ref="I777:J777"/>
    <mergeCell ref="A763:B763"/>
    <mergeCell ref="D763:E763"/>
    <mergeCell ref="I763:J763"/>
    <mergeCell ref="A718:J718"/>
    <mergeCell ref="A722:J722"/>
    <mergeCell ref="D723:E723"/>
    <mergeCell ref="D724:E724"/>
    <mergeCell ref="D725:E725"/>
    <mergeCell ref="D719:E719"/>
    <mergeCell ref="D720:E720"/>
    <mergeCell ref="D271:E271"/>
    <mergeCell ref="D272:E272"/>
    <mergeCell ref="A242:J242"/>
    <mergeCell ref="D229:E229"/>
    <mergeCell ref="A762:B762"/>
    <mergeCell ref="D762:E762"/>
    <mergeCell ref="I762:J762"/>
    <mergeCell ref="A745:B745"/>
    <mergeCell ref="D745:E745"/>
    <mergeCell ref="I745:J745"/>
    <mergeCell ref="A759:B759"/>
    <mergeCell ref="D759:E759"/>
    <mergeCell ref="I759:J759"/>
    <mergeCell ref="A760:B760"/>
    <mergeCell ref="D760:E760"/>
    <mergeCell ref="I760:J760"/>
    <mergeCell ref="A761:B761"/>
    <mergeCell ref="D761:E761"/>
    <mergeCell ref="I761:J761"/>
    <mergeCell ref="I740:J740"/>
    <mergeCell ref="A741:B741"/>
    <mergeCell ref="D741:E741"/>
    <mergeCell ref="I741:J741"/>
    <mergeCell ref="A742:B742"/>
    <mergeCell ref="D742:E742"/>
    <mergeCell ref="D232:E232"/>
    <mergeCell ref="D233:E233"/>
    <mergeCell ref="A222:B222"/>
    <mergeCell ref="A223:B223"/>
    <mergeCell ref="A224:B224"/>
    <mergeCell ref="A225:B225"/>
    <mergeCell ref="C224:H225"/>
    <mergeCell ref="I739:J739"/>
    <mergeCell ref="A707:J707"/>
    <mergeCell ref="A708:J708"/>
    <mergeCell ref="A709:J709"/>
    <mergeCell ref="A710:J710"/>
    <mergeCell ref="A711:J711"/>
    <mergeCell ref="A712:J712"/>
    <mergeCell ref="A713:J713"/>
    <mergeCell ref="A714:J714"/>
    <mergeCell ref="A715:J715"/>
    <mergeCell ref="A717:B717"/>
    <mergeCell ref="D717:E717"/>
    <mergeCell ref="I717:J717"/>
    <mergeCell ref="A726:J726"/>
    <mergeCell ref="A736:J738"/>
    <mergeCell ref="A735:B735"/>
    <mergeCell ref="E735:G735"/>
    <mergeCell ref="C735:D735"/>
    <mergeCell ref="H735:J735"/>
    <mergeCell ref="A730:J730"/>
    <mergeCell ref="A731:J731"/>
    <mergeCell ref="A733:J733"/>
    <mergeCell ref="A734:J734"/>
    <mergeCell ref="A716:J716"/>
    <mergeCell ref="A732:J732"/>
    <mergeCell ref="D247:E247"/>
    <mergeCell ref="A226:J226"/>
    <mergeCell ref="A227:J227"/>
    <mergeCell ref="A228:J228"/>
    <mergeCell ref="A206:B206"/>
    <mergeCell ref="A207:B207"/>
    <mergeCell ref="A208:B208"/>
    <mergeCell ref="A210:B210"/>
    <mergeCell ref="A211:B211"/>
    <mergeCell ref="A209:B209"/>
    <mergeCell ref="C209:H209"/>
    <mergeCell ref="A203:J203"/>
    <mergeCell ref="D248:E248"/>
    <mergeCell ref="D244:E244"/>
    <mergeCell ref="D245:E245"/>
    <mergeCell ref="D246:E246"/>
    <mergeCell ref="A244:B244"/>
    <mergeCell ref="A245:B245"/>
    <mergeCell ref="A213:B213"/>
    <mergeCell ref="A214:B214"/>
    <mergeCell ref="A246:B246"/>
    <mergeCell ref="A247:B247"/>
    <mergeCell ref="A248:B248"/>
    <mergeCell ref="D238:E238"/>
    <mergeCell ref="I213:J218"/>
    <mergeCell ref="I206:J211"/>
    <mergeCell ref="A212:J212"/>
    <mergeCell ref="D213:E213"/>
    <mergeCell ref="D214:E214"/>
    <mergeCell ref="A217:B217"/>
    <mergeCell ref="A218:B218"/>
    <mergeCell ref="A220:B220"/>
    <mergeCell ref="D146:F146"/>
    <mergeCell ref="A240:B240"/>
    <mergeCell ref="C240:H241"/>
    <mergeCell ref="A241:B241"/>
    <mergeCell ref="D223:E223"/>
    <mergeCell ref="D166:E166"/>
    <mergeCell ref="A180:B180"/>
    <mergeCell ref="D180:E180"/>
    <mergeCell ref="I163:J180"/>
    <mergeCell ref="A173:B173"/>
    <mergeCell ref="D173:E173"/>
    <mergeCell ref="D182:E182"/>
    <mergeCell ref="A191:B191"/>
    <mergeCell ref="D191:E191"/>
    <mergeCell ref="A192:B192"/>
    <mergeCell ref="D192:E192"/>
    <mergeCell ref="A202:J202"/>
    <mergeCell ref="A196:B196"/>
    <mergeCell ref="D196:E196"/>
    <mergeCell ref="I182:J196"/>
    <mergeCell ref="A199:B199"/>
    <mergeCell ref="D199:E199"/>
    <mergeCell ref="I199:J199"/>
    <mergeCell ref="A205:J205"/>
    <mergeCell ref="D211:E211"/>
    <mergeCell ref="D234:E234"/>
    <mergeCell ref="D239:E239"/>
    <mergeCell ref="A229:B229"/>
    <mergeCell ref="A230:B230"/>
    <mergeCell ref="A231:B231"/>
    <mergeCell ref="D210:E210"/>
    <mergeCell ref="D231:E231"/>
    <mergeCell ref="A144:B144"/>
    <mergeCell ref="A143:B143"/>
    <mergeCell ref="G144:J144"/>
    <mergeCell ref="A134:F134"/>
    <mergeCell ref="G134:J134"/>
    <mergeCell ref="A128:F128"/>
    <mergeCell ref="G128:J128"/>
    <mergeCell ref="D143:F143"/>
    <mergeCell ref="G143:J143"/>
    <mergeCell ref="D144:F144"/>
    <mergeCell ref="A142:J142"/>
    <mergeCell ref="G148:J148"/>
    <mergeCell ref="G146:J146"/>
    <mergeCell ref="A148:B148"/>
    <mergeCell ref="D148:F148"/>
    <mergeCell ref="A201:J201"/>
    <mergeCell ref="A200:J200"/>
    <mergeCell ref="A135:F135"/>
    <mergeCell ref="G135:J135"/>
    <mergeCell ref="A136:F136"/>
    <mergeCell ref="G136:J136"/>
    <mergeCell ref="A131:F131"/>
    <mergeCell ref="G131:J131"/>
    <mergeCell ref="A133:F133"/>
    <mergeCell ref="G133:J133"/>
    <mergeCell ref="A132:F132"/>
    <mergeCell ref="A193:B193"/>
    <mergeCell ref="D193:E193"/>
    <mergeCell ref="A194:B194"/>
    <mergeCell ref="D194:E194"/>
    <mergeCell ref="A195:B195"/>
    <mergeCell ref="D195:E195"/>
    <mergeCell ref="A39:E39"/>
    <mergeCell ref="A40:E40"/>
    <mergeCell ref="A34:B34"/>
    <mergeCell ref="A29:B29"/>
    <mergeCell ref="C29:D29"/>
    <mergeCell ref="A219:J219"/>
    <mergeCell ref="D220:E220"/>
    <mergeCell ref="D221:E221"/>
    <mergeCell ref="A215:B215"/>
    <mergeCell ref="A216:B216"/>
    <mergeCell ref="A123:J123"/>
    <mergeCell ref="A124:F124"/>
    <mergeCell ref="G124:J124"/>
    <mergeCell ref="D80:E80"/>
    <mergeCell ref="A47:B47"/>
    <mergeCell ref="A50:B50"/>
    <mergeCell ref="A49:B49"/>
    <mergeCell ref="I49:J49"/>
    <mergeCell ref="I50:J50"/>
    <mergeCell ref="F70:G70"/>
    <mergeCell ref="A62:C62"/>
    <mergeCell ref="D62:J62"/>
    <mergeCell ref="A51:B51"/>
    <mergeCell ref="A55:J55"/>
    <mergeCell ref="A56:C56"/>
    <mergeCell ref="A53:B53"/>
    <mergeCell ref="A125:F125"/>
    <mergeCell ref="G125:J125"/>
    <mergeCell ref="A126:F126"/>
    <mergeCell ref="G126:J126"/>
    <mergeCell ref="A181:J181"/>
    <mergeCell ref="A182:B182"/>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20:E21"/>
    <mergeCell ref="H19:J19"/>
    <mergeCell ref="A17:B17"/>
    <mergeCell ref="C17:E17"/>
    <mergeCell ref="F17:G17"/>
    <mergeCell ref="H17:J17"/>
    <mergeCell ref="A19:B19"/>
    <mergeCell ref="A12:E12"/>
    <mergeCell ref="F12:J12"/>
    <mergeCell ref="A13:E13"/>
    <mergeCell ref="F19:G19"/>
    <mergeCell ref="C18:E18"/>
    <mergeCell ref="F18:G18"/>
    <mergeCell ref="F20:J21"/>
    <mergeCell ref="F13:J13"/>
    <mergeCell ref="A14:B14"/>
    <mergeCell ref="F40:J40"/>
    <mergeCell ref="A36:E36"/>
    <mergeCell ref="A35:J35"/>
    <mergeCell ref="A37:E37"/>
    <mergeCell ref="A10:E10"/>
    <mergeCell ref="F10:J10"/>
    <mergeCell ref="A16:B16"/>
    <mergeCell ref="C16:E16"/>
    <mergeCell ref="F16:G16"/>
    <mergeCell ref="H16:J16"/>
    <mergeCell ref="A15:B15"/>
    <mergeCell ref="H18:J18"/>
    <mergeCell ref="C19:E19"/>
    <mergeCell ref="F22:J23"/>
    <mergeCell ref="A11:E11"/>
    <mergeCell ref="F11:J11"/>
    <mergeCell ref="A46:B46"/>
    <mergeCell ref="A41:E41"/>
    <mergeCell ref="F41:J41"/>
    <mergeCell ref="A42:E42"/>
    <mergeCell ref="F42:J42"/>
    <mergeCell ref="A43:E43"/>
    <mergeCell ref="F43:J43"/>
    <mergeCell ref="A44:E44"/>
    <mergeCell ref="F44:J44"/>
    <mergeCell ref="A45:J45"/>
    <mergeCell ref="F37:J37"/>
    <mergeCell ref="A38:J38"/>
    <mergeCell ref="A32:J32"/>
    <mergeCell ref="A33:B33"/>
    <mergeCell ref="A22:E23"/>
    <mergeCell ref="F39:J39"/>
    <mergeCell ref="C34:J34"/>
    <mergeCell ref="E29:F29"/>
    <mergeCell ref="A25:E25"/>
    <mergeCell ref="A26:E26"/>
    <mergeCell ref="F36:J36"/>
    <mergeCell ref="A31:J31"/>
    <mergeCell ref="E28:F28"/>
    <mergeCell ref="G28:H28"/>
    <mergeCell ref="I28:J28"/>
    <mergeCell ref="G29:H29"/>
    <mergeCell ref="I29:J29"/>
    <mergeCell ref="A28:B28"/>
    <mergeCell ref="C28:D28"/>
    <mergeCell ref="A30:B30"/>
    <mergeCell ref="C30:D30"/>
    <mergeCell ref="E30:F30"/>
    <mergeCell ref="G30:H30"/>
    <mergeCell ref="I30:J30"/>
    <mergeCell ref="A470:J470"/>
    <mergeCell ref="I294:J299"/>
    <mergeCell ref="D297:E297"/>
    <mergeCell ref="A293:J293"/>
    <mergeCell ref="D294:E294"/>
    <mergeCell ref="C14:J14"/>
    <mergeCell ref="C15:J15"/>
    <mergeCell ref="F26:J26"/>
    <mergeCell ref="F25:J25"/>
    <mergeCell ref="A27:E27"/>
    <mergeCell ref="F27:J27"/>
    <mergeCell ref="A24:E24"/>
    <mergeCell ref="F24:J24"/>
    <mergeCell ref="A18:B18"/>
    <mergeCell ref="D295:E295"/>
    <mergeCell ref="C298:H299"/>
    <mergeCell ref="A299:B299"/>
    <mergeCell ref="A296:B296"/>
    <mergeCell ref="A297:B297"/>
    <mergeCell ref="A284:B284"/>
    <mergeCell ref="A285:B285"/>
    <mergeCell ref="A275:B275"/>
    <mergeCell ref="C275:H276"/>
    <mergeCell ref="A276:B276"/>
    <mergeCell ref="A287:B287"/>
    <mergeCell ref="A288:B288"/>
    <mergeCell ref="A289:B289"/>
    <mergeCell ref="A290:B290"/>
    <mergeCell ref="A280:B280"/>
    <mergeCell ref="A281:B281"/>
    <mergeCell ref="A282:B282"/>
    <mergeCell ref="A283:B283"/>
    <mergeCell ref="A561:J561"/>
    <mergeCell ref="A562:B562"/>
    <mergeCell ref="D562:E562"/>
    <mergeCell ref="I562:J569"/>
    <mergeCell ref="A563:B563"/>
    <mergeCell ref="D563:E563"/>
    <mergeCell ref="A564:B564"/>
    <mergeCell ref="D564:E564"/>
    <mergeCell ref="A565:B565"/>
    <mergeCell ref="D565:E565"/>
    <mergeCell ref="A566:B566"/>
    <mergeCell ref="D566:E566"/>
    <mergeCell ref="A567:B567"/>
    <mergeCell ref="D567:E567"/>
    <mergeCell ref="A568:B568"/>
    <mergeCell ref="D568:E568"/>
    <mergeCell ref="A569:B569"/>
    <mergeCell ref="D569:E569"/>
    <mergeCell ref="A781:B781"/>
    <mergeCell ref="D781:E781"/>
    <mergeCell ref="I781:J781"/>
    <mergeCell ref="A782:B782"/>
    <mergeCell ref="D782:E782"/>
    <mergeCell ref="I782:J782"/>
    <mergeCell ref="A783:B783"/>
    <mergeCell ref="D783:E783"/>
    <mergeCell ref="I783:J783"/>
    <mergeCell ref="A784:B784"/>
    <mergeCell ref="D784:E784"/>
    <mergeCell ref="I784:J784"/>
    <mergeCell ref="A785:B785"/>
    <mergeCell ref="D785:E785"/>
    <mergeCell ref="I785:J785"/>
    <mergeCell ref="A786:B786"/>
    <mergeCell ref="D786:E786"/>
    <mergeCell ref="I786:J786"/>
    <mergeCell ref="A817:B817"/>
    <mergeCell ref="D817:E817"/>
    <mergeCell ref="I817:J817"/>
    <mergeCell ref="A818:B818"/>
    <mergeCell ref="D818:E818"/>
    <mergeCell ref="I818:J818"/>
    <mergeCell ref="A819:B819"/>
    <mergeCell ref="D819:E819"/>
    <mergeCell ref="I819:J819"/>
    <mergeCell ref="A820:B820"/>
    <mergeCell ref="D820:E820"/>
    <mergeCell ref="I820:J820"/>
    <mergeCell ref="C33:J33"/>
    <mergeCell ref="A800:B800"/>
    <mergeCell ref="D800:E800"/>
    <mergeCell ref="I800:J800"/>
    <mergeCell ref="A801:B801"/>
    <mergeCell ref="D801:E801"/>
    <mergeCell ref="I801:J801"/>
    <mergeCell ref="A802:B802"/>
    <mergeCell ref="D802:E802"/>
    <mergeCell ref="I802:J802"/>
    <mergeCell ref="A803:B803"/>
    <mergeCell ref="D803:E803"/>
    <mergeCell ref="I803:J803"/>
    <mergeCell ref="A804:B804"/>
    <mergeCell ref="D804:E804"/>
    <mergeCell ref="I804:J804"/>
    <mergeCell ref="A816:B816"/>
    <mergeCell ref="D816:E816"/>
    <mergeCell ref="I816:J816"/>
    <mergeCell ref="I780:J780"/>
    <mergeCell ref="A298:B298"/>
    <mergeCell ref="M182:N182"/>
    <mergeCell ref="A183:B183"/>
    <mergeCell ref="D183:E183"/>
    <mergeCell ref="A184:B184"/>
    <mergeCell ref="D184:E184"/>
    <mergeCell ref="A185:B185"/>
    <mergeCell ref="D185:E185"/>
    <mergeCell ref="A186:B186"/>
    <mergeCell ref="D186:E186"/>
    <mergeCell ref="A187:B187"/>
    <mergeCell ref="D187:E187"/>
    <mergeCell ref="A188:B188"/>
    <mergeCell ref="D188:E188"/>
    <mergeCell ref="A189:B189"/>
    <mergeCell ref="D189:E189"/>
    <mergeCell ref="A190:B190"/>
    <mergeCell ref="D190:E190"/>
    <mergeCell ref="A291:B291"/>
    <mergeCell ref="A292:B292"/>
    <mergeCell ref="A294:B294"/>
    <mergeCell ref="A295:B295"/>
    <mergeCell ref="A286:J286"/>
    <mergeCell ref="D287:E287"/>
    <mergeCell ref="A278:J278"/>
    <mergeCell ref="D288:E288"/>
    <mergeCell ref="D289:E289"/>
    <mergeCell ref="A277:J277"/>
    <mergeCell ref="I280:J285"/>
    <mergeCell ref="D292:E292"/>
    <mergeCell ref="D296:E296"/>
    <mergeCell ref="I287:J292"/>
  </mergeCells>
  <dataValidations count="1">
    <dataValidation type="list" allowBlank="1" showInputMessage="1" showErrorMessage="1" sqref="G153">
      <formula1>".45,.50,.55,.60"</formula1>
    </dataValidation>
  </dataValidations>
  <hyperlinks>
    <hyperlink ref="C34" r:id="rId1"/>
  </hyperlinks>
  <pageMargins left="0.35433070866141736" right="0.39370078740157483" top="0.78740157480314965" bottom="0.78740157480314965" header="0.19685039370078741" footer="0.19685039370078741"/>
  <pageSetup scale="90" fitToHeight="0" orientation="portrait" r:id="rId2"/>
  <headerFooter>
    <oddHeader>&amp;C&amp;G</oddHeader>
    <oddFooter>&amp;L&amp;"Times New Roman,Bold"&amp;12Ref No: &amp;F&amp;C&amp;G&amp;R&amp;"Times New Roman,Bold"&amp;12&amp;P</oddFooter>
  </headerFooter>
  <rowBreaks count="4" manualBreakCount="4">
    <brk id="738" max="16383" man="1"/>
    <brk id="783" max="16383" man="1"/>
    <brk id="820" max="16383" man="1"/>
    <brk id="86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
  <sheetViews>
    <sheetView workbookViewId="0">
      <selection activeCell="A5" sqref="A5"/>
    </sheetView>
  </sheetViews>
  <sheetFormatPr defaultColWidth="9.1796875" defaultRowHeight="14" x14ac:dyDescent="0.3"/>
  <cols>
    <col min="1" max="1" width="10.1796875" style="20" customWidth="1"/>
    <col min="2" max="2" width="14" style="20" customWidth="1"/>
    <col min="3" max="16384" width="9.1796875" style="20"/>
  </cols>
  <sheetData>
    <row r="1" spans="1:3" x14ac:dyDescent="0.3">
      <c r="A1" s="35" t="s">
        <v>165</v>
      </c>
      <c r="B1" s="35" t="s">
        <v>167</v>
      </c>
      <c r="C1" s="35" t="s">
        <v>76</v>
      </c>
    </row>
    <row r="2" spans="1:3" x14ac:dyDescent="0.3">
      <c r="A2" s="55">
        <v>44995</v>
      </c>
      <c r="B2" s="20" t="s">
        <v>290</v>
      </c>
    </row>
  </sheetData>
  <pageMargins left="0.7" right="0.7" top="0.75" bottom="0.75" header="0.3" footer="0.3"/>
  <drawing r:id="rId1"/>
  <legacyDrawing r:id="rId2"/>
  <oleObjects>
    <mc:AlternateContent xmlns:mc="http://schemas.openxmlformats.org/markup-compatibility/2006">
      <mc:Choice Requires="x14">
        <oleObject progId="Acrobat Document" dvAspect="DVASPECT_ICON" shapeId="2049" r:id="rId3">
          <objectPr defaultSize="0" r:id="rId4">
            <anchor moveWithCells="1">
              <from>
                <xdr:col>9</xdr:col>
                <xdr:colOff>0</xdr:colOff>
                <xdr:row>1</xdr:row>
                <xdr:rowOff>0</xdr:rowOff>
              </from>
              <to>
                <xdr:col>10</xdr:col>
                <xdr:colOff>304800</xdr:colOff>
                <xdr:row>5</xdr:row>
                <xdr:rowOff>12700</xdr:rowOff>
              </to>
            </anchor>
          </objectPr>
        </oleObject>
      </mc:Choice>
      <mc:Fallback>
        <oleObject progId="Acrobat Document" dvAspect="DVASPECT_ICON" shapeId="2049"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sqref="A1:A7"/>
    </sheetView>
  </sheetViews>
  <sheetFormatPr defaultRowHeight="14.5" x14ac:dyDescent="0.35"/>
  <sheetData>
    <row r="1" spans="1:1" x14ac:dyDescent="0.35">
      <c r="A1" t="s">
        <v>279</v>
      </c>
    </row>
    <row r="2" spans="1:1" x14ac:dyDescent="0.35">
      <c r="A2" t="s">
        <v>280</v>
      </c>
    </row>
    <row r="3" spans="1:1" x14ac:dyDescent="0.35">
      <c r="A3" t="s">
        <v>281</v>
      </c>
    </row>
    <row r="4" spans="1:1" x14ac:dyDescent="0.35">
      <c r="A4" t="s">
        <v>282</v>
      </c>
    </row>
    <row r="5" spans="1:1" x14ac:dyDescent="0.35">
      <c r="A5" t="s">
        <v>283</v>
      </c>
    </row>
    <row r="6" spans="1:1" x14ac:dyDescent="0.35">
      <c r="A6" t="s">
        <v>284</v>
      </c>
    </row>
    <row r="7" spans="1:1" x14ac:dyDescent="0.35">
      <c r="A7" t="s">
        <v>285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4" x14ac:dyDescent="0.3"/>
  <cols>
    <col min="1" max="1" width="20.54296875" style="20" customWidth="1"/>
    <col min="2" max="2" width="11.81640625" style="20" customWidth="1"/>
    <col min="3" max="4" width="9.1796875" style="20"/>
    <col min="5" max="5" width="10.1796875" style="20" customWidth="1"/>
    <col min="6" max="6" width="10.81640625" style="20" customWidth="1"/>
    <col min="7" max="7" width="9.1796875" style="20"/>
    <col min="8" max="8" width="10.453125" style="20" customWidth="1"/>
    <col min="9" max="9" width="15.453125" style="20" customWidth="1"/>
    <col min="10" max="258" width="9.1796875" style="20"/>
    <col min="259" max="259" width="11.81640625" style="20" customWidth="1"/>
    <col min="260" max="260" width="9.1796875" style="20"/>
    <col min="261" max="261" width="14.81640625" style="20" customWidth="1"/>
    <col min="262" max="262" width="10.81640625" style="20" customWidth="1"/>
    <col min="263" max="514" width="9.1796875" style="20"/>
    <col min="515" max="515" width="11.81640625" style="20" customWidth="1"/>
    <col min="516" max="516" width="9.1796875" style="20"/>
    <col min="517" max="517" width="14.81640625" style="20" customWidth="1"/>
    <col min="518" max="518" width="10.81640625" style="20" customWidth="1"/>
    <col min="519" max="770" width="9.1796875" style="20"/>
    <col min="771" max="771" width="11.81640625" style="20" customWidth="1"/>
    <col min="772" max="772" width="9.1796875" style="20"/>
    <col min="773" max="773" width="14.81640625" style="20" customWidth="1"/>
    <col min="774" max="774" width="10.81640625" style="20" customWidth="1"/>
    <col min="775" max="1026" width="9.1796875" style="20"/>
    <col min="1027" max="1027" width="11.81640625" style="20" customWidth="1"/>
    <col min="1028" max="1028" width="9.1796875" style="20"/>
    <col min="1029" max="1029" width="14.81640625" style="20" customWidth="1"/>
    <col min="1030" max="1030" width="10.81640625" style="20" customWidth="1"/>
    <col min="1031" max="1282" width="9.1796875" style="20"/>
    <col min="1283" max="1283" width="11.81640625" style="20" customWidth="1"/>
    <col min="1284" max="1284" width="9.1796875" style="20"/>
    <col min="1285" max="1285" width="14.81640625" style="20" customWidth="1"/>
    <col min="1286" max="1286" width="10.81640625" style="20" customWidth="1"/>
    <col min="1287" max="1538" width="9.1796875" style="20"/>
    <col min="1539" max="1539" width="11.81640625" style="20" customWidth="1"/>
    <col min="1540" max="1540" width="9.1796875" style="20"/>
    <col min="1541" max="1541" width="14.81640625" style="20" customWidth="1"/>
    <col min="1542" max="1542" width="10.81640625" style="20" customWidth="1"/>
    <col min="1543" max="1794" width="9.1796875" style="20"/>
    <col min="1795" max="1795" width="11.81640625" style="20" customWidth="1"/>
    <col min="1796" max="1796" width="9.1796875" style="20"/>
    <col min="1797" max="1797" width="14.81640625" style="20" customWidth="1"/>
    <col min="1798" max="1798" width="10.81640625" style="20" customWidth="1"/>
    <col min="1799" max="2050" width="9.1796875" style="20"/>
    <col min="2051" max="2051" width="11.81640625" style="20" customWidth="1"/>
    <col min="2052" max="2052" width="9.1796875" style="20"/>
    <col min="2053" max="2053" width="14.81640625" style="20" customWidth="1"/>
    <col min="2054" max="2054" width="10.81640625" style="20" customWidth="1"/>
    <col min="2055" max="2306" width="9.1796875" style="20"/>
    <col min="2307" max="2307" width="11.81640625" style="20" customWidth="1"/>
    <col min="2308" max="2308" width="9.1796875" style="20"/>
    <col min="2309" max="2309" width="14.81640625" style="20" customWidth="1"/>
    <col min="2310" max="2310" width="10.81640625" style="20" customWidth="1"/>
    <col min="2311" max="2562" width="9.1796875" style="20"/>
    <col min="2563" max="2563" width="11.81640625" style="20" customWidth="1"/>
    <col min="2564" max="2564" width="9.1796875" style="20"/>
    <col min="2565" max="2565" width="14.81640625" style="20" customWidth="1"/>
    <col min="2566" max="2566" width="10.81640625" style="20" customWidth="1"/>
    <col min="2567" max="2818" width="9.1796875" style="20"/>
    <col min="2819" max="2819" width="11.81640625" style="20" customWidth="1"/>
    <col min="2820" max="2820" width="9.1796875" style="20"/>
    <col min="2821" max="2821" width="14.81640625" style="20" customWidth="1"/>
    <col min="2822" max="2822" width="10.81640625" style="20" customWidth="1"/>
    <col min="2823" max="3074" width="9.1796875" style="20"/>
    <col min="3075" max="3075" width="11.81640625" style="20" customWidth="1"/>
    <col min="3076" max="3076" width="9.1796875" style="20"/>
    <col min="3077" max="3077" width="14.81640625" style="20" customWidth="1"/>
    <col min="3078" max="3078" width="10.81640625" style="20" customWidth="1"/>
    <col min="3079" max="3330" width="9.1796875" style="20"/>
    <col min="3331" max="3331" width="11.81640625" style="20" customWidth="1"/>
    <col min="3332" max="3332" width="9.1796875" style="20"/>
    <col min="3333" max="3333" width="14.81640625" style="20" customWidth="1"/>
    <col min="3334" max="3334" width="10.81640625" style="20" customWidth="1"/>
    <col min="3335" max="3586" width="9.1796875" style="20"/>
    <col min="3587" max="3587" width="11.81640625" style="20" customWidth="1"/>
    <col min="3588" max="3588" width="9.1796875" style="20"/>
    <col min="3589" max="3589" width="14.81640625" style="20" customWidth="1"/>
    <col min="3590" max="3590" width="10.81640625" style="20" customWidth="1"/>
    <col min="3591" max="3842" width="9.1796875" style="20"/>
    <col min="3843" max="3843" width="11.81640625" style="20" customWidth="1"/>
    <col min="3844" max="3844" width="9.1796875" style="20"/>
    <col min="3845" max="3845" width="14.81640625" style="20" customWidth="1"/>
    <col min="3846" max="3846" width="10.81640625" style="20" customWidth="1"/>
    <col min="3847" max="4098" width="9.1796875" style="20"/>
    <col min="4099" max="4099" width="11.81640625" style="20" customWidth="1"/>
    <col min="4100" max="4100" width="9.1796875" style="20"/>
    <col min="4101" max="4101" width="14.81640625" style="20" customWidth="1"/>
    <col min="4102" max="4102" width="10.81640625" style="20" customWidth="1"/>
    <col min="4103" max="4354" width="9.1796875" style="20"/>
    <col min="4355" max="4355" width="11.81640625" style="20" customWidth="1"/>
    <col min="4356" max="4356" width="9.1796875" style="20"/>
    <col min="4357" max="4357" width="14.81640625" style="20" customWidth="1"/>
    <col min="4358" max="4358" width="10.81640625" style="20" customWidth="1"/>
    <col min="4359" max="4610" width="9.1796875" style="20"/>
    <col min="4611" max="4611" width="11.81640625" style="20" customWidth="1"/>
    <col min="4612" max="4612" width="9.1796875" style="20"/>
    <col min="4613" max="4613" width="14.81640625" style="20" customWidth="1"/>
    <col min="4614" max="4614" width="10.81640625" style="20" customWidth="1"/>
    <col min="4615" max="4866" width="9.1796875" style="20"/>
    <col min="4867" max="4867" width="11.81640625" style="20" customWidth="1"/>
    <col min="4868" max="4868" width="9.1796875" style="20"/>
    <col min="4869" max="4869" width="14.81640625" style="20" customWidth="1"/>
    <col min="4870" max="4870" width="10.81640625" style="20" customWidth="1"/>
    <col min="4871" max="5122" width="9.1796875" style="20"/>
    <col min="5123" max="5123" width="11.81640625" style="20" customWidth="1"/>
    <col min="5124" max="5124" width="9.1796875" style="20"/>
    <col min="5125" max="5125" width="14.81640625" style="20" customWidth="1"/>
    <col min="5126" max="5126" width="10.81640625" style="20" customWidth="1"/>
    <col min="5127" max="5378" width="9.1796875" style="20"/>
    <col min="5379" max="5379" width="11.81640625" style="20" customWidth="1"/>
    <col min="5380" max="5380" width="9.1796875" style="20"/>
    <col min="5381" max="5381" width="14.81640625" style="20" customWidth="1"/>
    <col min="5382" max="5382" width="10.81640625" style="20" customWidth="1"/>
    <col min="5383" max="5634" width="9.1796875" style="20"/>
    <col min="5635" max="5635" width="11.81640625" style="20" customWidth="1"/>
    <col min="5636" max="5636" width="9.1796875" style="20"/>
    <col min="5637" max="5637" width="14.81640625" style="20" customWidth="1"/>
    <col min="5638" max="5638" width="10.81640625" style="20" customWidth="1"/>
    <col min="5639" max="5890" width="9.1796875" style="20"/>
    <col min="5891" max="5891" width="11.81640625" style="20" customWidth="1"/>
    <col min="5892" max="5892" width="9.1796875" style="20"/>
    <col min="5893" max="5893" width="14.81640625" style="20" customWidth="1"/>
    <col min="5894" max="5894" width="10.81640625" style="20" customWidth="1"/>
    <col min="5895" max="6146" width="9.1796875" style="20"/>
    <col min="6147" max="6147" width="11.81640625" style="20" customWidth="1"/>
    <col min="6148" max="6148" width="9.1796875" style="20"/>
    <col min="6149" max="6149" width="14.81640625" style="20" customWidth="1"/>
    <col min="6150" max="6150" width="10.81640625" style="20" customWidth="1"/>
    <col min="6151" max="6402" width="9.1796875" style="20"/>
    <col min="6403" max="6403" width="11.81640625" style="20" customWidth="1"/>
    <col min="6404" max="6404" width="9.1796875" style="20"/>
    <col min="6405" max="6405" width="14.81640625" style="20" customWidth="1"/>
    <col min="6406" max="6406" width="10.81640625" style="20" customWidth="1"/>
    <col min="6407" max="6658" width="9.1796875" style="20"/>
    <col min="6659" max="6659" width="11.81640625" style="20" customWidth="1"/>
    <col min="6660" max="6660" width="9.1796875" style="20"/>
    <col min="6661" max="6661" width="14.81640625" style="20" customWidth="1"/>
    <col min="6662" max="6662" width="10.81640625" style="20" customWidth="1"/>
    <col min="6663" max="6914" width="9.1796875" style="20"/>
    <col min="6915" max="6915" width="11.81640625" style="20" customWidth="1"/>
    <col min="6916" max="6916" width="9.1796875" style="20"/>
    <col min="6917" max="6917" width="14.81640625" style="20" customWidth="1"/>
    <col min="6918" max="6918" width="10.81640625" style="20" customWidth="1"/>
    <col min="6919" max="7170" width="9.1796875" style="20"/>
    <col min="7171" max="7171" width="11.81640625" style="20" customWidth="1"/>
    <col min="7172" max="7172" width="9.1796875" style="20"/>
    <col min="7173" max="7173" width="14.81640625" style="20" customWidth="1"/>
    <col min="7174" max="7174" width="10.81640625" style="20" customWidth="1"/>
    <col min="7175" max="7426" width="9.1796875" style="20"/>
    <col min="7427" max="7427" width="11.81640625" style="20" customWidth="1"/>
    <col min="7428" max="7428" width="9.1796875" style="20"/>
    <col min="7429" max="7429" width="14.81640625" style="20" customWidth="1"/>
    <col min="7430" max="7430" width="10.81640625" style="20" customWidth="1"/>
    <col min="7431" max="7682" width="9.1796875" style="20"/>
    <col min="7683" max="7683" width="11.81640625" style="20" customWidth="1"/>
    <col min="7684" max="7684" width="9.1796875" style="20"/>
    <col min="7685" max="7685" width="14.81640625" style="20" customWidth="1"/>
    <col min="7686" max="7686" width="10.81640625" style="20" customWidth="1"/>
    <col min="7687" max="7938" width="9.1796875" style="20"/>
    <col min="7939" max="7939" width="11.81640625" style="20" customWidth="1"/>
    <col min="7940" max="7940" width="9.1796875" style="20"/>
    <col min="7941" max="7941" width="14.81640625" style="20" customWidth="1"/>
    <col min="7942" max="7942" width="10.81640625" style="20" customWidth="1"/>
    <col min="7943" max="8194" width="9.1796875" style="20"/>
    <col min="8195" max="8195" width="11.81640625" style="20" customWidth="1"/>
    <col min="8196" max="8196" width="9.1796875" style="20"/>
    <col min="8197" max="8197" width="14.81640625" style="20" customWidth="1"/>
    <col min="8198" max="8198" width="10.81640625" style="20" customWidth="1"/>
    <col min="8199" max="8450" width="9.1796875" style="20"/>
    <col min="8451" max="8451" width="11.81640625" style="20" customWidth="1"/>
    <col min="8452" max="8452" width="9.1796875" style="20"/>
    <col min="8453" max="8453" width="14.81640625" style="20" customWidth="1"/>
    <col min="8454" max="8454" width="10.81640625" style="20" customWidth="1"/>
    <col min="8455" max="8706" width="9.1796875" style="20"/>
    <col min="8707" max="8707" width="11.81640625" style="20" customWidth="1"/>
    <col min="8708" max="8708" width="9.1796875" style="20"/>
    <col min="8709" max="8709" width="14.81640625" style="20" customWidth="1"/>
    <col min="8710" max="8710" width="10.81640625" style="20" customWidth="1"/>
    <col min="8711" max="8962" width="9.1796875" style="20"/>
    <col min="8963" max="8963" width="11.81640625" style="20" customWidth="1"/>
    <col min="8964" max="8964" width="9.1796875" style="20"/>
    <col min="8965" max="8965" width="14.81640625" style="20" customWidth="1"/>
    <col min="8966" max="8966" width="10.81640625" style="20" customWidth="1"/>
    <col min="8967" max="9218" width="9.1796875" style="20"/>
    <col min="9219" max="9219" width="11.81640625" style="20" customWidth="1"/>
    <col min="9220" max="9220" width="9.1796875" style="20"/>
    <col min="9221" max="9221" width="14.81640625" style="20" customWidth="1"/>
    <col min="9222" max="9222" width="10.81640625" style="20" customWidth="1"/>
    <col min="9223" max="9474" width="9.1796875" style="20"/>
    <col min="9475" max="9475" width="11.81640625" style="20" customWidth="1"/>
    <col min="9476" max="9476" width="9.1796875" style="20"/>
    <col min="9477" max="9477" width="14.81640625" style="20" customWidth="1"/>
    <col min="9478" max="9478" width="10.81640625" style="20" customWidth="1"/>
    <col min="9479" max="9730" width="9.1796875" style="20"/>
    <col min="9731" max="9731" width="11.81640625" style="20" customWidth="1"/>
    <col min="9732" max="9732" width="9.1796875" style="20"/>
    <col min="9733" max="9733" width="14.81640625" style="20" customWidth="1"/>
    <col min="9734" max="9734" width="10.81640625" style="20" customWidth="1"/>
    <col min="9735" max="9986" width="9.1796875" style="20"/>
    <col min="9987" max="9987" width="11.81640625" style="20" customWidth="1"/>
    <col min="9988" max="9988" width="9.1796875" style="20"/>
    <col min="9989" max="9989" width="14.81640625" style="20" customWidth="1"/>
    <col min="9990" max="9990" width="10.81640625" style="20" customWidth="1"/>
    <col min="9991" max="10242" width="9.1796875" style="20"/>
    <col min="10243" max="10243" width="11.81640625" style="20" customWidth="1"/>
    <col min="10244" max="10244" width="9.1796875" style="20"/>
    <col min="10245" max="10245" width="14.81640625" style="20" customWidth="1"/>
    <col min="10246" max="10246" width="10.81640625" style="20" customWidth="1"/>
    <col min="10247" max="10498" width="9.1796875" style="20"/>
    <col min="10499" max="10499" width="11.81640625" style="20" customWidth="1"/>
    <col min="10500" max="10500" width="9.1796875" style="20"/>
    <col min="10501" max="10501" width="14.81640625" style="20" customWidth="1"/>
    <col min="10502" max="10502" width="10.81640625" style="20" customWidth="1"/>
    <col min="10503" max="10754" width="9.1796875" style="20"/>
    <col min="10755" max="10755" width="11.81640625" style="20" customWidth="1"/>
    <col min="10756" max="10756" width="9.1796875" style="20"/>
    <col min="10757" max="10757" width="14.81640625" style="20" customWidth="1"/>
    <col min="10758" max="10758" width="10.81640625" style="20" customWidth="1"/>
    <col min="10759" max="11010" width="9.1796875" style="20"/>
    <col min="11011" max="11011" width="11.81640625" style="20" customWidth="1"/>
    <col min="11012" max="11012" width="9.1796875" style="20"/>
    <col min="11013" max="11013" width="14.81640625" style="20" customWidth="1"/>
    <col min="11014" max="11014" width="10.81640625" style="20" customWidth="1"/>
    <col min="11015" max="11266" width="9.1796875" style="20"/>
    <col min="11267" max="11267" width="11.81640625" style="20" customWidth="1"/>
    <col min="11268" max="11268" width="9.1796875" style="20"/>
    <col min="11269" max="11269" width="14.81640625" style="20" customWidth="1"/>
    <col min="11270" max="11270" width="10.81640625" style="20" customWidth="1"/>
    <col min="11271" max="11522" width="9.1796875" style="20"/>
    <col min="11523" max="11523" width="11.81640625" style="20" customWidth="1"/>
    <col min="11524" max="11524" width="9.1796875" style="20"/>
    <col min="11525" max="11525" width="14.81640625" style="20" customWidth="1"/>
    <col min="11526" max="11526" width="10.81640625" style="20" customWidth="1"/>
    <col min="11527" max="11778" width="9.1796875" style="20"/>
    <col min="11779" max="11779" width="11.81640625" style="20" customWidth="1"/>
    <col min="11780" max="11780" width="9.1796875" style="20"/>
    <col min="11781" max="11781" width="14.81640625" style="20" customWidth="1"/>
    <col min="11782" max="11782" width="10.81640625" style="20" customWidth="1"/>
    <col min="11783" max="12034" width="9.1796875" style="20"/>
    <col min="12035" max="12035" width="11.81640625" style="20" customWidth="1"/>
    <col min="12036" max="12036" width="9.1796875" style="20"/>
    <col min="12037" max="12037" width="14.81640625" style="20" customWidth="1"/>
    <col min="12038" max="12038" width="10.81640625" style="20" customWidth="1"/>
    <col min="12039" max="12290" width="9.1796875" style="20"/>
    <col min="12291" max="12291" width="11.81640625" style="20" customWidth="1"/>
    <col min="12292" max="12292" width="9.1796875" style="20"/>
    <col min="12293" max="12293" width="14.81640625" style="20" customWidth="1"/>
    <col min="12294" max="12294" width="10.81640625" style="20" customWidth="1"/>
    <col min="12295" max="12546" width="9.1796875" style="20"/>
    <col min="12547" max="12547" width="11.81640625" style="20" customWidth="1"/>
    <col min="12548" max="12548" width="9.1796875" style="20"/>
    <col min="12549" max="12549" width="14.81640625" style="20" customWidth="1"/>
    <col min="12550" max="12550" width="10.81640625" style="20" customWidth="1"/>
    <col min="12551" max="12802" width="9.1796875" style="20"/>
    <col min="12803" max="12803" width="11.81640625" style="20" customWidth="1"/>
    <col min="12804" max="12804" width="9.1796875" style="20"/>
    <col min="12805" max="12805" width="14.81640625" style="20" customWidth="1"/>
    <col min="12806" max="12806" width="10.81640625" style="20" customWidth="1"/>
    <col min="12807" max="13058" width="9.1796875" style="20"/>
    <col min="13059" max="13059" width="11.81640625" style="20" customWidth="1"/>
    <col min="13060" max="13060" width="9.1796875" style="20"/>
    <col min="13061" max="13061" width="14.81640625" style="20" customWidth="1"/>
    <col min="13062" max="13062" width="10.81640625" style="20" customWidth="1"/>
    <col min="13063" max="13314" width="9.1796875" style="20"/>
    <col min="13315" max="13315" width="11.81640625" style="20" customWidth="1"/>
    <col min="13316" max="13316" width="9.1796875" style="20"/>
    <col min="13317" max="13317" width="14.81640625" style="20" customWidth="1"/>
    <col min="13318" max="13318" width="10.81640625" style="20" customWidth="1"/>
    <col min="13319" max="13570" width="9.1796875" style="20"/>
    <col min="13571" max="13571" width="11.81640625" style="20" customWidth="1"/>
    <col min="13572" max="13572" width="9.1796875" style="20"/>
    <col min="13573" max="13573" width="14.81640625" style="20" customWidth="1"/>
    <col min="13574" max="13574" width="10.81640625" style="20" customWidth="1"/>
    <col min="13575" max="13826" width="9.1796875" style="20"/>
    <col min="13827" max="13827" width="11.81640625" style="20" customWidth="1"/>
    <col min="13828" max="13828" width="9.1796875" style="20"/>
    <col min="13829" max="13829" width="14.81640625" style="20" customWidth="1"/>
    <col min="13830" max="13830" width="10.81640625" style="20" customWidth="1"/>
    <col min="13831" max="14082" width="9.1796875" style="20"/>
    <col min="14083" max="14083" width="11.81640625" style="20" customWidth="1"/>
    <col min="14084" max="14084" width="9.1796875" style="20"/>
    <col min="14085" max="14085" width="14.81640625" style="20" customWidth="1"/>
    <col min="14086" max="14086" width="10.81640625" style="20" customWidth="1"/>
    <col min="14087" max="14338" width="9.1796875" style="20"/>
    <col min="14339" max="14339" width="11.81640625" style="20" customWidth="1"/>
    <col min="14340" max="14340" width="9.1796875" style="20"/>
    <col min="14341" max="14341" width="14.81640625" style="20" customWidth="1"/>
    <col min="14342" max="14342" width="10.81640625" style="20" customWidth="1"/>
    <col min="14343" max="14594" width="9.1796875" style="20"/>
    <col min="14595" max="14595" width="11.81640625" style="20" customWidth="1"/>
    <col min="14596" max="14596" width="9.1796875" style="20"/>
    <col min="14597" max="14597" width="14.81640625" style="20" customWidth="1"/>
    <col min="14598" max="14598" width="10.81640625" style="20" customWidth="1"/>
    <col min="14599" max="14850" width="9.1796875" style="20"/>
    <col min="14851" max="14851" width="11.81640625" style="20" customWidth="1"/>
    <col min="14852" max="14852" width="9.1796875" style="20"/>
    <col min="14853" max="14853" width="14.81640625" style="20" customWidth="1"/>
    <col min="14854" max="14854" width="10.81640625" style="20" customWidth="1"/>
    <col min="14855" max="15106" width="9.1796875" style="20"/>
    <col min="15107" max="15107" width="11.81640625" style="20" customWidth="1"/>
    <col min="15108" max="15108" width="9.1796875" style="20"/>
    <col min="15109" max="15109" width="14.81640625" style="20" customWidth="1"/>
    <col min="15110" max="15110" width="10.81640625" style="20" customWidth="1"/>
    <col min="15111" max="15362" width="9.1796875" style="20"/>
    <col min="15363" max="15363" width="11.81640625" style="20" customWidth="1"/>
    <col min="15364" max="15364" width="9.1796875" style="20"/>
    <col min="15365" max="15365" width="14.81640625" style="20" customWidth="1"/>
    <col min="15366" max="15366" width="10.81640625" style="20" customWidth="1"/>
    <col min="15367" max="15618" width="9.1796875" style="20"/>
    <col min="15619" max="15619" width="11.81640625" style="20" customWidth="1"/>
    <col min="15620" max="15620" width="9.1796875" style="20"/>
    <col min="15621" max="15621" width="14.81640625" style="20" customWidth="1"/>
    <col min="15622" max="15622" width="10.81640625" style="20" customWidth="1"/>
    <col min="15623" max="15874" width="9.1796875" style="20"/>
    <col min="15875" max="15875" width="11.81640625" style="20" customWidth="1"/>
    <col min="15876" max="15876" width="9.1796875" style="20"/>
    <col min="15877" max="15877" width="14.81640625" style="20" customWidth="1"/>
    <col min="15878" max="15878" width="10.81640625" style="20" customWidth="1"/>
    <col min="15879" max="16130" width="9.1796875" style="20"/>
    <col min="16131" max="16131" width="11.81640625" style="20" customWidth="1"/>
    <col min="16132" max="16132" width="9.1796875" style="20"/>
    <col min="16133" max="16133" width="14.81640625" style="20" customWidth="1"/>
    <col min="16134" max="16134" width="10.81640625" style="20" customWidth="1"/>
    <col min="16135" max="16384" width="9.1796875" style="20"/>
  </cols>
  <sheetData>
    <row r="2" spans="1:13" x14ac:dyDescent="0.3">
      <c r="A2" s="21" t="s">
        <v>128</v>
      </c>
      <c r="B2" s="21" t="s">
        <v>129</v>
      </c>
      <c r="C2" s="21" t="s">
        <v>130</v>
      </c>
      <c r="D2" s="221" t="s">
        <v>131</v>
      </c>
      <c r="E2" s="221"/>
    </row>
    <row r="3" spans="1:13" x14ac:dyDescent="0.3">
      <c r="A3" s="24">
        <v>3</v>
      </c>
      <c r="B3" s="24">
        <v>9</v>
      </c>
      <c r="C3" s="24">
        <v>1</v>
      </c>
      <c r="D3" s="223">
        <v>41</v>
      </c>
      <c r="E3" s="223"/>
    </row>
    <row r="5" spans="1:13" hidden="1" x14ac:dyDescent="0.3">
      <c r="A5" s="20" t="s">
        <v>93</v>
      </c>
      <c r="B5" s="22" t="s">
        <v>141</v>
      </c>
      <c r="C5" s="22">
        <f>D3</f>
        <v>41</v>
      </c>
      <c r="D5" s="23"/>
    </row>
    <row r="6" spans="1:13" x14ac:dyDescent="0.3">
      <c r="A6" s="20" t="s">
        <v>94</v>
      </c>
      <c r="B6" s="25">
        <v>10</v>
      </c>
      <c r="C6" s="26">
        <v>10</v>
      </c>
      <c r="D6" s="27">
        <f>((100/B6)*C6)/100</f>
        <v>1</v>
      </c>
    </row>
    <row r="7" spans="1:13" x14ac:dyDescent="0.3">
      <c r="A7" s="20" t="s">
        <v>95</v>
      </c>
      <c r="B7" s="25">
        <v>51</v>
      </c>
      <c r="C7" s="26">
        <v>50</v>
      </c>
      <c r="D7" s="27">
        <f t="shared" ref="D7:D12" si="0">((100/B7)*C7)/100</f>
        <v>0.98039215686274506</v>
      </c>
      <c r="F7" s="224" t="s">
        <v>142</v>
      </c>
      <c r="G7" s="224"/>
      <c r="H7" s="28" t="s">
        <v>143</v>
      </c>
      <c r="J7" s="34"/>
    </row>
    <row r="8" spans="1:13" x14ac:dyDescent="0.3">
      <c r="A8" s="20" t="s">
        <v>100</v>
      </c>
      <c r="B8" s="25">
        <f>C5</f>
        <v>41</v>
      </c>
      <c r="C8" s="26">
        <v>40</v>
      </c>
      <c r="D8" s="27">
        <f t="shared" si="0"/>
        <v>0.97560975609756095</v>
      </c>
      <c r="F8" s="222" t="s">
        <v>144</v>
      </c>
      <c r="G8" s="222"/>
      <c r="H8" s="25" t="s">
        <v>145</v>
      </c>
    </row>
    <row r="9" spans="1:13" x14ac:dyDescent="0.3">
      <c r="A9" s="20" t="s">
        <v>102</v>
      </c>
      <c r="B9" s="25">
        <f>C5</f>
        <v>41</v>
      </c>
      <c r="C9" s="38">
        <v>20</v>
      </c>
      <c r="D9" s="27">
        <f t="shared" si="0"/>
        <v>0.48780487804878048</v>
      </c>
      <c r="F9" s="222" t="s">
        <v>146</v>
      </c>
      <c r="G9" s="222"/>
      <c r="H9" s="25" t="s">
        <v>147</v>
      </c>
    </row>
    <row r="10" spans="1:13" x14ac:dyDescent="0.3">
      <c r="A10" s="20" t="s">
        <v>63</v>
      </c>
      <c r="B10" s="25">
        <f>C5</f>
        <v>41</v>
      </c>
      <c r="C10" s="26">
        <v>0</v>
      </c>
      <c r="D10" s="27">
        <f t="shared" si="0"/>
        <v>0</v>
      </c>
      <c r="F10" s="222" t="s">
        <v>148</v>
      </c>
      <c r="G10" s="222"/>
      <c r="H10" s="25" t="s">
        <v>149</v>
      </c>
    </row>
    <row r="11" spans="1:13" x14ac:dyDescent="0.3">
      <c r="A11" s="29" t="s">
        <v>98</v>
      </c>
      <c r="B11" s="25">
        <f>C5</f>
        <v>41</v>
      </c>
      <c r="C11" s="26">
        <v>0</v>
      </c>
      <c r="D11" s="27">
        <f t="shared" si="0"/>
        <v>0</v>
      </c>
      <c r="F11" s="222" t="s">
        <v>150</v>
      </c>
      <c r="G11" s="222"/>
      <c r="H11" s="25" t="s">
        <v>151</v>
      </c>
    </row>
    <row r="12" spans="1:13" x14ac:dyDescent="0.3">
      <c r="A12" s="20" t="s">
        <v>64</v>
      </c>
      <c r="B12" s="25">
        <f>C5</f>
        <v>41</v>
      </c>
      <c r="C12" s="26">
        <v>0</v>
      </c>
      <c r="D12" s="27">
        <f t="shared" si="0"/>
        <v>0</v>
      </c>
      <c r="F12" s="222" t="s">
        <v>152</v>
      </c>
      <c r="G12" s="222"/>
      <c r="H12" s="25" t="s">
        <v>153</v>
      </c>
    </row>
    <row r="13" spans="1:13" x14ac:dyDescent="0.3">
      <c r="F13" s="222" t="s">
        <v>154</v>
      </c>
      <c r="G13" s="222"/>
      <c r="H13" s="25" t="s">
        <v>155</v>
      </c>
    </row>
    <row r="14" spans="1:13" hidden="1" x14ac:dyDescent="0.3">
      <c r="A14" s="21"/>
      <c r="B14" s="21" t="s">
        <v>99</v>
      </c>
      <c r="C14" s="21" t="s">
        <v>103</v>
      </c>
      <c r="G14" s="21" t="s">
        <v>94</v>
      </c>
      <c r="H14" s="21" t="s">
        <v>96</v>
      </c>
      <c r="I14" s="21" t="s">
        <v>97</v>
      </c>
      <c r="J14" s="21" t="s">
        <v>62</v>
      </c>
      <c r="K14" s="21" t="s">
        <v>63</v>
      </c>
      <c r="L14" s="21" t="s">
        <v>98</v>
      </c>
      <c r="M14" s="21" t="s">
        <v>64</v>
      </c>
    </row>
    <row r="15" spans="1:13" hidden="1" x14ac:dyDescent="0.3">
      <c r="A15" s="21" t="s">
        <v>60</v>
      </c>
      <c r="B15" s="21">
        <f>G15</f>
        <v>10</v>
      </c>
      <c r="C15" s="21">
        <f>G16</f>
        <v>30</v>
      </c>
      <c r="E15" s="221" t="s">
        <v>99</v>
      </c>
      <c r="F15" s="221"/>
      <c r="G15" s="30">
        <f>C6</f>
        <v>10</v>
      </c>
      <c r="H15" s="30">
        <f>40/B7*C7</f>
        <v>39.215686274509807</v>
      </c>
      <c r="I15" s="30">
        <f>15/B8*C8</f>
        <v>14.634146341463413</v>
      </c>
      <c r="J15" s="30">
        <f>10/B9*C9</f>
        <v>4.8780487804878048</v>
      </c>
      <c r="K15" s="30">
        <f>10/B10*C10</f>
        <v>0</v>
      </c>
      <c r="L15" s="30">
        <f>5/B11*C11</f>
        <v>0</v>
      </c>
      <c r="M15" s="30">
        <f>5/B12*C12</f>
        <v>0</v>
      </c>
    </row>
    <row r="16" spans="1:13" hidden="1" x14ac:dyDescent="0.3">
      <c r="A16" s="21" t="s">
        <v>61</v>
      </c>
      <c r="B16" s="21">
        <f>H15</f>
        <v>39.215686274509807</v>
      </c>
      <c r="C16" s="21">
        <f>H16</f>
        <v>29.411764705882355</v>
      </c>
      <c r="E16" s="221" t="s">
        <v>101</v>
      </c>
      <c r="F16" s="221"/>
      <c r="G16" s="21">
        <f>G15+20</f>
        <v>30</v>
      </c>
      <c r="H16" s="21">
        <f>30/B7*C7</f>
        <v>29.411764705882355</v>
      </c>
      <c r="I16" s="21">
        <f>15/B8*C8</f>
        <v>14.634146341463413</v>
      </c>
      <c r="J16" s="21">
        <f>10/B9*C9</f>
        <v>4.8780487804878048</v>
      </c>
      <c r="K16" s="21">
        <f>5/B10*C10</f>
        <v>0</v>
      </c>
      <c r="L16" s="21">
        <f>5/B11*C11</f>
        <v>0</v>
      </c>
      <c r="M16" s="21">
        <f>5/B12*C12</f>
        <v>0</v>
      </c>
    </row>
    <row r="17" spans="1:8" hidden="1" x14ac:dyDescent="0.3">
      <c r="A17" s="21" t="s">
        <v>97</v>
      </c>
      <c r="B17" s="21">
        <f>I15</f>
        <v>14.634146341463413</v>
      </c>
      <c r="C17" s="21">
        <f>I16</f>
        <v>14.634146341463413</v>
      </c>
    </row>
    <row r="18" spans="1:8" hidden="1" x14ac:dyDescent="0.3">
      <c r="A18" s="21" t="s">
        <v>62</v>
      </c>
      <c r="B18" s="21">
        <f>J15</f>
        <v>4.8780487804878048</v>
      </c>
      <c r="C18" s="21">
        <f>J16</f>
        <v>4.8780487804878048</v>
      </c>
    </row>
    <row r="19" spans="1:8" hidden="1" x14ac:dyDescent="0.3">
      <c r="A19" s="21" t="s">
        <v>63</v>
      </c>
      <c r="B19" s="21">
        <f>K15</f>
        <v>0</v>
      </c>
      <c r="C19" s="21">
        <f>K16</f>
        <v>0</v>
      </c>
    </row>
    <row r="20" spans="1:8" hidden="1" x14ac:dyDescent="0.3">
      <c r="A20" s="31" t="s">
        <v>98</v>
      </c>
      <c r="B20" s="21">
        <f>L15</f>
        <v>0</v>
      </c>
      <c r="C20" s="21">
        <f>L16</f>
        <v>0</v>
      </c>
    </row>
    <row r="21" spans="1:8" hidden="1" x14ac:dyDescent="0.3">
      <c r="A21" s="21" t="s">
        <v>64</v>
      </c>
      <c r="B21" s="21">
        <f>M15</f>
        <v>0</v>
      </c>
      <c r="C21" s="21">
        <f>M16</f>
        <v>0</v>
      </c>
    </row>
    <row r="22" spans="1:8" x14ac:dyDescent="0.3">
      <c r="A22" s="21" t="s">
        <v>104</v>
      </c>
      <c r="B22" s="32">
        <f>(B15+B16+B17+B18+B19+B20+B21)/100</f>
        <v>0.68727881396461032</v>
      </c>
      <c r="C22" s="32">
        <f>(C15+C16+C17+C18+C19+C20+C21)/100</f>
        <v>0.78923959827833567</v>
      </c>
      <c r="F22" s="222" t="s">
        <v>156</v>
      </c>
      <c r="G22" s="222"/>
      <c r="H22" s="25" t="s">
        <v>147</v>
      </c>
    </row>
    <row r="23" spans="1:8" x14ac:dyDescent="0.3">
      <c r="F23" s="222" t="s">
        <v>157</v>
      </c>
      <c r="G23" s="222"/>
      <c r="H23" s="25" t="s">
        <v>158</v>
      </c>
    </row>
    <row r="24" spans="1:8" x14ac:dyDescent="0.3">
      <c r="A24" s="20" t="s">
        <v>133</v>
      </c>
      <c r="B24" s="33">
        <v>0.01</v>
      </c>
      <c r="C24" s="33">
        <v>0.02</v>
      </c>
      <c r="F24" s="222" t="s">
        <v>159</v>
      </c>
      <c r="G24" s="222"/>
      <c r="H24" s="25" t="s">
        <v>160</v>
      </c>
    </row>
    <row r="25" spans="1:8" x14ac:dyDescent="0.3">
      <c r="A25" s="20" t="s">
        <v>134</v>
      </c>
      <c r="B25" s="33">
        <v>0.01</v>
      </c>
      <c r="C25" s="33">
        <v>0.03</v>
      </c>
    </row>
    <row r="26" spans="1:8" x14ac:dyDescent="0.3">
      <c r="A26" s="20" t="s">
        <v>135</v>
      </c>
      <c r="B26" s="33">
        <v>0.03</v>
      </c>
      <c r="C26" s="33">
        <v>0.08</v>
      </c>
    </row>
    <row r="27" spans="1:8" x14ac:dyDescent="0.3">
      <c r="A27" s="20" t="s">
        <v>136</v>
      </c>
      <c r="B27" s="33">
        <v>0.05</v>
      </c>
      <c r="C27" s="33">
        <v>0.15</v>
      </c>
    </row>
    <row r="28" spans="1:8" x14ac:dyDescent="0.3">
      <c r="A28" s="20" t="s">
        <v>137</v>
      </c>
      <c r="B28" s="33">
        <v>7.0000000000000007E-2</v>
      </c>
      <c r="C28" s="33">
        <v>0.2</v>
      </c>
    </row>
    <row r="29" spans="1:8" x14ac:dyDescent="0.3">
      <c r="A29" s="20" t="s">
        <v>138</v>
      </c>
      <c r="B29" s="33">
        <v>0.1</v>
      </c>
      <c r="C29" s="33">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26" sqref="E26"/>
    </sheetView>
  </sheetViews>
  <sheetFormatPr defaultRowHeight="14" x14ac:dyDescent="0.3"/>
  <cols>
    <col min="1" max="1" width="20.54296875" style="20" customWidth="1"/>
    <col min="2" max="2" width="11.81640625" style="20" customWidth="1"/>
    <col min="3" max="4" width="9.1796875" style="20"/>
    <col min="5" max="5" width="10.1796875" style="20" customWidth="1"/>
    <col min="6" max="6" width="10.81640625" style="20" customWidth="1"/>
    <col min="7" max="7" width="9.1796875" style="20"/>
    <col min="8" max="8" width="10.453125" style="20" customWidth="1"/>
    <col min="9" max="9" width="15.453125" style="20" customWidth="1"/>
    <col min="10" max="258" width="9.1796875" style="20"/>
    <col min="259" max="259" width="11.81640625" style="20" customWidth="1"/>
    <col min="260" max="260" width="9.1796875" style="20"/>
    <col min="261" max="261" width="14.81640625" style="20" customWidth="1"/>
    <col min="262" max="262" width="10.81640625" style="20" customWidth="1"/>
    <col min="263" max="514" width="9.1796875" style="20"/>
    <col min="515" max="515" width="11.81640625" style="20" customWidth="1"/>
    <col min="516" max="516" width="9.1796875" style="20"/>
    <col min="517" max="517" width="14.81640625" style="20" customWidth="1"/>
    <col min="518" max="518" width="10.81640625" style="20" customWidth="1"/>
    <col min="519" max="770" width="9.1796875" style="20"/>
    <col min="771" max="771" width="11.81640625" style="20" customWidth="1"/>
    <col min="772" max="772" width="9.1796875" style="20"/>
    <col min="773" max="773" width="14.81640625" style="20" customWidth="1"/>
    <col min="774" max="774" width="10.81640625" style="20" customWidth="1"/>
    <col min="775" max="1026" width="9.1796875" style="20"/>
    <col min="1027" max="1027" width="11.81640625" style="20" customWidth="1"/>
    <col min="1028" max="1028" width="9.1796875" style="20"/>
    <col min="1029" max="1029" width="14.81640625" style="20" customWidth="1"/>
    <col min="1030" max="1030" width="10.81640625" style="20" customWidth="1"/>
    <col min="1031" max="1282" width="9.1796875" style="20"/>
    <col min="1283" max="1283" width="11.81640625" style="20" customWidth="1"/>
    <col min="1284" max="1284" width="9.1796875" style="20"/>
    <col min="1285" max="1285" width="14.81640625" style="20" customWidth="1"/>
    <col min="1286" max="1286" width="10.81640625" style="20" customWidth="1"/>
    <col min="1287" max="1538" width="9.1796875" style="20"/>
    <col min="1539" max="1539" width="11.81640625" style="20" customWidth="1"/>
    <col min="1540" max="1540" width="9.1796875" style="20"/>
    <col min="1541" max="1541" width="14.81640625" style="20" customWidth="1"/>
    <col min="1542" max="1542" width="10.81640625" style="20" customWidth="1"/>
    <col min="1543" max="1794" width="9.1796875" style="20"/>
    <col min="1795" max="1795" width="11.81640625" style="20" customWidth="1"/>
    <col min="1796" max="1796" width="9.1796875" style="20"/>
    <col min="1797" max="1797" width="14.81640625" style="20" customWidth="1"/>
    <col min="1798" max="1798" width="10.81640625" style="20" customWidth="1"/>
    <col min="1799" max="2050" width="9.1796875" style="20"/>
    <col min="2051" max="2051" width="11.81640625" style="20" customWidth="1"/>
    <col min="2052" max="2052" width="9.1796875" style="20"/>
    <col min="2053" max="2053" width="14.81640625" style="20" customWidth="1"/>
    <col min="2054" max="2054" width="10.81640625" style="20" customWidth="1"/>
    <col min="2055" max="2306" width="9.1796875" style="20"/>
    <col min="2307" max="2307" width="11.81640625" style="20" customWidth="1"/>
    <col min="2308" max="2308" width="9.1796875" style="20"/>
    <col min="2309" max="2309" width="14.81640625" style="20" customWidth="1"/>
    <col min="2310" max="2310" width="10.81640625" style="20" customWidth="1"/>
    <col min="2311" max="2562" width="9.1796875" style="20"/>
    <col min="2563" max="2563" width="11.81640625" style="20" customWidth="1"/>
    <col min="2564" max="2564" width="9.1796875" style="20"/>
    <col min="2565" max="2565" width="14.81640625" style="20" customWidth="1"/>
    <col min="2566" max="2566" width="10.81640625" style="20" customWidth="1"/>
    <col min="2567" max="2818" width="9.1796875" style="20"/>
    <col min="2819" max="2819" width="11.81640625" style="20" customWidth="1"/>
    <col min="2820" max="2820" width="9.1796875" style="20"/>
    <col min="2821" max="2821" width="14.81640625" style="20" customWidth="1"/>
    <col min="2822" max="2822" width="10.81640625" style="20" customWidth="1"/>
    <col min="2823" max="3074" width="9.1796875" style="20"/>
    <col min="3075" max="3075" width="11.81640625" style="20" customWidth="1"/>
    <col min="3076" max="3076" width="9.1796875" style="20"/>
    <col min="3077" max="3077" width="14.81640625" style="20" customWidth="1"/>
    <col min="3078" max="3078" width="10.81640625" style="20" customWidth="1"/>
    <col min="3079" max="3330" width="9.1796875" style="20"/>
    <col min="3331" max="3331" width="11.81640625" style="20" customWidth="1"/>
    <col min="3332" max="3332" width="9.1796875" style="20"/>
    <col min="3333" max="3333" width="14.81640625" style="20" customWidth="1"/>
    <col min="3334" max="3334" width="10.81640625" style="20" customWidth="1"/>
    <col min="3335" max="3586" width="9.1796875" style="20"/>
    <col min="3587" max="3587" width="11.81640625" style="20" customWidth="1"/>
    <col min="3588" max="3588" width="9.1796875" style="20"/>
    <col min="3589" max="3589" width="14.81640625" style="20" customWidth="1"/>
    <col min="3590" max="3590" width="10.81640625" style="20" customWidth="1"/>
    <col min="3591" max="3842" width="9.1796875" style="20"/>
    <col min="3843" max="3843" width="11.81640625" style="20" customWidth="1"/>
    <col min="3844" max="3844" width="9.1796875" style="20"/>
    <col min="3845" max="3845" width="14.81640625" style="20" customWidth="1"/>
    <col min="3846" max="3846" width="10.81640625" style="20" customWidth="1"/>
    <col min="3847" max="4098" width="9.1796875" style="20"/>
    <col min="4099" max="4099" width="11.81640625" style="20" customWidth="1"/>
    <col min="4100" max="4100" width="9.1796875" style="20"/>
    <col min="4101" max="4101" width="14.81640625" style="20" customWidth="1"/>
    <col min="4102" max="4102" width="10.81640625" style="20" customWidth="1"/>
    <col min="4103" max="4354" width="9.1796875" style="20"/>
    <col min="4355" max="4355" width="11.81640625" style="20" customWidth="1"/>
    <col min="4356" max="4356" width="9.1796875" style="20"/>
    <col min="4357" max="4357" width="14.81640625" style="20" customWidth="1"/>
    <col min="4358" max="4358" width="10.81640625" style="20" customWidth="1"/>
    <col min="4359" max="4610" width="9.1796875" style="20"/>
    <col min="4611" max="4611" width="11.81640625" style="20" customWidth="1"/>
    <col min="4612" max="4612" width="9.1796875" style="20"/>
    <col min="4613" max="4613" width="14.81640625" style="20" customWidth="1"/>
    <col min="4614" max="4614" width="10.81640625" style="20" customWidth="1"/>
    <col min="4615" max="4866" width="9.1796875" style="20"/>
    <col min="4867" max="4867" width="11.81640625" style="20" customWidth="1"/>
    <col min="4868" max="4868" width="9.1796875" style="20"/>
    <col min="4869" max="4869" width="14.81640625" style="20" customWidth="1"/>
    <col min="4870" max="4870" width="10.81640625" style="20" customWidth="1"/>
    <col min="4871" max="5122" width="9.1796875" style="20"/>
    <col min="5123" max="5123" width="11.81640625" style="20" customWidth="1"/>
    <col min="5124" max="5124" width="9.1796875" style="20"/>
    <col min="5125" max="5125" width="14.81640625" style="20" customWidth="1"/>
    <col min="5126" max="5126" width="10.81640625" style="20" customWidth="1"/>
    <col min="5127" max="5378" width="9.1796875" style="20"/>
    <col min="5379" max="5379" width="11.81640625" style="20" customWidth="1"/>
    <col min="5380" max="5380" width="9.1796875" style="20"/>
    <col min="5381" max="5381" width="14.81640625" style="20" customWidth="1"/>
    <col min="5382" max="5382" width="10.81640625" style="20" customWidth="1"/>
    <col min="5383" max="5634" width="9.1796875" style="20"/>
    <col min="5635" max="5635" width="11.81640625" style="20" customWidth="1"/>
    <col min="5636" max="5636" width="9.1796875" style="20"/>
    <col min="5637" max="5637" width="14.81640625" style="20" customWidth="1"/>
    <col min="5638" max="5638" width="10.81640625" style="20" customWidth="1"/>
    <col min="5639" max="5890" width="9.1796875" style="20"/>
    <col min="5891" max="5891" width="11.81640625" style="20" customWidth="1"/>
    <col min="5892" max="5892" width="9.1796875" style="20"/>
    <col min="5893" max="5893" width="14.81640625" style="20" customWidth="1"/>
    <col min="5894" max="5894" width="10.81640625" style="20" customWidth="1"/>
    <col min="5895" max="6146" width="9.1796875" style="20"/>
    <col min="6147" max="6147" width="11.81640625" style="20" customWidth="1"/>
    <col min="6148" max="6148" width="9.1796875" style="20"/>
    <col min="6149" max="6149" width="14.81640625" style="20" customWidth="1"/>
    <col min="6150" max="6150" width="10.81640625" style="20" customWidth="1"/>
    <col min="6151" max="6402" width="9.1796875" style="20"/>
    <col min="6403" max="6403" width="11.81640625" style="20" customWidth="1"/>
    <col min="6404" max="6404" width="9.1796875" style="20"/>
    <col min="6405" max="6405" width="14.81640625" style="20" customWidth="1"/>
    <col min="6406" max="6406" width="10.81640625" style="20" customWidth="1"/>
    <col min="6407" max="6658" width="9.1796875" style="20"/>
    <col min="6659" max="6659" width="11.81640625" style="20" customWidth="1"/>
    <col min="6660" max="6660" width="9.1796875" style="20"/>
    <col min="6661" max="6661" width="14.81640625" style="20" customWidth="1"/>
    <col min="6662" max="6662" width="10.81640625" style="20" customWidth="1"/>
    <col min="6663" max="6914" width="9.1796875" style="20"/>
    <col min="6915" max="6915" width="11.81640625" style="20" customWidth="1"/>
    <col min="6916" max="6916" width="9.1796875" style="20"/>
    <col min="6917" max="6917" width="14.81640625" style="20" customWidth="1"/>
    <col min="6918" max="6918" width="10.81640625" style="20" customWidth="1"/>
    <col min="6919" max="7170" width="9.1796875" style="20"/>
    <col min="7171" max="7171" width="11.81640625" style="20" customWidth="1"/>
    <col min="7172" max="7172" width="9.1796875" style="20"/>
    <col min="7173" max="7173" width="14.81640625" style="20" customWidth="1"/>
    <col min="7174" max="7174" width="10.81640625" style="20" customWidth="1"/>
    <col min="7175" max="7426" width="9.1796875" style="20"/>
    <col min="7427" max="7427" width="11.81640625" style="20" customWidth="1"/>
    <col min="7428" max="7428" width="9.1796875" style="20"/>
    <col min="7429" max="7429" width="14.81640625" style="20" customWidth="1"/>
    <col min="7430" max="7430" width="10.81640625" style="20" customWidth="1"/>
    <col min="7431" max="7682" width="9.1796875" style="20"/>
    <col min="7683" max="7683" width="11.81640625" style="20" customWidth="1"/>
    <col min="7684" max="7684" width="9.1796875" style="20"/>
    <col min="7685" max="7685" width="14.81640625" style="20" customWidth="1"/>
    <col min="7686" max="7686" width="10.81640625" style="20" customWidth="1"/>
    <col min="7687" max="7938" width="9.1796875" style="20"/>
    <col min="7939" max="7939" width="11.81640625" style="20" customWidth="1"/>
    <col min="7940" max="7940" width="9.1796875" style="20"/>
    <col min="7941" max="7941" width="14.81640625" style="20" customWidth="1"/>
    <col min="7942" max="7942" width="10.81640625" style="20" customWidth="1"/>
    <col min="7943" max="8194" width="9.1796875" style="20"/>
    <col min="8195" max="8195" width="11.81640625" style="20" customWidth="1"/>
    <col min="8196" max="8196" width="9.1796875" style="20"/>
    <col min="8197" max="8197" width="14.81640625" style="20" customWidth="1"/>
    <col min="8198" max="8198" width="10.81640625" style="20" customWidth="1"/>
    <col min="8199" max="8450" width="9.1796875" style="20"/>
    <col min="8451" max="8451" width="11.81640625" style="20" customWidth="1"/>
    <col min="8452" max="8452" width="9.1796875" style="20"/>
    <col min="8453" max="8453" width="14.81640625" style="20" customWidth="1"/>
    <col min="8454" max="8454" width="10.81640625" style="20" customWidth="1"/>
    <col min="8455" max="8706" width="9.1796875" style="20"/>
    <col min="8707" max="8707" width="11.81640625" style="20" customWidth="1"/>
    <col min="8708" max="8708" width="9.1796875" style="20"/>
    <col min="8709" max="8709" width="14.81640625" style="20" customWidth="1"/>
    <col min="8710" max="8710" width="10.81640625" style="20" customWidth="1"/>
    <col min="8711" max="8962" width="9.1796875" style="20"/>
    <col min="8963" max="8963" width="11.81640625" style="20" customWidth="1"/>
    <col min="8964" max="8964" width="9.1796875" style="20"/>
    <col min="8965" max="8965" width="14.81640625" style="20" customWidth="1"/>
    <col min="8966" max="8966" width="10.81640625" style="20" customWidth="1"/>
    <col min="8967" max="9218" width="9.1796875" style="20"/>
    <col min="9219" max="9219" width="11.81640625" style="20" customWidth="1"/>
    <col min="9220" max="9220" width="9.1796875" style="20"/>
    <col min="9221" max="9221" width="14.81640625" style="20" customWidth="1"/>
    <col min="9222" max="9222" width="10.81640625" style="20" customWidth="1"/>
    <col min="9223" max="9474" width="9.1796875" style="20"/>
    <col min="9475" max="9475" width="11.81640625" style="20" customWidth="1"/>
    <col min="9476" max="9476" width="9.1796875" style="20"/>
    <col min="9477" max="9477" width="14.81640625" style="20" customWidth="1"/>
    <col min="9478" max="9478" width="10.81640625" style="20" customWidth="1"/>
    <col min="9479" max="9730" width="9.1796875" style="20"/>
    <col min="9731" max="9731" width="11.81640625" style="20" customWidth="1"/>
    <col min="9732" max="9732" width="9.1796875" style="20"/>
    <col min="9733" max="9733" width="14.81640625" style="20" customWidth="1"/>
    <col min="9734" max="9734" width="10.81640625" style="20" customWidth="1"/>
    <col min="9735" max="9986" width="9.1796875" style="20"/>
    <col min="9987" max="9987" width="11.81640625" style="20" customWidth="1"/>
    <col min="9988" max="9988" width="9.1796875" style="20"/>
    <col min="9989" max="9989" width="14.81640625" style="20" customWidth="1"/>
    <col min="9990" max="9990" width="10.81640625" style="20" customWidth="1"/>
    <col min="9991" max="10242" width="9.1796875" style="20"/>
    <col min="10243" max="10243" width="11.81640625" style="20" customWidth="1"/>
    <col min="10244" max="10244" width="9.1796875" style="20"/>
    <col min="10245" max="10245" width="14.81640625" style="20" customWidth="1"/>
    <col min="10246" max="10246" width="10.81640625" style="20" customWidth="1"/>
    <col min="10247" max="10498" width="9.1796875" style="20"/>
    <col min="10499" max="10499" width="11.81640625" style="20" customWidth="1"/>
    <col min="10500" max="10500" width="9.1796875" style="20"/>
    <col min="10501" max="10501" width="14.81640625" style="20" customWidth="1"/>
    <col min="10502" max="10502" width="10.81640625" style="20" customWidth="1"/>
    <col min="10503" max="10754" width="9.1796875" style="20"/>
    <col min="10755" max="10755" width="11.81640625" style="20" customWidth="1"/>
    <col min="10756" max="10756" width="9.1796875" style="20"/>
    <col min="10757" max="10757" width="14.81640625" style="20" customWidth="1"/>
    <col min="10758" max="10758" width="10.81640625" style="20" customWidth="1"/>
    <col min="10759" max="11010" width="9.1796875" style="20"/>
    <col min="11011" max="11011" width="11.81640625" style="20" customWidth="1"/>
    <col min="11012" max="11012" width="9.1796875" style="20"/>
    <col min="11013" max="11013" width="14.81640625" style="20" customWidth="1"/>
    <col min="11014" max="11014" width="10.81640625" style="20" customWidth="1"/>
    <col min="11015" max="11266" width="9.1796875" style="20"/>
    <col min="11267" max="11267" width="11.81640625" style="20" customWidth="1"/>
    <col min="11268" max="11268" width="9.1796875" style="20"/>
    <col min="11269" max="11269" width="14.81640625" style="20" customWidth="1"/>
    <col min="11270" max="11270" width="10.81640625" style="20" customWidth="1"/>
    <col min="11271" max="11522" width="9.1796875" style="20"/>
    <col min="11523" max="11523" width="11.81640625" style="20" customWidth="1"/>
    <col min="11524" max="11524" width="9.1796875" style="20"/>
    <col min="11525" max="11525" width="14.81640625" style="20" customWidth="1"/>
    <col min="11526" max="11526" width="10.81640625" style="20" customWidth="1"/>
    <col min="11527" max="11778" width="9.1796875" style="20"/>
    <col min="11779" max="11779" width="11.81640625" style="20" customWidth="1"/>
    <col min="11780" max="11780" width="9.1796875" style="20"/>
    <col min="11781" max="11781" width="14.81640625" style="20" customWidth="1"/>
    <col min="11782" max="11782" width="10.81640625" style="20" customWidth="1"/>
    <col min="11783" max="12034" width="9.1796875" style="20"/>
    <col min="12035" max="12035" width="11.81640625" style="20" customWidth="1"/>
    <col min="12036" max="12036" width="9.1796875" style="20"/>
    <col min="12037" max="12037" width="14.81640625" style="20" customWidth="1"/>
    <col min="12038" max="12038" width="10.81640625" style="20" customWidth="1"/>
    <col min="12039" max="12290" width="9.1796875" style="20"/>
    <col min="12291" max="12291" width="11.81640625" style="20" customWidth="1"/>
    <col min="12292" max="12292" width="9.1796875" style="20"/>
    <col min="12293" max="12293" width="14.81640625" style="20" customWidth="1"/>
    <col min="12294" max="12294" width="10.81640625" style="20" customWidth="1"/>
    <col min="12295" max="12546" width="9.1796875" style="20"/>
    <col min="12547" max="12547" width="11.81640625" style="20" customWidth="1"/>
    <col min="12548" max="12548" width="9.1796875" style="20"/>
    <col min="12549" max="12549" width="14.81640625" style="20" customWidth="1"/>
    <col min="12550" max="12550" width="10.81640625" style="20" customWidth="1"/>
    <col min="12551" max="12802" width="9.1796875" style="20"/>
    <col min="12803" max="12803" width="11.81640625" style="20" customWidth="1"/>
    <col min="12804" max="12804" width="9.1796875" style="20"/>
    <col min="12805" max="12805" width="14.81640625" style="20" customWidth="1"/>
    <col min="12806" max="12806" width="10.81640625" style="20" customWidth="1"/>
    <col min="12807" max="13058" width="9.1796875" style="20"/>
    <col min="13059" max="13059" width="11.81640625" style="20" customWidth="1"/>
    <col min="13060" max="13060" width="9.1796875" style="20"/>
    <col min="13061" max="13061" width="14.81640625" style="20" customWidth="1"/>
    <col min="13062" max="13062" width="10.81640625" style="20" customWidth="1"/>
    <col min="13063" max="13314" width="9.1796875" style="20"/>
    <col min="13315" max="13315" width="11.81640625" style="20" customWidth="1"/>
    <col min="13316" max="13316" width="9.1796875" style="20"/>
    <col min="13317" max="13317" width="14.81640625" style="20" customWidth="1"/>
    <col min="13318" max="13318" width="10.81640625" style="20" customWidth="1"/>
    <col min="13319" max="13570" width="9.1796875" style="20"/>
    <col min="13571" max="13571" width="11.81640625" style="20" customWidth="1"/>
    <col min="13572" max="13572" width="9.1796875" style="20"/>
    <col min="13573" max="13573" width="14.81640625" style="20" customWidth="1"/>
    <col min="13574" max="13574" width="10.81640625" style="20" customWidth="1"/>
    <col min="13575" max="13826" width="9.1796875" style="20"/>
    <col min="13827" max="13827" width="11.81640625" style="20" customWidth="1"/>
    <col min="13828" max="13828" width="9.1796875" style="20"/>
    <col min="13829" max="13829" width="14.81640625" style="20" customWidth="1"/>
    <col min="13830" max="13830" width="10.81640625" style="20" customWidth="1"/>
    <col min="13831" max="14082" width="9.1796875" style="20"/>
    <col min="14083" max="14083" width="11.81640625" style="20" customWidth="1"/>
    <col min="14084" max="14084" width="9.1796875" style="20"/>
    <col min="14085" max="14085" width="14.81640625" style="20" customWidth="1"/>
    <col min="14086" max="14086" width="10.81640625" style="20" customWidth="1"/>
    <col min="14087" max="14338" width="9.1796875" style="20"/>
    <col min="14339" max="14339" width="11.81640625" style="20" customWidth="1"/>
    <col min="14340" max="14340" width="9.1796875" style="20"/>
    <col min="14341" max="14341" width="14.81640625" style="20" customWidth="1"/>
    <col min="14342" max="14342" width="10.81640625" style="20" customWidth="1"/>
    <col min="14343" max="14594" width="9.1796875" style="20"/>
    <col min="14595" max="14595" width="11.81640625" style="20" customWidth="1"/>
    <col min="14596" max="14596" width="9.1796875" style="20"/>
    <col min="14597" max="14597" width="14.81640625" style="20" customWidth="1"/>
    <col min="14598" max="14598" width="10.81640625" style="20" customWidth="1"/>
    <col min="14599" max="14850" width="9.1796875" style="20"/>
    <col min="14851" max="14851" width="11.81640625" style="20" customWidth="1"/>
    <col min="14852" max="14852" width="9.1796875" style="20"/>
    <col min="14853" max="14853" width="14.81640625" style="20" customWidth="1"/>
    <col min="14854" max="14854" width="10.81640625" style="20" customWidth="1"/>
    <col min="14855" max="15106" width="9.1796875" style="20"/>
    <col min="15107" max="15107" width="11.81640625" style="20" customWidth="1"/>
    <col min="15108" max="15108" width="9.1796875" style="20"/>
    <col min="15109" max="15109" width="14.81640625" style="20" customWidth="1"/>
    <col min="15110" max="15110" width="10.81640625" style="20" customWidth="1"/>
    <col min="15111" max="15362" width="9.1796875" style="20"/>
    <col min="15363" max="15363" width="11.81640625" style="20" customWidth="1"/>
    <col min="15364" max="15364" width="9.1796875" style="20"/>
    <col min="15365" max="15365" width="14.81640625" style="20" customWidth="1"/>
    <col min="15366" max="15366" width="10.81640625" style="20" customWidth="1"/>
    <col min="15367" max="15618" width="9.1796875" style="20"/>
    <col min="15619" max="15619" width="11.81640625" style="20" customWidth="1"/>
    <col min="15620" max="15620" width="9.1796875" style="20"/>
    <col min="15621" max="15621" width="14.81640625" style="20" customWidth="1"/>
    <col min="15622" max="15622" width="10.81640625" style="20" customWidth="1"/>
    <col min="15623" max="15874" width="9.1796875" style="20"/>
    <col min="15875" max="15875" width="11.81640625" style="20" customWidth="1"/>
    <col min="15876" max="15876" width="9.1796875" style="20"/>
    <col min="15877" max="15877" width="14.81640625" style="20" customWidth="1"/>
    <col min="15878" max="15878" width="10.81640625" style="20" customWidth="1"/>
    <col min="15879" max="16130" width="9.1796875" style="20"/>
    <col min="16131" max="16131" width="11.81640625" style="20" customWidth="1"/>
    <col min="16132" max="16132" width="9.1796875" style="20"/>
    <col min="16133" max="16133" width="14.81640625" style="20" customWidth="1"/>
    <col min="16134" max="16134" width="10.81640625" style="20" customWidth="1"/>
    <col min="16135" max="16384" width="9.1796875" style="20"/>
  </cols>
  <sheetData>
    <row r="2" spans="1:13" x14ac:dyDescent="0.3">
      <c r="A2" s="21" t="s">
        <v>128</v>
      </c>
      <c r="B2" s="21" t="s">
        <v>129</v>
      </c>
      <c r="C2" s="21" t="s">
        <v>130</v>
      </c>
      <c r="D2" s="221" t="s">
        <v>131</v>
      </c>
      <c r="E2" s="221"/>
    </row>
    <row r="3" spans="1:13" x14ac:dyDescent="0.3">
      <c r="A3" s="24">
        <v>3</v>
      </c>
      <c r="B3" s="24">
        <v>9</v>
      </c>
      <c r="C3" s="24">
        <v>1</v>
      </c>
      <c r="D3" s="223">
        <v>60</v>
      </c>
      <c r="E3" s="223"/>
    </row>
    <row r="5" spans="1:13" hidden="1" x14ac:dyDescent="0.3">
      <c r="A5" s="20" t="s">
        <v>93</v>
      </c>
      <c r="B5" s="22" t="s">
        <v>141</v>
      </c>
      <c r="C5" s="22">
        <f>D3</f>
        <v>60</v>
      </c>
      <c r="D5" s="23"/>
    </row>
    <row r="6" spans="1:13" x14ac:dyDescent="0.3">
      <c r="A6" s="20" t="s">
        <v>94</v>
      </c>
      <c r="B6" s="25">
        <v>10</v>
      </c>
      <c r="C6" s="26">
        <v>10</v>
      </c>
      <c r="D6" s="27">
        <f>((100/B6)*C6)/100</f>
        <v>1</v>
      </c>
    </row>
    <row r="7" spans="1:13" x14ac:dyDescent="0.3">
      <c r="A7" s="20" t="s">
        <v>95</v>
      </c>
      <c r="B7" s="25">
        <v>70</v>
      </c>
      <c r="C7" s="26">
        <v>35</v>
      </c>
      <c r="D7" s="27">
        <f t="shared" ref="D7:D12" si="0">((100/B7)*C7)/100</f>
        <v>0.5</v>
      </c>
      <c r="F7" s="224" t="s">
        <v>142</v>
      </c>
      <c r="G7" s="224"/>
      <c r="H7" s="28" t="s">
        <v>143</v>
      </c>
      <c r="J7" s="34"/>
    </row>
    <row r="8" spans="1:13" x14ac:dyDescent="0.3">
      <c r="A8" s="20" t="s">
        <v>100</v>
      </c>
      <c r="B8" s="25">
        <f>C5</f>
        <v>60</v>
      </c>
      <c r="C8" s="26">
        <v>25</v>
      </c>
      <c r="D8" s="27">
        <f t="shared" si="0"/>
        <v>0.41666666666666674</v>
      </c>
      <c r="F8" s="222" t="s">
        <v>144</v>
      </c>
      <c r="G8" s="222"/>
      <c r="H8" s="25" t="s">
        <v>145</v>
      </c>
    </row>
    <row r="9" spans="1:13" x14ac:dyDescent="0.3">
      <c r="A9" s="20" t="s">
        <v>102</v>
      </c>
      <c r="B9" s="25">
        <f>C5</f>
        <v>60</v>
      </c>
      <c r="C9" s="26">
        <v>13</v>
      </c>
      <c r="D9" s="27">
        <f t="shared" si="0"/>
        <v>0.21666666666666667</v>
      </c>
      <c r="F9" s="222" t="s">
        <v>146</v>
      </c>
      <c r="G9" s="222"/>
      <c r="H9" s="25" t="s">
        <v>147</v>
      </c>
    </row>
    <row r="10" spans="1:13" x14ac:dyDescent="0.3">
      <c r="A10" s="20" t="s">
        <v>63</v>
      </c>
      <c r="B10" s="25">
        <f>C5</f>
        <v>60</v>
      </c>
      <c r="C10" s="26">
        <v>0</v>
      </c>
      <c r="D10" s="27">
        <f t="shared" si="0"/>
        <v>0</v>
      </c>
      <c r="F10" s="222" t="s">
        <v>148</v>
      </c>
      <c r="G10" s="222"/>
      <c r="H10" s="25" t="s">
        <v>149</v>
      </c>
    </row>
    <row r="11" spans="1:13" x14ac:dyDescent="0.3">
      <c r="A11" s="29" t="s">
        <v>98</v>
      </c>
      <c r="B11" s="25">
        <f>C5</f>
        <v>60</v>
      </c>
      <c r="C11" s="26">
        <v>0</v>
      </c>
      <c r="D11" s="27">
        <f t="shared" si="0"/>
        <v>0</v>
      </c>
      <c r="F11" s="222" t="s">
        <v>150</v>
      </c>
      <c r="G11" s="222"/>
      <c r="H11" s="25" t="s">
        <v>151</v>
      </c>
    </row>
    <row r="12" spans="1:13" x14ac:dyDescent="0.3">
      <c r="A12" s="20" t="s">
        <v>64</v>
      </c>
      <c r="B12" s="25">
        <f>C5</f>
        <v>60</v>
      </c>
      <c r="C12" s="26">
        <v>0</v>
      </c>
      <c r="D12" s="27">
        <f t="shared" si="0"/>
        <v>0</v>
      </c>
      <c r="F12" s="222" t="s">
        <v>152</v>
      </c>
      <c r="G12" s="222"/>
      <c r="H12" s="25" t="s">
        <v>153</v>
      </c>
    </row>
    <row r="13" spans="1:13" x14ac:dyDescent="0.3">
      <c r="F13" s="222" t="s">
        <v>154</v>
      </c>
      <c r="G13" s="222"/>
      <c r="H13" s="25" t="s">
        <v>155</v>
      </c>
    </row>
    <row r="14" spans="1:13" hidden="1" x14ac:dyDescent="0.3">
      <c r="A14" s="21"/>
      <c r="B14" s="21" t="s">
        <v>99</v>
      </c>
      <c r="C14" s="21" t="s">
        <v>103</v>
      </c>
      <c r="G14" s="21" t="s">
        <v>94</v>
      </c>
      <c r="H14" s="21" t="s">
        <v>96</v>
      </c>
      <c r="I14" s="21" t="s">
        <v>97</v>
      </c>
      <c r="J14" s="21" t="s">
        <v>62</v>
      </c>
      <c r="K14" s="21" t="s">
        <v>63</v>
      </c>
      <c r="L14" s="21" t="s">
        <v>98</v>
      </c>
      <c r="M14" s="21" t="s">
        <v>64</v>
      </c>
    </row>
    <row r="15" spans="1:13" hidden="1" x14ac:dyDescent="0.3">
      <c r="A15" s="21" t="s">
        <v>60</v>
      </c>
      <c r="B15" s="21">
        <f>G15</f>
        <v>10</v>
      </c>
      <c r="C15" s="21">
        <f>G16</f>
        <v>30</v>
      </c>
      <c r="E15" s="221" t="s">
        <v>99</v>
      </c>
      <c r="F15" s="221"/>
      <c r="G15" s="30">
        <f>C6</f>
        <v>10</v>
      </c>
      <c r="H15" s="30">
        <f>40/B7*C7</f>
        <v>20</v>
      </c>
      <c r="I15" s="30">
        <f>15/B8*C8</f>
        <v>6.25</v>
      </c>
      <c r="J15" s="30">
        <f>10/B9*C9</f>
        <v>2.1666666666666665</v>
      </c>
      <c r="K15" s="30">
        <f>10/B10*C10</f>
        <v>0</v>
      </c>
      <c r="L15" s="30">
        <f>5/B11*C11</f>
        <v>0</v>
      </c>
      <c r="M15" s="30">
        <f>5/B12*C12</f>
        <v>0</v>
      </c>
    </row>
    <row r="16" spans="1:13" hidden="1" x14ac:dyDescent="0.3">
      <c r="A16" s="21" t="s">
        <v>61</v>
      </c>
      <c r="B16" s="21">
        <f>H15</f>
        <v>20</v>
      </c>
      <c r="C16" s="21">
        <f>H16</f>
        <v>15</v>
      </c>
      <c r="E16" s="221" t="s">
        <v>101</v>
      </c>
      <c r="F16" s="221"/>
      <c r="G16" s="21">
        <f>G15+20</f>
        <v>30</v>
      </c>
      <c r="H16" s="21">
        <f>30/B7*C7</f>
        <v>15</v>
      </c>
      <c r="I16" s="21">
        <f>15/B8*C8</f>
        <v>6.25</v>
      </c>
      <c r="J16" s="21">
        <f>10/B9*C9</f>
        <v>2.1666666666666665</v>
      </c>
      <c r="K16" s="21">
        <f>5/B10*C10</f>
        <v>0</v>
      </c>
      <c r="L16" s="21">
        <f>5/B11*C11</f>
        <v>0</v>
      </c>
      <c r="M16" s="21">
        <f>5/B12*C12</f>
        <v>0</v>
      </c>
    </row>
    <row r="17" spans="1:8" hidden="1" x14ac:dyDescent="0.3">
      <c r="A17" s="21" t="s">
        <v>97</v>
      </c>
      <c r="B17" s="21">
        <f>I15</f>
        <v>6.25</v>
      </c>
      <c r="C17" s="21">
        <f>I16</f>
        <v>6.25</v>
      </c>
    </row>
    <row r="18" spans="1:8" hidden="1" x14ac:dyDescent="0.3">
      <c r="A18" s="21" t="s">
        <v>62</v>
      </c>
      <c r="B18" s="21">
        <f>J15</f>
        <v>2.1666666666666665</v>
      </c>
      <c r="C18" s="21">
        <f>J16</f>
        <v>2.1666666666666665</v>
      </c>
    </row>
    <row r="19" spans="1:8" hidden="1" x14ac:dyDescent="0.3">
      <c r="A19" s="21" t="s">
        <v>63</v>
      </c>
      <c r="B19" s="21">
        <f>K15</f>
        <v>0</v>
      </c>
      <c r="C19" s="21">
        <f>K16</f>
        <v>0</v>
      </c>
    </row>
    <row r="20" spans="1:8" hidden="1" x14ac:dyDescent="0.3">
      <c r="A20" s="31" t="s">
        <v>98</v>
      </c>
      <c r="B20" s="21">
        <f>L15</f>
        <v>0</v>
      </c>
      <c r="C20" s="21">
        <f>L16</f>
        <v>0</v>
      </c>
    </row>
    <row r="21" spans="1:8" hidden="1" x14ac:dyDescent="0.3">
      <c r="A21" s="21" t="s">
        <v>64</v>
      </c>
      <c r="B21" s="21">
        <f>M15</f>
        <v>0</v>
      </c>
      <c r="C21" s="21">
        <f>M16</f>
        <v>0</v>
      </c>
    </row>
    <row r="22" spans="1:8" x14ac:dyDescent="0.3">
      <c r="A22" s="21" t="s">
        <v>104</v>
      </c>
      <c r="B22" s="32">
        <f>(B15+B16+B17+B18+B19+B20+B21)/100</f>
        <v>0.38416666666666666</v>
      </c>
      <c r="C22" s="32">
        <f>(C15+C16+C17+C18+C19+C20+C21)/100</f>
        <v>0.53416666666666668</v>
      </c>
      <c r="F22" s="222" t="s">
        <v>156</v>
      </c>
      <c r="G22" s="222"/>
      <c r="H22" s="25" t="s">
        <v>147</v>
      </c>
    </row>
    <row r="23" spans="1:8" x14ac:dyDescent="0.3">
      <c r="F23" s="222" t="s">
        <v>157</v>
      </c>
      <c r="G23" s="222"/>
      <c r="H23" s="25" t="s">
        <v>158</v>
      </c>
    </row>
    <row r="24" spans="1:8" x14ac:dyDescent="0.3">
      <c r="A24" s="20" t="s">
        <v>133</v>
      </c>
      <c r="B24" s="33">
        <v>0.01</v>
      </c>
      <c r="C24" s="33">
        <v>0.02</v>
      </c>
      <c r="F24" s="222" t="s">
        <v>159</v>
      </c>
      <c r="G24" s="222"/>
      <c r="H24" s="25" t="s">
        <v>160</v>
      </c>
    </row>
    <row r="25" spans="1:8" x14ac:dyDescent="0.3">
      <c r="A25" s="20" t="s">
        <v>134</v>
      </c>
      <c r="B25" s="33">
        <v>0.01</v>
      </c>
      <c r="C25" s="33">
        <v>0.03</v>
      </c>
    </row>
    <row r="26" spans="1:8" x14ac:dyDescent="0.3">
      <c r="A26" s="20" t="s">
        <v>135</v>
      </c>
      <c r="B26" s="33">
        <v>0.03</v>
      </c>
      <c r="C26" s="33">
        <v>0.08</v>
      </c>
    </row>
    <row r="27" spans="1:8" x14ac:dyDescent="0.3">
      <c r="A27" s="20" t="s">
        <v>136</v>
      </c>
      <c r="B27" s="33">
        <v>0.05</v>
      </c>
      <c r="C27" s="33">
        <v>0.15</v>
      </c>
    </row>
    <row r="28" spans="1:8" x14ac:dyDescent="0.3">
      <c r="A28" s="20" t="s">
        <v>137</v>
      </c>
      <c r="B28" s="33">
        <v>7.0000000000000007E-2</v>
      </c>
      <c r="C28" s="33">
        <v>0.2</v>
      </c>
    </row>
    <row r="29" spans="1:8" x14ac:dyDescent="0.3">
      <c r="A29" s="20" t="s">
        <v>138</v>
      </c>
      <c r="B29" s="33">
        <v>0.1</v>
      </c>
      <c r="C29" s="3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O11" sqref="O11"/>
    </sheetView>
  </sheetViews>
  <sheetFormatPr defaultRowHeight="14.5" x14ac:dyDescent="0.35"/>
  <cols>
    <col min="2" max="2" width="12.1796875" customWidth="1"/>
  </cols>
  <sheetData>
    <row r="2" spans="1:12" x14ac:dyDescent="0.35">
      <c r="B2" s="5" t="s">
        <v>105</v>
      </c>
      <c r="C2" s="225"/>
      <c r="D2" s="225"/>
    </row>
    <row r="3" spans="1:12" x14ac:dyDescent="0.35">
      <c r="D3" s="6"/>
      <c r="E3" s="6"/>
      <c r="F3" s="6"/>
      <c r="G3" s="6"/>
      <c r="H3" s="6"/>
      <c r="I3" s="6"/>
    </row>
    <row r="4" spans="1:12" x14ac:dyDescent="0.35">
      <c r="A4" s="5" t="s">
        <v>106</v>
      </c>
      <c r="B4" s="7" t="s">
        <v>107</v>
      </c>
      <c r="C4" s="226" t="s">
        <v>108</v>
      </c>
      <c r="D4" s="226"/>
      <c r="E4" s="226"/>
      <c r="F4" s="8"/>
      <c r="G4" s="226" t="s">
        <v>109</v>
      </c>
      <c r="H4" s="226"/>
      <c r="I4" s="226"/>
      <c r="J4" s="226" t="s">
        <v>110</v>
      </c>
      <c r="K4" s="226"/>
      <c r="L4" s="226"/>
    </row>
    <row r="5" spans="1:12" x14ac:dyDescent="0.35">
      <c r="A5" s="5">
        <v>1</v>
      </c>
      <c r="B5" s="7"/>
      <c r="C5" s="7" t="s">
        <v>111</v>
      </c>
      <c r="D5" s="7" t="s">
        <v>112</v>
      </c>
      <c r="E5" s="7" t="s">
        <v>72</v>
      </c>
      <c r="F5" s="7"/>
      <c r="G5" s="7" t="s">
        <v>111</v>
      </c>
      <c r="H5" s="7" t="s">
        <v>112</v>
      </c>
      <c r="I5" s="7" t="s">
        <v>72</v>
      </c>
      <c r="J5" s="7" t="s">
        <v>111</v>
      </c>
      <c r="K5" s="7" t="s">
        <v>112</v>
      </c>
      <c r="L5" s="7" t="s">
        <v>72</v>
      </c>
    </row>
    <row r="6" spans="1:12" x14ac:dyDescent="0.35">
      <c r="B6" s="9" t="s">
        <v>113</v>
      </c>
      <c r="C6" s="9"/>
      <c r="D6" s="9"/>
      <c r="E6" s="9">
        <f>C6*D6</f>
        <v>0</v>
      </c>
      <c r="F6" s="9" t="s">
        <v>114</v>
      </c>
      <c r="G6" s="9"/>
      <c r="H6" s="9"/>
      <c r="I6" s="9">
        <f>G6*H6</f>
        <v>0</v>
      </c>
      <c r="J6" s="9"/>
      <c r="K6" s="9"/>
      <c r="L6" s="9">
        <f>J6*K6</f>
        <v>0</v>
      </c>
    </row>
    <row r="7" spans="1:12" x14ac:dyDescent="0.35">
      <c r="B7" s="9"/>
      <c r="C7" s="9"/>
      <c r="D7" s="9"/>
      <c r="E7" s="9">
        <f t="shared" ref="E7:E33" si="0">C7*D7</f>
        <v>0</v>
      </c>
      <c r="F7" s="9" t="s">
        <v>115</v>
      </c>
      <c r="G7" s="9"/>
      <c r="H7" s="9"/>
      <c r="I7" s="9">
        <f t="shared" ref="I7:I29" si="1">G7*H7</f>
        <v>0</v>
      </c>
      <c r="J7" s="9"/>
      <c r="K7" s="9"/>
      <c r="L7" s="9">
        <f t="shared" ref="L7:L29" si="2">J7*K7</f>
        <v>0</v>
      </c>
    </row>
    <row r="8" spans="1:12" x14ac:dyDescent="0.35">
      <c r="B8" s="9"/>
      <c r="C8" s="9"/>
      <c r="D8" s="9"/>
      <c r="E8" s="9">
        <f t="shared" si="0"/>
        <v>0</v>
      </c>
      <c r="F8" s="9"/>
      <c r="G8" s="9"/>
      <c r="H8" s="9"/>
      <c r="I8" s="9">
        <f t="shared" si="1"/>
        <v>0</v>
      </c>
      <c r="J8" s="9"/>
      <c r="K8" s="9"/>
      <c r="L8" s="9">
        <f t="shared" si="2"/>
        <v>0</v>
      </c>
    </row>
    <row r="9" spans="1:12" x14ac:dyDescent="0.35">
      <c r="B9" s="9" t="s">
        <v>116</v>
      </c>
      <c r="C9" s="9"/>
      <c r="D9" s="9"/>
      <c r="E9" s="9">
        <f t="shared" si="0"/>
        <v>0</v>
      </c>
      <c r="F9" s="9" t="s">
        <v>114</v>
      </c>
      <c r="G9" s="9"/>
      <c r="H9" s="9"/>
      <c r="I9" s="9">
        <f t="shared" si="1"/>
        <v>0</v>
      </c>
      <c r="J9" s="9"/>
      <c r="K9" s="9"/>
      <c r="L9" s="9">
        <f t="shared" si="2"/>
        <v>0</v>
      </c>
    </row>
    <row r="10" spans="1:12" x14ac:dyDescent="0.35">
      <c r="B10" s="9"/>
      <c r="C10" s="9"/>
      <c r="D10" s="9"/>
      <c r="E10" s="9">
        <f t="shared" si="0"/>
        <v>0</v>
      </c>
      <c r="F10" s="9" t="s">
        <v>115</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117</v>
      </c>
      <c r="C13" s="9"/>
      <c r="D13" s="9"/>
      <c r="E13" s="9">
        <f t="shared" si="0"/>
        <v>0</v>
      </c>
      <c r="F13" s="9" t="s">
        <v>114</v>
      </c>
      <c r="G13" s="9"/>
      <c r="H13" s="9"/>
      <c r="I13" s="9">
        <f t="shared" si="1"/>
        <v>0</v>
      </c>
      <c r="J13" s="9"/>
      <c r="K13" s="9"/>
      <c r="L13" s="9">
        <f t="shared" si="2"/>
        <v>0</v>
      </c>
    </row>
    <row r="14" spans="1:12" x14ac:dyDescent="0.35">
      <c r="B14" s="9"/>
      <c r="C14" s="9"/>
      <c r="D14" s="9"/>
      <c r="E14" s="9">
        <f t="shared" si="0"/>
        <v>0</v>
      </c>
      <c r="F14" s="9" t="s">
        <v>115</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2" x14ac:dyDescent="0.35">
      <c r="B17" s="9" t="s">
        <v>118</v>
      </c>
      <c r="C17" s="9"/>
      <c r="D17" s="9"/>
      <c r="E17" s="9">
        <f t="shared" si="0"/>
        <v>0</v>
      </c>
      <c r="F17" s="9" t="s">
        <v>114</v>
      </c>
      <c r="G17" s="9"/>
      <c r="H17" s="9"/>
      <c r="I17" s="9">
        <f t="shared" si="1"/>
        <v>0</v>
      </c>
      <c r="J17" s="9"/>
      <c r="K17" s="9"/>
      <c r="L17" s="9">
        <f t="shared" si="2"/>
        <v>0</v>
      </c>
    </row>
    <row r="18" spans="2:12" x14ac:dyDescent="0.35">
      <c r="B18" s="9"/>
      <c r="C18" s="9"/>
      <c r="D18" s="9"/>
      <c r="E18" s="9">
        <f t="shared" si="0"/>
        <v>0</v>
      </c>
      <c r="F18" s="9" t="s">
        <v>115</v>
      </c>
      <c r="G18" s="9"/>
      <c r="H18" s="9"/>
      <c r="I18" s="9">
        <f t="shared" si="1"/>
        <v>0</v>
      </c>
      <c r="J18" s="9"/>
      <c r="K18" s="9"/>
      <c r="L18" s="9">
        <f t="shared" si="2"/>
        <v>0</v>
      </c>
    </row>
    <row r="19" spans="2:12" x14ac:dyDescent="0.35">
      <c r="B19" s="9"/>
      <c r="C19" s="9"/>
      <c r="D19" s="9"/>
      <c r="E19" s="9">
        <f t="shared" si="0"/>
        <v>0</v>
      </c>
      <c r="F19" s="9"/>
      <c r="G19" s="9"/>
      <c r="H19" s="9"/>
      <c r="I19" s="9">
        <f t="shared" si="1"/>
        <v>0</v>
      </c>
      <c r="J19" s="9"/>
      <c r="K19" s="9"/>
      <c r="L19" s="9">
        <f t="shared" si="2"/>
        <v>0</v>
      </c>
    </row>
    <row r="20" spans="2:12" x14ac:dyDescent="0.35">
      <c r="B20" s="9" t="s">
        <v>118</v>
      </c>
      <c r="C20" s="9"/>
      <c r="D20" s="9"/>
      <c r="E20" s="9">
        <f t="shared" si="0"/>
        <v>0</v>
      </c>
      <c r="F20" s="9" t="s">
        <v>114</v>
      </c>
      <c r="G20" s="9"/>
      <c r="H20" s="9"/>
      <c r="I20" s="9">
        <f t="shared" si="1"/>
        <v>0</v>
      </c>
      <c r="J20" s="9"/>
      <c r="K20" s="9"/>
      <c r="L20" s="9">
        <f t="shared" si="2"/>
        <v>0</v>
      </c>
    </row>
    <row r="21" spans="2:12" x14ac:dyDescent="0.35">
      <c r="B21" s="9"/>
      <c r="C21" s="9"/>
      <c r="D21" s="9"/>
      <c r="E21" s="9">
        <f t="shared" si="0"/>
        <v>0</v>
      </c>
      <c r="F21" s="9" t="s">
        <v>115</v>
      </c>
      <c r="G21" s="9"/>
      <c r="H21" s="9"/>
      <c r="I21" s="9">
        <f t="shared" si="1"/>
        <v>0</v>
      </c>
      <c r="J21" s="9"/>
      <c r="K21" s="9"/>
      <c r="L21" s="9">
        <f t="shared" si="2"/>
        <v>0</v>
      </c>
    </row>
    <row r="22" spans="2:12" x14ac:dyDescent="0.35">
      <c r="B22" s="9"/>
      <c r="C22" s="9"/>
      <c r="D22" s="9"/>
      <c r="E22" s="9">
        <f t="shared" si="0"/>
        <v>0</v>
      </c>
      <c r="F22" s="9"/>
      <c r="G22" s="9"/>
      <c r="H22" s="9"/>
      <c r="I22" s="9">
        <f t="shared" si="1"/>
        <v>0</v>
      </c>
      <c r="J22" s="9"/>
      <c r="K22" s="9"/>
      <c r="L22" s="9">
        <f t="shared" si="2"/>
        <v>0</v>
      </c>
    </row>
    <row r="23" spans="2:12" x14ac:dyDescent="0.35">
      <c r="B23" s="9" t="s">
        <v>119</v>
      </c>
      <c r="C23" s="9"/>
      <c r="D23" s="9"/>
      <c r="E23" s="9">
        <f t="shared" si="0"/>
        <v>0</v>
      </c>
      <c r="F23" s="9" t="s">
        <v>120</v>
      </c>
      <c r="G23" s="9"/>
      <c r="H23" s="9"/>
      <c r="I23" s="9">
        <f t="shared" si="1"/>
        <v>0</v>
      </c>
      <c r="J23" s="9"/>
      <c r="K23" s="9"/>
      <c r="L23" s="9">
        <f t="shared" si="2"/>
        <v>0</v>
      </c>
    </row>
    <row r="24" spans="2:12" x14ac:dyDescent="0.35">
      <c r="B24" s="9" t="s">
        <v>121</v>
      </c>
      <c r="C24" s="9"/>
      <c r="D24" s="9"/>
      <c r="E24" s="9">
        <f t="shared" si="0"/>
        <v>0</v>
      </c>
      <c r="F24" s="9" t="s">
        <v>120</v>
      </c>
      <c r="G24" s="9"/>
      <c r="H24" s="9"/>
      <c r="I24" s="9">
        <f t="shared" si="1"/>
        <v>0</v>
      </c>
      <c r="J24" s="9"/>
      <c r="K24" s="9"/>
      <c r="L24" s="9">
        <f t="shared" si="2"/>
        <v>0</v>
      </c>
    </row>
    <row r="25" spans="2:12" x14ac:dyDescent="0.35">
      <c r="B25" s="9" t="s">
        <v>122</v>
      </c>
      <c r="C25" s="9"/>
      <c r="D25" s="9"/>
      <c r="E25" s="9">
        <f t="shared" si="0"/>
        <v>0</v>
      </c>
      <c r="F25" s="9" t="s">
        <v>120</v>
      </c>
      <c r="G25" s="9"/>
      <c r="H25" s="9"/>
      <c r="I25" s="9">
        <f t="shared" si="1"/>
        <v>0</v>
      </c>
      <c r="J25" s="9"/>
      <c r="K25" s="9"/>
      <c r="L25" s="9">
        <f t="shared" si="2"/>
        <v>0</v>
      </c>
    </row>
    <row r="26" spans="2:12" x14ac:dyDescent="0.35">
      <c r="B26" s="9"/>
      <c r="C26" s="9"/>
      <c r="D26" s="9"/>
      <c r="E26" s="9">
        <f t="shared" si="0"/>
        <v>0</v>
      </c>
      <c r="F26" s="9"/>
      <c r="G26" s="9"/>
      <c r="H26" s="9"/>
      <c r="I26" s="9">
        <f t="shared" si="1"/>
        <v>0</v>
      </c>
      <c r="J26" s="9"/>
      <c r="K26" s="9"/>
      <c r="L26" s="9">
        <f t="shared" si="2"/>
        <v>0</v>
      </c>
    </row>
    <row r="27" spans="2:12" x14ac:dyDescent="0.35">
      <c r="B27" s="9" t="s">
        <v>123</v>
      </c>
      <c r="C27" s="9"/>
      <c r="D27" s="9"/>
      <c r="E27" s="9">
        <f t="shared" si="0"/>
        <v>0</v>
      </c>
      <c r="F27" s="9"/>
      <c r="G27" s="9"/>
      <c r="H27" s="9"/>
      <c r="I27" s="9">
        <f t="shared" si="1"/>
        <v>0</v>
      </c>
      <c r="J27" s="9"/>
      <c r="K27" s="9"/>
      <c r="L27" s="9">
        <f t="shared" si="2"/>
        <v>0</v>
      </c>
    </row>
    <row r="28" spans="2:12" x14ac:dyDescent="0.35">
      <c r="B28" s="9" t="s">
        <v>124</v>
      </c>
      <c r="C28" s="9"/>
      <c r="D28" s="9"/>
      <c r="E28" s="9">
        <f t="shared" si="0"/>
        <v>0</v>
      </c>
      <c r="F28" s="9"/>
      <c r="G28" s="9"/>
      <c r="H28" s="9"/>
      <c r="I28" s="9">
        <f t="shared" si="1"/>
        <v>0</v>
      </c>
      <c r="J28" s="9"/>
      <c r="K28" s="9"/>
      <c r="L28" s="9">
        <f t="shared" si="2"/>
        <v>0</v>
      </c>
    </row>
    <row r="29" spans="2:12" x14ac:dyDescent="0.35">
      <c r="B29" s="9" t="s">
        <v>125</v>
      </c>
      <c r="C29" s="9"/>
      <c r="D29" s="9"/>
      <c r="E29" s="9">
        <f t="shared" si="0"/>
        <v>0</v>
      </c>
      <c r="F29" s="9"/>
      <c r="G29" s="9"/>
      <c r="H29" s="9"/>
      <c r="I29" s="9">
        <f t="shared" si="1"/>
        <v>0</v>
      </c>
      <c r="J29" s="9"/>
      <c r="K29" s="9"/>
      <c r="L29" s="9">
        <f t="shared" si="2"/>
        <v>0</v>
      </c>
    </row>
    <row r="30" spans="2:12" x14ac:dyDescent="0.35">
      <c r="B30" s="9" t="s">
        <v>126</v>
      </c>
      <c r="C30" s="9"/>
      <c r="D30" s="9"/>
      <c r="E30" s="9">
        <f t="shared" si="0"/>
        <v>0</v>
      </c>
      <c r="F30" s="9"/>
      <c r="G30" s="9"/>
      <c r="H30" s="9"/>
      <c r="I30" s="9">
        <f>G30*H30</f>
        <v>0</v>
      </c>
      <c r="J30" s="9"/>
      <c r="K30" s="9"/>
      <c r="L30" s="9">
        <f>J30*K30</f>
        <v>0</v>
      </c>
    </row>
    <row r="31" spans="2:12" x14ac:dyDescent="0.35">
      <c r="B31" s="9"/>
      <c r="C31" s="9"/>
      <c r="D31" s="9"/>
      <c r="E31" s="9">
        <f t="shared" si="0"/>
        <v>0</v>
      </c>
      <c r="F31" s="9"/>
      <c r="G31" s="9"/>
      <c r="H31" s="9"/>
      <c r="I31" s="9">
        <f>G31*H31</f>
        <v>0</v>
      </c>
      <c r="J31" s="9"/>
      <c r="K31" s="9"/>
      <c r="L31" s="9">
        <f>J31*K31</f>
        <v>0</v>
      </c>
    </row>
    <row r="32" spans="2:12"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74</v>
      </c>
      <c r="C34" s="9"/>
      <c r="D34" s="9">
        <f>E34*10.764</f>
        <v>0</v>
      </c>
      <c r="E34" s="9">
        <f>SUM(E6:E33)</f>
        <v>0</v>
      </c>
      <c r="F34" s="9"/>
      <c r="G34" s="9"/>
      <c r="H34" s="9">
        <f>I34*10.764</f>
        <v>0</v>
      </c>
      <c r="I34" s="9">
        <f>SUM(I6:I33)</f>
        <v>0</v>
      </c>
      <c r="J34" s="9"/>
      <c r="K34" s="9">
        <f>L34*10.764</f>
        <v>0</v>
      </c>
      <c r="L34" s="9">
        <f>SUM(L6:L33)</f>
        <v>0</v>
      </c>
    </row>
    <row r="36" spans="2:12" x14ac:dyDescent="0.3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Note</vt:lpstr>
      <vt:lpstr>Sheet1</vt:lpstr>
      <vt:lpstr>A%</vt:lpstr>
      <vt:lpstr>B%</vt:lpstr>
      <vt:lpstr>Flat detail</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2025-06-03T10:12:42Z</cp:lastPrinted>
  <dcterms:created xsi:type="dcterms:W3CDTF">2019-07-16T09:29:46Z</dcterms:created>
  <dcterms:modified xsi:type="dcterms:W3CDTF">2025-09-08T03:55:42Z</dcterms:modified>
</cp:coreProperties>
</file>