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252" i="1" l="1"/>
  <c r="D251" i="1"/>
  <c r="D250" i="1"/>
  <c r="D249" i="1"/>
  <c r="D244" i="1"/>
  <c r="D243" i="1"/>
  <c r="D242" i="1"/>
  <c r="D241" i="1"/>
  <c r="D237" i="1"/>
  <c r="D236" i="1"/>
  <c r="D239" i="1"/>
  <c r="D238" i="1"/>
  <c r="D235" i="1"/>
  <c r="D234" i="1"/>
  <c r="D233" i="1"/>
  <c r="D232" i="1"/>
  <c r="D231" i="1"/>
  <c r="D230" i="1"/>
  <c r="D229" i="1"/>
  <c r="D228" i="1"/>
  <c r="D226" i="1"/>
  <c r="D225" i="1"/>
  <c r="D222" i="1"/>
  <c r="D221" i="1"/>
  <c r="D220" i="1"/>
  <c r="D219" i="1"/>
  <c r="D224" i="1"/>
  <c r="D223" i="1"/>
  <c r="D218" i="1"/>
  <c r="D216" i="1"/>
  <c r="D217" i="1"/>
  <c r="D215" i="1"/>
  <c r="D213" i="1"/>
  <c r="D212" i="1"/>
  <c r="D211" i="1"/>
  <c r="D210" i="1"/>
  <c r="D209" i="1"/>
  <c r="D205" i="1"/>
  <c r="D204" i="1"/>
  <c r="D203" i="1"/>
  <c r="D202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77" i="1"/>
  <c r="D187" i="1"/>
  <c r="D186" i="1"/>
  <c r="D185" i="1"/>
  <c r="D184" i="1"/>
  <c r="D183" i="1"/>
  <c r="D182" i="1"/>
  <c r="D181" i="1"/>
  <c r="D180" i="1"/>
  <c r="D179" i="1"/>
  <c r="D178" i="1"/>
  <c r="D176" i="1"/>
  <c r="D174" i="1"/>
  <c r="D173" i="1"/>
  <c r="D172" i="1"/>
  <c r="D171" i="1"/>
  <c r="D168" i="1"/>
  <c r="D169" i="1"/>
  <c r="D170" i="1"/>
  <c r="D167" i="1"/>
  <c r="D166" i="1"/>
  <c r="D165" i="1"/>
  <c r="D164" i="1"/>
  <c r="D163" i="1"/>
  <c r="E121" i="1" l="1"/>
  <c r="C121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F150" i="1" l="1"/>
  <c r="J153" i="1"/>
  <c r="I153" i="1"/>
  <c r="F153" i="1"/>
  <c r="J152" i="1"/>
  <c r="I152" i="1"/>
  <c r="F152" i="1"/>
  <c r="I151" i="1"/>
  <c r="F151" i="1"/>
  <c r="I150" i="1"/>
  <c r="I149" i="1"/>
  <c r="F149" i="1"/>
  <c r="F138" i="1"/>
  <c r="D137" i="1"/>
  <c r="A139" i="1"/>
  <c r="N138" i="1"/>
  <c r="L138" i="1"/>
  <c r="K138" i="1"/>
  <c r="J138" i="1"/>
  <c r="I138" i="1"/>
  <c r="D135" i="1"/>
  <c r="D134" i="1"/>
  <c r="C118" i="1" l="1"/>
  <c r="E118" i="1"/>
  <c r="L41" i="1"/>
  <c r="K229" i="1"/>
  <c r="L121" i="1" l="1"/>
  <c r="M121" i="1" s="1"/>
  <c r="N121" i="1"/>
  <c r="K121" i="1" l="1"/>
  <c r="I163" i="1"/>
  <c r="J163" i="1"/>
  <c r="J148" i="1"/>
  <c r="L139" i="1"/>
  <c r="K139" i="1"/>
  <c r="N137" i="1"/>
  <c r="L137" i="1" l="1"/>
  <c r="K137" i="1"/>
  <c r="N140" i="1"/>
  <c r="J139" i="1" l="1"/>
  <c r="J147" i="1"/>
  <c r="I148" i="1"/>
  <c r="I147" i="1"/>
  <c r="I146" i="1"/>
  <c r="I145" i="1"/>
  <c r="I144" i="1"/>
  <c r="I143" i="1"/>
  <c r="I142" i="1"/>
  <c r="I141" i="1"/>
  <c r="I140" i="1"/>
  <c r="J137" i="1"/>
  <c r="J127" i="1"/>
  <c r="D136" i="1"/>
  <c r="J136" i="1"/>
  <c r="I136" i="1"/>
  <c r="I132" i="1"/>
  <c r="I131" i="1"/>
  <c r="I130" i="1"/>
  <c r="I129" i="1"/>
  <c r="I128" i="1"/>
  <c r="J129" i="1"/>
  <c r="I139" i="1"/>
  <c r="I137" i="1"/>
  <c r="D133" i="1"/>
  <c r="D132" i="1"/>
  <c r="D131" i="1"/>
  <c r="D130" i="1"/>
  <c r="D129" i="1"/>
  <c r="I43" i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J121" i="1"/>
  <c r="I121" i="1"/>
  <c r="A229" i="1" l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39" i="1"/>
  <c r="F238" i="1"/>
  <c r="F237" i="1"/>
  <c r="F236" i="1"/>
  <c r="F235" i="1"/>
  <c r="F234" i="1"/>
  <c r="F233" i="1"/>
  <c r="F232" i="1"/>
  <c r="F231" i="1"/>
  <c r="I231" i="1" s="1"/>
  <c r="F230" i="1"/>
  <c r="F229" i="1"/>
  <c r="I229" i="1" s="1"/>
  <c r="G228" i="1"/>
  <c r="F228" i="1"/>
  <c r="F250" i="1"/>
  <c r="F249" i="1"/>
  <c r="F243" i="1"/>
  <c r="F242" i="1"/>
  <c r="F241" i="1"/>
  <c r="F252" i="1"/>
  <c r="F251" i="1"/>
  <c r="F244" i="1"/>
  <c r="G241" i="1"/>
  <c r="F226" i="1"/>
  <c r="F225" i="1"/>
  <c r="F216" i="1"/>
  <c r="F215" i="1"/>
  <c r="F224" i="1"/>
  <c r="F223" i="1"/>
  <c r="F222" i="1"/>
  <c r="F221" i="1"/>
  <c r="F220" i="1"/>
  <c r="F219" i="1"/>
  <c r="F218" i="1"/>
  <c r="F217" i="1"/>
  <c r="G215" i="1"/>
  <c r="A266" i="1" l="1"/>
  <c r="J228" i="1"/>
  <c r="I228" i="1"/>
  <c r="J230" i="1"/>
  <c r="I230" i="1"/>
  <c r="F213" i="1"/>
  <c r="F212" i="1"/>
  <c r="F211" i="1"/>
  <c r="F210" i="1"/>
  <c r="F209" i="1"/>
  <c r="F205" i="1"/>
  <c r="F204" i="1"/>
  <c r="F203" i="1"/>
  <c r="G202" i="1"/>
  <c r="F202" i="1"/>
  <c r="F200" i="1"/>
  <c r="F199" i="1"/>
  <c r="F190" i="1"/>
  <c r="F189" i="1"/>
  <c r="F198" i="1"/>
  <c r="F197" i="1"/>
  <c r="F196" i="1"/>
  <c r="F195" i="1"/>
  <c r="F194" i="1"/>
  <c r="F193" i="1"/>
  <c r="F192" i="1"/>
  <c r="F191" i="1"/>
  <c r="G189" i="1"/>
  <c r="F177" i="1"/>
  <c r="F187" i="1"/>
  <c r="F186" i="1"/>
  <c r="F185" i="1"/>
  <c r="F184" i="1"/>
  <c r="F183" i="1"/>
  <c r="F182" i="1"/>
  <c r="F181" i="1"/>
  <c r="F180" i="1"/>
  <c r="F179" i="1"/>
  <c r="F178" i="1"/>
  <c r="G176" i="1"/>
  <c r="F176" i="1"/>
  <c r="F172" i="1"/>
  <c r="F171" i="1"/>
  <c r="F169" i="1"/>
  <c r="F170" i="1"/>
  <c r="F168" i="1"/>
  <c r="F167" i="1"/>
  <c r="F173" i="1"/>
  <c r="F174" i="1"/>
  <c r="F148" i="1"/>
  <c r="F147" i="1"/>
  <c r="F146" i="1"/>
  <c r="F145" i="1"/>
  <c r="F144" i="1"/>
  <c r="F143" i="1"/>
  <c r="F142" i="1"/>
  <c r="F141" i="1"/>
  <c r="F139" i="1"/>
  <c r="F140" i="1"/>
  <c r="F135" i="1"/>
  <c r="F134" i="1"/>
  <c r="F133" i="1"/>
  <c r="F132" i="1"/>
  <c r="D128" i="1"/>
  <c r="E115" i="1" s="1"/>
  <c r="F136" i="1"/>
  <c r="C115" i="1" l="1"/>
  <c r="F137" i="1"/>
  <c r="G118" i="1" s="1"/>
  <c r="Z13" i="1"/>
  <c r="I15" i="1"/>
  <c r="E122" i="1" l="1"/>
  <c r="J123" i="1" s="1"/>
  <c r="C122" i="1"/>
  <c r="F163" i="1"/>
  <c r="F128" i="1"/>
  <c r="K163" i="1" l="1"/>
  <c r="E44" i="1"/>
  <c r="E45" i="1" s="1"/>
  <c r="C16" i="1" l="1"/>
  <c r="E31" i="1" l="1"/>
  <c r="F164" i="1" l="1"/>
  <c r="F165" i="1"/>
  <c r="F166" i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G163" i="1"/>
  <c r="G121" i="1" l="1"/>
  <c r="F112" i="1"/>
  <c r="F129" i="1" l="1"/>
  <c r="F130" i="1"/>
  <c r="F131" i="1"/>
  <c r="G115" i="1" l="1"/>
  <c r="G122" i="1" s="1"/>
  <c r="B255" i="1"/>
  <c r="B25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2" i="1"/>
  <c r="A129" i="1"/>
  <c r="A130" i="1" s="1"/>
  <c r="A131" i="1" s="1"/>
  <c r="A132" i="1" s="1"/>
  <c r="A133" i="1" s="1"/>
  <c r="A134" i="1" s="1"/>
  <c r="A135" i="1" s="1"/>
  <c r="A136" i="1" s="1"/>
  <c r="G128" i="1"/>
  <c r="B70" i="1"/>
  <c r="D58" i="1"/>
  <c r="G51" i="1"/>
  <c r="C51" i="1"/>
  <c r="E28" i="1"/>
  <c r="E26" i="1"/>
  <c r="E7" i="1"/>
  <c r="E3" i="1"/>
  <c r="A140" i="1" l="1"/>
  <c r="J77" i="1"/>
  <c r="J78" i="1" s="1"/>
  <c r="J79" i="1" s="1"/>
  <c r="J80" i="1" s="1"/>
  <c r="H70" i="1"/>
  <c r="D81" i="1" l="1"/>
  <c r="J69" i="1"/>
  <c r="J71" i="1" s="1"/>
  <c r="D79" i="1"/>
  <c r="J74" i="1"/>
  <c r="C73" i="1" s="1"/>
  <c r="J72" i="1"/>
  <c r="D82" i="1"/>
  <c r="D77" i="1"/>
  <c r="J73" i="1"/>
  <c r="D76" i="1"/>
  <c r="D78" i="1"/>
  <c r="J75" i="1"/>
  <c r="J76" i="1" s="1"/>
  <c r="J81" i="1" s="1"/>
  <c r="J82" i="1" s="1"/>
  <c r="C74" i="1" s="1"/>
  <c r="D80" i="1"/>
  <c r="D75" i="1"/>
  <c r="A141" i="1"/>
  <c r="A142" i="1" s="1"/>
  <c r="A143" i="1" s="1"/>
  <c r="B84" i="1" l="1"/>
  <c r="D73" i="1"/>
  <c r="A144" i="1"/>
  <c r="A145" i="1" s="1"/>
  <c r="A146" i="1" s="1"/>
  <c r="A147" i="1" s="1"/>
  <c r="A148" i="1" s="1"/>
  <c r="D74" i="1"/>
  <c r="E73" i="1"/>
  <c r="H84" i="1"/>
  <c r="D93" i="1" l="1"/>
  <c r="D89" i="1"/>
  <c r="J88" i="1"/>
  <c r="C87" i="1" s="1"/>
  <c r="D87" i="1" s="1"/>
  <c r="J86" i="1"/>
  <c r="J83" i="1"/>
  <c r="J85" i="1" s="1"/>
  <c r="D96" i="1"/>
  <c r="D92" i="1"/>
  <c r="D95" i="1"/>
  <c r="D91" i="1"/>
  <c r="J87" i="1"/>
  <c r="D94" i="1"/>
  <c r="D90" i="1"/>
  <c r="J94" i="1"/>
  <c r="J93" i="1"/>
  <c r="J92" i="1"/>
  <c r="J91" i="1"/>
  <c r="J89" i="1"/>
  <c r="J90" i="1" s="1"/>
  <c r="J95" i="1" s="1"/>
  <c r="J96" i="1" s="1"/>
  <c r="I70" i="1"/>
  <c r="I71" i="1" s="1"/>
  <c r="J70" i="1"/>
  <c r="G73" i="1"/>
  <c r="A149" i="1"/>
  <c r="A150" i="1" s="1"/>
  <c r="A151" i="1" s="1"/>
  <c r="A152" i="1" s="1"/>
  <c r="A153" i="1" s="1"/>
  <c r="D67" i="1" l="1"/>
  <c r="C88" i="1"/>
  <c r="E87" i="1" s="1"/>
  <c r="C97" i="1" s="1"/>
  <c r="J97" i="1"/>
  <c r="I69" i="1"/>
  <c r="C71" i="1" s="1"/>
  <c r="D68" i="1"/>
  <c r="F68" i="1"/>
  <c r="J84" i="1" l="1"/>
  <c r="G87" i="1"/>
  <c r="G97" i="1" s="1"/>
  <c r="D88" i="1"/>
  <c r="I84" i="1" s="1"/>
  <c r="I85" i="1" s="1"/>
  <c r="I83" i="1" l="1"/>
  <c r="C85" i="1" s="1"/>
</calcChain>
</file>

<file path=xl/comments1.xml><?xml version="1.0" encoding="utf-8"?>
<comments xmlns="http://schemas.openxmlformats.org/spreadsheetml/2006/main">
  <authors>
    <author>Sachin</author>
    <author>VSJC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  <comment ref="I137" authorId="1" shapeId="0">
      <text>
        <r>
          <rPr>
            <b/>
            <sz val="9"/>
            <color indexed="81"/>
            <rFont val="Tahoma"/>
            <family val="2"/>
          </rPr>
          <t>VSJC:</t>
        </r>
        <r>
          <rPr>
            <sz val="9"/>
            <color indexed="81"/>
            <rFont val="Tahoma"/>
            <family val="2"/>
          </rPr>
          <t xml:space="preserve">
GROUND Floor</t>
        </r>
      </text>
    </comment>
    <comment ref="I138" authorId="1" shapeId="0">
      <text>
        <r>
          <rPr>
            <b/>
            <sz val="9"/>
            <color indexed="81"/>
            <rFont val="Tahoma"/>
            <family val="2"/>
          </rPr>
          <t>VSJC:</t>
        </r>
        <r>
          <rPr>
            <sz val="9"/>
            <color indexed="81"/>
            <rFont val="Tahoma"/>
            <family val="2"/>
          </rPr>
          <t xml:space="preserve">
GROUND Floor</t>
        </r>
      </text>
    </comment>
  </commentList>
</comments>
</file>

<file path=xl/sharedStrings.xml><?xml version="1.0" encoding="utf-8"?>
<sst xmlns="http://schemas.openxmlformats.org/spreadsheetml/2006/main" count="578" uniqueCount="322">
  <si>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</si>
  <si>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</si>
  <si>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</si>
  <si>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</si>
  <si>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</si>
  <si>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</si>
  <si>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</si>
  <si>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</si>
  <si>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</si>
  <si>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</si>
  <si>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</si>
  <si>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</si>
  <si>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</si>
  <si>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</si>
  <si>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</si>
  <si>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</si>
  <si>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</si>
  <si>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</si>
  <si>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</si>
  <si>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</si>
  <si>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</si>
  <si>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</si>
  <si>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</si>
  <si>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</si>
  <si>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</si>
  <si>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</si>
  <si>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</si>
  <si>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</si>
  <si>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</si>
  <si>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</si>
  <si>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</si>
  <si>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</si>
  <si>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</si>
  <si>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</si>
  <si>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</si>
  <si>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</si>
  <si>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</si>
  <si>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</si>
  <si>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</si>
  <si>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</si>
  <si>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</si>
  <si>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</si>
  <si>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</si>
  <si>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</si>
  <si>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</si>
  <si>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</si>
  <si>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</si>
  <si>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</si>
  <si>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</si>
  <si>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</si>
  <si>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</si>
  <si>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</si>
  <si>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</si>
  <si>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</si>
  <si>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</si>
  <si>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</si>
  <si>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</si>
  <si>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</si>
  <si>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</si>
  <si>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</si>
  <si>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</si>
  <si>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</si>
  <si>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</si>
  <si>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</si>
  <si>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</si>
  <si>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</si>
  <si>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</si>
  <si>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</si>
  <si>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</si>
  <si>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</si>
  <si>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</si>
  <si>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</si>
  <si>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</si>
  <si>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</si>
  <si>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</si>
  <si>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</si>
  <si>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</si>
  <si>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</si>
  <si>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</si>
  <si>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</si>
  <si>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</si>
  <si>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</si>
  <si>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</si>
  <si>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</si>
  <si>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</si>
  <si>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</si>
  <si>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</si>
  <si>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</si>
  <si>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</si>
  <si>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</si>
  <si>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</si>
  <si>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</si>
  <si>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</si>
  <si>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</si>
  <si>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</si>
  <si>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</si>
  <si>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</si>
  <si>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</si>
  <si>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</si>
  <si>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</si>
  <si>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</si>
  <si>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</si>
  <si>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</si>
  <si>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</si>
  <si>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</si>
  <si>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</si>
  <si>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</si>
  <si>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</si>
  <si>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</si>
  <si>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</si>
  <si>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</si>
  <si>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</si>
  <si>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</si>
  <si>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</si>
  <si>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</si>
  <si>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</si>
  <si>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</si>
  <si>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</si>
  <si>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</si>
  <si>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</si>
  <si>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</si>
  <si>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</si>
  <si>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</si>
  <si>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</si>
  <si>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</si>
  <si>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</si>
  <si>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</si>
  <si>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</si>
  <si>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</si>
  <si>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</si>
  <si>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</si>
  <si>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</si>
  <si>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</si>
  <si>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</si>
  <si>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</si>
  <si>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</si>
  <si>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</si>
  <si>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</si>
  <si>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</si>
  <si>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</si>
  <si>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</si>
  <si>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</si>
  <si>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</si>
  <si>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</si>
  <si>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</si>
  <si>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</si>
  <si>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</si>
  <si>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</si>
  <si>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</si>
  <si>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</si>
  <si>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</si>
  <si>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</si>
  <si>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</si>
  <si>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</si>
  <si>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</si>
  <si>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</si>
  <si>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</si>
  <si>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</si>
  <si>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</si>
  <si>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</si>
  <si>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</si>
  <si>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</si>
  <si>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</si>
  <si>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</si>
  <si>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</si>
  <si>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</si>
  <si>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</si>
  <si>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</si>
  <si>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</si>
  <si>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</si>
  <si>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</si>
  <si>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</si>
  <si>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</si>
  <si>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</si>
  <si>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</si>
  <si>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</si>
  <si>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</si>
  <si>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</si>
  <si>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</si>
  <si>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</si>
  <si>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</si>
  <si>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</si>
  <si>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</si>
  <si>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</si>
  <si>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</si>
  <si>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</si>
  <si>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</si>
  <si>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</si>
  <si>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</si>
  <si>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</si>
  <si>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</si>
  <si>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</si>
  <si>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</si>
  <si>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</si>
  <si>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</si>
  <si>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</si>
  <si>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</si>
  <si>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</si>
  <si>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</si>
  <si>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</si>
  <si>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</si>
  <si>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</si>
  <si>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</si>
  <si>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</si>
  <si>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</si>
  <si>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</si>
  <si>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</si>
  <si>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</si>
  <si>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</si>
  <si>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</si>
  <si>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</si>
  <si>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</si>
  <si>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</si>
  <si>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</si>
  <si>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</si>
  <si>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</si>
  <si>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</si>
  <si>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</si>
  <si>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</si>
  <si>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</si>
  <si>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</si>
  <si>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</si>
  <si>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</si>
  <si>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</si>
  <si>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</si>
  <si>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</si>
  <si>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Bharat Realty Venture Private Limited</t>
  </si>
  <si>
    <t>Proposed Residential cum Commercial Redevelopment of Apna Ghar Unit No. 9 CHSL</t>
  </si>
  <si>
    <t>Bharat Altavistas</t>
  </si>
  <si>
    <t>022-26378000</t>
  </si>
  <si>
    <t>P51800052790</t>
  </si>
  <si>
    <t>Plot No</t>
  </si>
  <si>
    <t>Name of the Project as per Rera</t>
  </si>
  <si>
    <t>Name of the Project as per Builder</t>
  </si>
  <si>
    <t>P Tondon Road</t>
  </si>
  <si>
    <t>Slum Rehabilitation Authority (SRA)</t>
  </si>
  <si>
    <t>SRA/ENG/K/W/PVT/0180/20230130/AP/S</t>
  </si>
  <si>
    <t>K-W/PVT/0180/20230130/AP/S</t>
  </si>
  <si>
    <t>G + 1st to 29th Floor</t>
  </si>
  <si>
    <t>As per RERA - 30/09/2030</t>
  </si>
  <si>
    <t>Sale / Rehab</t>
  </si>
  <si>
    <t>Rehab</t>
  </si>
  <si>
    <t>Ground Floor For Commercial, Parking, Fire Control Room &amp; Lobby</t>
  </si>
  <si>
    <t>Shop</t>
  </si>
  <si>
    <t>7th Floor For Cumminity Hall, Fitness Centre, Snookers, Badminton Court, SPA, Swimming Pool, Letter Box Room, Yoga Room, Squash Court &amp; Garden</t>
  </si>
  <si>
    <t>8th Floor For Residential</t>
  </si>
  <si>
    <t>3BHK</t>
  </si>
  <si>
    <t>9th Floor</t>
  </si>
  <si>
    <t>10th to 13th Floor</t>
  </si>
  <si>
    <t>14th Floor (Part Refuge Area)</t>
  </si>
  <si>
    <t>Refuge Area</t>
  </si>
  <si>
    <t>15th to 17th Floor</t>
  </si>
  <si>
    <t>21th Floor (Part Refuge Area)</t>
  </si>
  <si>
    <t>Commercial Area Details (Sale) :</t>
  </si>
  <si>
    <t>Shops</t>
  </si>
  <si>
    <t>Commercial Area Details (Rehab) :</t>
  </si>
  <si>
    <t>Flats</t>
  </si>
  <si>
    <t>Residential Area Details (Sale &amp; Rehab) :</t>
  </si>
  <si>
    <t>Lokhandwala Complex</t>
  </si>
  <si>
    <t>Andheri West</t>
  </si>
  <si>
    <t>Oshiwara</t>
  </si>
  <si>
    <t>P Tandon Marg</t>
  </si>
  <si>
    <t>3.10Km from Jogeshwari Railway Station</t>
  </si>
  <si>
    <t>Royal Accord</t>
  </si>
  <si>
    <t>Other Plot</t>
  </si>
  <si>
    <t>27.45 M. Wide Road</t>
  </si>
  <si>
    <t>36.60 M. Wide Road</t>
  </si>
  <si>
    <t>Lokhandwala Complex Road</t>
  </si>
  <si>
    <t>Flat No. (Sale Plan)</t>
  </si>
  <si>
    <t xml:space="preserve">Remark No. 10
</t>
  </si>
  <si>
    <t xml:space="preserve">Sale </t>
  </si>
  <si>
    <t>Apna Ghar Unit No-09 (Sheetal Chhaya) CO-OP. HSG. Society LTD.</t>
  </si>
  <si>
    <t>https://bharataltavistalokhandwala.net/</t>
  </si>
  <si>
    <t>Swimming Pool, Kids Play Area, Fitness centre, Cumminity Hall, Snookers, Badminton Court, SPA, Yoga Room, Squash Court &amp; Garden, etc.</t>
  </si>
  <si>
    <t>from site and plan</t>
  </si>
  <si>
    <t>19.140686,72.82665</t>
  </si>
  <si>
    <t>https://maps.app.goo.gl/PTixq9bNZxKictm4A</t>
  </si>
  <si>
    <t>Area Statement Details :</t>
  </si>
  <si>
    <t>As per legel title " Municipal No. 35 &amp; 36 Known as Sheetal Chhaya"</t>
  </si>
  <si>
    <t>SIA/MH/INFRA2/426183/2023</t>
  </si>
  <si>
    <t>Environmental Clearance (EC) No.</t>
  </si>
  <si>
    <t>Approved Plans, CC &amp; EC.</t>
  </si>
  <si>
    <t>11, CTS No.1/28, Surver No.41(Pt) &amp; Redevlopement of " Apna Ghar Unit No-09 (Sheetal Chhaya) CO-OP. HSG. Society LTD."</t>
  </si>
  <si>
    <t>Clanfield Housing Society</t>
  </si>
  <si>
    <t>Nilgiri Bldg/Brookfield Apartment</t>
  </si>
  <si>
    <t>2nd to 6th Podium Floor For Parking</t>
  </si>
  <si>
    <t>Service Floor Between 7th &amp; 8th Floor</t>
  </si>
  <si>
    <t>We considered Gross carpet area = Net carpet + Chajja Area</t>
  </si>
  <si>
    <t>K/W/PVT/0180/20230130/AP/S</t>
  </si>
  <si>
    <t>Shop (Duplex With 1st Floor)</t>
  </si>
  <si>
    <t>10A</t>
  </si>
  <si>
    <t>1st Floor For Duplex Commercial</t>
  </si>
  <si>
    <t>RCC Girder Level Between 7th &amp; 8th Floor</t>
  </si>
  <si>
    <t>18th, 19th, 20th, 22nd to 29th Floor</t>
  </si>
  <si>
    <t xml:space="preserve">As per Approved Floor plan, Building consist of 257 units For Residential ( Rehab = 109 units &amp; Sale = 148 Units),  but which unit no should be considered as rehab or sale is not mentioned in Approved plan.
</t>
  </si>
  <si>
    <t>Flats - 257, Rehab Shops - 9, Sale shops - 17</t>
  </si>
  <si>
    <t xml:space="preserve">We are not able to calculate 1st Floor area of Shop No. 10A because complete dimensions of shop is not provided in approved plans.
</t>
  </si>
  <si>
    <t>As per Site Visit, Project is divided into 2 Wings i.e. East Wing &amp; West Wing.</t>
  </si>
  <si>
    <t>35000 to 67000</t>
  </si>
  <si>
    <t xml:space="preserve">Sanjay </t>
  </si>
  <si>
    <t>Tamanna Bhatia Case</t>
  </si>
  <si>
    <t>Cost Sheet</t>
  </si>
  <si>
    <t>Remark No. 13</t>
  </si>
  <si>
    <t>This C.C is further extended upto Basement + Ground +1st Commercial + 2nd to 6th Podium Level's + 7th Amenity floors + Service floor + 8th to 16th upper floors as per last approved amended plans Dated 22/04/2024</t>
  </si>
  <si>
    <t xml:space="preserve">We have updated C.C (on 22/06/2024).
</t>
  </si>
  <si>
    <t>26000 to 28000 &amp; OC 12L by Nilesh &amp; aakash on 15/02/2025</t>
  </si>
  <si>
    <t>Society Corpus</t>
  </si>
  <si>
    <t>Society Formation</t>
  </si>
  <si>
    <t>MSEB/MJP/Electric Meter</t>
  </si>
  <si>
    <t xml:space="preserve">Recommended Rates/Other Charges of the Property have been revised on 15/02/2025.
</t>
  </si>
  <si>
    <t>Tushar Bhuwad</t>
  </si>
  <si>
    <t xml:space="preserve">Part O. Certificate No.: </t>
  </si>
  <si>
    <t>K/W/PVT/0180/20230130/AP/S
Valid Upto : Sale Building = Gr. + 1st Floor</t>
  </si>
  <si>
    <t>We have updated Part OC on 21/06/2025.</t>
  </si>
  <si>
    <t>Mr. Shraddha : 9653664162</t>
  </si>
  <si>
    <t>Construction work is in process at the time of Visit. Internal photos was not allowed.</t>
  </si>
  <si>
    <t>Recommended Rates / Other charges of the Property (Commercial) have been revised on 23/10/2023 on basis of Cost sheet provided to us on mail by bank official, which is attached below.</t>
  </si>
  <si>
    <t>Pooja Kawale</t>
  </si>
  <si>
    <t>Part I = G + 1st to 29th Floor</t>
  </si>
  <si>
    <t>Part II = G + 1st to 29th Floor</t>
  </si>
  <si>
    <t>Average Progress %</t>
  </si>
  <si>
    <t>Average Disbursement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</si>
</sst>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0" xfId="0" applyFont="1" applyBorder="1"/>
    <xf numFmtId="0" fontId="25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2" fontId="15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26" fillId="0" borderId="0" xfId="10" applyAlignment="1">
      <alignment horizont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0" xfId="0" applyFont="1" applyFill="1" applyBorder="1"/>
    <xf numFmtId="0" fontId="25" fillId="0" borderId="6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14" fontId="8" fillId="0" borderId="5" xfId="1" applyNumberFormat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6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10" fillId="0" borderId="22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3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7" fillId="0" borderId="1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5" fillId="0" borderId="18" xfId="1" applyFont="1" applyBorder="1" applyAlignment="1">
      <alignment horizontal="center"/>
    </xf>
    <xf numFmtId="0" fontId="15" fillId="0" borderId="0" xfId="1" applyFont="1" applyAlignment="1">
      <alignment horizontal="center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3" borderId="23" xfId="1" applyFont="1" applyFill="1" applyBorder="1" applyAlignment="1" applyProtection="1">
      <alignment horizontal="center" vertical="center" wrapText="1"/>
      <protection locked="0"/>
    </xf>
    <xf numFmtId="0" fontId="10" fillId="3" borderId="24" xfId="1" applyFont="1" applyFill="1" applyBorder="1" applyAlignment="1" applyProtection="1">
      <alignment horizontal="center" vertical="center" wrapText="1"/>
      <protection locked="0"/>
    </xf>
    <xf numFmtId="9" fontId="10" fillId="3" borderId="25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26" xfId="1" applyFont="1" applyFill="1" applyBorder="1" applyAlignment="1" applyProtection="1">
      <alignment horizontal="center" vertical="center" wrapText="1"/>
      <protection locked="0"/>
    </xf>
    <xf numFmtId="0" fontId="10" fillId="3" borderId="25" xfId="1" applyFont="1" applyFill="1" applyBorder="1" applyAlignment="1" applyProtection="1">
      <alignment horizontal="center" vertical="center" wrapText="1"/>
      <protection locked="0"/>
    </xf>
    <xf numFmtId="0" fontId="10" fillId="3" borderId="27" xfId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51288</xdr:colOff>
      <xdr:row>113</xdr:row>
      <xdr:rowOff>21981</xdr:rowOff>
    </xdr:from>
    <xdr:to>
      <xdr:col>11</xdr:col>
      <xdr:colOff>849471</xdr:colOff>
      <xdr:row>118</xdr:row>
      <xdr:rowOff>109037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1961" y="21709673"/>
          <a:ext cx="3619048" cy="1076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417629</xdr:colOff>
      <xdr:row>327</xdr:row>
      <xdr:rowOff>14656</xdr:rowOff>
    </xdr:from>
    <xdr:to>
      <xdr:col>6</xdr:col>
      <xdr:colOff>282859</xdr:colOff>
      <xdr:row>354</xdr:row>
      <xdr:rowOff>26835</xdr:rowOff>
    </xdr:to>
    <xdr:grpSp>
      <xdr:nvGrpSpPr>
        <xdr:cNvPr id="5" name="Group 4"/>
        <xdr:cNvGrpSpPr/>
      </xdr:nvGrpSpPr>
      <xdr:grpSpPr>
        <a:xfrm>
          <a:off x="1217729" y="81866156"/>
          <a:ext cx="4221330" cy="5320779"/>
          <a:chOff x="1655883" y="74741942"/>
          <a:chExt cx="3600000" cy="5346179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55883" y="74741942"/>
            <a:ext cx="3600000" cy="5346179"/>
          </a:xfrm>
          <a:prstGeom prst="rect">
            <a:avLst/>
          </a:prstGeom>
        </xdr:spPr>
      </xdr:pic>
      <xdr:sp macro="" textlink="">
        <xdr:nvSpPr>
          <xdr:cNvPr id="4" name="Rectangle 3"/>
          <xdr:cNvSpPr/>
        </xdr:nvSpPr>
        <xdr:spPr>
          <a:xfrm>
            <a:off x="2798885" y="76734865"/>
            <a:ext cx="2220057" cy="158261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10</xdr:col>
      <xdr:colOff>78872</xdr:colOff>
      <xdr:row>129</xdr:row>
      <xdr:rowOff>10769</xdr:rowOff>
    </xdr:from>
    <xdr:to>
      <xdr:col>14</xdr:col>
      <xdr:colOff>213237</xdr:colOff>
      <xdr:row>136</xdr:row>
      <xdr:rowOff>4249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8754" y="27039357"/>
          <a:ext cx="3596983" cy="1405422"/>
        </a:xfrm>
        <a:prstGeom prst="rect">
          <a:avLst/>
        </a:prstGeom>
        <a:ln w="28575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249116</xdr:colOff>
      <xdr:row>15</xdr:row>
      <xdr:rowOff>498231</xdr:rowOff>
    </xdr:from>
    <xdr:to>
      <xdr:col>11</xdr:col>
      <xdr:colOff>1538</xdr:colOff>
      <xdr:row>20</xdr:row>
      <xdr:rowOff>33370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789" y="4330212"/>
          <a:ext cx="2520000" cy="13815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565048</xdr:colOff>
      <xdr:row>388</xdr:row>
      <xdr:rowOff>28447</xdr:rowOff>
    </xdr:from>
    <xdr:to>
      <xdr:col>6</xdr:col>
      <xdr:colOff>162325</xdr:colOff>
      <xdr:row>407</xdr:row>
      <xdr:rowOff>165100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5148" y="89811097"/>
          <a:ext cx="3953377" cy="38768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351687</xdr:colOff>
      <xdr:row>369</xdr:row>
      <xdr:rowOff>21983</xdr:rowOff>
    </xdr:from>
    <xdr:to>
      <xdr:col>7</xdr:col>
      <xdr:colOff>375687</xdr:colOff>
      <xdr:row>387</xdr:row>
      <xdr:rowOff>93975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1687" y="83270483"/>
          <a:ext cx="6120000" cy="36328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285753</xdr:colOff>
      <xdr:row>455</xdr:row>
      <xdr:rowOff>21981</xdr:rowOff>
    </xdr:from>
    <xdr:to>
      <xdr:col>7</xdr:col>
      <xdr:colOff>482977</xdr:colOff>
      <xdr:row>474</xdr:row>
      <xdr:rowOff>100164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3" y="91974866"/>
          <a:ext cx="6293224" cy="38368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372365</xdr:colOff>
      <xdr:row>475</xdr:row>
      <xdr:rowOff>63701</xdr:rowOff>
    </xdr:from>
    <xdr:to>
      <xdr:col>7</xdr:col>
      <xdr:colOff>396365</xdr:colOff>
      <xdr:row>495</xdr:row>
      <xdr:rowOff>56854</xdr:rowOff>
    </xdr:to>
    <xdr:grpSp>
      <xdr:nvGrpSpPr>
        <xdr:cNvPr id="17" name="Group 16"/>
        <xdr:cNvGrpSpPr/>
      </xdr:nvGrpSpPr>
      <xdr:grpSpPr>
        <a:xfrm>
          <a:off x="372365" y="111042651"/>
          <a:ext cx="5980300" cy="3930153"/>
          <a:chOff x="268941" y="4231340"/>
          <a:chExt cx="6120000" cy="3949692"/>
        </a:xfrm>
      </xdr:grpSpPr>
      <xdr:pic>
        <xdr:nvPicPr>
          <xdr:cNvPr id="18" name="Picture 17"/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68941" y="4231340"/>
            <a:ext cx="6120000" cy="394969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Rectangle 18"/>
          <xdr:cNvSpPr/>
        </xdr:nvSpPr>
        <xdr:spPr>
          <a:xfrm rot="19625806">
            <a:off x="1735533" y="5499635"/>
            <a:ext cx="3036589" cy="1200789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0</xdr:col>
      <xdr:colOff>324970</xdr:colOff>
      <xdr:row>413</xdr:row>
      <xdr:rowOff>22410</xdr:rowOff>
    </xdr:from>
    <xdr:to>
      <xdr:col>7</xdr:col>
      <xdr:colOff>460096</xdr:colOff>
      <xdr:row>446</xdr:row>
      <xdr:rowOff>22410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6845"/>
        <a:stretch/>
      </xdr:blipFill>
      <xdr:spPr>
        <a:xfrm>
          <a:off x="324970" y="95642204"/>
          <a:ext cx="6242332" cy="66562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828675</xdr:colOff>
      <xdr:row>48</xdr:row>
      <xdr:rowOff>304009</xdr:rowOff>
    </xdr:from>
    <xdr:to>
      <xdr:col>15</xdr:col>
      <xdr:colOff>123036</xdr:colOff>
      <xdr:row>63</xdr:row>
      <xdr:rowOff>75601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10425" y="11991184"/>
          <a:ext cx="5095086" cy="385781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282</xdr:row>
      <xdr:rowOff>139700</xdr:rowOff>
    </xdr:from>
    <xdr:to>
      <xdr:col>7</xdr:col>
      <xdr:colOff>412900</xdr:colOff>
      <xdr:row>318</xdr:row>
      <xdr:rowOff>62600</xdr:rowOff>
    </xdr:to>
    <xdr:grpSp>
      <xdr:nvGrpSpPr>
        <xdr:cNvPr id="10" name="Group 9"/>
        <xdr:cNvGrpSpPr/>
      </xdr:nvGrpSpPr>
      <xdr:grpSpPr>
        <a:xfrm>
          <a:off x="266700" y="73139300"/>
          <a:ext cx="6102500" cy="7003150"/>
          <a:chOff x="266700" y="69780150"/>
          <a:chExt cx="6102500" cy="7003150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2293" y="73903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700" y="69780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5856" y="739033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2293" y="697801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oneCellAnchor>
    <xdr:from>
      <xdr:col>2</xdr:col>
      <xdr:colOff>63500</xdr:colOff>
      <xdr:row>284</xdr:row>
      <xdr:rowOff>63500</xdr:rowOff>
    </xdr:from>
    <xdr:ext cx="516745" cy="280205"/>
    <xdr:sp macro="" textlink="">
      <xdr:nvSpPr>
        <xdr:cNvPr id="8" name="TextBox 7"/>
        <xdr:cNvSpPr txBox="1"/>
      </xdr:nvSpPr>
      <xdr:spPr>
        <a:xfrm>
          <a:off x="1701800" y="73456800"/>
          <a:ext cx="5167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</a:t>
          </a:r>
        </a:p>
      </xdr:txBody>
    </xdr:sp>
    <xdr:clientData/>
  </xdr:oneCellAnchor>
  <xdr:oneCellAnchor>
    <xdr:from>
      <xdr:col>2</xdr:col>
      <xdr:colOff>857250</xdr:colOff>
      <xdr:row>288</xdr:row>
      <xdr:rowOff>19050</xdr:rowOff>
    </xdr:from>
    <xdr:ext cx="555537" cy="280205"/>
    <xdr:sp macro="" textlink="">
      <xdr:nvSpPr>
        <xdr:cNvPr id="22" name="TextBox 21"/>
        <xdr:cNvSpPr txBox="1"/>
      </xdr:nvSpPr>
      <xdr:spPr>
        <a:xfrm>
          <a:off x="2495550" y="74193400"/>
          <a:ext cx="5555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II</a:t>
          </a:r>
        </a:p>
      </xdr:txBody>
    </xdr:sp>
    <xdr:clientData/>
  </xdr:oneCellAnchor>
  <xdr:oneCellAnchor>
    <xdr:from>
      <xdr:col>6</xdr:col>
      <xdr:colOff>361950</xdr:colOff>
      <xdr:row>288</xdr:row>
      <xdr:rowOff>38100</xdr:rowOff>
    </xdr:from>
    <xdr:ext cx="555537" cy="280205"/>
    <xdr:sp macro="" textlink="">
      <xdr:nvSpPr>
        <xdr:cNvPr id="23" name="TextBox 22"/>
        <xdr:cNvSpPr txBox="1"/>
      </xdr:nvSpPr>
      <xdr:spPr>
        <a:xfrm>
          <a:off x="5518150" y="74212450"/>
          <a:ext cx="55553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II</a:t>
          </a:r>
        </a:p>
      </xdr:txBody>
    </xdr:sp>
    <xdr:clientData/>
  </xdr:oneCellAnchor>
  <xdr:oneCellAnchor>
    <xdr:from>
      <xdr:col>5</xdr:col>
      <xdr:colOff>444500</xdr:colOff>
      <xdr:row>284</xdr:row>
      <xdr:rowOff>107950</xdr:rowOff>
    </xdr:from>
    <xdr:ext cx="516745" cy="280205"/>
    <xdr:sp macro="" textlink="">
      <xdr:nvSpPr>
        <xdr:cNvPr id="28" name="TextBox 27"/>
        <xdr:cNvSpPr txBox="1"/>
      </xdr:nvSpPr>
      <xdr:spPr>
        <a:xfrm>
          <a:off x="4781550" y="73501250"/>
          <a:ext cx="51674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Part I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358589</xdr:colOff>
      <xdr:row>13</xdr:row>
      <xdr:rowOff>22412</xdr:rowOff>
    </xdr:from>
    <xdr:to>
      <xdr:col>6</xdr:col>
      <xdr:colOff>363155</xdr:colOff>
      <xdr:row>32</xdr:row>
      <xdr:rowOff>2912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95" y="2510118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maps.app.goo.gl/6Ds6QZTmQ4TKhjQz6" TargetMode="External"/><Relationship Id="rId1" Type="http://schemas.openxmlformats.org/officeDocument/2006/relationships/hyperlink" Target="https://bharataltavistalokhandwala.net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54"/>
  <sheetViews>
    <sheetView tabSelected="1" view="pageBreakPreview" topLeftCell="A279" zoomScaleNormal="100" zoomScaleSheetLayoutView="100" workbookViewId="0">
      <selection activeCell="I286" sqref="I286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6" width="11.7265625" style="36" customWidth="1"/>
    <col min="7" max="7" width="11.453125" style="36" customWidth="1"/>
    <col min="8" max="8" width="10.5429687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3.2695312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42" t="s">
        <v>158</v>
      </c>
      <c r="B1" s="142"/>
      <c r="C1" s="142"/>
      <c r="D1" s="142"/>
      <c r="E1" s="142"/>
      <c r="F1" s="142"/>
      <c r="G1" s="142"/>
      <c r="H1" s="142"/>
    </row>
    <row r="2" spans="1:26" ht="16.5" customHeight="1" x14ac:dyDescent="0.35">
      <c r="A2" s="90" t="s">
        <v>0</v>
      </c>
      <c r="B2" s="90"/>
      <c r="C2" s="90"/>
      <c r="D2" s="90"/>
      <c r="E2" s="90"/>
      <c r="F2" s="90"/>
      <c r="G2" s="90"/>
      <c r="H2" s="90"/>
    </row>
    <row r="3" spans="1:26" x14ac:dyDescent="0.35">
      <c r="A3" s="109" t="s">
        <v>1</v>
      </c>
      <c r="B3" s="109"/>
      <c r="C3" s="109"/>
      <c r="D3" s="109"/>
      <c r="E3" s="109" t="str">
        <f ca="1">TEXT(TODAY(),"DD/MM/YYYY")</f>
        <v>10/09/2025</v>
      </c>
      <c r="F3" s="109"/>
      <c r="G3" s="109"/>
      <c r="H3" s="109"/>
    </row>
    <row r="4" spans="1:26" ht="15" customHeight="1" x14ac:dyDescent="0.35">
      <c r="A4" s="109" t="s">
        <v>2</v>
      </c>
      <c r="B4" s="109"/>
      <c r="C4" s="109"/>
      <c r="D4" s="109"/>
      <c r="E4" s="109" t="s">
        <v>164</v>
      </c>
      <c r="F4" s="109"/>
      <c r="G4" s="109"/>
      <c r="H4" s="109"/>
    </row>
    <row r="5" spans="1:26" x14ac:dyDescent="0.35">
      <c r="A5" s="109" t="s">
        <v>3</v>
      </c>
      <c r="B5" s="109"/>
      <c r="C5" s="109"/>
      <c r="D5" s="109"/>
      <c r="E5" s="143">
        <v>45910</v>
      </c>
      <c r="F5" s="109"/>
      <c r="G5" s="109"/>
      <c r="H5" s="109"/>
    </row>
    <row r="6" spans="1:26" ht="16.5" customHeight="1" x14ac:dyDescent="0.35">
      <c r="A6" s="109" t="s">
        <v>4</v>
      </c>
      <c r="B6" s="109"/>
      <c r="C6" s="109"/>
      <c r="D6" s="109"/>
      <c r="E6" s="109" t="s">
        <v>226</v>
      </c>
      <c r="F6" s="109"/>
      <c r="G6" s="109"/>
      <c r="H6" s="109"/>
    </row>
    <row r="7" spans="1:26" ht="15" customHeight="1" x14ac:dyDescent="0.35">
      <c r="A7" s="109" t="s">
        <v>5</v>
      </c>
      <c r="B7" s="109"/>
      <c r="C7" s="109"/>
      <c r="D7" s="109"/>
      <c r="E7" s="109" t="str">
        <f>E6</f>
        <v>Bharat Realty Venture Private Limited</v>
      </c>
      <c r="F7" s="109"/>
      <c r="G7" s="109"/>
      <c r="H7" s="109"/>
    </row>
    <row r="8" spans="1:26" x14ac:dyDescent="0.35">
      <c r="A8" s="109" t="s">
        <v>233</v>
      </c>
      <c r="B8" s="109"/>
      <c r="C8" s="109"/>
      <c r="D8" s="109"/>
      <c r="E8" s="124" t="s">
        <v>228</v>
      </c>
      <c r="F8" s="124"/>
      <c r="G8" s="124"/>
      <c r="H8" s="124"/>
      <c r="I8" s="168"/>
      <c r="J8" s="169"/>
    </row>
    <row r="9" spans="1:26" ht="35.25" customHeight="1" x14ac:dyDescent="0.35">
      <c r="A9" s="109" t="s">
        <v>232</v>
      </c>
      <c r="B9" s="109"/>
      <c r="C9" s="109"/>
      <c r="D9" s="109"/>
      <c r="E9" s="111" t="s">
        <v>227</v>
      </c>
      <c r="F9" s="111"/>
      <c r="G9" s="111"/>
      <c r="H9" s="111"/>
      <c r="I9" s="168"/>
      <c r="J9" s="169"/>
    </row>
    <row r="10" spans="1:26" x14ac:dyDescent="0.35">
      <c r="A10" s="109" t="s">
        <v>161</v>
      </c>
      <c r="B10" s="109"/>
      <c r="C10" s="109"/>
      <c r="D10" s="109"/>
      <c r="E10" s="109" t="s">
        <v>229</v>
      </c>
      <c r="F10" s="109"/>
      <c r="G10" s="109"/>
      <c r="H10" s="109"/>
    </row>
    <row r="11" spans="1:26" x14ac:dyDescent="0.35">
      <c r="A11" s="109" t="s">
        <v>162</v>
      </c>
      <c r="B11" s="109"/>
      <c r="C11" s="109"/>
      <c r="D11" s="109"/>
      <c r="E11" s="109" t="s">
        <v>314</v>
      </c>
      <c r="F11" s="109"/>
      <c r="G11" s="109"/>
      <c r="H11" s="109"/>
    </row>
    <row r="12" spans="1:26" x14ac:dyDescent="0.35">
      <c r="A12" s="109" t="s">
        <v>6</v>
      </c>
      <c r="B12" s="109"/>
      <c r="C12" s="109"/>
      <c r="D12" s="109"/>
      <c r="E12" s="109" t="s">
        <v>116</v>
      </c>
      <c r="F12" s="109"/>
      <c r="G12" s="109"/>
      <c r="H12" s="109"/>
    </row>
    <row r="13" spans="1:26" ht="31.5" customHeight="1" x14ac:dyDescent="0.35">
      <c r="A13" s="109" t="s">
        <v>165</v>
      </c>
      <c r="B13" s="109"/>
      <c r="C13" s="109"/>
      <c r="D13" s="109"/>
      <c r="E13" s="111" t="s">
        <v>271</v>
      </c>
      <c r="F13" s="111"/>
      <c r="G13" s="111"/>
      <c r="H13" s="111"/>
      <c r="I13" s="18" t="s">
        <v>278</v>
      </c>
      <c r="S13" s="45" t="s">
        <v>170</v>
      </c>
      <c r="T13" s="45" t="s">
        <v>180</v>
      </c>
      <c r="U13" s="45" t="s">
        <v>166</v>
      </c>
      <c r="V13" s="45" t="s">
        <v>185</v>
      </c>
      <c r="W13" s="45" t="s">
        <v>203</v>
      </c>
      <c r="X13"/>
      <c r="Y13" t="s">
        <v>185</v>
      </c>
      <c r="Z13" t="e">
        <f ca="1">OFFSET($S$13,1,MATCH($G20,$S$13:$W$13,0)-1,15,1)</f>
        <v>#VALUE!</v>
      </c>
    </row>
    <row r="14" spans="1:26" x14ac:dyDescent="0.35">
      <c r="A14" s="88" t="s">
        <v>7</v>
      </c>
      <c r="B14" s="88"/>
      <c r="C14" s="88"/>
      <c r="D14" s="88"/>
      <c r="E14" s="111" t="s">
        <v>281</v>
      </c>
      <c r="F14" s="111"/>
      <c r="G14" s="111"/>
      <c r="H14" s="111"/>
      <c r="S14" s="45" t="s">
        <v>171</v>
      </c>
      <c r="T14" s="45" t="s">
        <v>178</v>
      </c>
      <c r="U14" s="45" t="s">
        <v>200</v>
      </c>
      <c r="V14" s="45" t="s">
        <v>186</v>
      </c>
      <c r="W14" s="45" t="s">
        <v>204</v>
      </c>
      <c r="X14"/>
      <c r="Y14"/>
      <c r="Z14"/>
    </row>
    <row r="15" spans="1:26" x14ac:dyDescent="0.35">
      <c r="A15" s="88" t="s">
        <v>8</v>
      </c>
      <c r="B15" s="88"/>
      <c r="C15" s="88"/>
      <c r="D15" s="88"/>
      <c r="E15" s="111" t="s">
        <v>230</v>
      </c>
      <c r="F15" s="109"/>
      <c r="G15" s="109"/>
      <c r="H15" s="109"/>
      <c r="I15" s="168" t="e">
        <f ca="1">OFFSET($D$4,1,MATCH($J13,$D$4:$H$4,0)-1,15,1)</f>
        <v>#N/A</v>
      </c>
      <c r="J15" s="169"/>
      <c r="K15" s="169"/>
      <c r="L15" s="169"/>
      <c r="M15" s="169"/>
      <c r="N15" s="169"/>
      <c r="O15" s="169"/>
      <c r="P15" s="169"/>
      <c r="S15" s="45" t="s">
        <v>172</v>
      </c>
      <c r="T15" s="45" t="s">
        <v>179</v>
      </c>
      <c r="U15" s="45" t="s">
        <v>201</v>
      </c>
      <c r="V15" s="45" t="s">
        <v>187</v>
      </c>
      <c r="W15" s="45" t="s">
        <v>217</v>
      </c>
      <c r="X15"/>
      <c r="Y15"/>
      <c r="Z15"/>
    </row>
    <row r="16" spans="1:26" ht="66" customHeight="1" x14ac:dyDescent="0.35">
      <c r="A16" s="112" t="s">
        <v>9</v>
      </c>
      <c r="B16" s="112"/>
      <c r="C16" s="111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Bharat Altavistas, Plot No.11, CTS No.1/28, Surver No.41(Pt) &amp; Redevlopement of " Apna Ghar Unit No-09 (Sheetal Chhaya) CO-OP. HSG. Society LTD.", near Royal Accord, P Tandon Marg, Lokhandwala Complex, Oshiwara, Andheri West, Andheri, Mumbai - 400053.</v>
      </c>
      <c r="D16" s="111"/>
      <c r="E16" s="111"/>
      <c r="F16" s="111"/>
      <c r="G16" s="111"/>
      <c r="H16" s="111"/>
      <c r="S16" s="45" t="s">
        <v>173</v>
      </c>
      <c r="T16" s="45" t="s">
        <v>181</v>
      </c>
      <c r="U16" s="45" t="s">
        <v>202</v>
      </c>
      <c r="V16" s="45" t="s">
        <v>188</v>
      </c>
      <c r="W16" s="45" t="s">
        <v>205</v>
      </c>
      <c r="X16"/>
      <c r="Y16"/>
      <c r="Z16"/>
    </row>
    <row r="17" spans="1:26" ht="33" customHeight="1" x14ac:dyDescent="0.35">
      <c r="A17" s="111" t="s">
        <v>231</v>
      </c>
      <c r="B17" s="111"/>
      <c r="C17" s="111" t="s">
        <v>282</v>
      </c>
      <c r="D17" s="111"/>
      <c r="E17" s="111"/>
      <c r="F17" s="111"/>
      <c r="G17" s="111"/>
      <c r="H17" s="111"/>
      <c r="S17" s="45" t="s">
        <v>174</v>
      </c>
      <c r="T17" s="45" t="s">
        <v>182</v>
      </c>
      <c r="U17" s="45"/>
      <c r="V17" s="45" t="s">
        <v>189</v>
      </c>
      <c r="W17" s="45" t="s">
        <v>206</v>
      </c>
      <c r="X17"/>
      <c r="Y17"/>
      <c r="Z17"/>
    </row>
    <row r="18" spans="1:26" ht="15.75" customHeight="1" x14ac:dyDescent="0.35">
      <c r="A18" s="111" t="s">
        <v>156</v>
      </c>
      <c r="B18" s="111"/>
      <c r="C18" s="111" t="s">
        <v>258</v>
      </c>
      <c r="D18" s="111"/>
      <c r="E18" s="111"/>
      <c r="F18" s="111"/>
      <c r="G18" s="111"/>
      <c r="H18" s="111"/>
      <c r="S18" s="45" t="s">
        <v>175</v>
      </c>
      <c r="T18" s="45" t="s">
        <v>180</v>
      </c>
      <c r="U18" s="45"/>
      <c r="V18" s="45" t="s">
        <v>190</v>
      </c>
      <c r="W18" s="45" t="s">
        <v>207</v>
      </c>
      <c r="X18"/>
      <c r="Y18"/>
      <c r="Z18"/>
    </row>
    <row r="19" spans="1:26" ht="15.75" customHeight="1" x14ac:dyDescent="0.35">
      <c r="A19" s="111" t="s">
        <v>10</v>
      </c>
      <c r="B19" s="111"/>
      <c r="C19" s="109" t="s">
        <v>261</v>
      </c>
      <c r="D19" s="109"/>
      <c r="E19" s="111" t="s">
        <v>70</v>
      </c>
      <c r="F19" s="111"/>
      <c r="G19" s="111" t="s">
        <v>260</v>
      </c>
      <c r="H19" s="111"/>
      <c r="S19" s="45" t="s">
        <v>176</v>
      </c>
      <c r="T19" s="45" t="s">
        <v>183</v>
      </c>
      <c r="U19" s="45"/>
      <c r="V19" s="45" t="s">
        <v>191</v>
      </c>
      <c r="W19" s="45" t="s">
        <v>208</v>
      </c>
      <c r="X19"/>
      <c r="Y19"/>
      <c r="Z19"/>
    </row>
    <row r="20" spans="1:26" x14ac:dyDescent="0.35">
      <c r="A20" s="109" t="s">
        <v>12</v>
      </c>
      <c r="B20" s="109"/>
      <c r="C20" s="111" t="s">
        <v>259</v>
      </c>
      <c r="D20" s="111"/>
      <c r="E20" s="111" t="s">
        <v>11</v>
      </c>
      <c r="F20" s="111"/>
      <c r="G20" s="141" t="s">
        <v>166</v>
      </c>
      <c r="H20" s="141"/>
      <c r="S20" s="45" t="s">
        <v>177</v>
      </c>
      <c r="T20" s="45" t="s">
        <v>184</v>
      </c>
      <c r="U20" s="45"/>
      <c r="V20" s="45" t="s">
        <v>192</v>
      </c>
      <c r="W20" s="45" t="s">
        <v>209</v>
      </c>
      <c r="X20"/>
      <c r="Y20"/>
      <c r="Z20"/>
    </row>
    <row r="21" spans="1:26" x14ac:dyDescent="0.35">
      <c r="A21" s="109" t="s">
        <v>71</v>
      </c>
      <c r="B21" s="109"/>
      <c r="C21" s="111" t="s">
        <v>200</v>
      </c>
      <c r="D21" s="111"/>
      <c r="E21" s="111" t="s">
        <v>13</v>
      </c>
      <c r="F21" s="111"/>
      <c r="G21" s="111">
        <v>400053</v>
      </c>
      <c r="H21" s="111"/>
      <c r="S21" s="45"/>
      <c r="T21" s="45"/>
      <c r="U21" s="45"/>
      <c r="V21" s="45" t="s">
        <v>193</v>
      </c>
      <c r="W21" s="45" t="s">
        <v>210</v>
      </c>
      <c r="X21"/>
      <c r="Y21"/>
      <c r="Z21"/>
    </row>
    <row r="22" spans="1:26" ht="46.5" customHeight="1" x14ac:dyDescent="0.35">
      <c r="A22" s="109" t="s">
        <v>117</v>
      </c>
      <c r="B22" s="109"/>
      <c r="C22" s="111" t="s">
        <v>263</v>
      </c>
      <c r="D22" s="111"/>
      <c r="E22" s="111" t="s">
        <v>14</v>
      </c>
      <c r="F22" s="111"/>
      <c r="G22" s="111" t="s">
        <v>262</v>
      </c>
      <c r="H22" s="111"/>
      <c r="S22" s="45"/>
      <c r="T22" s="45"/>
      <c r="U22" s="45"/>
      <c r="V22" s="45" t="s">
        <v>194</v>
      </c>
      <c r="W22" s="45" t="s">
        <v>211</v>
      </c>
      <c r="X22"/>
      <c r="Y22"/>
      <c r="Z22"/>
    </row>
    <row r="23" spans="1:26" ht="15" customHeight="1" x14ac:dyDescent="0.35">
      <c r="A23" s="111" t="s">
        <v>72</v>
      </c>
      <c r="B23" s="111"/>
      <c r="C23" s="111"/>
      <c r="D23" s="111"/>
      <c r="E23" s="109" t="s">
        <v>15</v>
      </c>
      <c r="F23" s="109"/>
      <c r="G23" s="109"/>
      <c r="H23" s="109"/>
      <c r="S23" s="45"/>
      <c r="T23" s="45"/>
      <c r="U23" s="45"/>
      <c r="V23" s="45" t="s">
        <v>195</v>
      </c>
      <c r="W23" s="45" t="s">
        <v>212</v>
      </c>
      <c r="X23"/>
      <c r="Y23"/>
      <c r="Z23"/>
    </row>
    <row r="24" spans="1:26" ht="18.75" customHeight="1" x14ac:dyDescent="0.35">
      <c r="A24" s="111"/>
      <c r="B24" s="111"/>
      <c r="C24" s="111"/>
      <c r="D24" s="111"/>
      <c r="E24" s="109"/>
      <c r="F24" s="109"/>
      <c r="G24" s="109"/>
      <c r="H24" s="109"/>
      <c r="S24" s="45"/>
      <c r="T24" s="45"/>
      <c r="U24" s="45"/>
      <c r="V24" s="45" t="s">
        <v>196</v>
      </c>
      <c r="W24" s="45" t="s">
        <v>213</v>
      </c>
      <c r="X24"/>
      <c r="Y24"/>
      <c r="Z24"/>
    </row>
    <row r="25" spans="1:26" ht="15" customHeight="1" x14ac:dyDescent="0.35">
      <c r="A25" s="112" t="s">
        <v>16</v>
      </c>
      <c r="B25" s="112"/>
      <c r="C25" s="112"/>
      <c r="D25" s="112"/>
      <c r="E25" s="111" t="s">
        <v>17</v>
      </c>
      <c r="F25" s="111"/>
      <c r="G25" s="111"/>
      <c r="H25" s="111"/>
      <c r="S25" s="45"/>
      <c r="T25" s="45"/>
      <c r="U25" s="45"/>
      <c r="V25" s="45" t="s">
        <v>197</v>
      </c>
      <c r="W25" s="45" t="s">
        <v>214</v>
      </c>
      <c r="X25"/>
      <c r="Y25"/>
      <c r="Z25"/>
    </row>
    <row r="26" spans="1:26" ht="15" customHeight="1" x14ac:dyDescent="0.35">
      <c r="A26" s="88" t="s">
        <v>18</v>
      </c>
      <c r="B26" s="88"/>
      <c r="C26" s="88"/>
      <c r="D26" s="88"/>
      <c r="E26" s="111" t="str">
        <f>IF(AND(G20="Mumbai"),"Upper Class","Middle Class")</f>
        <v>Upper Class</v>
      </c>
      <c r="F26" s="111"/>
      <c r="G26" s="111"/>
      <c r="H26" s="111"/>
      <c r="S26" s="45"/>
      <c r="T26" s="45"/>
      <c r="U26" s="45"/>
      <c r="V26" s="45" t="s">
        <v>198</v>
      </c>
      <c r="W26" s="45" t="s">
        <v>215</v>
      </c>
      <c r="X26"/>
      <c r="Y26"/>
      <c r="Z26"/>
    </row>
    <row r="27" spans="1:26" x14ac:dyDescent="0.35">
      <c r="A27" s="88" t="s">
        <v>19</v>
      </c>
      <c r="B27" s="88"/>
      <c r="C27" s="88"/>
      <c r="D27" s="88"/>
      <c r="E27" s="111" t="s">
        <v>20</v>
      </c>
      <c r="F27" s="111"/>
      <c r="G27" s="111"/>
      <c r="H27" s="111"/>
      <c r="S27" s="45"/>
      <c r="T27" s="45"/>
      <c r="U27" s="45"/>
      <c r="V27" s="45" t="s">
        <v>199</v>
      </c>
      <c r="W27" s="45" t="s">
        <v>216</v>
      </c>
      <c r="X27"/>
      <c r="Y27"/>
      <c r="Z27"/>
    </row>
    <row r="28" spans="1:26" ht="15.75" customHeight="1" x14ac:dyDescent="0.35">
      <c r="A28" s="88" t="s">
        <v>21</v>
      </c>
      <c r="B28" s="88"/>
      <c r="C28" s="88"/>
      <c r="D28" s="88"/>
      <c r="E28" s="111" t="str">
        <f>IF(AND(G20="Mumbai"),"Developed","Developing")</f>
        <v>Developed</v>
      </c>
      <c r="F28" s="111"/>
      <c r="G28" s="111"/>
      <c r="H28" s="111"/>
    </row>
    <row r="29" spans="1:26" x14ac:dyDescent="0.35">
      <c r="A29" s="88" t="s">
        <v>22</v>
      </c>
      <c r="B29" s="88"/>
      <c r="C29" s="88"/>
      <c r="D29" s="88"/>
      <c r="E29" s="111" t="s">
        <v>23</v>
      </c>
      <c r="F29" s="111"/>
      <c r="G29" s="111"/>
      <c r="H29" s="111"/>
    </row>
    <row r="30" spans="1:26" ht="15.75" customHeight="1" x14ac:dyDescent="0.35">
      <c r="A30" s="88" t="s">
        <v>77</v>
      </c>
      <c r="B30" s="88"/>
      <c r="C30" s="88"/>
      <c r="D30" s="88"/>
      <c r="E30" s="111" t="s">
        <v>78</v>
      </c>
      <c r="F30" s="111"/>
      <c r="G30" s="111"/>
      <c r="H30" s="111"/>
    </row>
    <row r="31" spans="1:26" ht="15" customHeight="1" x14ac:dyDescent="0.35">
      <c r="A31" s="88" t="s">
        <v>31</v>
      </c>
      <c r="B31" s="88"/>
      <c r="C31" s="88"/>
      <c r="D31" s="88"/>
      <c r="E31" s="11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1" s="111"/>
      <c r="G31" s="111"/>
      <c r="H31" s="111"/>
    </row>
    <row r="32" spans="1:26" ht="15.75" customHeight="1" x14ac:dyDescent="0.35">
      <c r="A32" s="88" t="s">
        <v>89</v>
      </c>
      <c r="B32" s="88"/>
      <c r="C32" s="88"/>
      <c r="D32" s="88"/>
      <c r="E32" s="111" t="s">
        <v>32</v>
      </c>
      <c r="F32" s="111"/>
      <c r="G32" s="111"/>
      <c r="H32" s="111"/>
    </row>
    <row r="33" spans="1:12" s="18" customFormat="1" x14ac:dyDescent="0.35">
      <c r="A33" s="138" t="s">
        <v>90</v>
      </c>
      <c r="B33" s="138"/>
      <c r="C33" s="140" t="s">
        <v>167</v>
      </c>
      <c r="D33" s="140"/>
      <c r="E33" s="140"/>
      <c r="F33" s="140" t="s">
        <v>29</v>
      </c>
      <c r="G33" s="140"/>
      <c r="H33" s="140"/>
    </row>
    <row r="34" spans="1:12" s="18" customFormat="1" x14ac:dyDescent="0.35">
      <c r="A34" s="137" t="s">
        <v>24</v>
      </c>
      <c r="B34" s="137" t="s">
        <v>28</v>
      </c>
      <c r="C34" s="139" t="s">
        <v>264</v>
      </c>
      <c r="D34" s="139"/>
      <c r="E34" s="139"/>
      <c r="F34" s="139" t="s">
        <v>283</v>
      </c>
      <c r="G34" s="139"/>
      <c r="H34" s="139"/>
    </row>
    <row r="35" spans="1:12" x14ac:dyDescent="0.35">
      <c r="A35" s="137" t="s">
        <v>25</v>
      </c>
      <c r="B35" s="137" t="s">
        <v>28</v>
      </c>
      <c r="C35" s="139" t="s">
        <v>265</v>
      </c>
      <c r="D35" s="139"/>
      <c r="E35" s="139"/>
      <c r="F35" s="139" t="s">
        <v>267</v>
      </c>
      <c r="G35" s="139"/>
      <c r="H35" s="139"/>
    </row>
    <row r="36" spans="1:12" s="18" customFormat="1" x14ac:dyDescent="0.35">
      <c r="A36" s="137" t="s">
        <v>27</v>
      </c>
      <c r="B36" s="137" t="s">
        <v>28</v>
      </c>
      <c r="C36" s="139" t="s">
        <v>264</v>
      </c>
      <c r="D36" s="139"/>
      <c r="E36" s="139"/>
      <c r="F36" s="139" t="s">
        <v>284</v>
      </c>
      <c r="G36" s="139"/>
      <c r="H36" s="139"/>
    </row>
    <row r="37" spans="1:12" x14ac:dyDescent="0.35">
      <c r="A37" s="137" t="s">
        <v>26</v>
      </c>
      <c r="B37" s="137" t="s">
        <v>28</v>
      </c>
      <c r="C37" s="133" t="s">
        <v>266</v>
      </c>
      <c r="D37" s="134"/>
      <c r="E37" s="135"/>
      <c r="F37" s="133" t="s">
        <v>234</v>
      </c>
      <c r="G37" s="134"/>
      <c r="H37" s="135"/>
    </row>
    <row r="38" spans="1:12" x14ac:dyDescent="0.35">
      <c r="A38" s="88" t="s">
        <v>30</v>
      </c>
      <c r="B38" s="88"/>
      <c r="C38" s="88"/>
      <c r="D38" s="88"/>
      <c r="E38" s="88"/>
      <c r="F38" s="88"/>
      <c r="G38" s="88"/>
      <c r="H38" s="88"/>
    </row>
    <row r="39" spans="1:12" ht="15.75" customHeight="1" x14ac:dyDescent="0.35">
      <c r="A39" s="88" t="s">
        <v>159</v>
      </c>
      <c r="B39" s="88"/>
      <c r="C39" s="88" t="s">
        <v>275</v>
      </c>
      <c r="D39" s="88"/>
      <c r="E39" s="88"/>
      <c r="F39" s="88"/>
      <c r="G39" s="88"/>
      <c r="H39" s="88"/>
    </row>
    <row r="40" spans="1:12" x14ac:dyDescent="0.35">
      <c r="A40" s="88" t="s">
        <v>155</v>
      </c>
      <c r="B40" s="88"/>
      <c r="C40" s="136" t="s">
        <v>276</v>
      </c>
      <c r="D40" s="111"/>
      <c r="E40" s="111"/>
      <c r="F40" s="111"/>
      <c r="G40" s="111"/>
      <c r="H40" s="111"/>
    </row>
    <row r="41" spans="1:12" x14ac:dyDescent="0.35">
      <c r="A41" s="91" t="s">
        <v>277</v>
      </c>
      <c r="B41" s="91"/>
      <c r="C41" s="91"/>
      <c r="D41" s="91"/>
      <c r="E41" s="91"/>
      <c r="F41" s="91"/>
      <c r="G41" s="91"/>
      <c r="H41" s="91"/>
      <c r="L41" s="17">
        <f>300*1.6</f>
        <v>480</v>
      </c>
    </row>
    <row r="42" spans="1:12" x14ac:dyDescent="0.35">
      <c r="A42" s="88" t="s">
        <v>33</v>
      </c>
      <c r="B42" s="88"/>
      <c r="C42" s="88"/>
      <c r="D42" s="88"/>
      <c r="E42" s="132">
        <v>5829.51</v>
      </c>
      <c r="F42" s="132"/>
      <c r="G42" s="132"/>
      <c r="H42" s="132"/>
    </row>
    <row r="43" spans="1:12" x14ac:dyDescent="0.35">
      <c r="A43" s="88" t="s">
        <v>34</v>
      </c>
      <c r="B43" s="88"/>
      <c r="C43" s="88"/>
      <c r="D43" s="88"/>
      <c r="E43" s="126">
        <v>4</v>
      </c>
      <c r="F43" s="126"/>
      <c r="G43" s="126"/>
      <c r="H43" s="126"/>
      <c r="I43" s="52">
        <f>24826.36/E42</f>
        <v>4.258738727611755</v>
      </c>
    </row>
    <row r="44" spans="1:12" x14ac:dyDescent="0.35">
      <c r="A44" s="88" t="s">
        <v>35</v>
      </c>
      <c r="B44" s="88"/>
      <c r="C44" s="88"/>
      <c r="D44" s="88"/>
      <c r="E44" s="126">
        <f>E46/E42-E43</f>
        <v>1.74417060782124</v>
      </c>
      <c r="F44" s="126"/>
      <c r="G44" s="126"/>
      <c r="H44" s="126"/>
    </row>
    <row r="45" spans="1:12" x14ac:dyDescent="0.35">
      <c r="A45" s="88" t="s">
        <v>36</v>
      </c>
      <c r="B45" s="88"/>
      <c r="C45" s="88"/>
      <c r="D45" s="88"/>
      <c r="E45" s="127">
        <f>E43+E44</f>
        <v>5.74417060782124</v>
      </c>
      <c r="F45" s="127"/>
      <c r="G45" s="127"/>
      <c r="H45" s="127"/>
    </row>
    <row r="46" spans="1:12" x14ac:dyDescent="0.35">
      <c r="A46" s="88" t="s">
        <v>88</v>
      </c>
      <c r="B46" s="88"/>
      <c r="C46" s="88"/>
      <c r="D46" s="88"/>
      <c r="E46" s="128">
        <v>33485.699999999997</v>
      </c>
      <c r="F46" s="128"/>
      <c r="G46" s="128"/>
      <c r="H46" s="128"/>
    </row>
    <row r="47" spans="1:12" x14ac:dyDescent="0.35">
      <c r="A47" s="109" t="s">
        <v>37</v>
      </c>
      <c r="B47" s="109"/>
      <c r="C47" s="109"/>
      <c r="D47" s="109"/>
      <c r="E47" s="109" t="s">
        <v>116</v>
      </c>
      <c r="F47" s="109"/>
      <c r="G47" s="109"/>
      <c r="H47" s="109"/>
    </row>
    <row r="48" spans="1:12" x14ac:dyDescent="0.35">
      <c r="A48" s="91" t="s">
        <v>38</v>
      </c>
      <c r="B48" s="91"/>
      <c r="C48" s="91"/>
      <c r="D48" s="91"/>
      <c r="E48" s="91"/>
      <c r="F48" s="91"/>
      <c r="G48" s="91"/>
      <c r="H48" s="91"/>
    </row>
    <row r="49" spans="1:14" ht="33.75" customHeight="1" x14ac:dyDescent="0.35">
      <c r="A49" s="113" t="s">
        <v>145</v>
      </c>
      <c r="B49" s="115"/>
      <c r="C49" s="129" t="s">
        <v>235</v>
      </c>
      <c r="D49" s="130"/>
      <c r="E49" s="130"/>
      <c r="F49" s="130"/>
      <c r="G49" s="130"/>
      <c r="H49" s="131"/>
    </row>
    <row r="50" spans="1:14" x14ac:dyDescent="0.35">
      <c r="A50" s="113" t="s">
        <v>39</v>
      </c>
      <c r="B50" s="115"/>
      <c r="C50" s="113" t="s">
        <v>288</v>
      </c>
      <c r="D50" s="114"/>
      <c r="E50" s="115"/>
      <c r="F50" s="15" t="s">
        <v>40</v>
      </c>
      <c r="G50" s="116">
        <v>45404</v>
      </c>
      <c r="H50" s="115"/>
      <c r="I50" s="179" t="s">
        <v>236</v>
      </c>
      <c r="J50" s="180"/>
      <c r="K50" s="180"/>
      <c r="L50" s="21">
        <v>45016</v>
      </c>
    </row>
    <row r="51" spans="1:14" x14ac:dyDescent="0.35">
      <c r="A51" s="113" t="s">
        <v>41</v>
      </c>
      <c r="B51" s="115"/>
      <c r="C51" s="113" t="str">
        <f>C50</f>
        <v>K/W/PVT/0180/20230130/AP/S</v>
      </c>
      <c r="D51" s="114"/>
      <c r="E51" s="115"/>
      <c r="F51" s="15" t="s">
        <v>40</v>
      </c>
      <c r="G51" s="116">
        <f>G50</f>
        <v>45404</v>
      </c>
      <c r="H51" s="117"/>
    </row>
    <row r="52" spans="1:14" s="19" customFormat="1" x14ac:dyDescent="0.35">
      <c r="A52" s="112" t="s">
        <v>223</v>
      </c>
      <c r="B52" s="112"/>
      <c r="C52" s="113" t="s">
        <v>237</v>
      </c>
      <c r="D52" s="114"/>
      <c r="E52" s="115"/>
      <c r="F52" s="15" t="s">
        <v>40</v>
      </c>
      <c r="G52" s="116">
        <v>45404</v>
      </c>
      <c r="H52" s="117"/>
    </row>
    <row r="53" spans="1:14" s="19" customFormat="1" ht="48" customHeight="1" x14ac:dyDescent="0.35">
      <c r="A53" s="112" t="s">
        <v>224</v>
      </c>
      <c r="B53" s="112"/>
      <c r="C53" s="113" t="s">
        <v>303</v>
      </c>
      <c r="D53" s="114"/>
      <c r="E53" s="114"/>
      <c r="F53" s="114"/>
      <c r="G53" s="114"/>
      <c r="H53" s="115"/>
    </row>
    <row r="54" spans="1:14" s="19" customFormat="1" ht="34.5" customHeight="1" x14ac:dyDescent="0.35">
      <c r="A54" s="112" t="s">
        <v>280</v>
      </c>
      <c r="B54" s="112"/>
      <c r="C54" s="113" t="s">
        <v>279</v>
      </c>
      <c r="D54" s="114"/>
      <c r="E54" s="115"/>
      <c r="F54" s="15" t="s">
        <v>40</v>
      </c>
      <c r="G54" s="116">
        <v>45148</v>
      </c>
      <c r="H54" s="117"/>
    </row>
    <row r="55" spans="1:14" ht="48" customHeight="1" x14ac:dyDescent="0.35">
      <c r="A55" s="118" t="s">
        <v>311</v>
      </c>
      <c r="B55" s="119"/>
      <c r="C55" s="118" t="s">
        <v>312</v>
      </c>
      <c r="D55" s="120"/>
      <c r="E55" s="119"/>
      <c r="F55" s="74" t="s">
        <v>40</v>
      </c>
      <c r="G55" s="121">
        <v>45751</v>
      </c>
      <c r="H55" s="122"/>
    </row>
    <row r="56" spans="1:14" hidden="1" x14ac:dyDescent="0.35">
      <c r="A56" s="118" t="s">
        <v>42</v>
      </c>
      <c r="B56" s="119"/>
      <c r="C56" s="118" t="s">
        <v>100</v>
      </c>
      <c r="D56" s="120"/>
      <c r="E56" s="119"/>
      <c r="F56" s="39" t="s">
        <v>40</v>
      </c>
      <c r="G56" s="178" t="s">
        <v>28</v>
      </c>
      <c r="H56" s="122"/>
    </row>
    <row r="57" spans="1:14" x14ac:dyDescent="0.35">
      <c r="A57" s="144" t="s">
        <v>44</v>
      </c>
      <c r="B57" s="144"/>
      <c r="C57" s="144"/>
      <c r="D57" s="144"/>
      <c r="E57" s="144"/>
      <c r="F57" s="144"/>
      <c r="G57" s="144"/>
      <c r="H57" s="144"/>
    </row>
    <row r="58" spans="1:14" x14ac:dyDescent="0.35">
      <c r="A58" s="112" t="s">
        <v>87</v>
      </c>
      <c r="B58" s="112"/>
      <c r="C58" s="112"/>
      <c r="D58" s="88">
        <f>E46</f>
        <v>33485.699999999997</v>
      </c>
      <c r="E58" s="88"/>
      <c r="F58" s="88"/>
      <c r="G58" s="88"/>
      <c r="H58" s="88"/>
    </row>
    <row r="59" spans="1:14" x14ac:dyDescent="0.35">
      <c r="A59" s="111" t="s">
        <v>45</v>
      </c>
      <c r="B59" s="109"/>
      <c r="C59" s="109"/>
      <c r="D59" s="109" t="s">
        <v>295</v>
      </c>
      <c r="E59" s="109"/>
      <c r="F59" s="109"/>
      <c r="G59" s="109"/>
      <c r="H59" s="109"/>
      <c r="I59" s="20"/>
    </row>
    <row r="60" spans="1:14" x14ac:dyDescent="0.35">
      <c r="A60" s="170" t="s">
        <v>46</v>
      </c>
      <c r="B60" s="171"/>
      <c r="C60" s="177"/>
      <c r="D60" s="175" t="s">
        <v>238</v>
      </c>
      <c r="E60" s="176"/>
      <c r="F60" s="176"/>
      <c r="G60" s="176"/>
      <c r="H60" s="176"/>
    </row>
    <row r="61" spans="1:14" ht="15.75" customHeight="1" x14ac:dyDescent="0.35">
      <c r="A61" s="170" t="s">
        <v>85</v>
      </c>
      <c r="B61" s="171"/>
      <c r="C61" s="171"/>
      <c r="D61" s="172" t="s">
        <v>238</v>
      </c>
      <c r="E61" s="173"/>
      <c r="F61" s="173"/>
      <c r="G61" s="173"/>
      <c r="H61" s="174"/>
    </row>
    <row r="62" spans="1:14" ht="15.75" customHeight="1" x14ac:dyDescent="0.35">
      <c r="A62" s="88" t="s">
        <v>43</v>
      </c>
      <c r="B62" s="88"/>
      <c r="C62" s="88"/>
      <c r="D62" s="163" t="s">
        <v>239</v>
      </c>
      <c r="E62" s="163"/>
      <c r="F62" s="163"/>
      <c r="G62" s="163"/>
      <c r="H62" s="163"/>
      <c r="J62" s="21"/>
      <c r="K62" s="20"/>
      <c r="N62" s="20"/>
    </row>
    <row r="63" spans="1:14" ht="15.75" customHeight="1" x14ac:dyDescent="0.35">
      <c r="A63" s="88" t="s">
        <v>83</v>
      </c>
      <c r="B63" s="88"/>
      <c r="C63" s="88"/>
      <c r="D63" s="164" t="str">
        <f>(IF(G56="NA","60 Years After Completion",IF(G56&lt;&gt;"NA",""&amp;60-ROUNDDOWN((E3-G56)/360,0)&amp;" Years"," ")))</f>
        <v>60 Years After Completion</v>
      </c>
      <c r="E63" s="164"/>
      <c r="F63" s="164"/>
      <c r="G63" s="164"/>
      <c r="H63" s="164"/>
      <c r="N63" s="20"/>
    </row>
    <row r="64" spans="1:14" ht="15.75" customHeight="1" x14ac:dyDescent="0.35">
      <c r="A64" s="88" t="s">
        <v>84</v>
      </c>
      <c r="B64" s="88"/>
      <c r="C64" s="88"/>
      <c r="D64" s="112" t="s">
        <v>23</v>
      </c>
      <c r="E64" s="112"/>
      <c r="F64" s="112"/>
      <c r="G64" s="112"/>
      <c r="H64" s="112"/>
      <c r="J64" s="22"/>
      <c r="K64" s="22"/>
    </row>
    <row r="65" spans="1:14" ht="47.25" customHeight="1" x14ac:dyDescent="0.35">
      <c r="A65" s="109" t="s">
        <v>225</v>
      </c>
      <c r="B65" s="109"/>
      <c r="C65" s="109"/>
      <c r="D65" s="111" t="s">
        <v>273</v>
      </c>
      <c r="E65" s="112"/>
      <c r="F65" s="112"/>
      <c r="G65" s="112"/>
      <c r="H65" s="112"/>
      <c r="I65" s="18" t="s">
        <v>274</v>
      </c>
      <c r="J65" s="54" t="s">
        <v>272</v>
      </c>
    </row>
    <row r="66" spans="1:14" x14ac:dyDescent="0.35">
      <c r="A66" s="112" t="s">
        <v>143</v>
      </c>
      <c r="B66" s="112"/>
      <c r="C66" s="112"/>
      <c r="D66" s="112" t="s">
        <v>28</v>
      </c>
      <c r="E66" s="112"/>
      <c r="F66" s="112"/>
      <c r="G66" s="112"/>
      <c r="H66" s="112"/>
      <c r="I66" s="23"/>
      <c r="J66" s="23"/>
      <c r="K66" s="23"/>
      <c r="L66" s="23"/>
      <c r="M66" s="23"/>
      <c r="N66" s="23"/>
    </row>
    <row r="67" spans="1:14" ht="15.75" customHeight="1" x14ac:dyDescent="0.35">
      <c r="A67" s="88" t="s">
        <v>82</v>
      </c>
      <c r="B67" s="88"/>
      <c r="C67" s="88"/>
      <c r="D67" s="111" t="str">
        <f ca="1">(IF(G73&gt;95%,"Nothing",IF(G73&gt;0%,"Cement, Aggregate, Steel, etc",IF(G73=0%,"Work not yet Started"))))</f>
        <v>Cement, Aggregate, Steel, etc</v>
      </c>
      <c r="E67" s="111"/>
      <c r="F67" s="111"/>
      <c r="G67" s="111"/>
      <c r="H67" s="111"/>
      <c r="J67" s="22"/>
    </row>
    <row r="68" spans="1:14" ht="33.75" customHeight="1" thickBot="1" x14ac:dyDescent="0.4">
      <c r="A68" s="112" t="s">
        <v>113</v>
      </c>
      <c r="B68" s="112"/>
      <c r="C68" s="112"/>
      <c r="D68" s="111" t="str">
        <f ca="1">(IF(D67="Nothing","Yes",IF(D67="Cement, Aggregate, Steel, etc","Under Construction",IF(D67="Work not yet Started","Work not yet Started"))))</f>
        <v>Under Construction</v>
      </c>
      <c r="E68" s="111"/>
      <c r="F68" s="111" t="str">
        <f ca="1">(IF(D67="Nothing","Yes",IF(D67="Cement, Aggregate, Steel, etc","Under Construction",IF(D67="Work not yet Started","Work not yet Started"))))</f>
        <v>Under Construction</v>
      </c>
      <c r="G68" s="111"/>
      <c r="H68" s="111"/>
    </row>
    <row r="69" spans="1:14" ht="15.75" customHeight="1" x14ac:dyDescent="0.35">
      <c r="A69" s="85" t="s">
        <v>135</v>
      </c>
      <c r="B69" s="85"/>
      <c r="C69" s="85" t="s">
        <v>318</v>
      </c>
      <c r="D69" s="85"/>
      <c r="E69" s="85"/>
      <c r="F69" s="85"/>
      <c r="G69" s="85"/>
      <c r="H69" s="85"/>
      <c r="I69" s="69" t="str">
        <f ca="1">IF(D82=100%,"All work Completed. Possession granted to the Building.",IF(D81=100%,"All work Completed, Waiting for OC",I70&amp;""&amp;I71&amp;""&amp;J70&amp;""&amp;J69&amp;" "&amp;J71))</f>
        <v>Excavation, Plinth Completed, RCC upto 13 Slab, Brickwork upto 5 Floor Completed</v>
      </c>
      <c r="J69" s="42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13 Slab, Brickwork upto 5 Floor</v>
      </c>
    </row>
    <row r="70" spans="1:14" x14ac:dyDescent="0.35">
      <c r="A70" s="77" t="s">
        <v>137</v>
      </c>
      <c r="B70" s="77">
        <f>IF(AND(ISNUMBER(SEARCH("1B",C69))),1,IF(AND(ISNUMBER(SEARCH("2B",C69))),2,IF(AND(ISNUMBER(SEARCH("3B",C69))),3,IF(AND(ISNUMBER(SEARCH("4B",C69))),4,IF(ISNUMBER(SEARCH("5B",C69)),5,0)))))</f>
        <v>0</v>
      </c>
      <c r="C70" s="77" t="s">
        <v>69</v>
      </c>
      <c r="D70" s="77">
        <v>1</v>
      </c>
      <c r="E70" s="77" t="s">
        <v>68</v>
      </c>
      <c r="F70" s="77">
        <v>0</v>
      </c>
      <c r="G70" s="41" t="s">
        <v>76</v>
      </c>
      <c r="H70" s="77">
        <f ca="1">--TRIM(RIGHT(SUBSTITUTE(LEFT(C69,_xlfn.AGGREGATE(16,6,FIND({0,1,2,3,4,5,6,7,8,9},C69,ROW(INDIRECT("1:"&amp;LEN(C69)))),1))," ",REPT(" ",LEN(C69))),LEN(C69)))</f>
        <v>29</v>
      </c>
      <c r="I70" s="70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0.5" customHeight="1" x14ac:dyDescent="0.35">
      <c r="A71" s="110" t="s">
        <v>86</v>
      </c>
      <c r="B71" s="110"/>
      <c r="C71" s="124" t="str">
        <f ca="1">I69</f>
        <v>Excavation, Plinth Completed, RCC upto 13 Slab, Brickwork upto 5 Floor Completed</v>
      </c>
      <c r="D71" s="124"/>
      <c r="E71" s="124"/>
      <c r="F71" s="124"/>
      <c r="G71" s="124"/>
      <c r="H71" s="124"/>
      <c r="I71" s="70" t="str">
        <f ca="1">IF(I70&lt;&gt;""," Completed","")</f>
        <v xml:space="preserve"> Completed</v>
      </c>
      <c r="J71" s="43" t="str">
        <f ca="1">IF(J69&lt;&gt;"","Completed","")</f>
        <v>Completed</v>
      </c>
    </row>
    <row r="72" spans="1:14" ht="15.75" customHeight="1" x14ac:dyDescent="0.35">
      <c r="A72" s="86" t="s">
        <v>47</v>
      </c>
      <c r="B72" s="86"/>
      <c r="C72" s="75" t="s">
        <v>134</v>
      </c>
      <c r="D72" s="75" t="s">
        <v>79</v>
      </c>
      <c r="E72" s="86" t="s">
        <v>81</v>
      </c>
      <c r="F72" s="86"/>
      <c r="G72" s="86" t="s">
        <v>80</v>
      </c>
      <c r="H72" s="86"/>
      <c r="I72" s="13" t="s">
        <v>136</v>
      </c>
      <c r="J72" s="24">
        <f ca="1">H70*25%</f>
        <v>7.25</v>
      </c>
    </row>
    <row r="73" spans="1:14" x14ac:dyDescent="0.35">
      <c r="A73" s="86" t="s">
        <v>123</v>
      </c>
      <c r="B73" s="86"/>
      <c r="C73" s="62">
        <f ca="1">J74</f>
        <v>29</v>
      </c>
      <c r="D73" s="16">
        <f ca="1">((100/H70)*C73)/100</f>
        <v>1</v>
      </c>
      <c r="E73" s="125">
        <f ca="1">(((C74/H70*10)+(40/(D70+F70+H70)*C75)+(7.5/(H70)*C76)+(7.5/(H70)*C77)+(10/H70*C78)+(10/H70*C79)+(5/H70*C80)+(5/H70*C81)+(5/H70*C82))/100)</f>
        <v>0.28626436781609194</v>
      </c>
      <c r="F73" s="125"/>
      <c r="G73" s="125">
        <f ca="1">((((C73/H70)*20)+((C74/H70)*25)+(30/(H70+F70+D70)*C75)+(5/H70*C76)+(5/H70*C77)+(5/H70*C78)+(5/H70*C79)+(0/H70*C80)+(0/H70*C81)+(5/H70*C82))/100)</f>
        <v>0.58862068965517234</v>
      </c>
      <c r="H73" s="125"/>
      <c r="I73" s="13" t="s">
        <v>95</v>
      </c>
      <c r="J73" s="25">
        <f ca="1">H70*50%</f>
        <v>14.5</v>
      </c>
    </row>
    <row r="74" spans="1:14" x14ac:dyDescent="0.35">
      <c r="A74" s="86" t="s">
        <v>48</v>
      </c>
      <c r="B74" s="86"/>
      <c r="C74" s="62">
        <f ca="1">J82</f>
        <v>29</v>
      </c>
      <c r="D74" s="16">
        <f ca="1">((100/H70)*C74)/100</f>
        <v>1</v>
      </c>
      <c r="E74" s="125"/>
      <c r="F74" s="125"/>
      <c r="G74" s="125"/>
      <c r="H74" s="125"/>
      <c r="I74" s="13" t="s">
        <v>96</v>
      </c>
      <c r="J74" s="25">
        <f ca="1">H70</f>
        <v>29</v>
      </c>
    </row>
    <row r="75" spans="1:14" ht="15.75" customHeight="1" x14ac:dyDescent="0.35">
      <c r="A75" s="86" t="s">
        <v>124</v>
      </c>
      <c r="B75" s="86"/>
      <c r="C75" s="68">
        <v>13</v>
      </c>
      <c r="D75" s="16">
        <f ca="1">((100/(D70+F70+H70))*C75)/100</f>
        <v>0.43333333333333335</v>
      </c>
      <c r="E75" s="125"/>
      <c r="F75" s="125"/>
      <c r="G75" s="125"/>
      <c r="H75" s="125"/>
      <c r="I75" s="13" t="s">
        <v>97</v>
      </c>
      <c r="J75" s="26">
        <f ca="1">(IF(B70&gt;1,(H70/(B70+2)),H70/4))</f>
        <v>7.25</v>
      </c>
    </row>
    <row r="76" spans="1:14" ht="15.75" customHeight="1" x14ac:dyDescent="0.35">
      <c r="A76" s="86" t="s">
        <v>131</v>
      </c>
      <c r="B76" s="86" t="s">
        <v>125</v>
      </c>
      <c r="C76" s="68">
        <v>5</v>
      </c>
      <c r="D76" s="16">
        <f ca="1">((100/H70)*C76)/100</f>
        <v>0.17241379310344826</v>
      </c>
      <c r="E76" s="125"/>
      <c r="F76" s="125"/>
      <c r="G76" s="125"/>
      <c r="H76" s="125"/>
      <c r="I76" s="13" t="s">
        <v>98</v>
      </c>
      <c r="J76" s="26">
        <f ca="1">(IF(B70&gt;1,(H70/(B70+2)+J75),H70/4+J75))</f>
        <v>14.5</v>
      </c>
    </row>
    <row r="77" spans="1:14" ht="15.75" customHeight="1" x14ac:dyDescent="0.35">
      <c r="A77" s="86" t="s">
        <v>132</v>
      </c>
      <c r="B77" s="86" t="s">
        <v>125</v>
      </c>
      <c r="C77" s="68">
        <v>0</v>
      </c>
      <c r="D77" s="16">
        <f ca="1">((100/H70)*C77)/100</f>
        <v>0</v>
      </c>
      <c r="E77" s="125"/>
      <c r="F77" s="125"/>
      <c r="G77" s="125"/>
      <c r="H77" s="125"/>
      <c r="I77" s="13" t="s">
        <v>141</v>
      </c>
      <c r="J77" s="26">
        <f>(IF(B70&gt;1,(H70/(B70+2)+J76),0))</f>
        <v>0</v>
      </c>
    </row>
    <row r="78" spans="1:14" ht="15" customHeight="1" x14ac:dyDescent="0.35">
      <c r="A78" s="86" t="s">
        <v>130</v>
      </c>
      <c r="B78" s="86" t="s">
        <v>127</v>
      </c>
      <c r="C78" s="68">
        <v>0</v>
      </c>
      <c r="D78" s="16">
        <f ca="1">((100/(H70))*C78)/100</f>
        <v>0</v>
      </c>
      <c r="E78" s="125"/>
      <c r="F78" s="125"/>
      <c r="G78" s="125"/>
      <c r="H78" s="125"/>
      <c r="I78" s="13" t="s">
        <v>138</v>
      </c>
      <c r="J78" s="26">
        <f>(IF(B70&gt;2,(H70/(B70+2)+J77),0))</f>
        <v>0</v>
      </c>
    </row>
    <row r="79" spans="1:14" ht="15.75" customHeight="1" x14ac:dyDescent="0.35">
      <c r="A79" s="86" t="s">
        <v>126</v>
      </c>
      <c r="B79" s="86" t="s">
        <v>126</v>
      </c>
      <c r="C79" s="68">
        <v>0</v>
      </c>
      <c r="D79" s="16">
        <f ca="1">((100/H70)*C79)/100</f>
        <v>0</v>
      </c>
      <c r="E79" s="125"/>
      <c r="F79" s="125"/>
      <c r="G79" s="125"/>
      <c r="H79" s="125"/>
      <c r="I79" s="13" t="s">
        <v>139</v>
      </c>
      <c r="J79" s="27">
        <f>(IF(B70&gt;3,(H70/(B70+2)+J78),0))</f>
        <v>0</v>
      </c>
    </row>
    <row r="80" spans="1:14" ht="15.75" customHeight="1" x14ac:dyDescent="0.35">
      <c r="A80" s="86" t="s">
        <v>133</v>
      </c>
      <c r="B80" s="86"/>
      <c r="C80" s="68">
        <v>0</v>
      </c>
      <c r="D80" s="16">
        <f ca="1">((100/H70)*C80)/100</f>
        <v>0</v>
      </c>
      <c r="E80" s="125"/>
      <c r="F80" s="125"/>
      <c r="G80" s="125"/>
      <c r="H80" s="125"/>
      <c r="I80" s="13" t="s">
        <v>140</v>
      </c>
      <c r="J80" s="26">
        <f>(IF(B70&gt;4,(H70/(B70+2)+J79),0))</f>
        <v>0</v>
      </c>
    </row>
    <row r="81" spans="1:10" ht="15.75" customHeight="1" x14ac:dyDescent="0.35">
      <c r="A81" s="86" t="s">
        <v>128</v>
      </c>
      <c r="B81" s="86" t="s">
        <v>128</v>
      </c>
      <c r="C81" s="68">
        <v>0</v>
      </c>
      <c r="D81" s="16">
        <f ca="1">((100/(H70))*C81)/100</f>
        <v>0</v>
      </c>
      <c r="E81" s="125"/>
      <c r="F81" s="125"/>
      <c r="G81" s="125"/>
      <c r="H81" s="125"/>
      <c r="I81" s="13" t="s">
        <v>142</v>
      </c>
      <c r="J81" s="26">
        <f ca="1">(IF(B70=1,(H70/(B70+3)+J76),IF(B70=0,(H70/4+J76),IF(B70&gt;1,0))))</f>
        <v>21.75</v>
      </c>
    </row>
    <row r="82" spans="1:10" ht="16" thickBot="1" x14ac:dyDescent="0.4">
      <c r="A82" s="86" t="s">
        <v>129</v>
      </c>
      <c r="B82" s="86"/>
      <c r="C82" s="68">
        <v>0</v>
      </c>
      <c r="D82" s="16">
        <f ca="1">((100/(H70))*C82)/100</f>
        <v>0</v>
      </c>
      <c r="E82" s="125"/>
      <c r="F82" s="125"/>
      <c r="G82" s="125"/>
      <c r="H82" s="125"/>
      <c r="I82" s="14" t="s">
        <v>99</v>
      </c>
      <c r="J82" s="28">
        <f ca="1">(IF(B70&gt;1.5,(H70/(B70+2)+J76+MAX(0,J77-J76)+MAX(0,J78-J77)+MAX(0,J79-J78)+MAX(0,J80-J79)+MAX(0,J81-J80)),IF(B70=1,(H70/(B70+3)+J81),IF(B70=0,H70/4+J81))))</f>
        <v>29</v>
      </c>
    </row>
    <row r="83" spans="1:10" ht="15.75" customHeight="1" x14ac:dyDescent="0.35">
      <c r="A83" s="85" t="s">
        <v>135</v>
      </c>
      <c r="B83" s="85"/>
      <c r="C83" s="85" t="s">
        <v>319</v>
      </c>
      <c r="D83" s="85"/>
      <c r="E83" s="85"/>
      <c r="F83" s="85"/>
      <c r="G83" s="85"/>
      <c r="H83" s="85"/>
      <c r="I83" s="69" t="str">
        <f ca="1">IF(D96=100%,"All work Completed. Possession granted to the Building.",IF(D95=100%,"All work Completed, Waiting for OC",I84&amp;""&amp;I85&amp;""&amp;J84&amp;""&amp;J83&amp;" "&amp;J85))</f>
        <v>Excavation, Plinth Completed, RCC upto 15 Slab, Brickwork upto 7 Floor Completed</v>
      </c>
      <c r="J83" s="42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15 Slab, Brickwork upto 7 Floor</v>
      </c>
    </row>
    <row r="84" spans="1:10" x14ac:dyDescent="0.35">
      <c r="A84" s="80" t="s">
        <v>137</v>
      </c>
      <c r="B84" s="80">
        <f>IF(AND(ISNUMBER(SEARCH("1B",C83))),1,IF(AND(ISNUMBER(SEARCH("2B",C83))),2,IF(AND(ISNUMBER(SEARCH("3B",C83))),3,IF(AND(ISNUMBER(SEARCH("4B",C83))),4,IF(ISNUMBER(SEARCH("5B",C83)),5,0)))))</f>
        <v>0</v>
      </c>
      <c r="C84" s="80" t="s">
        <v>69</v>
      </c>
      <c r="D84" s="80">
        <v>1</v>
      </c>
      <c r="E84" s="80" t="s">
        <v>68</v>
      </c>
      <c r="F84" s="80">
        <v>0</v>
      </c>
      <c r="G84" s="41" t="s">
        <v>76</v>
      </c>
      <c r="H84" s="80">
        <f ca="1">--TRIM(RIGHT(SUBSTITUTE(LEFT(C83,_xlfn.AGGREGATE(16,6,FIND({0,1,2,3,4,5,6,7,8,9},C83,ROW(INDIRECT("1:"&amp;LEN(C83)))),1))," ",REPT(" ",LEN(C83))),LEN(C83)))</f>
        <v>29</v>
      </c>
      <c r="I84" s="7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0.5" customHeight="1" x14ac:dyDescent="0.35">
      <c r="A85" s="110" t="s">
        <v>86</v>
      </c>
      <c r="B85" s="110"/>
      <c r="C85" s="124" t="str">
        <f ca="1">I83</f>
        <v>Excavation, Plinth Completed, RCC upto 15 Slab, Brickwork upto 7 Floor Completed</v>
      </c>
      <c r="D85" s="124"/>
      <c r="E85" s="124"/>
      <c r="F85" s="124"/>
      <c r="G85" s="124"/>
      <c r="H85" s="124"/>
      <c r="I85" s="70" t="str">
        <f ca="1">IF(I84&lt;&gt;""," Completed","")</f>
        <v xml:space="preserve"> Completed</v>
      </c>
      <c r="J85" s="43" t="str">
        <f ca="1">IF(J83&lt;&gt;"","Completed","")</f>
        <v>Completed</v>
      </c>
    </row>
    <row r="86" spans="1:10" ht="15.75" customHeight="1" x14ac:dyDescent="0.35">
      <c r="A86" s="86" t="s">
        <v>47</v>
      </c>
      <c r="B86" s="86"/>
      <c r="C86" s="79" t="s">
        <v>134</v>
      </c>
      <c r="D86" s="79" t="s">
        <v>79</v>
      </c>
      <c r="E86" s="86" t="s">
        <v>81</v>
      </c>
      <c r="F86" s="86"/>
      <c r="G86" s="86" t="s">
        <v>80</v>
      </c>
      <c r="H86" s="86"/>
      <c r="I86" s="13" t="s">
        <v>136</v>
      </c>
      <c r="J86" s="24">
        <f ca="1">H84*25%</f>
        <v>7.25</v>
      </c>
    </row>
    <row r="87" spans="1:10" x14ac:dyDescent="0.35">
      <c r="A87" s="86" t="s">
        <v>123</v>
      </c>
      <c r="B87" s="86"/>
      <c r="C87" s="62">
        <f ca="1">J88</f>
        <v>29</v>
      </c>
      <c r="D87" s="16">
        <f ca="1">((100/H84)*C87)/100</f>
        <v>1</v>
      </c>
      <c r="E87" s="125">
        <f ca="1">(((C88/H84*10)+(40/(D84+F84+H84)*C89)+(7.5/(H84)*C90)+(7.5/(H84)*C91)+(10/H84*C92)+(10/H84*C93)+(5/H84*C94)+(5/H84*C95)+(5/H84*C96))/100)</f>
        <v>0.31810344827586207</v>
      </c>
      <c r="F87" s="125"/>
      <c r="G87" s="125">
        <f ca="1">((((C87/H84)*20)+((C88/H84)*25)+(30/(H84+F84+D84)*C89)+(5/H84*C90)+(5/H84*C91)+(5/H84*C92)+(5/H84*C93)+(0/H84*C94)+(0/H84*C95)+(5/H84*C96))/100)</f>
        <v>0.61206896551724133</v>
      </c>
      <c r="H87" s="125"/>
      <c r="I87" s="13" t="s">
        <v>95</v>
      </c>
      <c r="J87" s="25">
        <f ca="1">H84*50%</f>
        <v>14.5</v>
      </c>
    </row>
    <row r="88" spans="1:10" x14ac:dyDescent="0.35">
      <c r="A88" s="86" t="s">
        <v>48</v>
      </c>
      <c r="B88" s="86"/>
      <c r="C88" s="62">
        <f ca="1">J96</f>
        <v>29</v>
      </c>
      <c r="D88" s="16">
        <f ca="1">((100/H84)*C88)/100</f>
        <v>1</v>
      </c>
      <c r="E88" s="125"/>
      <c r="F88" s="125"/>
      <c r="G88" s="125"/>
      <c r="H88" s="125"/>
      <c r="I88" s="13" t="s">
        <v>96</v>
      </c>
      <c r="J88" s="25">
        <f ca="1">H84</f>
        <v>29</v>
      </c>
    </row>
    <row r="89" spans="1:10" ht="15.75" customHeight="1" x14ac:dyDescent="0.35">
      <c r="A89" s="86" t="s">
        <v>124</v>
      </c>
      <c r="B89" s="86"/>
      <c r="C89" s="79">
        <v>15</v>
      </c>
      <c r="D89" s="16">
        <f ca="1">((100/(D84+F84+H84))*C89)/100</f>
        <v>0.5</v>
      </c>
      <c r="E89" s="125"/>
      <c r="F89" s="125"/>
      <c r="G89" s="125"/>
      <c r="H89" s="125"/>
      <c r="I89" s="13" t="s">
        <v>97</v>
      </c>
      <c r="J89" s="26">
        <f ca="1">(IF(B84&gt;1,(H84/(B84+2)),H84/4))</f>
        <v>7.25</v>
      </c>
    </row>
    <row r="90" spans="1:10" ht="15.75" customHeight="1" x14ac:dyDescent="0.35">
      <c r="A90" s="86" t="s">
        <v>131</v>
      </c>
      <c r="B90" s="86" t="s">
        <v>125</v>
      </c>
      <c r="C90" s="79">
        <v>7</v>
      </c>
      <c r="D90" s="16">
        <f ca="1">((100/H84)*C90)/100</f>
        <v>0.24137931034482757</v>
      </c>
      <c r="E90" s="125"/>
      <c r="F90" s="125"/>
      <c r="G90" s="125"/>
      <c r="H90" s="125"/>
      <c r="I90" s="13" t="s">
        <v>98</v>
      </c>
      <c r="J90" s="26">
        <f ca="1">(IF(B84&gt;1,(H84/(B84+2)+J89),H84/4+J89))</f>
        <v>14.5</v>
      </c>
    </row>
    <row r="91" spans="1:10" ht="15.75" customHeight="1" x14ac:dyDescent="0.35">
      <c r="A91" s="86" t="s">
        <v>132</v>
      </c>
      <c r="B91" s="86" t="s">
        <v>125</v>
      </c>
      <c r="C91" s="79">
        <v>0</v>
      </c>
      <c r="D91" s="16">
        <f ca="1">((100/H84)*C91)/100</f>
        <v>0</v>
      </c>
      <c r="E91" s="125"/>
      <c r="F91" s="125"/>
      <c r="G91" s="125"/>
      <c r="H91" s="125"/>
      <c r="I91" s="13" t="s">
        <v>141</v>
      </c>
      <c r="J91" s="26">
        <f>(IF(B84&gt;1,(H84/(B84+2)+J90),0))</f>
        <v>0</v>
      </c>
    </row>
    <row r="92" spans="1:10" ht="15" customHeight="1" x14ac:dyDescent="0.35">
      <c r="A92" s="86" t="s">
        <v>130</v>
      </c>
      <c r="B92" s="86" t="s">
        <v>127</v>
      </c>
      <c r="C92" s="79">
        <v>0</v>
      </c>
      <c r="D92" s="16">
        <f ca="1">((100/(H84))*C92)/100</f>
        <v>0</v>
      </c>
      <c r="E92" s="125"/>
      <c r="F92" s="125"/>
      <c r="G92" s="125"/>
      <c r="H92" s="125"/>
      <c r="I92" s="13" t="s">
        <v>138</v>
      </c>
      <c r="J92" s="26">
        <f>(IF(B84&gt;2,(H84/(B84+2)+J91),0))</f>
        <v>0</v>
      </c>
    </row>
    <row r="93" spans="1:10" ht="15.75" customHeight="1" x14ac:dyDescent="0.35">
      <c r="A93" s="86" t="s">
        <v>126</v>
      </c>
      <c r="B93" s="86" t="s">
        <v>126</v>
      </c>
      <c r="C93" s="79">
        <v>0</v>
      </c>
      <c r="D93" s="16">
        <f ca="1">((100/H84)*C93)/100</f>
        <v>0</v>
      </c>
      <c r="E93" s="125"/>
      <c r="F93" s="125"/>
      <c r="G93" s="125"/>
      <c r="H93" s="125"/>
      <c r="I93" s="13" t="s">
        <v>139</v>
      </c>
      <c r="J93" s="27">
        <f>(IF(B84&gt;3,(H84/(B84+2)+J92),0))</f>
        <v>0</v>
      </c>
    </row>
    <row r="94" spans="1:10" ht="15.75" customHeight="1" x14ac:dyDescent="0.35">
      <c r="A94" s="86" t="s">
        <v>133</v>
      </c>
      <c r="B94" s="86"/>
      <c r="C94" s="79">
        <v>0</v>
      </c>
      <c r="D94" s="16">
        <f ca="1">((100/H84)*C94)/100</f>
        <v>0</v>
      </c>
      <c r="E94" s="125"/>
      <c r="F94" s="125"/>
      <c r="G94" s="125"/>
      <c r="H94" s="125"/>
      <c r="I94" s="13" t="s">
        <v>140</v>
      </c>
      <c r="J94" s="26">
        <f>(IF(B84&gt;4,(H84/(B84+2)+J93),0))</f>
        <v>0</v>
      </c>
    </row>
    <row r="95" spans="1:10" ht="15.75" customHeight="1" x14ac:dyDescent="0.35">
      <c r="A95" s="86" t="s">
        <v>128</v>
      </c>
      <c r="B95" s="86" t="s">
        <v>128</v>
      </c>
      <c r="C95" s="79">
        <v>0</v>
      </c>
      <c r="D95" s="16">
        <f ca="1">((100/(H84))*C95)/100</f>
        <v>0</v>
      </c>
      <c r="E95" s="125"/>
      <c r="F95" s="125"/>
      <c r="G95" s="125"/>
      <c r="H95" s="125"/>
      <c r="I95" s="13" t="s">
        <v>142</v>
      </c>
      <c r="J95" s="26">
        <f ca="1">(IF(B84=1,(H84/(B84+3)+J90),IF(B84=0,(H84/4+J90),IF(B84&gt;1,0))))</f>
        <v>21.75</v>
      </c>
    </row>
    <row r="96" spans="1:10" ht="16" thickBot="1" x14ac:dyDescent="0.4">
      <c r="A96" s="188" t="s">
        <v>129</v>
      </c>
      <c r="B96" s="188"/>
      <c r="C96" s="189">
        <v>0</v>
      </c>
      <c r="D96" s="190">
        <f ca="1">((100/(H84))*C96)/100</f>
        <v>0</v>
      </c>
      <c r="E96" s="191"/>
      <c r="F96" s="191"/>
      <c r="G96" s="191"/>
      <c r="H96" s="191"/>
      <c r="I96" s="14" t="s">
        <v>99</v>
      </c>
      <c r="J96" s="28">
        <f ca="1">(IF(B84&gt;1.5,(H84/(B84+2)+J90+MAX(0,J91-J90)+MAX(0,J92-J91)+MAX(0,J93-J92)+MAX(0,J94-J93)+MAX(0,J95-J94)),IF(B84=1,(H84/(B84+3)+J95),IF(B84=0,H84/4+J95))))</f>
        <v>29</v>
      </c>
    </row>
    <row r="97" spans="1:14" ht="32.5" customHeight="1" thickBot="1" x14ac:dyDescent="0.4">
      <c r="A97" s="192" t="s">
        <v>320</v>
      </c>
      <c r="B97" s="193"/>
      <c r="C97" s="194">
        <f ca="1">AVERAGE(E73,E87)</f>
        <v>0.302183908045977</v>
      </c>
      <c r="D97" s="195"/>
      <c r="E97" s="196" t="s">
        <v>321</v>
      </c>
      <c r="F97" s="195"/>
      <c r="G97" s="194">
        <f ca="1">AVERAGE(G73,G87)</f>
        <v>0.60034482758620689</v>
      </c>
      <c r="H97" s="197"/>
      <c r="I97" s="14" t="s">
        <v>99</v>
      </c>
      <c r="J97" s="28">
        <f ca="1">(IF(B85&gt;1.5,(H85/(B85+2)+J91+MAX(0,J92-J91)+MAX(0,J93-J92)+MAX(0,J94-J93)+MAX(0,J95-J94)+MAX(0,J96-J95)),IF(B85=1,(H85/(B85+3)+J96),IF(B85=0,H85/4+J96))))</f>
        <v>29</v>
      </c>
    </row>
    <row r="98" spans="1:14" x14ac:dyDescent="0.35">
      <c r="A98" s="166" t="s">
        <v>149</v>
      </c>
      <c r="B98" s="166"/>
      <c r="C98" s="166"/>
      <c r="D98" s="166"/>
      <c r="E98" s="166"/>
      <c r="F98" s="167" t="s">
        <v>153</v>
      </c>
      <c r="G98" s="167"/>
      <c r="H98" s="167"/>
    </row>
    <row r="99" spans="1:14" x14ac:dyDescent="0.35">
      <c r="A99" s="88" t="s">
        <v>151</v>
      </c>
      <c r="B99" s="88"/>
      <c r="C99" s="88"/>
      <c r="D99" s="88"/>
      <c r="E99" s="88"/>
      <c r="F99" s="87">
        <v>28000</v>
      </c>
      <c r="G99" s="87"/>
      <c r="H99" s="87"/>
      <c r="I99" s="17" t="s">
        <v>305</v>
      </c>
    </row>
    <row r="100" spans="1:14" x14ac:dyDescent="0.35">
      <c r="A100" s="88" t="s">
        <v>150</v>
      </c>
      <c r="B100" s="88"/>
      <c r="C100" s="88"/>
      <c r="D100" s="88"/>
      <c r="E100" s="88"/>
      <c r="F100" s="87">
        <v>67000</v>
      </c>
      <c r="G100" s="87"/>
      <c r="H100" s="87"/>
      <c r="I100" s="65" t="s">
        <v>298</v>
      </c>
      <c r="J100" s="65" t="s">
        <v>299</v>
      </c>
      <c r="K100" s="65" t="s">
        <v>300</v>
      </c>
      <c r="L100" s="65"/>
      <c r="M100" s="66">
        <v>45461</v>
      </c>
      <c r="N100" s="65" t="s">
        <v>301</v>
      </c>
    </row>
    <row r="101" spans="1:14" hidden="1" x14ac:dyDescent="0.35">
      <c r="A101" s="88" t="s">
        <v>152</v>
      </c>
      <c r="B101" s="88"/>
      <c r="C101" s="88"/>
      <c r="D101" s="88"/>
      <c r="E101" s="88"/>
      <c r="F101" s="87"/>
      <c r="G101" s="87"/>
      <c r="H101" s="87"/>
    </row>
    <row r="102" spans="1:14" s="29" customFormat="1" hidden="1" x14ac:dyDescent="0.3">
      <c r="A102" s="88" t="s">
        <v>169</v>
      </c>
      <c r="B102" s="88"/>
      <c r="C102" s="88"/>
      <c r="D102" s="88"/>
      <c r="E102" s="88"/>
      <c r="F102" s="87"/>
      <c r="G102" s="87"/>
      <c r="H102" s="87"/>
    </row>
    <row r="103" spans="1:14" s="29" customFormat="1" hidden="1" x14ac:dyDescent="0.3">
      <c r="A103" s="88" t="s">
        <v>91</v>
      </c>
      <c r="B103" s="88"/>
      <c r="C103" s="88"/>
      <c r="D103" s="88"/>
      <c r="E103" s="88"/>
      <c r="F103" s="87"/>
      <c r="G103" s="87"/>
      <c r="H103" s="87"/>
    </row>
    <row r="104" spans="1:14" s="29" customFormat="1" x14ac:dyDescent="0.3">
      <c r="A104" s="88" t="s">
        <v>92</v>
      </c>
      <c r="B104" s="88"/>
      <c r="C104" s="88"/>
      <c r="D104" s="88"/>
      <c r="E104" s="88"/>
      <c r="F104" s="87">
        <v>950000</v>
      </c>
      <c r="G104" s="87"/>
      <c r="H104" s="87"/>
    </row>
    <row r="105" spans="1:14" s="29" customFormat="1" hidden="1" x14ac:dyDescent="0.3">
      <c r="A105" s="88" t="s">
        <v>154</v>
      </c>
      <c r="B105" s="88"/>
      <c r="C105" s="88"/>
      <c r="D105" s="88"/>
      <c r="E105" s="88"/>
      <c r="F105" s="87"/>
      <c r="G105" s="87"/>
      <c r="H105" s="87"/>
    </row>
    <row r="106" spans="1:14" s="29" customFormat="1" hidden="1" x14ac:dyDescent="0.3">
      <c r="A106" s="88" t="s">
        <v>93</v>
      </c>
      <c r="B106" s="88"/>
      <c r="C106" s="88"/>
      <c r="D106" s="88"/>
      <c r="E106" s="88"/>
      <c r="F106" s="87"/>
      <c r="G106" s="87"/>
      <c r="H106" s="87"/>
    </row>
    <row r="107" spans="1:14" s="29" customFormat="1" x14ac:dyDescent="0.3">
      <c r="A107" s="88" t="s">
        <v>308</v>
      </c>
      <c r="B107" s="88"/>
      <c r="C107" s="88"/>
      <c r="D107" s="88"/>
      <c r="E107" s="88"/>
      <c r="F107" s="87">
        <v>75000</v>
      </c>
      <c r="G107" s="87"/>
      <c r="H107" s="87"/>
    </row>
    <row r="108" spans="1:14" s="29" customFormat="1" x14ac:dyDescent="0.3">
      <c r="A108" s="88" t="s">
        <v>307</v>
      </c>
      <c r="B108" s="88"/>
      <c r="C108" s="88"/>
      <c r="D108" s="88"/>
      <c r="E108" s="88"/>
      <c r="F108" s="87">
        <v>50000</v>
      </c>
      <c r="G108" s="87"/>
      <c r="H108" s="87"/>
    </row>
    <row r="109" spans="1:14" s="29" customFormat="1" x14ac:dyDescent="0.3">
      <c r="A109" s="88" t="s">
        <v>306</v>
      </c>
      <c r="B109" s="88"/>
      <c r="C109" s="88"/>
      <c r="D109" s="88"/>
      <c r="E109" s="88"/>
      <c r="F109" s="87">
        <v>125000</v>
      </c>
      <c r="G109" s="87"/>
      <c r="H109" s="87"/>
    </row>
    <row r="110" spans="1:14" s="29" customFormat="1" hidden="1" x14ac:dyDescent="0.3">
      <c r="A110" s="88" t="s">
        <v>94</v>
      </c>
      <c r="B110" s="88"/>
      <c r="C110" s="88"/>
      <c r="D110" s="88"/>
      <c r="E110" s="88"/>
      <c r="F110" s="87"/>
      <c r="G110" s="87"/>
      <c r="H110" s="87"/>
    </row>
    <row r="111" spans="1:14" x14ac:dyDescent="0.35">
      <c r="A111" s="88" t="s">
        <v>49</v>
      </c>
      <c r="B111" s="88"/>
      <c r="C111" s="88"/>
      <c r="D111" s="88"/>
      <c r="E111" s="88"/>
      <c r="F111" s="123">
        <v>1200000</v>
      </c>
      <c r="G111" s="123"/>
      <c r="H111" s="123"/>
    </row>
    <row r="112" spans="1:14" s="30" customFormat="1" x14ac:dyDescent="0.35">
      <c r="A112" s="91" t="s">
        <v>50</v>
      </c>
      <c r="B112" s="91"/>
      <c r="C112" s="91"/>
      <c r="D112" s="91"/>
      <c r="E112" s="91"/>
      <c r="F112" s="87">
        <f>F99*0.8</f>
        <v>22400</v>
      </c>
      <c r="G112" s="87"/>
      <c r="H112" s="87"/>
    </row>
    <row r="113" spans="1:14" s="31" customFormat="1" ht="15.75" customHeight="1" x14ac:dyDescent="0.35">
      <c r="A113" s="92" t="s">
        <v>255</v>
      </c>
      <c r="B113" s="92"/>
      <c r="C113" s="92"/>
      <c r="D113" s="92"/>
      <c r="E113" s="92"/>
      <c r="F113" s="92"/>
      <c r="G113" s="92"/>
      <c r="H113" s="92"/>
    </row>
    <row r="114" spans="1:14" s="31" customFormat="1" ht="15.75" customHeight="1" x14ac:dyDescent="0.35">
      <c r="A114" s="93" t="s">
        <v>51</v>
      </c>
      <c r="B114" s="93"/>
      <c r="C114" s="94" t="s">
        <v>74</v>
      </c>
      <c r="D114" s="94"/>
      <c r="E114" s="95" t="s">
        <v>52</v>
      </c>
      <c r="F114" s="95"/>
      <c r="G114" s="93" t="s">
        <v>53</v>
      </c>
      <c r="H114" s="93"/>
    </row>
    <row r="115" spans="1:14" s="31" customFormat="1" x14ac:dyDescent="0.35">
      <c r="A115" s="96" t="s">
        <v>254</v>
      </c>
      <c r="B115" s="96"/>
      <c r="C115" s="97">
        <f>COUNT(D128:D136)</f>
        <v>9</v>
      </c>
      <c r="D115" s="98"/>
      <c r="E115" s="99">
        <f>SUM(D128:D136)</f>
        <v>4935.6545939999996</v>
      </c>
      <c r="F115" s="100"/>
      <c r="G115" s="99">
        <f>SUM(F128:F136)</f>
        <v>7897.0473504000011</v>
      </c>
      <c r="H115" s="100"/>
    </row>
    <row r="116" spans="1:14" s="31" customFormat="1" ht="15.75" customHeight="1" x14ac:dyDescent="0.35">
      <c r="A116" s="92" t="s">
        <v>253</v>
      </c>
      <c r="B116" s="92"/>
      <c r="C116" s="92"/>
      <c r="D116" s="92"/>
      <c r="E116" s="92"/>
      <c r="F116" s="92"/>
      <c r="G116" s="92"/>
      <c r="H116" s="92"/>
    </row>
    <row r="117" spans="1:14" s="31" customFormat="1" ht="15.75" customHeight="1" x14ac:dyDescent="0.35">
      <c r="A117" s="93" t="s">
        <v>51</v>
      </c>
      <c r="B117" s="93"/>
      <c r="C117" s="94" t="s">
        <v>74</v>
      </c>
      <c r="D117" s="94"/>
      <c r="E117" s="95" t="s">
        <v>52</v>
      </c>
      <c r="F117" s="95"/>
      <c r="G117" s="93" t="s">
        <v>53</v>
      </c>
      <c r="H117" s="93"/>
    </row>
    <row r="118" spans="1:14" s="31" customFormat="1" x14ac:dyDescent="0.35">
      <c r="A118" s="96" t="s">
        <v>254</v>
      </c>
      <c r="B118" s="96"/>
      <c r="C118" s="97">
        <f>COUNT(D137:D153)</f>
        <v>17</v>
      </c>
      <c r="D118" s="98"/>
      <c r="E118" s="99">
        <f>SUM(D137:D153)</f>
        <v>30857.204008799999</v>
      </c>
      <c r="F118" s="100"/>
      <c r="G118" s="99">
        <f>SUM(F137:F153)</f>
        <v>49371.526414079999</v>
      </c>
      <c r="H118" s="100"/>
    </row>
    <row r="119" spans="1:14" s="31" customFormat="1" x14ac:dyDescent="0.35">
      <c r="A119" s="92" t="s">
        <v>257</v>
      </c>
      <c r="B119" s="92"/>
      <c r="C119" s="92"/>
      <c r="D119" s="92"/>
      <c r="E119" s="92"/>
      <c r="F119" s="92"/>
      <c r="G119" s="92"/>
      <c r="H119" s="92"/>
    </row>
    <row r="120" spans="1:14" s="31" customFormat="1" ht="15.75" customHeight="1" x14ac:dyDescent="0.35">
      <c r="A120" s="93" t="s">
        <v>51</v>
      </c>
      <c r="B120" s="93"/>
      <c r="C120" s="94" t="s">
        <v>74</v>
      </c>
      <c r="D120" s="94"/>
      <c r="E120" s="95" t="s">
        <v>52</v>
      </c>
      <c r="F120" s="95"/>
      <c r="G120" s="93" t="s">
        <v>53</v>
      </c>
      <c r="H120" s="93"/>
    </row>
    <row r="121" spans="1:14" s="31" customFormat="1" ht="16" thickBot="1" x14ac:dyDescent="0.4">
      <c r="A121" s="96" t="s">
        <v>256</v>
      </c>
      <c r="B121" s="96"/>
      <c r="C121" s="98">
        <f>COUNT(D163:D174)+COUNT(D176:D187)+COUNT(D189:D200)*4+COUNT(D202:D205,D209:D213)+COUNT(D215:D226)*3+COUNT(D228:D239)*11+COUNT(D241:D244,D249:D252)</f>
        <v>257</v>
      </c>
      <c r="D121" s="98"/>
      <c r="E121" s="99">
        <f>SUM(D163:D174)+SUM(D176:D187)+SUM(D189:D200)*4+SUM(D202:D205,D209:D213)+SUM(D215:D226)*3+SUM(D228:D239)*11+SUM(D241:D244,D249:D252)</f>
        <v>297072.07311599999</v>
      </c>
      <c r="F121" s="99"/>
      <c r="G121" s="99">
        <f>SUM(F163:F174)+SUM(F176:F187)+SUM(F189:F200)*4+SUM(F202:F205,F209:F213)+SUM(F215:F226)*3+SUM(F228:F239)*11+SUM(F241:F244,F249:F252)</f>
        <v>460461.71332979994</v>
      </c>
      <c r="H121" s="99"/>
      <c r="I121" s="31">
        <f>9+11</f>
        <v>20</v>
      </c>
      <c r="J121" s="31">
        <f>147+110</f>
        <v>257</v>
      </c>
      <c r="K121" s="31">
        <f>29-7</f>
        <v>22</v>
      </c>
      <c r="L121" s="31">
        <f>22*12</f>
        <v>264</v>
      </c>
      <c r="M121" s="31">
        <f>L121-8</f>
        <v>256</v>
      </c>
      <c r="N121" s="31">
        <f>2*12+4*12+9+3*12+12+10*12+12+9</f>
        <v>270</v>
      </c>
    </row>
    <row r="122" spans="1:14" s="31" customFormat="1" x14ac:dyDescent="0.35">
      <c r="A122" s="181" t="s">
        <v>160</v>
      </c>
      <c r="B122" s="182"/>
      <c r="C122" s="148">
        <f>C115+C118+C121</f>
        <v>283</v>
      </c>
      <c r="D122" s="149"/>
      <c r="E122" s="148">
        <f>E115+E118+E121</f>
        <v>332864.93171879998</v>
      </c>
      <c r="F122" s="149"/>
      <c r="G122" s="148">
        <f>G115+G118+G121</f>
        <v>517730.28709427995</v>
      </c>
      <c r="H122" s="149"/>
    </row>
    <row r="123" spans="1:14" s="30" customFormat="1" x14ac:dyDescent="0.35">
      <c r="A123" s="90" t="s">
        <v>54</v>
      </c>
      <c r="B123" s="90"/>
      <c r="C123" s="90"/>
      <c r="D123" s="90"/>
      <c r="E123" s="90"/>
      <c r="F123" s="90"/>
      <c r="G123" s="90"/>
      <c r="H123" s="90"/>
      <c r="J123" s="30">
        <f>E122/10.764</f>
        <v>30923.9067</v>
      </c>
    </row>
    <row r="124" spans="1:14" x14ac:dyDescent="0.35">
      <c r="A124" s="90" t="s">
        <v>168</v>
      </c>
      <c r="B124" s="90"/>
      <c r="C124" s="90"/>
      <c r="D124" s="90"/>
      <c r="E124" s="90"/>
      <c r="F124" s="90"/>
      <c r="G124" s="90"/>
      <c r="H124" s="90"/>
    </row>
    <row r="125" spans="1:14" ht="47.25" customHeight="1" x14ac:dyDescent="0.35">
      <c r="A125" s="89" t="s">
        <v>114</v>
      </c>
      <c r="B125" s="89" t="s">
        <v>240</v>
      </c>
      <c r="C125" s="89" t="s">
        <v>55</v>
      </c>
      <c r="D125" s="89" t="s">
        <v>56</v>
      </c>
      <c r="E125" s="147" t="s">
        <v>148</v>
      </c>
      <c r="F125" s="76" t="s">
        <v>144</v>
      </c>
      <c r="G125" s="89" t="s">
        <v>58</v>
      </c>
      <c r="H125" s="89"/>
    </row>
    <row r="126" spans="1:14" s="33" customFormat="1" x14ac:dyDescent="0.35">
      <c r="A126" s="89"/>
      <c r="B126" s="89"/>
      <c r="C126" s="89"/>
      <c r="D126" s="89"/>
      <c r="E126" s="147"/>
      <c r="F126" s="72">
        <v>0.6</v>
      </c>
      <c r="G126" s="89"/>
      <c r="H126" s="89"/>
    </row>
    <row r="127" spans="1:14" s="33" customFormat="1" x14ac:dyDescent="0.35">
      <c r="A127" s="146" t="s">
        <v>242</v>
      </c>
      <c r="B127" s="146"/>
      <c r="C127" s="146"/>
      <c r="D127" s="146"/>
      <c r="E127" s="146"/>
      <c r="F127" s="146"/>
      <c r="G127" s="146"/>
      <c r="H127" s="146"/>
      <c r="J127" s="32">
        <f>4877/10.764+40.66</f>
        <v>493.74435525826834</v>
      </c>
    </row>
    <row r="128" spans="1:14" s="33" customFormat="1" ht="15.75" customHeight="1" x14ac:dyDescent="0.35">
      <c r="A128" s="78">
        <v>1</v>
      </c>
      <c r="B128" s="78" t="s">
        <v>241</v>
      </c>
      <c r="C128" s="78" t="s">
        <v>243</v>
      </c>
      <c r="D128" s="78">
        <f>(13.24*3.5+1.05*1.85+2.25*1.5+1.2*1.85)*10.764</f>
        <v>579.93741</v>
      </c>
      <c r="E128" s="78">
        <v>0</v>
      </c>
      <c r="F128" s="78">
        <f>(D128+E128)*(($F$126)+1)</f>
        <v>927.899856</v>
      </c>
      <c r="G128" s="153" t="str">
        <f>A127</f>
        <v>Ground Floor For Commercial, Parking, Fire Control Room &amp; Lobby</v>
      </c>
      <c r="H128" s="153"/>
      <c r="I128" s="32">
        <f>(13.24*3.5+1.05*1.85+2.25*1.5+1.2*1.85)</f>
        <v>53.877500000000005</v>
      </c>
      <c r="L128" s="84"/>
      <c r="M128" s="84"/>
      <c r="N128" s="32"/>
    </row>
    <row r="129" spans="1:14" s="33" customFormat="1" ht="15.75" customHeight="1" x14ac:dyDescent="0.35">
      <c r="A129" s="78">
        <f t="shared" ref="A129:A153" si="0">A128+1</f>
        <v>2</v>
      </c>
      <c r="B129" s="78" t="s">
        <v>241</v>
      </c>
      <c r="C129" s="78" t="s">
        <v>243</v>
      </c>
      <c r="D129" s="78">
        <f>(13.8*3.5+1.05*1.85+1.2*1.85+2.25*1.5)*10.764</f>
        <v>601.03485000000001</v>
      </c>
      <c r="E129" s="78">
        <v>0</v>
      </c>
      <c r="F129" s="78">
        <f t="shared" ref="F129:F132" si="1">(D129+E129)*(($F$126)+1)</f>
        <v>961.6557600000001</v>
      </c>
      <c r="G129" s="153"/>
      <c r="H129" s="153"/>
      <c r="I129" s="32">
        <f>(13.8*3.5+1.05*1.85+1.2*1.85+2.25*1.5)</f>
        <v>55.837500000000006</v>
      </c>
      <c r="J129" s="32">
        <f>575/10.764</f>
        <v>53.418803418803421</v>
      </c>
      <c r="L129" s="84"/>
      <c r="M129" s="84"/>
      <c r="N129" s="32"/>
    </row>
    <row r="130" spans="1:14" s="33" customFormat="1" ht="15.75" customHeight="1" x14ac:dyDescent="0.35">
      <c r="A130" s="78">
        <f t="shared" si="0"/>
        <v>3</v>
      </c>
      <c r="B130" s="78" t="s">
        <v>241</v>
      </c>
      <c r="C130" s="78" t="s">
        <v>243</v>
      </c>
      <c r="D130" s="78">
        <f>(13.11*3.5+1.05*1.85+2.25*1.5+1.2*1.85)*10.764</f>
        <v>575.03978999999993</v>
      </c>
      <c r="E130" s="78">
        <v>0</v>
      </c>
      <c r="F130" s="78">
        <f t="shared" si="1"/>
        <v>920.0636639999999</v>
      </c>
      <c r="G130" s="153"/>
      <c r="H130" s="153"/>
      <c r="I130" s="32">
        <f>(13.11*3.5+1.05*1.85+2.25*1.5+1.2*1.85)</f>
        <v>53.422499999999999</v>
      </c>
      <c r="L130" s="84"/>
      <c r="M130" s="84"/>
      <c r="N130" s="32"/>
    </row>
    <row r="131" spans="1:14" s="33" customFormat="1" ht="15.75" customHeight="1" x14ac:dyDescent="0.35">
      <c r="A131" s="78">
        <f t="shared" si="0"/>
        <v>4</v>
      </c>
      <c r="B131" s="78" t="s">
        <v>241</v>
      </c>
      <c r="C131" s="78" t="s">
        <v>243</v>
      </c>
      <c r="D131" s="78">
        <f>(12.02*3.5+1.03*1.84+1.2*1.85+2.24*1.51)*10.764</f>
        <v>533.54564640000001</v>
      </c>
      <c r="E131" s="78">
        <v>0</v>
      </c>
      <c r="F131" s="78">
        <f t="shared" si="1"/>
        <v>853.67303424000011</v>
      </c>
      <c r="G131" s="153"/>
      <c r="H131" s="153"/>
      <c r="I131" s="32">
        <f>(12.02*3.5+1.03*1.84+1.2*1.85+2.24*1.51)</f>
        <v>49.567599999999999</v>
      </c>
      <c r="L131" s="84"/>
      <c r="M131" s="84"/>
      <c r="N131" s="32"/>
    </row>
    <row r="132" spans="1:14" s="47" customFormat="1" x14ac:dyDescent="0.35">
      <c r="A132" s="78">
        <f t="shared" si="0"/>
        <v>5</v>
      </c>
      <c r="B132" s="78" t="s">
        <v>241</v>
      </c>
      <c r="C132" s="78" t="s">
        <v>243</v>
      </c>
      <c r="D132" s="78">
        <f>(8.24*3.5+1.04*1.84+1.2*1.85+2.23*1.51)*10.764</f>
        <v>391.17344759999997</v>
      </c>
      <c r="E132" s="78">
        <v>0</v>
      </c>
      <c r="F132" s="78">
        <f t="shared" si="1"/>
        <v>625.87751616000003</v>
      </c>
      <c r="G132" s="153"/>
      <c r="H132" s="153"/>
      <c r="I132" s="32">
        <f>(8.24*3.5+1.04*1.84+1.2*1.85+2.23*1.51)</f>
        <v>36.340899999999998</v>
      </c>
      <c r="L132" s="84"/>
      <c r="M132" s="84"/>
      <c r="N132" s="32"/>
    </row>
    <row r="133" spans="1:14" s="47" customFormat="1" x14ac:dyDescent="0.35">
      <c r="A133" s="78">
        <f t="shared" si="0"/>
        <v>6</v>
      </c>
      <c r="B133" s="78" t="s">
        <v>241</v>
      </c>
      <c r="C133" s="78" t="s">
        <v>243</v>
      </c>
      <c r="D133" s="78">
        <f>(13.41*3.5+1.05*1.85+2.25*1.5+1.2*1.85)*10.764</f>
        <v>586.34199000000001</v>
      </c>
      <c r="E133" s="78">
        <v>0</v>
      </c>
      <c r="F133" s="78">
        <f t="shared" ref="F133:F148" si="2">(D133+E133)*(($F$126)+1)</f>
        <v>938.14718400000004</v>
      </c>
      <c r="G133" s="153"/>
      <c r="H133" s="153"/>
      <c r="I133" s="32"/>
      <c r="L133" s="84"/>
      <c r="M133" s="84"/>
      <c r="N133" s="32"/>
    </row>
    <row r="134" spans="1:14" s="47" customFormat="1" x14ac:dyDescent="0.35">
      <c r="A134" s="78">
        <f t="shared" si="0"/>
        <v>7</v>
      </c>
      <c r="B134" s="78" t="s">
        <v>241</v>
      </c>
      <c r="C134" s="78" t="s">
        <v>243</v>
      </c>
      <c r="D134" s="78">
        <f>(12.5*3.5+1.05*1.85+1.2*1.85+2.25*1.5)*10.764</f>
        <v>552.05864999999994</v>
      </c>
      <c r="E134" s="78">
        <v>0</v>
      </c>
      <c r="F134" s="78">
        <f t="shared" si="2"/>
        <v>883.29383999999993</v>
      </c>
      <c r="G134" s="153"/>
      <c r="H134" s="153"/>
      <c r="I134" s="32"/>
      <c r="L134" s="84"/>
      <c r="M134" s="84"/>
      <c r="N134" s="32"/>
    </row>
    <row r="135" spans="1:14" s="47" customFormat="1" x14ac:dyDescent="0.35">
      <c r="A135" s="78">
        <f t="shared" si="0"/>
        <v>8</v>
      </c>
      <c r="B135" s="78" t="s">
        <v>241</v>
      </c>
      <c r="C135" s="78" t="s">
        <v>243</v>
      </c>
      <c r="D135" s="78">
        <f>(12.5*3.5+1.05*1.85+2.25*1.5+1.2*1.85)*10.764</f>
        <v>552.05864999999994</v>
      </c>
      <c r="E135" s="78">
        <v>0</v>
      </c>
      <c r="F135" s="78">
        <f t="shared" si="2"/>
        <v>883.29383999999993</v>
      </c>
      <c r="G135" s="153"/>
      <c r="H135" s="153"/>
      <c r="I135" s="32"/>
      <c r="L135" s="84"/>
      <c r="M135" s="84"/>
      <c r="N135" s="32"/>
    </row>
    <row r="136" spans="1:14" s="47" customFormat="1" x14ac:dyDescent="0.35">
      <c r="A136" s="50">
        <f t="shared" si="0"/>
        <v>9</v>
      </c>
      <c r="B136" s="50" t="s">
        <v>241</v>
      </c>
      <c r="C136" s="50" t="s">
        <v>243</v>
      </c>
      <c r="D136" s="55">
        <f>52.44*10.764</f>
        <v>564.46415999999999</v>
      </c>
      <c r="E136" s="50">
        <v>0</v>
      </c>
      <c r="F136" s="50">
        <f t="shared" si="2"/>
        <v>903.14265599999999</v>
      </c>
      <c r="G136" s="153"/>
      <c r="H136" s="153"/>
      <c r="I136" s="32">
        <f>(11.2+10.77)/2*4+((1.9*(1.79+1.57)/2))+(2.27*(2.45+2.24)/2)</f>
        <v>52.455149999999996</v>
      </c>
      <c r="J136" s="53">
        <f>564.57/10.764</f>
        <v>52.449832775919738</v>
      </c>
      <c r="L136" s="84"/>
      <c r="M136" s="84"/>
      <c r="N136" s="32"/>
    </row>
    <row r="137" spans="1:14" s="47" customFormat="1" ht="66" customHeight="1" x14ac:dyDescent="0.35">
      <c r="A137" s="78" t="s">
        <v>290</v>
      </c>
      <c r="B137" s="78" t="s">
        <v>270</v>
      </c>
      <c r="C137" s="78" t="s">
        <v>289</v>
      </c>
      <c r="D137" s="55">
        <f>(3.08*7.67)*10.764</f>
        <v>254.28443039999999</v>
      </c>
      <c r="E137" s="78">
        <v>0</v>
      </c>
      <c r="F137" s="78">
        <f t="shared" si="2"/>
        <v>406.85508864000002</v>
      </c>
      <c r="G137" s="153"/>
      <c r="H137" s="153"/>
      <c r="I137" s="32">
        <f>7.7*15.79</f>
        <v>121.583</v>
      </c>
      <c r="J137" s="47">
        <f>((26.6+27.1)/2*21.3)+2.3*14.1+(1/2*(24.2*2.1))+52.45</f>
        <v>682.19500000000005</v>
      </c>
      <c r="K137" s="47">
        <f>7.7*15.79+7.5*14.5</f>
        <v>230.333</v>
      </c>
      <c r="L137" s="84">
        <f>(13.24*3.5+1.05*1.85+2.25*1.5+1.2*1.85)+(13.8*3.5+1.05*1.85+1.2*1.85+2.25*1.5)+(13.11*3.5+1.05*1.85+2.25*1.5+1.2*1.85)+(12.02*3.5+1.03*1.84+1.2*1.85+2.24*1.51)+(8.24*3.5+1.04*1.84+1.2*1.85+2.23*1.51)+(13.41*3.5+1.05*1.85+2.25*1.5+1.2*1.85)+(13.12*3.5+1.05*1.85+1.2*1.85+2.25*1.5)+(10.33*3.5+1.05*1.85+2.25*1.5+1.2*1.85)+52.44+52.44</f>
        <v>505.54849999999999</v>
      </c>
      <c r="M137" s="84"/>
      <c r="N137" s="56">
        <f>731.5*10.764</f>
        <v>7873.8659999999991</v>
      </c>
    </row>
    <row r="138" spans="1:14" s="58" customFormat="1" ht="70.5" customHeight="1" x14ac:dyDescent="0.35">
      <c r="A138" s="78">
        <v>10</v>
      </c>
      <c r="B138" s="78" t="s">
        <v>270</v>
      </c>
      <c r="C138" s="78" t="s">
        <v>289</v>
      </c>
      <c r="D138" s="55">
        <f>(5.38*11.68+5.38*4.11+8.61*11.74+5.38*4.11)*10.764</f>
        <v>2240.4555575999998</v>
      </c>
      <c r="E138" s="78">
        <v>0</v>
      </c>
      <c r="F138" s="78">
        <f t="shared" ref="F138" si="3">(D138+E138)*(($F$126)+1)</f>
        <v>3584.7288921599998</v>
      </c>
      <c r="G138" s="153"/>
      <c r="H138" s="153"/>
      <c r="I138" s="32">
        <f>7.7*15.79</f>
        <v>121.583</v>
      </c>
      <c r="J138" s="58">
        <f>((26.6+27.1)/2*21.3)+2.3*14.1+(1/2*(24.2*2.1))+52.45</f>
        <v>682.19500000000005</v>
      </c>
      <c r="K138" s="58">
        <f>7.7*15.79+7.5*14.5</f>
        <v>230.333</v>
      </c>
      <c r="L138" s="84">
        <f>(13.24*3.5+1.05*1.85+2.25*1.5+1.2*1.85)+(13.8*3.5+1.05*1.85+1.2*1.85+2.25*1.5)+(13.11*3.5+1.05*1.85+2.25*1.5+1.2*1.85)+(12.02*3.5+1.03*1.84+1.2*1.85+2.24*1.51)+(8.24*3.5+1.04*1.84+1.2*1.85+2.23*1.51)+(13.41*3.5+1.05*1.85+2.25*1.5+1.2*1.85)+(13.12*3.5+1.05*1.85+1.2*1.85+2.25*1.5)+(10.33*3.5+1.05*1.85+2.25*1.5+1.2*1.85)+52.44+52.44</f>
        <v>505.54849999999999</v>
      </c>
      <c r="M138" s="84"/>
      <c r="N138" s="56">
        <f>731.5*10.764</f>
        <v>7873.8659999999991</v>
      </c>
    </row>
    <row r="139" spans="1:14" s="47" customFormat="1" ht="69" customHeight="1" x14ac:dyDescent="0.35">
      <c r="A139" s="78">
        <f>A138+1</f>
        <v>11</v>
      </c>
      <c r="B139" s="78" t="s">
        <v>270</v>
      </c>
      <c r="C139" s="78" t="s">
        <v>289</v>
      </c>
      <c r="D139" s="78">
        <f>((4.25*13.24+4.25*2.4)*2)*10.764</f>
        <v>1430.9661599999999</v>
      </c>
      <c r="E139" s="78">
        <v>0</v>
      </c>
      <c r="F139" s="78">
        <f t="shared" si="2"/>
        <v>2289.5458560000002</v>
      </c>
      <c r="G139" s="153"/>
      <c r="H139" s="153"/>
      <c r="I139" s="32">
        <f>(7.85*13.5+2.2*5.3)</f>
        <v>117.63499999999999</v>
      </c>
      <c r="J139" s="32">
        <f>3.7*14+1.8*12.1+2.3*13.4</f>
        <v>104.4</v>
      </c>
      <c r="K139" s="47">
        <f>7.85*13.46+5.4*2.2</f>
        <v>117.541</v>
      </c>
      <c r="L139" s="84">
        <f>(7.85*13.5+2.2*5.3+117.45)*10.764</f>
        <v>2530.4549399999996</v>
      </c>
      <c r="M139" s="84"/>
      <c r="N139" s="32"/>
    </row>
    <row r="140" spans="1:14" s="47" customFormat="1" ht="69" customHeight="1" x14ac:dyDescent="0.35">
      <c r="A140" s="78">
        <f t="shared" si="0"/>
        <v>12</v>
      </c>
      <c r="B140" s="78" t="s">
        <v>270</v>
      </c>
      <c r="C140" s="78" t="s">
        <v>289</v>
      </c>
      <c r="D140" s="78">
        <f>(4.29*(11.06+2.4)*2)*10.764</f>
        <v>1243.0999151999999</v>
      </c>
      <c r="E140" s="78">
        <v>0</v>
      </c>
      <c r="F140" s="78">
        <f t="shared" si="2"/>
        <v>1988.95986432</v>
      </c>
      <c r="G140" s="153"/>
      <c r="H140" s="153"/>
      <c r="I140" s="51">
        <f>7.85*13.6+4.4*0.4</f>
        <v>108.52</v>
      </c>
      <c r="L140" s="84"/>
      <c r="M140" s="84"/>
      <c r="N140" s="32">
        <f>554.57/10.764</f>
        <v>51.520810107766636</v>
      </c>
    </row>
    <row r="141" spans="1:14" s="47" customFormat="1" ht="69" customHeight="1" x14ac:dyDescent="0.35">
      <c r="A141" s="78">
        <f>A140+2</f>
        <v>14</v>
      </c>
      <c r="B141" s="78" t="s">
        <v>270</v>
      </c>
      <c r="C141" s="78" t="s">
        <v>289</v>
      </c>
      <c r="D141" s="78">
        <f>(4.27*(11.36+2.4)*2)*10.764</f>
        <v>1264.8819455999999</v>
      </c>
      <c r="E141" s="78">
        <v>0</v>
      </c>
      <c r="F141" s="78">
        <f t="shared" si="2"/>
        <v>2023.8111129599999</v>
      </c>
      <c r="G141" s="153"/>
      <c r="H141" s="153"/>
      <c r="I141" s="32">
        <f>(7.85*13.83)</f>
        <v>108.5655</v>
      </c>
      <c r="L141" s="84"/>
      <c r="M141" s="84"/>
      <c r="N141" s="32"/>
    </row>
    <row r="142" spans="1:14" s="47" customFormat="1" ht="69" customHeight="1" x14ac:dyDescent="0.35">
      <c r="A142" s="78">
        <f t="shared" si="0"/>
        <v>15</v>
      </c>
      <c r="B142" s="78" t="s">
        <v>270</v>
      </c>
      <c r="C142" s="78" t="s">
        <v>289</v>
      </c>
      <c r="D142" s="78">
        <f>(4.27*(11.13+2.4)*2)*10.764</f>
        <v>1243.7392967999999</v>
      </c>
      <c r="E142" s="78">
        <v>0</v>
      </c>
      <c r="F142" s="78">
        <f t="shared" si="2"/>
        <v>1989.9828748800001</v>
      </c>
      <c r="G142" s="153"/>
      <c r="H142" s="153"/>
      <c r="I142" s="32">
        <f>(7.85*13.83)</f>
        <v>108.5655</v>
      </c>
      <c r="L142" s="84"/>
      <c r="M142" s="84"/>
      <c r="N142" s="32"/>
    </row>
    <row r="143" spans="1:14" s="47" customFormat="1" ht="69" customHeight="1" x14ac:dyDescent="0.35">
      <c r="A143" s="78">
        <f t="shared" si="0"/>
        <v>16</v>
      </c>
      <c r="B143" s="78" t="s">
        <v>270</v>
      </c>
      <c r="C143" s="78" t="s">
        <v>289</v>
      </c>
      <c r="D143" s="78">
        <f>(4.27*(11.13+2.4)*2)*10.764</f>
        <v>1243.7392967999999</v>
      </c>
      <c r="E143" s="78">
        <v>0</v>
      </c>
      <c r="F143" s="78">
        <f t="shared" si="2"/>
        <v>1989.9828748800001</v>
      </c>
      <c r="G143" s="153"/>
      <c r="H143" s="153"/>
      <c r="I143" s="32">
        <f>(7.85*13.68)</f>
        <v>107.38799999999999</v>
      </c>
      <c r="L143" s="84"/>
      <c r="M143" s="84"/>
      <c r="N143" s="32"/>
    </row>
    <row r="144" spans="1:14" s="47" customFormat="1" ht="69" customHeight="1" x14ac:dyDescent="0.35">
      <c r="A144" s="78">
        <f>A143+2</f>
        <v>18</v>
      </c>
      <c r="B144" s="78" t="s">
        <v>270</v>
      </c>
      <c r="C144" s="78" t="s">
        <v>289</v>
      </c>
      <c r="D144" s="78">
        <f>(4.27*(11.06+2.4)*2)*10.764</f>
        <v>1237.3045775999999</v>
      </c>
      <c r="E144" s="78">
        <v>0</v>
      </c>
      <c r="F144" s="78">
        <f t="shared" si="2"/>
        <v>1979.6873241599999</v>
      </c>
      <c r="G144" s="153"/>
      <c r="H144" s="153"/>
      <c r="I144" s="32">
        <f>(7.85*13.91)</f>
        <v>109.1935</v>
      </c>
      <c r="L144" s="84"/>
      <c r="M144" s="84"/>
      <c r="N144" s="32"/>
    </row>
    <row r="145" spans="1:14" s="47" customFormat="1" ht="69" customHeight="1" x14ac:dyDescent="0.35">
      <c r="A145" s="78">
        <f t="shared" si="0"/>
        <v>19</v>
      </c>
      <c r="B145" s="78" t="s">
        <v>270</v>
      </c>
      <c r="C145" s="78" t="s">
        <v>289</v>
      </c>
      <c r="D145" s="78">
        <f>(4.27*(11.28+2.4)*2)*10.764</f>
        <v>1257.5279807999998</v>
      </c>
      <c r="E145" s="78">
        <v>0</v>
      </c>
      <c r="F145" s="78">
        <f t="shared" si="2"/>
        <v>2012.0447692799999</v>
      </c>
      <c r="G145" s="153"/>
      <c r="H145" s="153"/>
      <c r="I145" s="32">
        <f>(7.95*15.7)</f>
        <v>124.815</v>
      </c>
      <c r="L145" s="84"/>
      <c r="M145" s="84"/>
      <c r="N145" s="32"/>
    </row>
    <row r="146" spans="1:14" s="47" customFormat="1" ht="69" customHeight="1" x14ac:dyDescent="0.35">
      <c r="A146" s="78">
        <f t="shared" si="0"/>
        <v>20</v>
      </c>
      <c r="B146" s="78" t="s">
        <v>270</v>
      </c>
      <c r="C146" s="78" t="s">
        <v>289</v>
      </c>
      <c r="D146" s="78">
        <f>(4.27*(11.28+2.4)*2)*10.764</f>
        <v>1257.5279807999998</v>
      </c>
      <c r="E146" s="78">
        <v>0</v>
      </c>
      <c r="F146" s="78">
        <f t="shared" si="2"/>
        <v>2012.0447692799999</v>
      </c>
      <c r="G146" s="153"/>
      <c r="H146" s="153"/>
      <c r="I146" s="32">
        <f>(7.6*22.67)</f>
        <v>172.292</v>
      </c>
      <c r="L146" s="84"/>
      <c r="M146" s="84"/>
      <c r="N146" s="32"/>
    </row>
    <row r="147" spans="1:14" s="47" customFormat="1" ht="69" customHeight="1" x14ac:dyDescent="0.35">
      <c r="A147" s="78">
        <f t="shared" si="0"/>
        <v>21</v>
      </c>
      <c r="B147" s="78" t="s">
        <v>270</v>
      </c>
      <c r="C147" s="78" t="s">
        <v>289</v>
      </c>
      <c r="D147" s="78">
        <f>(4.27*(11.13+2.4)*2)*10.764</f>
        <v>1243.7392967999999</v>
      </c>
      <c r="E147" s="78">
        <v>0</v>
      </c>
      <c r="F147" s="78">
        <f t="shared" si="2"/>
        <v>1989.9828748800001</v>
      </c>
      <c r="G147" s="153"/>
      <c r="H147" s="153"/>
      <c r="I147" s="32">
        <f>(6.79*22.67)</f>
        <v>153.92930000000001</v>
      </c>
      <c r="J147" s="53">
        <f>6.79*22.52</f>
        <v>152.91079999999999</v>
      </c>
      <c r="L147" s="84"/>
      <c r="M147" s="84"/>
      <c r="N147" s="32"/>
    </row>
    <row r="148" spans="1:14" s="47" customFormat="1" ht="69" customHeight="1" x14ac:dyDescent="0.35">
      <c r="A148" s="78">
        <f t="shared" si="0"/>
        <v>22</v>
      </c>
      <c r="B148" s="78" t="s">
        <v>270</v>
      </c>
      <c r="C148" s="78" t="s">
        <v>289</v>
      </c>
      <c r="D148" s="78">
        <f>(4.27*(11.36+2.4)*2)*10.764</f>
        <v>1264.8819455999999</v>
      </c>
      <c r="E148" s="78">
        <v>0</v>
      </c>
      <c r="F148" s="78">
        <f t="shared" si="2"/>
        <v>2023.8111129599999</v>
      </c>
      <c r="G148" s="153"/>
      <c r="H148" s="153"/>
      <c r="I148" s="32">
        <f>((((10.01+7.52)/2)*21.12))</f>
        <v>185.11680000000001</v>
      </c>
      <c r="J148" s="47">
        <f>((10.01+7.52/2)*21.12+230.47)*10.764</f>
        <v>5611.1913936000001</v>
      </c>
      <c r="L148" s="84"/>
      <c r="M148" s="84"/>
      <c r="N148" s="32"/>
    </row>
    <row r="149" spans="1:14" s="58" customFormat="1" ht="69" customHeight="1" x14ac:dyDescent="0.35">
      <c r="A149" s="78">
        <f>A148+1</f>
        <v>23</v>
      </c>
      <c r="B149" s="78" t="s">
        <v>270</v>
      </c>
      <c r="C149" s="78" t="s">
        <v>289</v>
      </c>
      <c r="D149" s="78">
        <f>(4.27*(11.06+2.4)*2)*10.764</f>
        <v>1237.3045775999999</v>
      </c>
      <c r="E149" s="78">
        <v>0</v>
      </c>
      <c r="F149" s="78">
        <f t="shared" ref="F149:F153" si="4">(D149+E149)*(($F$126)+1)</f>
        <v>1979.6873241599999</v>
      </c>
      <c r="G149" s="153"/>
      <c r="H149" s="153"/>
      <c r="I149" s="32">
        <f>(7.85*13.91)</f>
        <v>109.1935</v>
      </c>
      <c r="L149" s="84"/>
      <c r="M149" s="84"/>
      <c r="N149" s="32"/>
    </row>
    <row r="150" spans="1:14" s="58" customFormat="1" ht="69" customHeight="1" x14ac:dyDescent="0.35">
      <c r="A150" s="78">
        <f t="shared" si="0"/>
        <v>24</v>
      </c>
      <c r="B150" s="78" t="s">
        <v>270</v>
      </c>
      <c r="C150" s="78" t="s">
        <v>289</v>
      </c>
      <c r="D150" s="78">
        <f>(4.24*(13.24+2.4)*2)*10.764</f>
        <v>1427.5991808000001</v>
      </c>
      <c r="E150" s="78">
        <v>0</v>
      </c>
      <c r="F150" s="78">
        <f t="shared" si="4"/>
        <v>2284.1586892800001</v>
      </c>
      <c r="G150" s="153"/>
      <c r="H150" s="153"/>
      <c r="I150" s="32">
        <f>(7.95*15.7)</f>
        <v>124.815</v>
      </c>
      <c r="L150" s="84"/>
      <c r="M150" s="84"/>
      <c r="N150" s="32"/>
    </row>
    <row r="151" spans="1:14" s="58" customFormat="1" ht="69" customHeight="1" x14ac:dyDescent="0.35">
      <c r="A151" s="78">
        <f t="shared" si="0"/>
        <v>25</v>
      </c>
      <c r="B151" s="78" t="s">
        <v>270</v>
      </c>
      <c r="C151" s="78" t="s">
        <v>289</v>
      </c>
      <c r="D151" s="78">
        <f>((8.64*15.79+5.72*(3.43+3.78))*2)*10.764</f>
        <v>3824.8108703999997</v>
      </c>
      <c r="E151" s="78">
        <v>0</v>
      </c>
      <c r="F151" s="78">
        <f t="shared" si="4"/>
        <v>6119.6973926399996</v>
      </c>
      <c r="G151" s="153"/>
      <c r="H151" s="153"/>
      <c r="I151" s="32">
        <f>(7.6*22.67)</f>
        <v>172.292</v>
      </c>
      <c r="L151" s="84"/>
      <c r="M151" s="84"/>
      <c r="N151" s="32"/>
    </row>
    <row r="152" spans="1:14" s="58" customFormat="1" ht="69" customHeight="1" x14ac:dyDescent="0.35">
      <c r="A152" s="78">
        <f t="shared" si="0"/>
        <v>26</v>
      </c>
      <c r="B152" s="78" t="s">
        <v>270</v>
      </c>
      <c r="C152" s="78" t="s">
        <v>289</v>
      </c>
      <c r="D152" s="78">
        <f>(8.64*(19.22+3.68)*2)*10.764</f>
        <v>4259.4439679999996</v>
      </c>
      <c r="E152" s="78">
        <v>0</v>
      </c>
      <c r="F152" s="78">
        <f t="shared" si="4"/>
        <v>6815.1103487999999</v>
      </c>
      <c r="G152" s="153"/>
      <c r="H152" s="153"/>
      <c r="I152" s="32">
        <f>(6.79*22.67)</f>
        <v>153.92930000000001</v>
      </c>
      <c r="J152" s="53">
        <f>6.79*22.52</f>
        <v>152.91079999999999</v>
      </c>
      <c r="L152" s="84"/>
      <c r="M152" s="84"/>
      <c r="N152" s="32"/>
    </row>
    <row r="153" spans="1:14" s="58" customFormat="1" ht="69" customHeight="1" x14ac:dyDescent="0.35">
      <c r="A153" s="78">
        <f t="shared" si="0"/>
        <v>27</v>
      </c>
      <c r="B153" s="78" t="s">
        <v>270</v>
      </c>
      <c r="C153" s="78" t="s">
        <v>289</v>
      </c>
      <c r="D153" s="78">
        <f>((0.5*(10.96+8.63)*19.22+0.5*((5.28+2.4+3.4)+10.96)*3.68)*2)*10.764</f>
        <v>4925.8970280000003</v>
      </c>
      <c r="E153" s="78">
        <v>0</v>
      </c>
      <c r="F153" s="78">
        <f t="shared" si="4"/>
        <v>7881.4352448000009</v>
      </c>
      <c r="G153" s="153"/>
      <c r="H153" s="153"/>
      <c r="I153" s="32">
        <f>((((10.01+7.52)/2)*21.12))</f>
        <v>185.11680000000001</v>
      </c>
      <c r="J153" s="58">
        <f>((10.01+7.52/2)*21.12+230.47)*10.764</f>
        <v>5611.1913936000001</v>
      </c>
      <c r="L153" s="84"/>
      <c r="M153" s="84"/>
      <c r="N153" s="32"/>
    </row>
    <row r="154" spans="1:14" s="47" customFormat="1" x14ac:dyDescent="0.35">
      <c r="A154" s="146" t="s">
        <v>291</v>
      </c>
      <c r="B154" s="146"/>
      <c r="C154" s="146"/>
      <c r="D154" s="146"/>
      <c r="E154" s="146"/>
      <c r="F154" s="146"/>
      <c r="G154" s="146"/>
      <c r="H154" s="146"/>
      <c r="J154" s="32"/>
    </row>
    <row r="155" spans="1:14" s="33" customFormat="1" x14ac:dyDescent="0.35">
      <c r="A155" s="153"/>
      <c r="B155" s="153"/>
      <c r="C155" s="153"/>
      <c r="D155" s="153"/>
      <c r="E155" s="153"/>
      <c r="F155" s="153"/>
      <c r="G155" s="153"/>
      <c r="H155" s="153"/>
      <c r="I155" s="32"/>
      <c r="N155" s="32"/>
    </row>
    <row r="156" spans="1:14" ht="47.25" customHeight="1" x14ac:dyDescent="0.35">
      <c r="A156" s="89" t="s">
        <v>115</v>
      </c>
      <c r="B156" s="145" t="s">
        <v>268</v>
      </c>
      <c r="C156" s="89" t="s">
        <v>55</v>
      </c>
      <c r="D156" s="89" t="s">
        <v>56</v>
      </c>
      <c r="E156" s="147" t="s">
        <v>57</v>
      </c>
      <c r="F156" s="71" t="s">
        <v>144</v>
      </c>
      <c r="G156" s="89" t="s">
        <v>58</v>
      </c>
      <c r="H156" s="89"/>
      <c r="I156" s="32"/>
    </row>
    <row r="157" spans="1:14" s="33" customFormat="1" x14ac:dyDescent="0.35">
      <c r="A157" s="89"/>
      <c r="B157" s="145"/>
      <c r="C157" s="89"/>
      <c r="D157" s="89"/>
      <c r="E157" s="147"/>
      <c r="F157" s="72">
        <v>0.55000000000000004</v>
      </c>
      <c r="G157" s="89"/>
      <c r="H157" s="89"/>
      <c r="I157" s="32"/>
    </row>
    <row r="158" spans="1:14" s="47" customFormat="1" x14ac:dyDescent="0.35">
      <c r="A158" s="154" t="s">
        <v>285</v>
      </c>
      <c r="B158" s="155"/>
      <c r="C158" s="155"/>
      <c r="D158" s="155"/>
      <c r="E158" s="155"/>
      <c r="F158" s="155"/>
      <c r="G158" s="155"/>
      <c r="H158" s="156"/>
      <c r="J158" s="32"/>
    </row>
    <row r="159" spans="1:14" s="47" customFormat="1" ht="42" customHeight="1" x14ac:dyDescent="0.35">
      <c r="A159" s="154" t="s">
        <v>244</v>
      </c>
      <c r="B159" s="155"/>
      <c r="C159" s="155"/>
      <c r="D159" s="155"/>
      <c r="E159" s="155"/>
      <c r="F159" s="155"/>
      <c r="G159" s="155"/>
      <c r="H159" s="156"/>
      <c r="J159" s="32"/>
    </row>
    <row r="160" spans="1:14" s="59" customFormat="1" x14ac:dyDescent="0.35">
      <c r="A160" s="154" t="s">
        <v>292</v>
      </c>
      <c r="B160" s="155"/>
      <c r="C160" s="155"/>
      <c r="D160" s="155"/>
      <c r="E160" s="155"/>
      <c r="F160" s="155"/>
      <c r="G160" s="155"/>
      <c r="H160" s="156"/>
      <c r="J160" s="32"/>
    </row>
    <row r="161" spans="1:14" s="47" customFormat="1" x14ac:dyDescent="0.35">
      <c r="A161" s="154" t="s">
        <v>286</v>
      </c>
      <c r="B161" s="155"/>
      <c r="C161" s="155"/>
      <c r="D161" s="155"/>
      <c r="E161" s="155"/>
      <c r="F161" s="155"/>
      <c r="G161" s="155"/>
      <c r="H161" s="156"/>
      <c r="J161" s="32"/>
    </row>
    <row r="162" spans="1:14" s="33" customFormat="1" x14ac:dyDescent="0.35">
      <c r="A162" s="154" t="s">
        <v>245</v>
      </c>
      <c r="B162" s="155"/>
      <c r="C162" s="155"/>
      <c r="D162" s="155"/>
      <c r="E162" s="155"/>
      <c r="F162" s="155"/>
      <c r="G162" s="155"/>
      <c r="H162" s="156"/>
      <c r="J162" s="32"/>
    </row>
    <row r="163" spans="1:14" s="33" customFormat="1" ht="15.75" customHeight="1" x14ac:dyDescent="0.35">
      <c r="A163" s="101">
        <v>1</v>
      </c>
      <c r="B163" s="102"/>
      <c r="C163" s="38" t="s">
        <v>246</v>
      </c>
      <c r="D163" s="38">
        <f>(81.943)*10.764</f>
        <v>882.03445199999987</v>
      </c>
      <c r="E163" s="38">
        <v>0</v>
      </c>
      <c r="F163" s="38">
        <f>D163*(($F$157)+1)+(IF(E163&lt;101,E163,IF(E163&lt;201,E163/2,IF(E163&lt;=301,E163/3,E163/4))))</f>
        <v>1367.1534005999999</v>
      </c>
      <c r="G163" s="103" t="str">
        <f>A162</f>
        <v>8th Floor For Residential</v>
      </c>
      <c r="H163" s="104"/>
      <c r="I163" s="32">
        <f>3.35*4.45+1.58*2.55+3.58*2.43+3.05*3+3.05*3.5+3.05*3.66+1.5*1.43+2.45*1.35+1.35*2.43+1.2*2.58+2*1.05+4.1*1.05+1.2*2.43</f>
        <v>79.773899999999998</v>
      </c>
      <c r="J163" s="33">
        <f>3.35*4.45+1.2*2.58+3.58*2.43+1.58*2.55+3.05*3+3.05*3.5+3.05*3.66+2.45*1.35+1.5*1.43+2*1.05+1.05*4.2+1.2*2.43</f>
        <v>76.598399999999984</v>
      </c>
      <c r="K163" s="33">
        <f>52500000/F163</f>
        <v>38400.957768864435</v>
      </c>
      <c r="L163" s="84"/>
      <c r="M163" s="84"/>
      <c r="N163" s="32"/>
    </row>
    <row r="164" spans="1:14" s="33" customFormat="1" ht="15.75" customHeight="1" x14ac:dyDescent="0.35">
      <c r="A164" s="101">
        <f t="shared" ref="A164:A174" si="5">A163+1</f>
        <v>2</v>
      </c>
      <c r="B164" s="102"/>
      <c r="C164" s="46" t="s">
        <v>246</v>
      </c>
      <c r="D164" s="46">
        <f>(79.74)*10.764</f>
        <v>858.32135999999991</v>
      </c>
      <c r="E164" s="38">
        <v>0</v>
      </c>
      <c r="F164" s="38">
        <f>D164*(($F$157)+1)+(IF(E164&lt;101,E164,IF(E164&lt;201,E164/2,IF(E164&lt;=301,E164/3,E164/4))))</f>
        <v>1330.3981079999999</v>
      </c>
      <c r="G164" s="105"/>
      <c r="H164" s="106"/>
      <c r="I164" s="32"/>
      <c r="L164" s="84"/>
      <c r="M164" s="84"/>
      <c r="N164" s="32"/>
    </row>
    <row r="165" spans="1:14" s="33" customFormat="1" ht="15.75" customHeight="1" x14ac:dyDescent="0.35">
      <c r="A165" s="101">
        <f t="shared" si="5"/>
        <v>3</v>
      </c>
      <c r="B165" s="102"/>
      <c r="C165" s="46" t="s">
        <v>246</v>
      </c>
      <c r="D165" s="46">
        <f>(93.81)*10.764</f>
        <v>1009.7708399999999</v>
      </c>
      <c r="E165" s="38">
        <v>0</v>
      </c>
      <c r="F165" s="38">
        <f>D165*(($F$157)+1)+(IF(E165&lt;101,E165,IF(E165&lt;201,E165/2,IF(E165&lt;=301,E165/3,E165/4))))</f>
        <v>1565.1448019999998</v>
      </c>
      <c r="G165" s="105"/>
      <c r="H165" s="106"/>
      <c r="I165" s="32"/>
      <c r="L165" s="84"/>
      <c r="M165" s="84"/>
      <c r="N165" s="32"/>
    </row>
    <row r="166" spans="1:14" s="33" customFormat="1" ht="15.75" customHeight="1" x14ac:dyDescent="0.35">
      <c r="A166" s="101">
        <f t="shared" si="5"/>
        <v>4</v>
      </c>
      <c r="B166" s="102"/>
      <c r="C166" s="46" t="s">
        <v>246</v>
      </c>
      <c r="D166" s="60">
        <f>(93.81)*10.764</f>
        <v>1009.7708399999999</v>
      </c>
      <c r="E166" s="38">
        <v>0</v>
      </c>
      <c r="F166" s="38">
        <f>D166*(($F$157)+1)+(IF(E166&lt;101,E166,IF(E166&lt;201,E166/2,IF(E166&lt;=301,E166/3,E166/4))))</f>
        <v>1565.1448019999998</v>
      </c>
      <c r="G166" s="105"/>
      <c r="H166" s="106"/>
      <c r="I166" s="32"/>
      <c r="L166" s="84"/>
      <c r="M166" s="84"/>
      <c r="N166" s="32"/>
    </row>
    <row r="167" spans="1:14" s="47" customFormat="1" x14ac:dyDescent="0.35">
      <c r="A167" s="101">
        <f t="shared" si="5"/>
        <v>5</v>
      </c>
      <c r="B167" s="102"/>
      <c r="C167" s="46" t="s">
        <v>246</v>
      </c>
      <c r="D167" s="46">
        <f>(93.62)*10.764</f>
        <v>1007.72568</v>
      </c>
      <c r="E167" s="46">
        <v>0</v>
      </c>
      <c r="F167" s="46">
        <f t="shared" ref="F167:F174" si="6">D167*(($F$157)+1)+(IF(E167&lt;101,E167,IF(E167&lt;201,E167/2,IF(E167&lt;=301,E167/3,E167/4))))</f>
        <v>1561.9748039999999</v>
      </c>
      <c r="G167" s="105"/>
      <c r="H167" s="106"/>
      <c r="I167" s="32"/>
      <c r="L167" s="84"/>
      <c r="M167" s="84"/>
      <c r="N167" s="32"/>
    </row>
    <row r="168" spans="1:14" s="47" customFormat="1" x14ac:dyDescent="0.35">
      <c r="A168" s="101">
        <f t="shared" si="5"/>
        <v>6</v>
      </c>
      <c r="B168" s="102"/>
      <c r="C168" s="46" t="s">
        <v>246</v>
      </c>
      <c r="D168" s="60">
        <f t="shared" ref="D168:D170" si="7">(93.62)*10.764</f>
        <v>1007.72568</v>
      </c>
      <c r="E168" s="46">
        <v>0</v>
      </c>
      <c r="F168" s="46">
        <f t="shared" si="6"/>
        <v>1561.9748039999999</v>
      </c>
      <c r="G168" s="105"/>
      <c r="H168" s="106"/>
      <c r="I168" s="32"/>
      <c r="L168" s="84"/>
      <c r="M168" s="84"/>
      <c r="N168" s="32"/>
    </row>
    <row r="169" spans="1:14" s="47" customFormat="1" x14ac:dyDescent="0.35">
      <c r="A169" s="101">
        <f t="shared" si="5"/>
        <v>7</v>
      </c>
      <c r="B169" s="102"/>
      <c r="C169" s="46" t="s">
        <v>246</v>
      </c>
      <c r="D169" s="60">
        <f t="shared" si="7"/>
        <v>1007.72568</v>
      </c>
      <c r="E169" s="46">
        <v>0</v>
      </c>
      <c r="F169" s="46">
        <f t="shared" si="6"/>
        <v>1561.9748039999999</v>
      </c>
      <c r="G169" s="105"/>
      <c r="H169" s="106"/>
      <c r="I169" s="32"/>
      <c r="L169" s="84"/>
      <c r="M169" s="84"/>
      <c r="N169" s="32"/>
    </row>
    <row r="170" spans="1:14" s="47" customFormat="1" x14ac:dyDescent="0.35">
      <c r="A170" s="101">
        <f t="shared" si="5"/>
        <v>8</v>
      </c>
      <c r="B170" s="102"/>
      <c r="C170" s="46" t="s">
        <v>246</v>
      </c>
      <c r="D170" s="60">
        <f t="shared" si="7"/>
        <v>1007.72568</v>
      </c>
      <c r="E170" s="46">
        <v>0</v>
      </c>
      <c r="F170" s="46">
        <f t="shared" si="6"/>
        <v>1561.9748039999999</v>
      </c>
      <c r="G170" s="105"/>
      <c r="H170" s="106"/>
      <c r="I170" s="32"/>
      <c r="L170" s="84"/>
      <c r="M170" s="84"/>
      <c r="N170" s="32"/>
    </row>
    <row r="171" spans="1:14" s="47" customFormat="1" x14ac:dyDescent="0.35">
      <c r="A171" s="101">
        <f t="shared" si="5"/>
        <v>9</v>
      </c>
      <c r="B171" s="102"/>
      <c r="C171" s="46" t="s">
        <v>246</v>
      </c>
      <c r="D171" s="46">
        <f>(93.81)*10.764</f>
        <v>1009.7708399999999</v>
      </c>
      <c r="E171" s="46">
        <v>0</v>
      </c>
      <c r="F171" s="46">
        <f t="shared" si="6"/>
        <v>1565.1448019999998</v>
      </c>
      <c r="G171" s="105"/>
      <c r="H171" s="106"/>
      <c r="I171" s="32"/>
      <c r="L171" s="84"/>
      <c r="M171" s="84"/>
      <c r="N171" s="32"/>
    </row>
    <row r="172" spans="1:14" s="47" customFormat="1" x14ac:dyDescent="0.35">
      <c r="A172" s="101">
        <f t="shared" si="5"/>
        <v>10</v>
      </c>
      <c r="B172" s="102"/>
      <c r="C172" s="46" t="s">
        <v>246</v>
      </c>
      <c r="D172" s="46">
        <f>(93.81)*10.764</f>
        <v>1009.7708399999999</v>
      </c>
      <c r="E172" s="46">
        <v>0</v>
      </c>
      <c r="F172" s="46">
        <f t="shared" si="6"/>
        <v>1565.1448019999998</v>
      </c>
      <c r="G172" s="105"/>
      <c r="H172" s="106"/>
      <c r="I172" s="32"/>
      <c r="L172" s="84"/>
      <c r="M172" s="84"/>
      <c r="N172" s="32"/>
    </row>
    <row r="173" spans="1:14" s="47" customFormat="1" x14ac:dyDescent="0.35">
      <c r="A173" s="101">
        <f t="shared" si="5"/>
        <v>11</v>
      </c>
      <c r="B173" s="102"/>
      <c r="C173" s="46" t="s">
        <v>246</v>
      </c>
      <c r="D173" s="46">
        <f>(81.94)*10.764</f>
        <v>882.00215999999989</v>
      </c>
      <c r="E173" s="46">
        <v>0</v>
      </c>
      <c r="F173" s="46">
        <f t="shared" si="6"/>
        <v>1367.1033479999999</v>
      </c>
      <c r="G173" s="105"/>
      <c r="H173" s="106"/>
      <c r="I173" s="32"/>
      <c r="L173" s="84"/>
      <c r="M173" s="84"/>
      <c r="N173" s="32"/>
    </row>
    <row r="174" spans="1:14" s="47" customFormat="1" x14ac:dyDescent="0.35">
      <c r="A174" s="101">
        <f t="shared" si="5"/>
        <v>12</v>
      </c>
      <c r="B174" s="102"/>
      <c r="C174" s="46" t="s">
        <v>246</v>
      </c>
      <c r="D174" s="60">
        <f>(81.94)*10.764</f>
        <v>882.00215999999989</v>
      </c>
      <c r="E174" s="46">
        <v>0</v>
      </c>
      <c r="F174" s="46">
        <f t="shared" si="6"/>
        <v>1367.1033479999999</v>
      </c>
      <c r="G174" s="107"/>
      <c r="H174" s="108"/>
      <c r="I174" s="32"/>
      <c r="L174" s="84"/>
      <c r="M174" s="84"/>
      <c r="N174" s="32"/>
    </row>
    <row r="175" spans="1:14" s="33" customFormat="1" x14ac:dyDescent="0.35">
      <c r="A175" s="146" t="s">
        <v>247</v>
      </c>
      <c r="B175" s="146"/>
      <c r="C175" s="146"/>
      <c r="D175" s="146"/>
      <c r="E175" s="146"/>
      <c r="F175" s="146"/>
      <c r="G175" s="146"/>
      <c r="H175" s="146"/>
      <c r="I175" s="32"/>
      <c r="L175" s="84"/>
      <c r="M175" s="84"/>
    </row>
    <row r="176" spans="1:14" s="47" customFormat="1" x14ac:dyDescent="0.35">
      <c r="A176" s="101">
        <v>1</v>
      </c>
      <c r="B176" s="102"/>
      <c r="C176" s="46" t="s">
        <v>246</v>
      </c>
      <c r="D176" s="60">
        <f>(81.943)*10.764</f>
        <v>882.03445199999987</v>
      </c>
      <c r="E176" s="46">
        <v>0</v>
      </c>
      <c r="F176" s="46">
        <f>D176*(($F$157)+1)+(IF(E176&lt;101,E176,IF(E176&lt;201,E176/2,IF(E176&lt;=301,E176/3,E176/4))))</f>
        <v>1367.1534005999999</v>
      </c>
      <c r="G176" s="103" t="str">
        <f>A175</f>
        <v>9th Floor</v>
      </c>
      <c r="H176" s="104"/>
      <c r="I176" s="32"/>
      <c r="L176" s="84"/>
      <c r="M176" s="84"/>
      <c r="N176" s="32"/>
    </row>
    <row r="177" spans="1:14" s="47" customFormat="1" x14ac:dyDescent="0.35">
      <c r="A177" s="101">
        <f t="shared" ref="A177:A187" si="8">A176+1</f>
        <v>2</v>
      </c>
      <c r="B177" s="102"/>
      <c r="C177" s="46" t="s">
        <v>246</v>
      </c>
      <c r="D177" s="60">
        <f>(81.943)*10.764</f>
        <v>882.03445199999987</v>
      </c>
      <c r="E177" s="46">
        <v>0</v>
      </c>
      <c r="F177" s="46">
        <f>D177*(($F$157)+1)+(IF(E177&lt;101,E177,IF(E177&lt;201,E177/2,IF(E177&lt;=301,E177/3,E177/4))))</f>
        <v>1367.1534005999999</v>
      </c>
      <c r="G177" s="105"/>
      <c r="H177" s="106"/>
      <c r="I177" s="32"/>
      <c r="L177" s="84"/>
      <c r="M177" s="84"/>
      <c r="N177" s="32"/>
    </row>
    <row r="178" spans="1:14" s="47" customFormat="1" x14ac:dyDescent="0.35">
      <c r="A178" s="101">
        <f t="shared" si="8"/>
        <v>3</v>
      </c>
      <c r="B178" s="102"/>
      <c r="C178" s="46" t="s">
        <v>246</v>
      </c>
      <c r="D178" s="60">
        <f>(93.81)*10.764</f>
        <v>1009.7708399999999</v>
      </c>
      <c r="E178" s="46">
        <v>0</v>
      </c>
      <c r="F178" s="46">
        <f>D178*(($F$157)+1)+(IF(E178&lt;101,E178,IF(E178&lt;201,E178/2,IF(E178&lt;=301,E178/3,E178/4))))</f>
        <v>1565.1448019999998</v>
      </c>
      <c r="G178" s="105"/>
      <c r="H178" s="106"/>
      <c r="I178" s="32"/>
      <c r="L178" s="84"/>
      <c r="M178" s="84"/>
      <c r="N178" s="32"/>
    </row>
    <row r="179" spans="1:14" s="47" customFormat="1" x14ac:dyDescent="0.35">
      <c r="A179" s="101">
        <f t="shared" si="8"/>
        <v>4</v>
      </c>
      <c r="B179" s="102"/>
      <c r="C179" s="46" t="s">
        <v>246</v>
      </c>
      <c r="D179" s="60">
        <f>(93.81)*10.764</f>
        <v>1009.7708399999999</v>
      </c>
      <c r="E179" s="46">
        <v>0</v>
      </c>
      <c r="F179" s="46">
        <f>D179*(($F$157)+1)+(IF(E179&lt;101,E179,IF(E179&lt;201,E179/2,IF(E179&lt;=301,E179/3,E179/4))))</f>
        <v>1565.1448019999998</v>
      </c>
      <c r="G179" s="105"/>
      <c r="H179" s="106"/>
      <c r="I179" s="32"/>
      <c r="L179" s="84"/>
      <c r="M179" s="84"/>
      <c r="N179" s="32"/>
    </row>
    <row r="180" spans="1:14" s="47" customFormat="1" x14ac:dyDescent="0.35">
      <c r="A180" s="101">
        <f t="shared" si="8"/>
        <v>5</v>
      </c>
      <c r="B180" s="102"/>
      <c r="C180" s="46" t="s">
        <v>246</v>
      </c>
      <c r="D180" s="60">
        <f>(93.62)*10.764</f>
        <v>1007.72568</v>
      </c>
      <c r="E180" s="46">
        <v>0</v>
      </c>
      <c r="F180" s="46">
        <f t="shared" ref="F180:F187" si="9">D180*(($F$157)+1)+(IF(E180&lt;101,E180,IF(E180&lt;201,E180/2,IF(E180&lt;=301,E180/3,E180/4))))</f>
        <v>1561.9748039999999</v>
      </c>
      <c r="G180" s="105"/>
      <c r="H180" s="106"/>
      <c r="I180" s="32"/>
      <c r="L180" s="84"/>
      <c r="M180" s="84"/>
      <c r="N180" s="32"/>
    </row>
    <row r="181" spans="1:14" s="47" customFormat="1" x14ac:dyDescent="0.35">
      <c r="A181" s="101">
        <f t="shared" si="8"/>
        <v>6</v>
      </c>
      <c r="B181" s="102"/>
      <c r="C181" s="46" t="s">
        <v>246</v>
      </c>
      <c r="D181" s="60">
        <f t="shared" ref="D181:D183" si="10">(93.62)*10.764</f>
        <v>1007.72568</v>
      </c>
      <c r="E181" s="46">
        <v>0</v>
      </c>
      <c r="F181" s="46">
        <f t="shared" si="9"/>
        <v>1561.9748039999999</v>
      </c>
      <c r="G181" s="105"/>
      <c r="H181" s="106"/>
      <c r="I181" s="32"/>
      <c r="L181" s="84"/>
      <c r="M181" s="84"/>
      <c r="N181" s="32"/>
    </row>
    <row r="182" spans="1:14" s="47" customFormat="1" x14ac:dyDescent="0.35">
      <c r="A182" s="101">
        <f t="shared" si="8"/>
        <v>7</v>
      </c>
      <c r="B182" s="102"/>
      <c r="C182" s="46" t="s">
        <v>246</v>
      </c>
      <c r="D182" s="60">
        <f t="shared" si="10"/>
        <v>1007.72568</v>
      </c>
      <c r="E182" s="46">
        <v>0</v>
      </c>
      <c r="F182" s="46">
        <f t="shared" si="9"/>
        <v>1561.9748039999999</v>
      </c>
      <c r="G182" s="105"/>
      <c r="H182" s="106"/>
      <c r="I182" s="32"/>
      <c r="L182" s="84"/>
      <c r="M182" s="84"/>
      <c r="N182" s="32"/>
    </row>
    <row r="183" spans="1:14" s="47" customFormat="1" x14ac:dyDescent="0.35">
      <c r="A183" s="101">
        <f t="shared" si="8"/>
        <v>8</v>
      </c>
      <c r="B183" s="102"/>
      <c r="C183" s="46" t="s">
        <v>246</v>
      </c>
      <c r="D183" s="60">
        <f t="shared" si="10"/>
        <v>1007.72568</v>
      </c>
      <c r="E183" s="46">
        <v>0</v>
      </c>
      <c r="F183" s="46">
        <f t="shared" si="9"/>
        <v>1561.9748039999999</v>
      </c>
      <c r="G183" s="105"/>
      <c r="H183" s="106"/>
      <c r="I183" s="32"/>
      <c r="L183" s="84"/>
      <c r="M183" s="84"/>
      <c r="N183" s="32"/>
    </row>
    <row r="184" spans="1:14" s="47" customFormat="1" x14ac:dyDescent="0.35">
      <c r="A184" s="101">
        <f t="shared" si="8"/>
        <v>9</v>
      </c>
      <c r="B184" s="102"/>
      <c r="C184" s="46" t="s">
        <v>246</v>
      </c>
      <c r="D184" s="60">
        <f>(93.81)*10.764</f>
        <v>1009.7708399999999</v>
      </c>
      <c r="E184" s="46">
        <v>0</v>
      </c>
      <c r="F184" s="46">
        <f t="shared" si="9"/>
        <v>1565.1448019999998</v>
      </c>
      <c r="G184" s="105"/>
      <c r="H184" s="106"/>
      <c r="I184" s="32"/>
      <c r="L184" s="84"/>
      <c r="M184" s="84"/>
      <c r="N184" s="32"/>
    </row>
    <row r="185" spans="1:14" s="47" customFormat="1" x14ac:dyDescent="0.35">
      <c r="A185" s="101">
        <f t="shared" si="8"/>
        <v>10</v>
      </c>
      <c r="B185" s="102"/>
      <c r="C185" s="46" t="s">
        <v>246</v>
      </c>
      <c r="D185" s="60">
        <f>(93.81)*10.764</f>
        <v>1009.7708399999999</v>
      </c>
      <c r="E185" s="46">
        <v>0</v>
      </c>
      <c r="F185" s="46">
        <f t="shared" si="9"/>
        <v>1565.1448019999998</v>
      </c>
      <c r="G185" s="105"/>
      <c r="H185" s="106"/>
      <c r="I185" s="32"/>
      <c r="L185" s="84"/>
      <c r="M185" s="84"/>
      <c r="N185" s="32"/>
    </row>
    <row r="186" spans="1:14" s="47" customFormat="1" x14ac:dyDescent="0.35">
      <c r="A186" s="101">
        <f t="shared" si="8"/>
        <v>11</v>
      </c>
      <c r="B186" s="102"/>
      <c r="C186" s="46" t="s">
        <v>246</v>
      </c>
      <c r="D186" s="60">
        <f>(81.94)*10.764</f>
        <v>882.00215999999989</v>
      </c>
      <c r="E186" s="46">
        <v>0</v>
      </c>
      <c r="F186" s="46">
        <f t="shared" si="9"/>
        <v>1367.1033479999999</v>
      </c>
      <c r="G186" s="105"/>
      <c r="H186" s="106"/>
      <c r="I186" s="32"/>
      <c r="L186" s="84"/>
      <c r="M186" s="84"/>
      <c r="N186" s="32"/>
    </row>
    <row r="187" spans="1:14" s="47" customFormat="1" x14ac:dyDescent="0.35">
      <c r="A187" s="101">
        <f t="shared" si="8"/>
        <v>12</v>
      </c>
      <c r="B187" s="102"/>
      <c r="C187" s="46" t="s">
        <v>246</v>
      </c>
      <c r="D187" s="60">
        <f>(81.94)*10.764</f>
        <v>882.00215999999989</v>
      </c>
      <c r="E187" s="46">
        <v>0</v>
      </c>
      <c r="F187" s="46">
        <f t="shared" si="9"/>
        <v>1367.1033479999999</v>
      </c>
      <c r="G187" s="107"/>
      <c r="H187" s="108"/>
      <c r="I187" s="32"/>
      <c r="L187" s="84"/>
      <c r="M187" s="84"/>
      <c r="N187" s="32"/>
    </row>
    <row r="188" spans="1:14" s="33" customFormat="1" ht="15.75" customHeight="1" x14ac:dyDescent="0.35">
      <c r="A188" s="146" t="s">
        <v>248</v>
      </c>
      <c r="B188" s="146"/>
      <c r="C188" s="146"/>
      <c r="D188" s="146"/>
      <c r="E188" s="146"/>
      <c r="F188" s="146"/>
      <c r="G188" s="146"/>
      <c r="H188" s="146"/>
      <c r="I188" s="32"/>
    </row>
    <row r="189" spans="1:14" s="47" customFormat="1" x14ac:dyDescent="0.35">
      <c r="A189" s="153">
        <v>1</v>
      </c>
      <c r="B189" s="153"/>
      <c r="C189" s="78" t="s">
        <v>246</v>
      </c>
      <c r="D189" s="78">
        <f>(90.33)*10.764</f>
        <v>972.31211999999994</v>
      </c>
      <c r="E189" s="78">
        <v>0</v>
      </c>
      <c r="F189" s="78">
        <f>D189*(($F$157)+1)+(IF(E189&lt;101,E189,IF(E189&lt;201,E189/2,IF(E189&lt;=301,E189/3,E189/4))))</f>
        <v>1507.0837859999999</v>
      </c>
      <c r="G189" s="153" t="str">
        <f>A188</f>
        <v>10th to 13th Floor</v>
      </c>
      <c r="H189" s="153"/>
      <c r="I189" s="32"/>
      <c r="L189" s="84"/>
      <c r="M189" s="84"/>
      <c r="N189" s="32"/>
    </row>
    <row r="190" spans="1:14" s="47" customFormat="1" x14ac:dyDescent="0.35">
      <c r="A190" s="153">
        <f t="shared" ref="A190:A200" si="11">A189+1</f>
        <v>2</v>
      </c>
      <c r="B190" s="153"/>
      <c r="C190" s="78" t="s">
        <v>246</v>
      </c>
      <c r="D190" s="78">
        <f>(90.33)*10.764</f>
        <v>972.31211999999994</v>
      </c>
      <c r="E190" s="78">
        <v>0</v>
      </c>
      <c r="F190" s="78">
        <f>D190*(($F$157)+1)+(IF(E190&lt;101,E190,IF(E190&lt;201,E190/2,IF(E190&lt;=301,E190/3,E190/4))))</f>
        <v>1507.0837859999999</v>
      </c>
      <c r="G190" s="153"/>
      <c r="H190" s="153"/>
      <c r="I190" s="32"/>
      <c r="L190" s="84"/>
      <c r="M190" s="84"/>
      <c r="N190" s="32"/>
    </row>
    <row r="191" spans="1:14" s="47" customFormat="1" x14ac:dyDescent="0.35">
      <c r="A191" s="153">
        <f t="shared" si="11"/>
        <v>3</v>
      </c>
      <c r="B191" s="153"/>
      <c r="C191" s="78" t="s">
        <v>246</v>
      </c>
      <c r="D191" s="78">
        <f>(93.81)*10.764</f>
        <v>1009.7708399999999</v>
      </c>
      <c r="E191" s="78">
        <v>0</v>
      </c>
      <c r="F191" s="78">
        <f>D191*(($F$157)+1)+(IF(E191&lt;101,E191,IF(E191&lt;201,E191/2,IF(E191&lt;=301,E191/3,E191/4))))</f>
        <v>1565.1448019999998</v>
      </c>
      <c r="G191" s="153"/>
      <c r="H191" s="153"/>
      <c r="I191" s="32"/>
      <c r="L191" s="84"/>
      <c r="M191" s="84"/>
      <c r="N191" s="32"/>
    </row>
    <row r="192" spans="1:14" s="47" customFormat="1" x14ac:dyDescent="0.35">
      <c r="A192" s="153">
        <f t="shared" si="11"/>
        <v>4</v>
      </c>
      <c r="B192" s="153"/>
      <c r="C192" s="78" t="s">
        <v>246</v>
      </c>
      <c r="D192" s="78">
        <f>(93.81)*10.764</f>
        <v>1009.7708399999999</v>
      </c>
      <c r="E192" s="78">
        <v>0</v>
      </c>
      <c r="F192" s="78">
        <f>D192*(($F$157)+1)+(IF(E192&lt;101,E192,IF(E192&lt;201,E192/2,IF(E192&lt;=301,E192/3,E192/4))))</f>
        <v>1565.1448019999998</v>
      </c>
      <c r="G192" s="153"/>
      <c r="H192" s="153"/>
      <c r="I192" s="32"/>
      <c r="L192" s="84"/>
      <c r="M192" s="84"/>
      <c r="N192" s="32"/>
    </row>
    <row r="193" spans="1:14" s="47" customFormat="1" x14ac:dyDescent="0.35">
      <c r="A193" s="153">
        <f t="shared" si="11"/>
        <v>5</v>
      </c>
      <c r="B193" s="153"/>
      <c r="C193" s="78" t="s">
        <v>246</v>
      </c>
      <c r="D193" s="78">
        <f>(93.62)*10.764</f>
        <v>1007.72568</v>
      </c>
      <c r="E193" s="78">
        <v>0</v>
      </c>
      <c r="F193" s="78">
        <f t="shared" ref="F193:F200" si="12">D193*(($F$157)+1)+(IF(E193&lt;101,E193,IF(E193&lt;201,E193/2,IF(E193&lt;=301,E193/3,E193/4))))</f>
        <v>1561.9748039999999</v>
      </c>
      <c r="G193" s="153"/>
      <c r="H193" s="153"/>
      <c r="I193" s="32"/>
      <c r="L193" s="84"/>
      <c r="M193" s="84"/>
      <c r="N193" s="32"/>
    </row>
    <row r="194" spans="1:14" s="47" customFormat="1" x14ac:dyDescent="0.35">
      <c r="A194" s="153">
        <f t="shared" si="11"/>
        <v>6</v>
      </c>
      <c r="B194" s="153"/>
      <c r="C194" s="78" t="s">
        <v>246</v>
      </c>
      <c r="D194" s="78">
        <f t="shared" ref="D194:D196" si="13">(93.62)*10.764</f>
        <v>1007.72568</v>
      </c>
      <c r="E194" s="78">
        <v>0</v>
      </c>
      <c r="F194" s="78">
        <f t="shared" si="12"/>
        <v>1561.9748039999999</v>
      </c>
      <c r="G194" s="153"/>
      <c r="H194" s="153"/>
      <c r="I194" s="32"/>
      <c r="L194" s="84"/>
      <c r="M194" s="84"/>
      <c r="N194" s="32"/>
    </row>
    <row r="195" spans="1:14" s="47" customFormat="1" x14ac:dyDescent="0.35">
      <c r="A195" s="153">
        <f t="shared" si="11"/>
        <v>7</v>
      </c>
      <c r="B195" s="153"/>
      <c r="C195" s="78" t="s">
        <v>246</v>
      </c>
      <c r="D195" s="78">
        <f t="shared" si="13"/>
        <v>1007.72568</v>
      </c>
      <c r="E195" s="78">
        <v>0</v>
      </c>
      <c r="F195" s="78">
        <f t="shared" si="12"/>
        <v>1561.9748039999999</v>
      </c>
      <c r="G195" s="153"/>
      <c r="H195" s="153"/>
      <c r="I195" s="32"/>
      <c r="L195" s="84"/>
      <c r="M195" s="84"/>
      <c r="N195" s="32"/>
    </row>
    <row r="196" spans="1:14" s="47" customFormat="1" x14ac:dyDescent="0.35">
      <c r="A196" s="153">
        <f t="shared" si="11"/>
        <v>8</v>
      </c>
      <c r="B196" s="153"/>
      <c r="C196" s="78" t="s">
        <v>246</v>
      </c>
      <c r="D196" s="78">
        <f t="shared" si="13"/>
        <v>1007.72568</v>
      </c>
      <c r="E196" s="78">
        <v>0</v>
      </c>
      <c r="F196" s="78">
        <f t="shared" si="12"/>
        <v>1561.9748039999999</v>
      </c>
      <c r="G196" s="153"/>
      <c r="H196" s="153"/>
      <c r="I196" s="32"/>
      <c r="L196" s="84"/>
      <c r="M196" s="84"/>
      <c r="N196" s="32"/>
    </row>
    <row r="197" spans="1:14" s="47" customFormat="1" x14ac:dyDescent="0.35">
      <c r="A197" s="153">
        <f t="shared" si="11"/>
        <v>9</v>
      </c>
      <c r="B197" s="153"/>
      <c r="C197" s="78" t="s">
        <v>246</v>
      </c>
      <c r="D197" s="78">
        <f>(93.81)*10.764</f>
        <v>1009.7708399999999</v>
      </c>
      <c r="E197" s="78">
        <v>0</v>
      </c>
      <c r="F197" s="78">
        <f t="shared" si="12"/>
        <v>1565.1448019999998</v>
      </c>
      <c r="G197" s="153"/>
      <c r="H197" s="153"/>
      <c r="I197" s="32"/>
      <c r="L197" s="84"/>
      <c r="M197" s="84"/>
      <c r="N197" s="32"/>
    </row>
    <row r="198" spans="1:14" s="47" customFormat="1" x14ac:dyDescent="0.35">
      <c r="A198" s="153">
        <f t="shared" si="11"/>
        <v>10</v>
      </c>
      <c r="B198" s="153"/>
      <c r="C198" s="78" t="s">
        <v>246</v>
      </c>
      <c r="D198" s="78">
        <f>(93.81)*10.764</f>
        <v>1009.7708399999999</v>
      </c>
      <c r="E198" s="78">
        <v>0</v>
      </c>
      <c r="F198" s="78">
        <f t="shared" si="12"/>
        <v>1565.1448019999998</v>
      </c>
      <c r="G198" s="153"/>
      <c r="H198" s="153"/>
      <c r="I198" s="32"/>
      <c r="L198" s="84"/>
      <c r="M198" s="84"/>
      <c r="N198" s="32"/>
    </row>
    <row r="199" spans="1:14" s="47" customFormat="1" x14ac:dyDescent="0.35">
      <c r="A199" s="153">
        <f t="shared" si="11"/>
        <v>11</v>
      </c>
      <c r="B199" s="153"/>
      <c r="C199" s="78" t="s">
        <v>246</v>
      </c>
      <c r="D199" s="78">
        <f>(90.33)*10.764</f>
        <v>972.31211999999994</v>
      </c>
      <c r="E199" s="78">
        <v>0</v>
      </c>
      <c r="F199" s="78">
        <f t="shared" si="12"/>
        <v>1507.0837859999999</v>
      </c>
      <c r="G199" s="153"/>
      <c r="H199" s="153"/>
      <c r="I199" s="32"/>
      <c r="L199" s="84"/>
      <c r="M199" s="84"/>
      <c r="N199" s="32"/>
    </row>
    <row r="200" spans="1:14" s="47" customFormat="1" x14ac:dyDescent="0.35">
      <c r="A200" s="153">
        <f t="shared" si="11"/>
        <v>12</v>
      </c>
      <c r="B200" s="153"/>
      <c r="C200" s="78" t="s">
        <v>246</v>
      </c>
      <c r="D200" s="78">
        <f>(90.33)*10.764</f>
        <v>972.31211999999994</v>
      </c>
      <c r="E200" s="78">
        <v>0</v>
      </c>
      <c r="F200" s="78">
        <f t="shared" si="12"/>
        <v>1507.0837859999999</v>
      </c>
      <c r="G200" s="153"/>
      <c r="H200" s="153"/>
      <c r="I200" s="32"/>
      <c r="L200" s="84"/>
      <c r="M200" s="84"/>
      <c r="N200" s="32"/>
    </row>
    <row r="201" spans="1:14" s="47" customFormat="1" ht="15.75" customHeight="1" x14ac:dyDescent="0.35">
      <c r="A201" s="154" t="s">
        <v>249</v>
      </c>
      <c r="B201" s="155"/>
      <c r="C201" s="155"/>
      <c r="D201" s="155"/>
      <c r="E201" s="155"/>
      <c r="F201" s="155"/>
      <c r="G201" s="155"/>
      <c r="H201" s="156"/>
      <c r="I201" s="32"/>
    </row>
    <row r="202" spans="1:14" s="47" customFormat="1" x14ac:dyDescent="0.35">
      <c r="A202" s="101">
        <v>1</v>
      </c>
      <c r="B202" s="102"/>
      <c r="C202" s="46" t="s">
        <v>246</v>
      </c>
      <c r="D202" s="60">
        <f>(90.33)*10.764</f>
        <v>972.31211999999994</v>
      </c>
      <c r="E202" s="46">
        <v>0</v>
      </c>
      <c r="F202" s="46">
        <f>D202*(($F$157)+1)+(IF(E202&lt;101,E202,IF(E202&lt;201,E202/2,IF(E202&lt;=301,E202/3,E202/4))))</f>
        <v>1507.0837859999999</v>
      </c>
      <c r="G202" s="103" t="str">
        <f>A201</f>
        <v>14th Floor (Part Refuge Area)</v>
      </c>
      <c r="H202" s="104"/>
      <c r="I202" s="32"/>
      <c r="L202" s="84"/>
      <c r="M202" s="84"/>
      <c r="N202" s="32"/>
    </row>
    <row r="203" spans="1:14" s="47" customFormat="1" x14ac:dyDescent="0.35">
      <c r="A203" s="101">
        <f t="shared" ref="A203:A213" si="14">A202+1</f>
        <v>2</v>
      </c>
      <c r="B203" s="102"/>
      <c r="C203" s="46" t="s">
        <v>246</v>
      </c>
      <c r="D203" s="60">
        <f>(90.33)*10.764</f>
        <v>972.31211999999994</v>
      </c>
      <c r="E203" s="46">
        <v>0</v>
      </c>
      <c r="F203" s="46">
        <f>D203*(($F$157)+1)+(IF(E203&lt;101,E203,IF(E203&lt;201,E203/2,IF(E203&lt;=301,E203/3,E203/4))))</f>
        <v>1507.0837859999999</v>
      </c>
      <c r="G203" s="105"/>
      <c r="H203" s="106"/>
      <c r="I203" s="32"/>
      <c r="L203" s="84"/>
      <c r="M203" s="84"/>
      <c r="N203" s="32"/>
    </row>
    <row r="204" spans="1:14" s="47" customFormat="1" x14ac:dyDescent="0.35">
      <c r="A204" s="101">
        <f t="shared" si="14"/>
        <v>3</v>
      </c>
      <c r="B204" s="102"/>
      <c r="C204" s="46" t="s">
        <v>246</v>
      </c>
      <c r="D204" s="60">
        <f>(93.81)*10.764</f>
        <v>1009.7708399999999</v>
      </c>
      <c r="E204" s="46">
        <v>0</v>
      </c>
      <c r="F204" s="46">
        <f>D204*(($F$157)+1)+(IF(E204&lt;101,E204,IF(E204&lt;201,E204/2,IF(E204&lt;=301,E204/3,E204/4))))</f>
        <v>1565.1448019999998</v>
      </c>
      <c r="G204" s="105"/>
      <c r="H204" s="106"/>
      <c r="I204" s="32"/>
      <c r="L204" s="84"/>
      <c r="M204" s="84"/>
      <c r="N204" s="32"/>
    </row>
    <row r="205" spans="1:14" s="47" customFormat="1" x14ac:dyDescent="0.35">
      <c r="A205" s="101">
        <f t="shared" si="14"/>
        <v>4</v>
      </c>
      <c r="B205" s="102"/>
      <c r="C205" s="46" t="s">
        <v>246</v>
      </c>
      <c r="D205" s="60">
        <f>(93.81)*10.764</f>
        <v>1009.7708399999999</v>
      </c>
      <c r="E205" s="46">
        <v>0</v>
      </c>
      <c r="F205" s="46">
        <f>D205*(($F$157)+1)+(IF(E205&lt;101,E205,IF(E205&lt;201,E205/2,IF(E205&lt;=301,E205/3,E205/4))))</f>
        <v>1565.1448019999998</v>
      </c>
      <c r="G205" s="105"/>
      <c r="H205" s="106"/>
      <c r="I205" s="32"/>
      <c r="L205" s="84"/>
      <c r="M205" s="84"/>
      <c r="N205" s="32"/>
    </row>
    <row r="206" spans="1:14" s="47" customFormat="1" x14ac:dyDescent="0.35">
      <c r="A206" s="101">
        <f t="shared" si="14"/>
        <v>5</v>
      </c>
      <c r="B206" s="102"/>
      <c r="C206" s="157" t="s">
        <v>250</v>
      </c>
      <c r="D206" s="157"/>
      <c r="E206" s="157"/>
      <c r="F206" s="158"/>
      <c r="G206" s="105"/>
      <c r="H206" s="106"/>
      <c r="I206" s="32"/>
      <c r="L206" s="84"/>
      <c r="M206" s="84"/>
      <c r="N206" s="32"/>
    </row>
    <row r="207" spans="1:14" s="47" customFormat="1" x14ac:dyDescent="0.35">
      <c r="A207" s="101">
        <f t="shared" si="14"/>
        <v>6</v>
      </c>
      <c r="B207" s="102"/>
      <c r="C207" s="159"/>
      <c r="D207" s="159"/>
      <c r="E207" s="159"/>
      <c r="F207" s="160"/>
      <c r="G207" s="105"/>
      <c r="H207" s="106"/>
      <c r="I207" s="32"/>
      <c r="L207" s="84"/>
      <c r="M207" s="84"/>
      <c r="N207" s="32"/>
    </row>
    <row r="208" spans="1:14" s="47" customFormat="1" x14ac:dyDescent="0.35">
      <c r="A208" s="101">
        <f t="shared" si="14"/>
        <v>7</v>
      </c>
      <c r="B208" s="102"/>
      <c r="C208" s="161"/>
      <c r="D208" s="161"/>
      <c r="E208" s="161"/>
      <c r="F208" s="162"/>
      <c r="G208" s="105"/>
      <c r="H208" s="106"/>
      <c r="I208" s="32"/>
      <c r="L208" s="84"/>
      <c r="M208" s="84"/>
      <c r="N208" s="32"/>
    </row>
    <row r="209" spans="1:14" s="47" customFormat="1" x14ac:dyDescent="0.35">
      <c r="A209" s="101">
        <f t="shared" si="14"/>
        <v>8</v>
      </c>
      <c r="B209" s="102"/>
      <c r="C209" s="46" t="s">
        <v>246</v>
      </c>
      <c r="D209" s="60">
        <f t="shared" ref="D209" si="15">(93.62)*10.764</f>
        <v>1007.72568</v>
      </c>
      <c r="E209" s="46">
        <v>0</v>
      </c>
      <c r="F209" s="46">
        <f t="shared" ref="F209:F213" si="16">D209*(($F$157)+1)+(IF(E209&lt;101,E209,IF(E209&lt;201,E209/2,IF(E209&lt;=301,E209/3,E209/4))))</f>
        <v>1561.9748039999999</v>
      </c>
      <c r="G209" s="105"/>
      <c r="H209" s="106"/>
      <c r="I209" s="32"/>
      <c r="L209" s="84"/>
      <c r="M209" s="84"/>
      <c r="N209" s="32"/>
    </row>
    <row r="210" spans="1:14" s="47" customFormat="1" x14ac:dyDescent="0.35">
      <c r="A210" s="101">
        <f t="shared" si="14"/>
        <v>9</v>
      </c>
      <c r="B210" s="102"/>
      <c r="C210" s="46" t="s">
        <v>246</v>
      </c>
      <c r="D210" s="60">
        <f>(93.81)*10.764</f>
        <v>1009.7708399999999</v>
      </c>
      <c r="E210" s="46">
        <v>0</v>
      </c>
      <c r="F210" s="46">
        <f t="shared" si="16"/>
        <v>1565.1448019999998</v>
      </c>
      <c r="G210" s="105"/>
      <c r="H210" s="106"/>
      <c r="I210" s="32"/>
      <c r="L210" s="84"/>
      <c r="M210" s="84"/>
      <c r="N210" s="32"/>
    </row>
    <row r="211" spans="1:14" s="47" customFormat="1" x14ac:dyDescent="0.35">
      <c r="A211" s="101">
        <f t="shared" si="14"/>
        <v>10</v>
      </c>
      <c r="B211" s="102"/>
      <c r="C211" s="46" t="s">
        <v>246</v>
      </c>
      <c r="D211" s="60">
        <f>(93.81)*10.764</f>
        <v>1009.7708399999999</v>
      </c>
      <c r="E211" s="46">
        <v>0</v>
      </c>
      <c r="F211" s="46">
        <f t="shared" si="16"/>
        <v>1565.1448019999998</v>
      </c>
      <c r="G211" s="105"/>
      <c r="H211" s="106"/>
      <c r="I211" s="32"/>
      <c r="L211" s="84"/>
      <c r="M211" s="84"/>
      <c r="N211" s="32"/>
    </row>
    <row r="212" spans="1:14" s="47" customFormat="1" x14ac:dyDescent="0.35">
      <c r="A212" s="101">
        <f t="shared" si="14"/>
        <v>11</v>
      </c>
      <c r="B212" s="102"/>
      <c r="C212" s="46" t="s">
        <v>246</v>
      </c>
      <c r="D212" s="60">
        <f>(90.33)*10.764</f>
        <v>972.31211999999994</v>
      </c>
      <c r="E212" s="46">
        <v>0</v>
      </c>
      <c r="F212" s="46">
        <f t="shared" si="16"/>
        <v>1507.0837859999999</v>
      </c>
      <c r="G212" s="105"/>
      <c r="H212" s="106"/>
      <c r="I212" s="32"/>
      <c r="L212" s="84"/>
      <c r="M212" s="84"/>
      <c r="N212" s="32"/>
    </row>
    <row r="213" spans="1:14" s="47" customFormat="1" x14ac:dyDescent="0.35">
      <c r="A213" s="101">
        <f t="shared" si="14"/>
        <v>12</v>
      </c>
      <c r="B213" s="102"/>
      <c r="C213" s="46" t="s">
        <v>246</v>
      </c>
      <c r="D213" s="60">
        <f>(90.33)*10.764</f>
        <v>972.31211999999994</v>
      </c>
      <c r="E213" s="46">
        <v>0</v>
      </c>
      <c r="F213" s="46">
        <f t="shared" si="16"/>
        <v>1507.0837859999999</v>
      </c>
      <c r="G213" s="107"/>
      <c r="H213" s="108"/>
      <c r="I213" s="32"/>
      <c r="L213" s="84"/>
      <c r="M213" s="84"/>
      <c r="N213" s="32"/>
    </row>
    <row r="214" spans="1:14" s="33" customFormat="1" x14ac:dyDescent="0.35">
      <c r="A214" s="154" t="s">
        <v>251</v>
      </c>
      <c r="B214" s="155"/>
      <c r="C214" s="155"/>
      <c r="D214" s="155"/>
      <c r="E214" s="155"/>
      <c r="F214" s="155"/>
      <c r="G214" s="155"/>
      <c r="H214" s="156"/>
      <c r="I214" s="32"/>
    </row>
    <row r="215" spans="1:14" s="49" customFormat="1" x14ac:dyDescent="0.35">
      <c r="A215" s="101">
        <v>1</v>
      </c>
      <c r="B215" s="102"/>
      <c r="C215" s="46" t="s">
        <v>246</v>
      </c>
      <c r="D215" s="46">
        <f>(93.62)*10.764</f>
        <v>1007.72568</v>
      </c>
      <c r="E215" s="46">
        <v>0</v>
      </c>
      <c r="F215" s="46">
        <f>D215*(($F$157)+1)+(IF(E215&lt;101,E215,IF(E215&lt;201,E215/2,IF(E215&lt;=301,E215/3,E215/4))))</f>
        <v>1561.9748039999999</v>
      </c>
      <c r="G215" s="103" t="str">
        <f>A214</f>
        <v>15th to 17th Floor</v>
      </c>
      <c r="H215" s="104"/>
      <c r="I215" s="32"/>
      <c r="L215" s="84"/>
      <c r="M215" s="84"/>
      <c r="N215" s="32"/>
    </row>
    <row r="216" spans="1:14" s="49" customFormat="1" x14ac:dyDescent="0.35">
      <c r="A216" s="101">
        <f t="shared" ref="A216:A226" si="17">A215+1</f>
        <v>2</v>
      </c>
      <c r="B216" s="102"/>
      <c r="C216" s="46" t="s">
        <v>246</v>
      </c>
      <c r="D216" s="60">
        <f>(93.62)*10.764</f>
        <v>1007.72568</v>
      </c>
      <c r="E216" s="46">
        <v>0</v>
      </c>
      <c r="F216" s="46">
        <f>D216*(($F$157)+1)+(IF(E216&lt;101,E216,IF(E216&lt;201,E216/2,IF(E216&lt;=301,E216/3,E216/4))))</f>
        <v>1561.9748039999999</v>
      </c>
      <c r="G216" s="105"/>
      <c r="H216" s="106"/>
      <c r="I216" s="32"/>
      <c r="L216" s="84"/>
      <c r="M216" s="84"/>
      <c r="N216" s="32"/>
    </row>
    <row r="217" spans="1:14" s="49" customFormat="1" x14ac:dyDescent="0.35">
      <c r="A217" s="101">
        <f t="shared" si="17"/>
        <v>3</v>
      </c>
      <c r="B217" s="102"/>
      <c r="C217" s="46" t="s">
        <v>246</v>
      </c>
      <c r="D217" s="46">
        <f>(93.81)*10.764</f>
        <v>1009.7708399999999</v>
      </c>
      <c r="E217" s="46">
        <v>0</v>
      </c>
      <c r="F217" s="46">
        <f>D217*(($F$157)+1)+(IF(E217&lt;101,E217,IF(E217&lt;201,E217/2,IF(E217&lt;=301,E217/3,E217/4))))</f>
        <v>1565.1448019999998</v>
      </c>
      <c r="G217" s="105"/>
      <c r="H217" s="106"/>
      <c r="I217" s="32"/>
      <c r="L217" s="84"/>
      <c r="M217" s="84"/>
      <c r="N217" s="32"/>
    </row>
    <row r="218" spans="1:14" s="49" customFormat="1" x14ac:dyDescent="0.35">
      <c r="A218" s="101">
        <f t="shared" si="17"/>
        <v>4</v>
      </c>
      <c r="B218" s="102"/>
      <c r="C218" s="46" t="s">
        <v>246</v>
      </c>
      <c r="D218" s="60">
        <f>(93.81)*10.764</f>
        <v>1009.7708399999999</v>
      </c>
      <c r="E218" s="46">
        <v>0</v>
      </c>
      <c r="F218" s="46">
        <f>D218*(($F$157)+1)+(IF(E218&lt;101,E218,IF(E218&lt;201,E218/2,IF(E218&lt;=301,E218/3,E218/4))))</f>
        <v>1565.1448019999998</v>
      </c>
      <c r="G218" s="105"/>
      <c r="H218" s="106"/>
      <c r="I218" s="32"/>
      <c r="L218" s="84"/>
      <c r="M218" s="84"/>
      <c r="N218" s="32"/>
    </row>
    <row r="219" spans="1:14" s="49" customFormat="1" x14ac:dyDescent="0.35">
      <c r="A219" s="101">
        <f t="shared" si="17"/>
        <v>5</v>
      </c>
      <c r="B219" s="102"/>
      <c r="C219" s="46" t="s">
        <v>246</v>
      </c>
      <c r="D219" s="60">
        <f t="shared" ref="D219:D222" si="18">(93.62)*10.764</f>
        <v>1007.72568</v>
      </c>
      <c r="E219" s="46">
        <v>0</v>
      </c>
      <c r="F219" s="46">
        <f t="shared" ref="F219:F226" si="19">D219*(($F$157)+1)+(IF(E219&lt;101,E219,IF(E219&lt;201,E219/2,IF(E219&lt;=301,E219/3,E219/4))))</f>
        <v>1561.9748039999999</v>
      </c>
      <c r="G219" s="105"/>
      <c r="H219" s="106"/>
      <c r="I219" s="32"/>
      <c r="L219" s="84"/>
      <c r="M219" s="84"/>
      <c r="N219" s="32"/>
    </row>
    <row r="220" spans="1:14" s="49" customFormat="1" x14ac:dyDescent="0.35">
      <c r="A220" s="101">
        <f t="shared" si="17"/>
        <v>6</v>
      </c>
      <c r="B220" s="102"/>
      <c r="C220" s="46" t="s">
        <v>246</v>
      </c>
      <c r="D220" s="60">
        <f t="shared" si="18"/>
        <v>1007.72568</v>
      </c>
      <c r="E220" s="46">
        <v>0</v>
      </c>
      <c r="F220" s="46">
        <f t="shared" si="19"/>
        <v>1561.9748039999999</v>
      </c>
      <c r="G220" s="105"/>
      <c r="H220" s="106"/>
      <c r="I220" s="32"/>
      <c r="L220" s="84"/>
      <c r="M220" s="84"/>
      <c r="N220" s="32"/>
    </row>
    <row r="221" spans="1:14" s="49" customFormat="1" x14ac:dyDescent="0.35">
      <c r="A221" s="101">
        <f t="shared" si="17"/>
        <v>7</v>
      </c>
      <c r="B221" s="102"/>
      <c r="C221" s="46" t="s">
        <v>246</v>
      </c>
      <c r="D221" s="60">
        <f t="shared" si="18"/>
        <v>1007.72568</v>
      </c>
      <c r="E221" s="46">
        <v>0</v>
      </c>
      <c r="F221" s="46">
        <f t="shared" si="19"/>
        <v>1561.9748039999999</v>
      </c>
      <c r="G221" s="105"/>
      <c r="H221" s="106"/>
      <c r="I221" s="32"/>
      <c r="L221" s="84"/>
      <c r="M221" s="84"/>
      <c r="N221" s="32"/>
    </row>
    <row r="222" spans="1:14" s="49" customFormat="1" x14ac:dyDescent="0.35">
      <c r="A222" s="101">
        <f t="shared" si="17"/>
        <v>8</v>
      </c>
      <c r="B222" s="102"/>
      <c r="C222" s="46" t="s">
        <v>246</v>
      </c>
      <c r="D222" s="60">
        <f t="shared" si="18"/>
        <v>1007.72568</v>
      </c>
      <c r="E222" s="46">
        <v>0</v>
      </c>
      <c r="F222" s="46">
        <f t="shared" si="19"/>
        <v>1561.9748039999999</v>
      </c>
      <c r="G222" s="105"/>
      <c r="H222" s="106"/>
      <c r="I222" s="32"/>
      <c r="L222" s="84"/>
      <c r="M222" s="84"/>
      <c r="N222" s="32"/>
    </row>
    <row r="223" spans="1:14" s="49" customFormat="1" x14ac:dyDescent="0.35">
      <c r="A223" s="101">
        <f t="shared" si="17"/>
        <v>9</v>
      </c>
      <c r="B223" s="102"/>
      <c r="C223" s="46" t="s">
        <v>246</v>
      </c>
      <c r="D223" s="60">
        <f t="shared" ref="D223:D224" si="20">(93.81)*10.764</f>
        <v>1009.7708399999999</v>
      </c>
      <c r="E223" s="46">
        <v>0</v>
      </c>
      <c r="F223" s="46">
        <f t="shared" si="19"/>
        <v>1565.1448019999998</v>
      </c>
      <c r="G223" s="105"/>
      <c r="H223" s="106"/>
      <c r="I223" s="32"/>
      <c r="L223" s="84"/>
      <c r="M223" s="84"/>
      <c r="N223" s="32"/>
    </row>
    <row r="224" spans="1:14" s="49" customFormat="1" x14ac:dyDescent="0.35">
      <c r="A224" s="101">
        <f t="shared" si="17"/>
        <v>10</v>
      </c>
      <c r="B224" s="102"/>
      <c r="C224" s="46" t="s">
        <v>246</v>
      </c>
      <c r="D224" s="60">
        <f t="shared" si="20"/>
        <v>1009.7708399999999</v>
      </c>
      <c r="E224" s="46">
        <v>0</v>
      </c>
      <c r="F224" s="46">
        <f t="shared" si="19"/>
        <v>1565.1448019999998</v>
      </c>
      <c r="G224" s="105"/>
      <c r="H224" s="106"/>
      <c r="I224" s="32"/>
      <c r="L224" s="84"/>
      <c r="M224" s="84"/>
      <c r="N224" s="32"/>
    </row>
    <row r="225" spans="1:14" s="49" customFormat="1" x14ac:dyDescent="0.35">
      <c r="A225" s="101">
        <f t="shared" si="17"/>
        <v>11</v>
      </c>
      <c r="B225" s="102"/>
      <c r="C225" s="46" t="s">
        <v>246</v>
      </c>
      <c r="D225" s="60">
        <f t="shared" ref="D225:D226" si="21">(93.62)*10.764</f>
        <v>1007.72568</v>
      </c>
      <c r="E225" s="46">
        <v>0</v>
      </c>
      <c r="F225" s="46">
        <f t="shared" si="19"/>
        <v>1561.9748039999999</v>
      </c>
      <c r="G225" s="105"/>
      <c r="H225" s="106"/>
      <c r="I225" s="32"/>
      <c r="L225" s="84"/>
      <c r="M225" s="84"/>
      <c r="N225" s="32"/>
    </row>
    <row r="226" spans="1:14" s="49" customFormat="1" x14ac:dyDescent="0.35">
      <c r="A226" s="101">
        <f t="shared" si="17"/>
        <v>12</v>
      </c>
      <c r="B226" s="102"/>
      <c r="C226" s="46" t="s">
        <v>246</v>
      </c>
      <c r="D226" s="60">
        <f t="shared" si="21"/>
        <v>1007.72568</v>
      </c>
      <c r="E226" s="46">
        <v>0</v>
      </c>
      <c r="F226" s="46">
        <f t="shared" si="19"/>
        <v>1561.9748039999999</v>
      </c>
      <c r="G226" s="107"/>
      <c r="H226" s="108"/>
      <c r="I226" s="32"/>
      <c r="L226" s="84"/>
      <c r="M226" s="84"/>
      <c r="N226" s="32"/>
    </row>
    <row r="227" spans="1:14" s="49" customFormat="1" x14ac:dyDescent="0.35">
      <c r="A227" s="146" t="s">
        <v>293</v>
      </c>
      <c r="B227" s="146"/>
      <c r="C227" s="146"/>
      <c r="D227" s="146"/>
      <c r="E227" s="146"/>
      <c r="F227" s="146"/>
      <c r="G227" s="146"/>
      <c r="H227" s="146"/>
      <c r="I227" s="32"/>
    </row>
    <row r="228" spans="1:14" s="49" customFormat="1" x14ac:dyDescent="0.35">
      <c r="A228" s="153">
        <v>1</v>
      </c>
      <c r="B228" s="153"/>
      <c r="C228" s="78" t="s">
        <v>246</v>
      </c>
      <c r="D228" s="78">
        <f>(119.18)*10.764</f>
        <v>1282.8535199999999</v>
      </c>
      <c r="E228" s="78">
        <v>0</v>
      </c>
      <c r="F228" s="78">
        <f>D228*(($F$157)+1)+(IF(E228&lt;101,E228,IF(E228&lt;201,E228/2,IF(E228&lt;=301,E228/3,E228/4))))</f>
        <v>1988.4229559999999</v>
      </c>
      <c r="G228" s="153" t="str">
        <f>A227</f>
        <v>18th, 19th, 20th, 22nd to 29th Floor</v>
      </c>
      <c r="H228" s="153"/>
      <c r="I228" s="56">
        <f>54900000/F228</f>
        <v>27609.820050779981</v>
      </c>
      <c r="J228" s="49">
        <f>52500000/F228</f>
        <v>26402.833381893426</v>
      </c>
      <c r="L228" s="84"/>
      <c r="M228" s="84"/>
      <c r="N228" s="32"/>
    </row>
    <row r="229" spans="1:14" s="49" customFormat="1" x14ac:dyDescent="0.35">
      <c r="A229" s="153">
        <f t="shared" ref="A229:A239" si="22">A228+1</f>
        <v>2</v>
      </c>
      <c r="B229" s="153"/>
      <c r="C229" s="78" t="s">
        <v>246</v>
      </c>
      <c r="D229" s="78">
        <f>(119.18)*10.764</f>
        <v>1282.8535199999999</v>
      </c>
      <c r="E229" s="78">
        <v>0</v>
      </c>
      <c r="F229" s="78">
        <f>D229*(($F$157)+1)+(IF(E229&lt;101,E229,IF(E229&lt;201,E229/2,IF(E229&lt;=301,E229/3,E229/4))))</f>
        <v>1988.4229559999999</v>
      </c>
      <c r="G229" s="153"/>
      <c r="H229" s="153"/>
      <c r="I229" s="56">
        <f t="shared" ref="I229" si="23">54900000/F229</f>
        <v>27609.820050779981</v>
      </c>
      <c r="K229" s="49">
        <f>55600000-2400000</f>
        <v>53200000</v>
      </c>
      <c r="L229" s="84"/>
      <c r="M229" s="84"/>
      <c r="N229" s="32"/>
    </row>
    <row r="230" spans="1:14" s="49" customFormat="1" x14ac:dyDescent="0.35">
      <c r="A230" s="153">
        <f t="shared" si="22"/>
        <v>3</v>
      </c>
      <c r="B230" s="153"/>
      <c r="C230" s="78" t="s">
        <v>246</v>
      </c>
      <c r="D230" s="78">
        <f>(121.55)*10.764</f>
        <v>1308.3642</v>
      </c>
      <c r="E230" s="78">
        <v>0</v>
      </c>
      <c r="F230" s="78">
        <f>D230*(($F$157)+1)+(IF(E230&lt;101,E230,IF(E230&lt;201,E230/2,IF(E230&lt;=301,E230/3,E230/4))))</f>
        <v>2027.96451</v>
      </c>
      <c r="G230" s="153"/>
      <c r="H230" s="153"/>
      <c r="I230" s="56">
        <f>55600000/F230</f>
        <v>27416.653361453547</v>
      </c>
      <c r="J230" s="49">
        <f>53200000/F230</f>
        <v>26233.200698369223</v>
      </c>
      <c r="K230" s="57"/>
      <c r="L230" s="84"/>
      <c r="M230" s="84"/>
      <c r="N230" s="32"/>
    </row>
    <row r="231" spans="1:14" s="49" customFormat="1" x14ac:dyDescent="0.35">
      <c r="A231" s="153">
        <f t="shared" si="22"/>
        <v>4</v>
      </c>
      <c r="B231" s="153"/>
      <c r="C231" s="78" t="s">
        <v>246</v>
      </c>
      <c r="D231" s="78">
        <f>(121.55)*10.764</f>
        <v>1308.3642</v>
      </c>
      <c r="E231" s="78">
        <v>0</v>
      </c>
      <c r="F231" s="78">
        <f>D231*(($F$157)+1)+(IF(E231&lt;101,E231,IF(E231&lt;201,E231/2,IF(E231&lt;=301,E231/3,E231/4))))</f>
        <v>2027.96451</v>
      </c>
      <c r="G231" s="153"/>
      <c r="H231" s="153"/>
      <c r="I231" s="56">
        <f>55600000/F231</f>
        <v>27416.653361453547</v>
      </c>
      <c r="K231" s="57"/>
      <c r="L231" s="84"/>
      <c r="M231" s="84"/>
      <c r="N231" s="32"/>
    </row>
    <row r="232" spans="1:14" s="49" customFormat="1" x14ac:dyDescent="0.35">
      <c r="A232" s="153">
        <f t="shared" si="22"/>
        <v>5</v>
      </c>
      <c r="B232" s="153"/>
      <c r="C232" s="78" t="s">
        <v>246</v>
      </c>
      <c r="D232" s="78">
        <f t="shared" ref="D232:D235" si="24">(119.18)*10.764</f>
        <v>1282.8535199999999</v>
      </c>
      <c r="E232" s="78">
        <v>0</v>
      </c>
      <c r="F232" s="78">
        <f t="shared" ref="F232:F239" si="25">D232*(($F$157)+1)+(IF(E232&lt;101,E232,IF(E232&lt;201,E232/2,IF(E232&lt;=301,E232/3,E232/4))))</f>
        <v>1988.4229559999999</v>
      </c>
      <c r="G232" s="153"/>
      <c r="H232" s="153"/>
      <c r="I232" s="32"/>
      <c r="L232" s="84"/>
      <c r="M232" s="84"/>
      <c r="N232" s="32"/>
    </row>
    <row r="233" spans="1:14" s="49" customFormat="1" x14ac:dyDescent="0.35">
      <c r="A233" s="153">
        <f t="shared" si="22"/>
        <v>6</v>
      </c>
      <c r="B233" s="153"/>
      <c r="C233" s="78" t="s">
        <v>246</v>
      </c>
      <c r="D233" s="78">
        <f t="shared" si="24"/>
        <v>1282.8535199999999</v>
      </c>
      <c r="E233" s="78">
        <v>0</v>
      </c>
      <c r="F233" s="78">
        <f t="shared" si="25"/>
        <v>1988.4229559999999</v>
      </c>
      <c r="G233" s="153"/>
      <c r="H233" s="153"/>
      <c r="I233" s="32"/>
      <c r="L233" s="84"/>
      <c r="M233" s="84"/>
      <c r="N233" s="32"/>
    </row>
    <row r="234" spans="1:14" s="49" customFormat="1" x14ac:dyDescent="0.35">
      <c r="A234" s="153">
        <f t="shared" si="22"/>
        <v>7</v>
      </c>
      <c r="B234" s="153"/>
      <c r="C234" s="78" t="s">
        <v>246</v>
      </c>
      <c r="D234" s="78">
        <f t="shared" si="24"/>
        <v>1282.8535199999999</v>
      </c>
      <c r="E234" s="78">
        <v>0</v>
      </c>
      <c r="F234" s="78">
        <f t="shared" si="25"/>
        <v>1988.4229559999999</v>
      </c>
      <c r="G234" s="153"/>
      <c r="H234" s="153"/>
      <c r="I234" s="32"/>
      <c r="L234" s="84"/>
      <c r="M234" s="84"/>
      <c r="N234" s="32"/>
    </row>
    <row r="235" spans="1:14" s="49" customFormat="1" x14ac:dyDescent="0.35">
      <c r="A235" s="153">
        <f t="shared" si="22"/>
        <v>8</v>
      </c>
      <c r="B235" s="153"/>
      <c r="C235" s="78" t="s">
        <v>246</v>
      </c>
      <c r="D235" s="78">
        <f t="shared" si="24"/>
        <v>1282.8535199999999</v>
      </c>
      <c r="E235" s="78">
        <v>0</v>
      </c>
      <c r="F235" s="78">
        <f t="shared" si="25"/>
        <v>1988.4229559999999</v>
      </c>
      <c r="G235" s="153"/>
      <c r="H235" s="153"/>
      <c r="I235" s="32"/>
      <c r="L235" s="84"/>
      <c r="M235" s="84"/>
      <c r="N235" s="32"/>
    </row>
    <row r="236" spans="1:14" s="49" customFormat="1" x14ac:dyDescent="0.35">
      <c r="A236" s="153">
        <f t="shared" si="22"/>
        <v>9</v>
      </c>
      <c r="B236" s="153"/>
      <c r="C236" s="78" t="s">
        <v>246</v>
      </c>
      <c r="D236" s="78">
        <f>(121.55)*10.764</f>
        <v>1308.3642</v>
      </c>
      <c r="E236" s="78">
        <v>0</v>
      </c>
      <c r="F236" s="78">
        <f t="shared" si="25"/>
        <v>2027.96451</v>
      </c>
      <c r="G236" s="153"/>
      <c r="H236" s="153"/>
      <c r="I236" s="32"/>
      <c r="L236" s="84"/>
      <c r="M236" s="84"/>
      <c r="N236" s="32"/>
    </row>
    <row r="237" spans="1:14" s="49" customFormat="1" x14ac:dyDescent="0.35">
      <c r="A237" s="153">
        <f t="shared" si="22"/>
        <v>10</v>
      </c>
      <c r="B237" s="153"/>
      <c r="C237" s="78" t="s">
        <v>246</v>
      </c>
      <c r="D237" s="78">
        <f>(121.55)*10.764</f>
        <v>1308.3642</v>
      </c>
      <c r="E237" s="78">
        <v>0</v>
      </c>
      <c r="F237" s="78">
        <f t="shared" si="25"/>
        <v>2027.96451</v>
      </c>
      <c r="G237" s="153"/>
      <c r="H237" s="153"/>
      <c r="I237" s="32"/>
      <c r="L237" s="84"/>
      <c r="M237" s="84"/>
      <c r="N237" s="32"/>
    </row>
    <row r="238" spans="1:14" s="49" customFormat="1" x14ac:dyDescent="0.35">
      <c r="A238" s="153">
        <f t="shared" si="22"/>
        <v>11</v>
      </c>
      <c r="B238" s="153"/>
      <c r="C238" s="78" t="s">
        <v>246</v>
      </c>
      <c r="D238" s="78">
        <f t="shared" ref="D238:D239" si="26">(119.18)*10.764</f>
        <v>1282.8535199999999</v>
      </c>
      <c r="E238" s="78">
        <v>0</v>
      </c>
      <c r="F238" s="78">
        <f t="shared" si="25"/>
        <v>1988.4229559999999</v>
      </c>
      <c r="G238" s="153"/>
      <c r="H238" s="153"/>
      <c r="I238" s="32"/>
      <c r="L238" s="84"/>
      <c r="M238" s="84"/>
      <c r="N238" s="32"/>
    </row>
    <row r="239" spans="1:14" s="49" customFormat="1" x14ac:dyDescent="0.35">
      <c r="A239" s="153">
        <f t="shared" si="22"/>
        <v>12</v>
      </c>
      <c r="B239" s="153"/>
      <c r="C239" s="78" t="s">
        <v>246</v>
      </c>
      <c r="D239" s="78">
        <f t="shared" si="26"/>
        <v>1282.8535199999999</v>
      </c>
      <c r="E239" s="78">
        <v>0</v>
      </c>
      <c r="F239" s="78">
        <f t="shared" si="25"/>
        <v>1988.4229559999999</v>
      </c>
      <c r="G239" s="153"/>
      <c r="H239" s="153"/>
      <c r="I239" s="32"/>
      <c r="L239" s="84"/>
      <c r="M239" s="84"/>
      <c r="N239" s="32"/>
    </row>
    <row r="240" spans="1:14" s="49" customFormat="1" ht="15.75" customHeight="1" x14ac:dyDescent="0.35">
      <c r="A240" s="154" t="s">
        <v>252</v>
      </c>
      <c r="B240" s="155"/>
      <c r="C240" s="155"/>
      <c r="D240" s="155"/>
      <c r="E240" s="155"/>
      <c r="F240" s="155"/>
      <c r="G240" s="155"/>
      <c r="H240" s="156"/>
      <c r="I240" s="32"/>
    </row>
    <row r="241" spans="1:14" s="49" customFormat="1" x14ac:dyDescent="0.35">
      <c r="A241" s="101">
        <v>1</v>
      </c>
      <c r="B241" s="102"/>
      <c r="C241" s="46" t="s">
        <v>246</v>
      </c>
      <c r="D241" s="60">
        <f>(119.18)*10.764</f>
        <v>1282.8535199999999</v>
      </c>
      <c r="E241" s="46">
        <v>0</v>
      </c>
      <c r="F241" s="46">
        <f>D241*(($F$157)+1)+(IF(E241&lt;101,E241,IF(E241&lt;201,E241/2,IF(E241&lt;=301,E241/3,E241/4))))</f>
        <v>1988.4229559999999</v>
      </c>
      <c r="G241" s="103" t="str">
        <f>A240</f>
        <v>21th Floor (Part Refuge Area)</v>
      </c>
      <c r="H241" s="104"/>
      <c r="I241" s="32"/>
      <c r="L241" s="84"/>
      <c r="M241" s="84"/>
      <c r="N241" s="32"/>
    </row>
    <row r="242" spans="1:14" s="49" customFormat="1" x14ac:dyDescent="0.35">
      <c r="A242" s="101">
        <f t="shared" ref="A242:A252" si="27">A241+1</f>
        <v>2</v>
      </c>
      <c r="B242" s="102"/>
      <c r="C242" s="46" t="s">
        <v>246</v>
      </c>
      <c r="D242" s="60">
        <f>(119.18)*10.764</f>
        <v>1282.8535199999999</v>
      </c>
      <c r="E242" s="46">
        <v>0</v>
      </c>
      <c r="F242" s="46">
        <f>D242*(($F$157)+1)+(IF(E242&lt;101,E242,IF(E242&lt;201,E242/2,IF(E242&lt;=301,E242/3,E242/4))))</f>
        <v>1988.4229559999999</v>
      </c>
      <c r="G242" s="105"/>
      <c r="H242" s="106"/>
      <c r="I242" s="32"/>
      <c r="L242" s="84"/>
      <c r="M242" s="84"/>
      <c r="N242" s="32"/>
    </row>
    <row r="243" spans="1:14" s="49" customFormat="1" x14ac:dyDescent="0.35">
      <c r="A243" s="101">
        <f t="shared" si="27"/>
        <v>3</v>
      </c>
      <c r="B243" s="102"/>
      <c r="C243" s="46" t="s">
        <v>246</v>
      </c>
      <c r="D243" s="60">
        <f>(121.55)*10.764</f>
        <v>1308.3642</v>
      </c>
      <c r="E243" s="46">
        <v>0</v>
      </c>
      <c r="F243" s="46">
        <f>D243*(($F$157)+1)+(IF(E243&lt;101,E243,IF(E243&lt;201,E243/2,IF(E243&lt;=301,E243/3,E243/4))))</f>
        <v>2027.96451</v>
      </c>
      <c r="G243" s="105"/>
      <c r="H243" s="106"/>
      <c r="I243" s="32"/>
      <c r="L243" s="84"/>
      <c r="M243" s="84"/>
      <c r="N243" s="32"/>
    </row>
    <row r="244" spans="1:14" s="49" customFormat="1" x14ac:dyDescent="0.35">
      <c r="A244" s="101">
        <f t="shared" si="27"/>
        <v>4</v>
      </c>
      <c r="B244" s="102"/>
      <c r="C244" s="46" t="s">
        <v>246</v>
      </c>
      <c r="D244" s="60">
        <f>(121.55)*10.764</f>
        <v>1308.3642</v>
      </c>
      <c r="E244" s="46">
        <v>0</v>
      </c>
      <c r="F244" s="46">
        <f>D244*(($F$157)+1)+(IF(E244&lt;101,E244,IF(E244&lt;201,E244/2,IF(E244&lt;=301,E244/3,E244/4))))</f>
        <v>2027.96451</v>
      </c>
      <c r="G244" s="105"/>
      <c r="H244" s="106"/>
      <c r="I244" s="32"/>
      <c r="L244" s="84"/>
      <c r="M244" s="84"/>
      <c r="N244" s="32"/>
    </row>
    <row r="245" spans="1:14" s="49" customFormat="1" x14ac:dyDescent="0.35">
      <c r="A245" s="101">
        <f t="shared" si="27"/>
        <v>5</v>
      </c>
      <c r="B245" s="102"/>
      <c r="C245" s="157" t="s">
        <v>250</v>
      </c>
      <c r="D245" s="157"/>
      <c r="E245" s="157"/>
      <c r="F245" s="158"/>
      <c r="G245" s="105"/>
      <c r="H245" s="106"/>
      <c r="I245" s="32"/>
      <c r="L245" s="84"/>
      <c r="M245" s="84"/>
      <c r="N245" s="32"/>
    </row>
    <row r="246" spans="1:14" s="49" customFormat="1" x14ac:dyDescent="0.35">
      <c r="A246" s="101">
        <f t="shared" si="27"/>
        <v>6</v>
      </c>
      <c r="B246" s="102"/>
      <c r="C246" s="159"/>
      <c r="D246" s="159"/>
      <c r="E246" s="159"/>
      <c r="F246" s="160"/>
      <c r="G246" s="105"/>
      <c r="H246" s="106"/>
      <c r="I246" s="32"/>
      <c r="L246" s="84"/>
      <c r="M246" s="84"/>
      <c r="N246" s="32"/>
    </row>
    <row r="247" spans="1:14" s="49" customFormat="1" x14ac:dyDescent="0.35">
      <c r="A247" s="101">
        <f t="shared" si="27"/>
        <v>7</v>
      </c>
      <c r="B247" s="102"/>
      <c r="C247" s="159"/>
      <c r="D247" s="159"/>
      <c r="E247" s="159"/>
      <c r="F247" s="160"/>
      <c r="G247" s="105"/>
      <c r="H247" s="106"/>
      <c r="I247" s="32"/>
      <c r="L247" s="84"/>
      <c r="M247" s="84"/>
      <c r="N247" s="32"/>
    </row>
    <row r="248" spans="1:14" s="49" customFormat="1" x14ac:dyDescent="0.35">
      <c r="A248" s="101">
        <f t="shared" si="27"/>
        <v>8</v>
      </c>
      <c r="B248" s="102"/>
      <c r="C248" s="161"/>
      <c r="D248" s="161"/>
      <c r="E248" s="161"/>
      <c r="F248" s="162"/>
      <c r="G248" s="105"/>
      <c r="H248" s="106"/>
      <c r="I248" s="32"/>
      <c r="L248" s="84"/>
      <c r="M248" s="84"/>
      <c r="N248" s="32"/>
    </row>
    <row r="249" spans="1:14" s="49" customFormat="1" x14ac:dyDescent="0.35">
      <c r="A249" s="101">
        <f t="shared" si="27"/>
        <v>9</v>
      </c>
      <c r="B249" s="102"/>
      <c r="C249" s="46" t="s">
        <v>246</v>
      </c>
      <c r="D249" s="60">
        <f>(121.55)*10.764</f>
        <v>1308.3642</v>
      </c>
      <c r="E249" s="46">
        <v>0</v>
      </c>
      <c r="F249" s="46">
        <f t="shared" ref="F249:F252" si="28">D249*(($F$157)+1)+(IF(E249&lt;101,E249,IF(E249&lt;201,E249/2,IF(E249&lt;=301,E249/3,E249/4))))</f>
        <v>2027.96451</v>
      </c>
      <c r="G249" s="105"/>
      <c r="H249" s="106"/>
      <c r="I249" s="32"/>
      <c r="L249" s="84"/>
      <c r="M249" s="84"/>
      <c r="N249" s="32"/>
    </row>
    <row r="250" spans="1:14" s="49" customFormat="1" x14ac:dyDescent="0.35">
      <c r="A250" s="101">
        <f t="shared" si="27"/>
        <v>10</v>
      </c>
      <c r="B250" s="102"/>
      <c r="C250" s="46" t="s">
        <v>246</v>
      </c>
      <c r="D250" s="60">
        <f>(121.55)*10.764</f>
        <v>1308.3642</v>
      </c>
      <c r="E250" s="46">
        <v>0</v>
      </c>
      <c r="F250" s="46">
        <f t="shared" si="28"/>
        <v>2027.96451</v>
      </c>
      <c r="G250" s="105"/>
      <c r="H250" s="106"/>
      <c r="I250" s="32"/>
      <c r="L250" s="84"/>
      <c r="M250" s="84"/>
      <c r="N250" s="32"/>
    </row>
    <row r="251" spans="1:14" s="49" customFormat="1" x14ac:dyDescent="0.35">
      <c r="A251" s="101">
        <f t="shared" si="27"/>
        <v>11</v>
      </c>
      <c r="B251" s="102"/>
      <c r="C251" s="46" t="s">
        <v>246</v>
      </c>
      <c r="D251" s="60">
        <f t="shared" ref="D251:D252" si="29">(119.18)*10.764</f>
        <v>1282.8535199999999</v>
      </c>
      <c r="E251" s="46">
        <v>0</v>
      </c>
      <c r="F251" s="46">
        <f t="shared" si="28"/>
        <v>1988.4229559999999</v>
      </c>
      <c r="G251" s="105"/>
      <c r="H251" s="106"/>
      <c r="I251" s="32"/>
      <c r="L251" s="84"/>
      <c r="M251" s="84"/>
      <c r="N251" s="32"/>
    </row>
    <row r="252" spans="1:14" s="49" customFormat="1" x14ac:dyDescent="0.35">
      <c r="A252" s="101">
        <f t="shared" si="27"/>
        <v>12</v>
      </c>
      <c r="B252" s="102"/>
      <c r="C252" s="46" t="s">
        <v>246</v>
      </c>
      <c r="D252" s="60">
        <f t="shared" si="29"/>
        <v>1282.8535199999999</v>
      </c>
      <c r="E252" s="46">
        <v>0</v>
      </c>
      <c r="F252" s="46">
        <f t="shared" si="28"/>
        <v>1988.4229559999999</v>
      </c>
      <c r="G252" s="107"/>
      <c r="H252" s="108"/>
      <c r="I252" s="32"/>
      <c r="L252" s="84"/>
      <c r="M252" s="84"/>
      <c r="N252" s="32"/>
    </row>
    <row r="253" spans="1:14" s="31" customFormat="1" x14ac:dyDescent="0.35">
      <c r="A253" s="165" t="s">
        <v>66</v>
      </c>
      <c r="B253" s="165"/>
      <c r="C253" s="165"/>
      <c r="D253" s="165"/>
      <c r="E253" s="165"/>
      <c r="F253" s="165"/>
      <c r="G253" s="165"/>
      <c r="H253" s="165"/>
    </row>
    <row r="254" spans="1:14" s="31" customFormat="1" x14ac:dyDescent="0.35">
      <c r="A254" s="40">
        <v>1</v>
      </c>
      <c r="B254" s="81" t="s">
        <v>315</v>
      </c>
      <c r="C254" s="82"/>
      <c r="D254" s="82"/>
      <c r="E254" s="82"/>
      <c r="F254" s="82"/>
      <c r="G254" s="82"/>
      <c r="H254" s="83"/>
    </row>
    <row r="255" spans="1:14" s="31" customFormat="1" x14ac:dyDescent="0.35">
      <c r="A255" s="40">
        <f>A254+1</f>
        <v>2</v>
      </c>
      <c r="B255" s="81" t="str">
        <f>(IF(F156="Saleable area Loading :","We have considered Saleable area of Flats as per our Calculation.","We considered Saleable area of Flat as per Builder area Sheet."))</f>
        <v>We have considered Saleable area of Flats as per our Calculation.</v>
      </c>
      <c r="C255" s="82"/>
      <c r="D255" s="82"/>
      <c r="E255" s="82"/>
      <c r="F255" s="82"/>
      <c r="G255" s="82"/>
      <c r="H255" s="83"/>
    </row>
    <row r="256" spans="1:14" s="31" customFormat="1" x14ac:dyDescent="0.35">
      <c r="A256" s="48">
        <f t="shared" ref="A256:A266" si="30">A255+1</f>
        <v>3</v>
      </c>
      <c r="B256" s="81" t="str">
        <f>(IF(F125="Saleable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6" s="82"/>
      <c r="D256" s="82"/>
      <c r="E256" s="82"/>
      <c r="F256" s="82"/>
      <c r="G256" s="82"/>
      <c r="H256" s="83"/>
    </row>
    <row r="257" spans="1:8" s="31" customFormat="1" x14ac:dyDescent="0.35">
      <c r="A257" s="48">
        <f t="shared" si="30"/>
        <v>4</v>
      </c>
      <c r="B257" s="150" t="s">
        <v>118</v>
      </c>
      <c r="C257" s="151"/>
      <c r="D257" s="151"/>
      <c r="E257" s="151"/>
      <c r="F257" s="151"/>
      <c r="G257" s="151"/>
      <c r="H257" s="152"/>
    </row>
    <row r="258" spans="1:8" s="31" customFormat="1" x14ac:dyDescent="0.35">
      <c r="A258" s="48">
        <f t="shared" si="30"/>
        <v>5</v>
      </c>
      <c r="B258" s="150" t="s">
        <v>287</v>
      </c>
      <c r="C258" s="151"/>
      <c r="D258" s="151"/>
      <c r="E258" s="151"/>
      <c r="F258" s="151"/>
      <c r="G258" s="151"/>
      <c r="H258" s="152"/>
    </row>
    <row r="259" spans="1:8" s="31" customFormat="1" x14ac:dyDescent="0.35">
      <c r="A259" s="48">
        <f t="shared" si="30"/>
        <v>6</v>
      </c>
      <c r="B259" s="150" t="s">
        <v>146</v>
      </c>
      <c r="C259" s="151"/>
      <c r="D259" s="151"/>
      <c r="E259" s="151"/>
      <c r="F259" s="151"/>
      <c r="G259" s="151"/>
      <c r="H259" s="152"/>
    </row>
    <row r="260" spans="1:8" s="31" customFormat="1" x14ac:dyDescent="0.35">
      <c r="A260" s="48">
        <f t="shared" si="30"/>
        <v>7</v>
      </c>
      <c r="B260" s="150" t="s">
        <v>119</v>
      </c>
      <c r="C260" s="151"/>
      <c r="D260" s="151"/>
      <c r="E260" s="151"/>
      <c r="F260" s="151"/>
      <c r="G260" s="151"/>
      <c r="H260" s="152"/>
    </row>
    <row r="261" spans="1:8" s="31" customFormat="1" ht="34.5" customHeight="1" x14ac:dyDescent="0.35">
      <c r="A261" s="48">
        <f t="shared" si="30"/>
        <v>8</v>
      </c>
      <c r="B261" s="150" t="s">
        <v>147</v>
      </c>
      <c r="C261" s="151"/>
      <c r="D261" s="151"/>
      <c r="E261" s="151"/>
      <c r="F261" s="151"/>
      <c r="G261" s="151"/>
      <c r="H261" s="152"/>
    </row>
    <row r="262" spans="1:8" s="31" customFormat="1" x14ac:dyDescent="0.35">
      <c r="A262" s="48">
        <f t="shared" si="30"/>
        <v>9</v>
      </c>
      <c r="B262" s="150" t="s">
        <v>120</v>
      </c>
      <c r="C262" s="151"/>
      <c r="D262" s="151"/>
      <c r="E262" s="151"/>
      <c r="F262" s="151"/>
      <c r="G262" s="151"/>
      <c r="H262" s="152"/>
    </row>
    <row r="263" spans="1:8" s="31" customFormat="1" ht="53.25" customHeight="1" x14ac:dyDescent="0.35">
      <c r="A263" s="48">
        <f t="shared" si="30"/>
        <v>10</v>
      </c>
      <c r="B263" s="81" t="s">
        <v>294</v>
      </c>
      <c r="C263" s="82"/>
      <c r="D263" s="82"/>
      <c r="E263" s="82"/>
      <c r="F263" s="82"/>
      <c r="G263" s="82"/>
      <c r="H263" s="83"/>
    </row>
    <row r="264" spans="1:8" s="31" customFormat="1" ht="33" customHeight="1" x14ac:dyDescent="0.35">
      <c r="A264" s="61">
        <f t="shared" si="30"/>
        <v>11</v>
      </c>
      <c r="B264" s="81" t="s">
        <v>296</v>
      </c>
      <c r="C264" s="82"/>
      <c r="D264" s="82"/>
      <c r="E264" s="82"/>
      <c r="F264" s="82"/>
      <c r="G264" s="82"/>
      <c r="H264" s="83"/>
    </row>
    <row r="265" spans="1:8" s="31" customFormat="1" x14ac:dyDescent="0.35">
      <c r="A265" s="61">
        <f t="shared" si="30"/>
        <v>12</v>
      </c>
      <c r="B265" s="81" t="s">
        <v>297</v>
      </c>
      <c r="C265" s="82"/>
      <c r="D265" s="82"/>
      <c r="E265" s="82"/>
      <c r="F265" s="82"/>
      <c r="G265" s="82"/>
      <c r="H265" s="83"/>
    </row>
    <row r="266" spans="1:8" s="31" customFormat="1" ht="44.5" customHeight="1" x14ac:dyDescent="0.35">
      <c r="A266" s="63">
        <f t="shared" si="30"/>
        <v>13</v>
      </c>
      <c r="B266" s="81" t="s">
        <v>316</v>
      </c>
      <c r="C266" s="82"/>
      <c r="D266" s="82"/>
      <c r="E266" s="82"/>
      <c r="F266" s="82"/>
      <c r="G266" s="82"/>
      <c r="H266" s="83"/>
    </row>
    <row r="267" spans="1:8" s="31" customFormat="1" x14ac:dyDescent="0.35">
      <c r="A267" s="67">
        <v>14</v>
      </c>
      <c r="B267" s="81" t="s">
        <v>304</v>
      </c>
      <c r="C267" s="82"/>
      <c r="D267" s="82"/>
      <c r="E267" s="82"/>
      <c r="F267" s="82"/>
      <c r="G267" s="82"/>
      <c r="H267" s="83"/>
    </row>
    <row r="268" spans="1:8" s="31" customFormat="1" x14ac:dyDescent="0.35">
      <c r="A268" s="73">
        <v>15</v>
      </c>
      <c r="B268" s="81" t="s">
        <v>309</v>
      </c>
      <c r="C268" s="82"/>
      <c r="D268" s="82"/>
      <c r="E268" s="82"/>
      <c r="F268" s="82"/>
      <c r="G268" s="82"/>
      <c r="H268" s="83"/>
    </row>
    <row r="269" spans="1:8" s="31" customFormat="1" x14ac:dyDescent="0.35">
      <c r="A269" s="64">
        <v>16</v>
      </c>
      <c r="B269" s="81" t="s">
        <v>313</v>
      </c>
      <c r="C269" s="82"/>
      <c r="D269" s="82"/>
      <c r="E269" s="82"/>
      <c r="F269" s="82"/>
      <c r="G269" s="82"/>
      <c r="H269" s="83"/>
    </row>
    <row r="270" spans="1:8" x14ac:dyDescent="0.35">
      <c r="A270" s="144" t="s">
        <v>59</v>
      </c>
      <c r="B270" s="144"/>
      <c r="C270" s="144"/>
      <c r="D270" s="144"/>
      <c r="E270" s="144"/>
      <c r="F270" s="144"/>
      <c r="G270" s="144"/>
      <c r="H270" s="144"/>
    </row>
    <row r="271" spans="1:8" x14ac:dyDescent="0.35">
      <c r="A271" s="88" t="s">
        <v>60</v>
      </c>
      <c r="B271" s="88"/>
      <c r="C271" s="88"/>
      <c r="D271" s="88"/>
      <c r="E271" s="88"/>
      <c r="F271" s="88"/>
      <c r="G271" s="88"/>
      <c r="H271" s="88"/>
    </row>
    <row r="272" spans="1:8" ht="15.75" customHeight="1" x14ac:dyDescent="0.35">
      <c r="A272" s="184" t="s">
        <v>61</v>
      </c>
      <c r="B272" s="184"/>
      <c r="C272" s="184"/>
      <c r="D272" s="184"/>
      <c r="E272" s="184"/>
      <c r="F272" s="184"/>
      <c r="G272" s="184"/>
      <c r="H272" s="184"/>
    </row>
    <row r="273" spans="1:8" x14ac:dyDescent="0.35">
      <c r="A273" s="88" t="s">
        <v>62</v>
      </c>
      <c r="B273" s="88"/>
      <c r="C273" s="88"/>
      <c r="D273" s="88"/>
      <c r="E273" s="88"/>
      <c r="F273" s="88"/>
      <c r="G273" s="88"/>
      <c r="H273" s="88"/>
    </row>
    <row r="274" spans="1:8" x14ac:dyDescent="0.35">
      <c r="A274" s="88" t="s">
        <v>63</v>
      </c>
      <c r="B274" s="88"/>
      <c r="C274" s="88"/>
      <c r="D274" s="88"/>
      <c r="E274" s="88"/>
      <c r="F274" s="88"/>
      <c r="G274" s="88"/>
      <c r="H274" s="88"/>
    </row>
    <row r="275" spans="1:8" x14ac:dyDescent="0.35">
      <c r="A275" s="88" t="s">
        <v>121</v>
      </c>
      <c r="B275" s="88"/>
      <c r="C275" s="88"/>
      <c r="D275" s="88"/>
      <c r="E275" s="88"/>
      <c r="F275" s="88"/>
      <c r="G275" s="88"/>
      <c r="H275" s="88"/>
    </row>
    <row r="276" spans="1:8" ht="34" customHeight="1" x14ac:dyDescent="0.35">
      <c r="A276" s="112" t="s">
        <v>122</v>
      </c>
      <c r="B276" s="112"/>
      <c r="C276" s="112"/>
      <c r="D276" s="112"/>
      <c r="E276" s="112"/>
      <c r="F276" s="112"/>
      <c r="G276" s="112"/>
      <c r="H276" s="112"/>
    </row>
    <row r="277" spans="1:8" x14ac:dyDescent="0.35">
      <c r="A277" s="186" t="s">
        <v>73</v>
      </c>
      <c r="B277" s="186"/>
      <c r="C277" s="186" t="s">
        <v>310</v>
      </c>
      <c r="D277" s="186"/>
      <c r="E277" s="186" t="s">
        <v>101</v>
      </c>
      <c r="F277" s="186"/>
      <c r="G277" s="186" t="s">
        <v>317</v>
      </c>
      <c r="H277" s="186"/>
    </row>
    <row r="278" spans="1:8" x14ac:dyDescent="0.35">
      <c r="A278" s="185" t="s">
        <v>75</v>
      </c>
      <c r="B278" s="185"/>
      <c r="C278" s="185"/>
      <c r="D278" s="185"/>
      <c r="E278" s="185"/>
      <c r="F278" s="185"/>
      <c r="G278" s="185"/>
      <c r="H278" s="185"/>
    </row>
    <row r="279" spans="1:8" x14ac:dyDescent="0.35">
      <c r="A279" s="185"/>
      <c r="B279" s="185"/>
      <c r="C279" s="185"/>
      <c r="D279" s="185"/>
      <c r="E279" s="185"/>
      <c r="F279" s="185"/>
      <c r="G279" s="185"/>
      <c r="H279" s="185"/>
    </row>
    <row r="280" spans="1:8" x14ac:dyDescent="0.35">
      <c r="A280" s="185"/>
      <c r="B280" s="185"/>
      <c r="C280" s="185"/>
      <c r="D280" s="185"/>
      <c r="E280" s="185"/>
      <c r="F280" s="185"/>
      <c r="G280" s="185"/>
      <c r="H280" s="185"/>
    </row>
    <row r="281" spans="1:8" x14ac:dyDescent="0.35">
      <c r="A281" s="185"/>
      <c r="B281" s="185"/>
      <c r="C281" s="185"/>
      <c r="D281" s="185"/>
      <c r="E281" s="185"/>
      <c r="F281" s="185"/>
      <c r="G281" s="185"/>
      <c r="H281" s="185"/>
    </row>
    <row r="282" spans="1:8" x14ac:dyDescent="0.35">
      <c r="A282" s="34" t="s">
        <v>64</v>
      </c>
      <c r="B282" s="35"/>
      <c r="C282" s="35"/>
      <c r="D282" s="34" t="str">
        <f>E8</f>
        <v>Bharat Altavistas</v>
      </c>
      <c r="F282" s="35"/>
      <c r="G282" s="35"/>
      <c r="H282" s="35"/>
    </row>
    <row r="283" spans="1:8" x14ac:dyDescent="0.35">
      <c r="A283" s="35"/>
      <c r="B283" s="35"/>
      <c r="C283" s="35"/>
      <c r="D283" s="35"/>
      <c r="E283" s="35"/>
      <c r="F283" s="35"/>
      <c r="G283" s="35"/>
      <c r="H283" s="35"/>
    </row>
    <row r="284" spans="1:8" x14ac:dyDescent="0.35">
      <c r="A284" s="35"/>
      <c r="B284" s="35"/>
      <c r="C284" s="35"/>
      <c r="D284" s="35"/>
      <c r="E284" s="35"/>
      <c r="F284" s="35"/>
      <c r="G284" s="35"/>
      <c r="H284" s="35"/>
    </row>
    <row r="285" spans="1:8" ht="15" customHeight="1" x14ac:dyDescent="0.35"/>
    <row r="326" spans="1:8" ht="15.75" customHeight="1" x14ac:dyDescent="0.35">
      <c r="A326" s="183" t="s">
        <v>269</v>
      </c>
      <c r="B326" s="183"/>
      <c r="C326" s="35"/>
      <c r="D326" s="34"/>
      <c r="F326" s="35"/>
      <c r="G326" s="35"/>
      <c r="H326" s="35"/>
    </row>
    <row r="327" spans="1:8" x14ac:dyDescent="0.35">
      <c r="A327" s="35"/>
      <c r="B327" s="35"/>
      <c r="C327" s="35"/>
      <c r="D327" s="35"/>
      <c r="E327" s="35"/>
      <c r="F327" s="35"/>
      <c r="G327" s="35"/>
      <c r="H327" s="35"/>
    </row>
    <row r="328" spans="1:8" x14ac:dyDescent="0.35">
      <c r="A328" s="35"/>
      <c r="B328" s="35"/>
      <c r="C328" s="35"/>
      <c r="D328" s="35"/>
      <c r="E328" s="35"/>
      <c r="F328" s="35"/>
      <c r="G328" s="35"/>
      <c r="H328" s="35"/>
    </row>
    <row r="329" spans="1:8" ht="15" customHeight="1" x14ac:dyDescent="0.35"/>
    <row r="368" spans="1:1" x14ac:dyDescent="0.35">
      <c r="A368" s="37" t="s">
        <v>157</v>
      </c>
    </row>
    <row r="412" spans="1:1" x14ac:dyDescent="0.35">
      <c r="A412" s="37" t="s">
        <v>302</v>
      </c>
    </row>
    <row r="454" spans="1:1" x14ac:dyDescent="0.35">
      <c r="A454" s="37" t="s">
        <v>65</v>
      </c>
    </row>
  </sheetData>
  <mergeCells count="517">
    <mergeCell ref="A97:B97"/>
    <mergeCell ref="C97:D97"/>
    <mergeCell ref="E97:F97"/>
    <mergeCell ref="G97:H97"/>
    <mergeCell ref="A83:B83"/>
    <mergeCell ref="C83:H83"/>
    <mergeCell ref="A85:B85"/>
    <mergeCell ref="C85:H85"/>
    <mergeCell ref="A86:B86"/>
    <mergeCell ref="E86:F86"/>
    <mergeCell ref="G86:H86"/>
    <mergeCell ref="A87:B87"/>
    <mergeCell ref="E87:F96"/>
    <mergeCell ref="G87:H96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B267:H267"/>
    <mergeCell ref="B269:H269"/>
    <mergeCell ref="B265:H265"/>
    <mergeCell ref="A252:B252"/>
    <mergeCell ref="A326:B326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75:H275"/>
    <mergeCell ref="A272:H272"/>
    <mergeCell ref="A271:H271"/>
    <mergeCell ref="B256:H256"/>
    <mergeCell ref="A278:H281"/>
    <mergeCell ref="A277:B277"/>
    <mergeCell ref="E277:F277"/>
    <mergeCell ref="C277:D277"/>
    <mergeCell ref="G277:H277"/>
    <mergeCell ref="B263:H263"/>
    <mergeCell ref="A276:H276"/>
    <mergeCell ref="A274:H274"/>
    <mergeCell ref="A57:H57"/>
    <mergeCell ref="A58:C58"/>
    <mergeCell ref="A59:C59"/>
    <mergeCell ref="D59:H59"/>
    <mergeCell ref="A56:B56"/>
    <mergeCell ref="C56:E56"/>
    <mergeCell ref="D58:H58"/>
    <mergeCell ref="A120:B120"/>
    <mergeCell ref="B264:H264"/>
    <mergeCell ref="A238:B238"/>
    <mergeCell ref="A239:B239"/>
    <mergeCell ref="A235:B235"/>
    <mergeCell ref="A236:B236"/>
    <mergeCell ref="A237:B237"/>
    <mergeCell ref="A231:B231"/>
    <mergeCell ref="A232:B232"/>
    <mergeCell ref="A233:B233"/>
    <mergeCell ref="A209:B209"/>
    <mergeCell ref="A210:B210"/>
    <mergeCell ref="A211:B211"/>
    <mergeCell ref="G215:H226"/>
    <mergeCell ref="A215:B215"/>
    <mergeCell ref="A205:B205"/>
    <mergeCell ref="C206:F208"/>
    <mergeCell ref="A206:B206"/>
    <mergeCell ref="A207:B207"/>
    <mergeCell ref="A208:B208"/>
    <mergeCell ref="A184:B184"/>
    <mergeCell ref="A185:B185"/>
    <mergeCell ref="A186:B186"/>
    <mergeCell ref="A187:B187"/>
    <mergeCell ref="A198:B198"/>
    <mergeCell ref="A197:B197"/>
    <mergeCell ref="A179:B179"/>
    <mergeCell ref="A180:B180"/>
    <mergeCell ref="A181:B181"/>
    <mergeCell ref="A199:B199"/>
    <mergeCell ref="A200:B200"/>
    <mergeCell ref="D156:D157"/>
    <mergeCell ref="A124:H124"/>
    <mergeCell ref="A122:B122"/>
    <mergeCell ref="C122:D122"/>
    <mergeCell ref="A161:H161"/>
    <mergeCell ref="A190:B190"/>
    <mergeCell ref="E156:E157"/>
    <mergeCell ref="G156:H157"/>
    <mergeCell ref="A188:H188"/>
    <mergeCell ref="A178:B178"/>
    <mergeCell ref="A162:H162"/>
    <mergeCell ref="A189:B189"/>
    <mergeCell ref="A165:B165"/>
    <mergeCell ref="A160:H160"/>
    <mergeCell ref="A182:B182"/>
    <mergeCell ref="A183:B183"/>
    <mergeCell ref="A175:H175"/>
    <mergeCell ref="L248:M248"/>
    <mergeCell ref="L249:M249"/>
    <mergeCell ref="L224:M224"/>
    <mergeCell ref="L225:M225"/>
    <mergeCell ref="L226:M226"/>
    <mergeCell ref="L247:M247"/>
    <mergeCell ref="L241:M241"/>
    <mergeCell ref="A240:H240"/>
    <mergeCell ref="G241:H252"/>
    <mergeCell ref="A234:B234"/>
    <mergeCell ref="L250:M250"/>
    <mergeCell ref="L251:M251"/>
    <mergeCell ref="L252:M252"/>
    <mergeCell ref="A227:H227"/>
    <mergeCell ref="G228:H239"/>
    <mergeCell ref="L228:M228"/>
    <mergeCell ref="L229:M229"/>
    <mergeCell ref="L230:M230"/>
    <mergeCell ref="L242:M242"/>
    <mergeCell ref="A228:B228"/>
    <mergeCell ref="A229:B229"/>
    <mergeCell ref="A224:B224"/>
    <mergeCell ref="A225:B225"/>
    <mergeCell ref="A226:B226"/>
    <mergeCell ref="L243:M243"/>
    <mergeCell ref="L244:M244"/>
    <mergeCell ref="L245:M245"/>
    <mergeCell ref="L246:M246"/>
    <mergeCell ref="L233:M233"/>
    <mergeCell ref="L215:M215"/>
    <mergeCell ref="L216:M216"/>
    <mergeCell ref="L217:M217"/>
    <mergeCell ref="L218:M218"/>
    <mergeCell ref="L219:M219"/>
    <mergeCell ref="L220:M220"/>
    <mergeCell ref="L221:M221"/>
    <mergeCell ref="L222:M222"/>
    <mergeCell ref="L223:M223"/>
    <mergeCell ref="L234:M234"/>
    <mergeCell ref="L235:M235"/>
    <mergeCell ref="L236:M236"/>
    <mergeCell ref="L237:M237"/>
    <mergeCell ref="L238:M238"/>
    <mergeCell ref="L239:M239"/>
    <mergeCell ref="L231:M231"/>
    <mergeCell ref="L232:M232"/>
    <mergeCell ref="I50:K50"/>
    <mergeCell ref="L139:M139"/>
    <mergeCell ref="L140:M140"/>
    <mergeCell ref="L142:M142"/>
    <mergeCell ref="L143:M143"/>
    <mergeCell ref="L144:M144"/>
    <mergeCell ref="L145:M145"/>
    <mergeCell ref="L146:M146"/>
    <mergeCell ref="L147:M147"/>
    <mergeCell ref="L173:M173"/>
    <mergeCell ref="L167:M167"/>
    <mergeCell ref="L168:M168"/>
    <mergeCell ref="L169:M169"/>
    <mergeCell ref="L164:M164"/>
    <mergeCell ref="L165:M165"/>
    <mergeCell ref="A117:B117"/>
    <mergeCell ref="E120:F120"/>
    <mergeCell ref="A156:A157"/>
    <mergeCell ref="C120:D120"/>
    <mergeCell ref="L136:M136"/>
    <mergeCell ref="L137:M137"/>
    <mergeCell ref="L132:M132"/>
    <mergeCell ref="L133:M133"/>
    <mergeCell ref="L134:M134"/>
    <mergeCell ref="L135:M135"/>
    <mergeCell ref="L150:M150"/>
    <mergeCell ref="L148:M148"/>
    <mergeCell ref="A53:B53"/>
    <mergeCell ref="G50:H50"/>
    <mergeCell ref="G52:H52"/>
    <mergeCell ref="A51:B51"/>
    <mergeCell ref="I8:J8"/>
    <mergeCell ref="I9:J9"/>
    <mergeCell ref="C52:E52"/>
    <mergeCell ref="A61:C61"/>
    <mergeCell ref="D61:H61"/>
    <mergeCell ref="C51:E51"/>
    <mergeCell ref="I15:P15"/>
    <mergeCell ref="A47:D47"/>
    <mergeCell ref="A48:H48"/>
    <mergeCell ref="D60:H60"/>
    <mergeCell ref="A60:C60"/>
    <mergeCell ref="G51:H51"/>
    <mergeCell ref="G56:H56"/>
    <mergeCell ref="E14:H14"/>
    <mergeCell ref="A15:D15"/>
    <mergeCell ref="A11:D11"/>
    <mergeCell ref="E12:H12"/>
    <mergeCell ref="A17:B17"/>
    <mergeCell ref="A14:D14"/>
    <mergeCell ref="E11:H11"/>
    <mergeCell ref="L174:M174"/>
    <mergeCell ref="L151:M151"/>
    <mergeCell ref="L152:M152"/>
    <mergeCell ref="L153:M153"/>
    <mergeCell ref="A223:B223"/>
    <mergeCell ref="B257:H257"/>
    <mergeCell ref="B258:H258"/>
    <mergeCell ref="A253:H253"/>
    <mergeCell ref="A23:D24"/>
    <mergeCell ref="A50:B50"/>
    <mergeCell ref="C50:E50"/>
    <mergeCell ref="E23:H24"/>
    <mergeCell ref="A105:E105"/>
    <mergeCell ref="A107:E107"/>
    <mergeCell ref="F101:H101"/>
    <mergeCell ref="A98:E98"/>
    <mergeCell ref="F98:H98"/>
    <mergeCell ref="F103:H103"/>
    <mergeCell ref="F105:H105"/>
    <mergeCell ref="A99:E99"/>
    <mergeCell ref="A103:E103"/>
    <mergeCell ref="F99:H99"/>
    <mergeCell ref="F106:H106"/>
    <mergeCell ref="A101:E101"/>
    <mergeCell ref="F102:H102"/>
    <mergeCell ref="A104:E104"/>
    <mergeCell ref="F104:H104"/>
    <mergeCell ref="A52:B52"/>
    <mergeCell ref="A159:H159"/>
    <mergeCell ref="C117:D117"/>
    <mergeCell ref="F110:H110"/>
    <mergeCell ref="E117:F117"/>
    <mergeCell ref="A62:C62"/>
    <mergeCell ref="A63:C63"/>
    <mergeCell ref="D62:H62"/>
    <mergeCell ref="A110:E110"/>
    <mergeCell ref="A158:H158"/>
    <mergeCell ref="A154:H154"/>
    <mergeCell ref="G118:H118"/>
    <mergeCell ref="A121:B121"/>
    <mergeCell ref="A118:B118"/>
    <mergeCell ref="C118:D118"/>
    <mergeCell ref="E118:F118"/>
    <mergeCell ref="C121:D121"/>
    <mergeCell ref="G128:H153"/>
    <mergeCell ref="A155:H155"/>
    <mergeCell ref="G117:H117"/>
    <mergeCell ref="D63:H63"/>
    <mergeCell ref="B262:H262"/>
    <mergeCell ref="B260:H260"/>
    <mergeCell ref="A216:B216"/>
    <mergeCell ref="A217:B217"/>
    <mergeCell ref="A218:B218"/>
    <mergeCell ref="A219:B219"/>
    <mergeCell ref="A220:B220"/>
    <mergeCell ref="A201:H201"/>
    <mergeCell ref="G202:H213"/>
    <mergeCell ref="A221:B221"/>
    <mergeCell ref="A222:B222"/>
    <mergeCell ref="B254:H254"/>
    <mergeCell ref="B255:H255"/>
    <mergeCell ref="A230:B230"/>
    <mergeCell ref="C245:F248"/>
    <mergeCell ref="A241:B241"/>
    <mergeCell ref="A242:B242"/>
    <mergeCell ref="B259:H259"/>
    <mergeCell ref="A212:B212"/>
    <mergeCell ref="A213:B213"/>
    <mergeCell ref="A214:H214"/>
    <mergeCell ref="A202:B202"/>
    <mergeCell ref="A203:B203"/>
    <mergeCell ref="A204:B204"/>
    <mergeCell ref="A273:H273"/>
    <mergeCell ref="A119:H119"/>
    <mergeCell ref="A270:H270"/>
    <mergeCell ref="G120:H120"/>
    <mergeCell ref="B125:B126"/>
    <mergeCell ref="A125:A126"/>
    <mergeCell ref="C156:C157"/>
    <mergeCell ref="C125:C126"/>
    <mergeCell ref="B156:B157"/>
    <mergeCell ref="G121:H121"/>
    <mergeCell ref="A127:H127"/>
    <mergeCell ref="E125:E126"/>
    <mergeCell ref="G125:H126"/>
    <mergeCell ref="E122:F122"/>
    <mergeCell ref="G122:H122"/>
    <mergeCell ref="B261:H261"/>
    <mergeCell ref="B266:H266"/>
    <mergeCell ref="G189:H200"/>
    <mergeCell ref="A191:B191"/>
    <mergeCell ref="A192:B192"/>
    <mergeCell ref="A193:B193"/>
    <mergeCell ref="A194:B194"/>
    <mergeCell ref="A195:B195"/>
    <mergeCell ref="A196:B19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A13:D13"/>
    <mergeCell ref="E13:H13"/>
    <mergeCell ref="A12:D12"/>
    <mergeCell ref="E27:H27"/>
    <mergeCell ref="A29:D29"/>
    <mergeCell ref="E29:H29"/>
    <mergeCell ref="A26:D26"/>
    <mergeCell ref="E15:H15"/>
    <mergeCell ref="A16:B16"/>
    <mergeCell ref="C16:H16"/>
    <mergeCell ref="C17:H17"/>
    <mergeCell ref="A18:B18"/>
    <mergeCell ref="C18:H18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79:B79"/>
    <mergeCell ref="A75:B75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F35:H35"/>
    <mergeCell ref="C35:E35"/>
    <mergeCell ref="F34:H34"/>
    <mergeCell ref="A38:H38"/>
    <mergeCell ref="A37:B37"/>
    <mergeCell ref="C37:E37"/>
    <mergeCell ref="A42:D42"/>
    <mergeCell ref="E42:H42"/>
    <mergeCell ref="A41:H41"/>
    <mergeCell ref="F37:H37"/>
    <mergeCell ref="A39:B39"/>
    <mergeCell ref="C39:H39"/>
    <mergeCell ref="A40:B40"/>
    <mergeCell ref="C40:H40"/>
    <mergeCell ref="E43:H43"/>
    <mergeCell ref="A43:D43"/>
    <mergeCell ref="A44:D44"/>
    <mergeCell ref="E44:H44"/>
    <mergeCell ref="E45:H45"/>
    <mergeCell ref="E46:H46"/>
    <mergeCell ref="E47:H47"/>
    <mergeCell ref="A45:D45"/>
    <mergeCell ref="A46:D46"/>
    <mergeCell ref="A49:B49"/>
    <mergeCell ref="C49:H49"/>
    <mergeCell ref="C53:H53"/>
    <mergeCell ref="A54:B54"/>
    <mergeCell ref="C54:E54"/>
    <mergeCell ref="G54:H54"/>
    <mergeCell ref="A55:B55"/>
    <mergeCell ref="C55:E55"/>
    <mergeCell ref="G55:H55"/>
    <mergeCell ref="A116:H116"/>
    <mergeCell ref="A111:E111"/>
    <mergeCell ref="F111:H111"/>
    <mergeCell ref="A64:C64"/>
    <mergeCell ref="D64:H64"/>
    <mergeCell ref="C71:H71"/>
    <mergeCell ref="D65:H65"/>
    <mergeCell ref="A68:C68"/>
    <mergeCell ref="D68:H68"/>
    <mergeCell ref="A66:C66"/>
    <mergeCell ref="G73:H82"/>
    <mergeCell ref="A81:B81"/>
    <mergeCell ref="E73:F82"/>
    <mergeCell ref="A77:B77"/>
    <mergeCell ref="A78:B78"/>
    <mergeCell ref="A74:B74"/>
    <mergeCell ref="A76:B76"/>
    <mergeCell ref="E72:F72"/>
    <mergeCell ref="A65:C65"/>
    <mergeCell ref="A72:B72"/>
    <mergeCell ref="A71:B71"/>
    <mergeCell ref="D67:H67"/>
    <mergeCell ref="A73:B73"/>
    <mergeCell ref="D66:H66"/>
    <mergeCell ref="A67:C67"/>
    <mergeCell ref="G72:H72"/>
    <mergeCell ref="A82:B82"/>
    <mergeCell ref="L175:M175"/>
    <mergeCell ref="A172:B172"/>
    <mergeCell ref="A173:B173"/>
    <mergeCell ref="A174:B174"/>
    <mergeCell ref="A176:B176"/>
    <mergeCell ref="A177:B177"/>
    <mergeCell ref="A163:B163"/>
    <mergeCell ref="A164:B164"/>
    <mergeCell ref="L166:M166"/>
    <mergeCell ref="L163:M163"/>
    <mergeCell ref="G176:H187"/>
    <mergeCell ref="G163:H174"/>
    <mergeCell ref="L170:M170"/>
    <mergeCell ref="L171:M171"/>
    <mergeCell ref="L172:M172"/>
    <mergeCell ref="A166:B166"/>
    <mergeCell ref="A167:B167"/>
    <mergeCell ref="A168:B168"/>
    <mergeCell ref="A169:B169"/>
    <mergeCell ref="A170:B170"/>
    <mergeCell ref="A171:B171"/>
    <mergeCell ref="L177:M177"/>
    <mergeCell ref="L178:M178"/>
    <mergeCell ref="L199:M199"/>
    <mergeCell ref="L200:M200"/>
    <mergeCell ref="L179:M179"/>
    <mergeCell ref="L180:M180"/>
    <mergeCell ref="L181:M181"/>
    <mergeCell ref="L182:M182"/>
    <mergeCell ref="L183:M183"/>
    <mergeCell ref="L186:M186"/>
    <mergeCell ref="L184:M184"/>
    <mergeCell ref="L187:M187"/>
    <mergeCell ref="L189:M189"/>
    <mergeCell ref="L190:M190"/>
    <mergeCell ref="L191:M191"/>
    <mergeCell ref="L192:M192"/>
    <mergeCell ref="L193:M193"/>
    <mergeCell ref="L194:M194"/>
    <mergeCell ref="L195:M195"/>
    <mergeCell ref="L196:M196"/>
    <mergeCell ref="L197:M197"/>
    <mergeCell ref="L198:M198"/>
    <mergeCell ref="L212:M212"/>
    <mergeCell ref="L213:M213"/>
    <mergeCell ref="A113:H113"/>
    <mergeCell ref="A114:B114"/>
    <mergeCell ref="C114:D114"/>
    <mergeCell ref="E114:F114"/>
    <mergeCell ref="G114:H114"/>
    <mergeCell ref="A115:B115"/>
    <mergeCell ref="C115:D115"/>
    <mergeCell ref="E115:F115"/>
    <mergeCell ref="G115:H115"/>
    <mergeCell ref="L202:M202"/>
    <mergeCell ref="L203:M203"/>
    <mergeCell ref="L204:M204"/>
    <mergeCell ref="L205:M205"/>
    <mergeCell ref="L206:M206"/>
    <mergeCell ref="L207:M207"/>
    <mergeCell ref="L208:M208"/>
    <mergeCell ref="L209:M209"/>
    <mergeCell ref="L210:M210"/>
    <mergeCell ref="L185:M185"/>
    <mergeCell ref="L149:M149"/>
    <mergeCell ref="E121:F121"/>
    <mergeCell ref="L176:M176"/>
    <mergeCell ref="B268:H268"/>
    <mergeCell ref="L141:M141"/>
    <mergeCell ref="L138:M138"/>
    <mergeCell ref="L131:M131"/>
    <mergeCell ref="L130:M130"/>
    <mergeCell ref="L129:M129"/>
    <mergeCell ref="L128:M128"/>
    <mergeCell ref="A69:B69"/>
    <mergeCell ref="C69:H69"/>
    <mergeCell ref="A80:B80"/>
    <mergeCell ref="F100:H100"/>
    <mergeCell ref="A100:E100"/>
    <mergeCell ref="D125:D126"/>
    <mergeCell ref="A102:E102"/>
    <mergeCell ref="A109:E109"/>
    <mergeCell ref="A123:H123"/>
    <mergeCell ref="F107:H107"/>
    <mergeCell ref="A108:E108"/>
    <mergeCell ref="F108:H108"/>
    <mergeCell ref="A106:E106"/>
    <mergeCell ref="A112:E112"/>
    <mergeCell ref="F112:H112"/>
    <mergeCell ref="F109:H109"/>
    <mergeCell ref="L211:M211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7:B17">
      <formula1>"CTS No,Survey No,Plot No,Gut No,FP No,"</formula1>
    </dataValidation>
    <dataValidation type="list" allowBlank="1" showInputMessage="1" showErrorMessage="1" sqref="G20:H20">
      <formula1>$S$13:$W$13</formula1>
    </dataValidation>
    <dataValidation type="list" allowBlank="1" showInputMessage="1" showErrorMessage="1" sqref="E125:E126">
      <formula1>"Attached Loft area,Attached Terrace area,Attached Mezzanine area"</formula1>
    </dataValidation>
    <dataValidation type="list" allowBlank="1" showInputMessage="1" showErrorMessage="1" sqref="F126 F157">
      <formula1>"45%,50%,55%,60%"</formula1>
    </dataValidation>
    <dataValidation type="list" allowBlank="1" showInputMessage="1" showErrorMessage="1" sqref="G277:H277">
      <formula1>"Kunal Kadam,Pranita Mhatre,Shruti Fule,Pooja Kawale,Mansee Mohite,Shruti Tathare, Hitakshi Mhatre, Sachin Sawant"</formula1>
    </dataValidation>
    <dataValidation type="list" allowBlank="1" showInputMessage="1" showErrorMessage="1" sqref="F98:H98">
      <formula1>"On Saleable Area,On Builtup Area,On Carpet Area,On Plot Area"</formula1>
    </dataValidation>
    <dataValidation type="list" allowBlank="1" showInputMessage="1" showErrorMessage="1" sqref="F111:H111">
      <formula1>"100000,150000,200000,250000,300000,350000,400000,500000,600000,700000,800000,900000,1000000,1200000,1400000,1500000"</formula1>
    </dataValidation>
    <dataValidation type="list" allowBlank="1" showInputMessage="1" showErrorMessage="1" sqref="F125 F156">
      <formula1>"Saleable area Loading :,Builder Saleable area"</formula1>
    </dataValidation>
    <dataValidation type="list" allowBlank="1" showInputMessage="1" showErrorMessage="1" sqref="B125:B126">
      <formula1>"Shop No. (Sale Plan),Sale / Rehab,Sale / Mhada"</formula1>
    </dataValidation>
    <dataValidation type="list" allowBlank="1" showInputMessage="1" showErrorMessage="1" sqref="B156:B157">
      <formula1>"Flat No. (Sale Plan),Sale / Rehab,Sale / Mhada"</formula1>
    </dataValidation>
    <dataValidation type="list" allowBlank="1" showInputMessage="1" showErrorMessage="1" sqref="C21:D21">
      <formula1>OFFSET($S$13,1,MATCH($G20,$S$13:$W$13,0)-1,15,1)</formula1>
    </dataValidation>
    <dataValidation type="list" allowBlank="1" showInputMessage="1" showErrorMessage="1" sqref="Y13">
      <formula1>$D$4:$H$4</formula1>
    </dataValidation>
  </dataValidations>
  <hyperlinks>
    <hyperlink ref="J65" r:id="rId1"/>
    <hyperlink ref="C40" r:id="rId2" display="https://maps.app.goo.gl/6Ds6QZTmQ4TKhjQz6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281" max="16383" man="1"/>
    <brk id="324" max="16383" man="1"/>
    <brk id="367" max="16383" man="1"/>
    <brk id="410" max="16383" man="1"/>
    <brk id="453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H20" sqref="H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7" t="s">
        <v>102</v>
      </c>
      <c r="C3" s="187"/>
      <c r="D3" s="187"/>
      <c r="E3" s="187"/>
      <c r="F3" s="187"/>
      <c r="G3" s="187"/>
      <c r="H3" s="187"/>
    </row>
    <row r="4" spans="1:9" x14ac:dyDescent="0.35">
      <c r="A4" s="2"/>
      <c r="B4" s="3" t="s">
        <v>103</v>
      </c>
      <c r="C4" s="3" t="s">
        <v>104</v>
      </c>
      <c r="D4" s="3" t="s">
        <v>67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9" ht="15" customHeight="1" x14ac:dyDescent="0.35">
      <c r="A5" s="2"/>
      <c r="B5" s="5" t="s">
        <v>107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110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4"/>
      <c r="C4" s="44" t="s">
        <v>11</v>
      </c>
      <c r="D4" s="45" t="s">
        <v>170</v>
      </c>
      <c r="E4" s="45" t="s">
        <v>180</v>
      </c>
      <c r="F4" s="45" t="s">
        <v>166</v>
      </c>
      <c r="G4" s="45" t="s">
        <v>185</v>
      </c>
      <c r="H4" s="45" t="s">
        <v>203</v>
      </c>
      <c r="J4" t="s">
        <v>185</v>
      </c>
      <c r="K4" t="s">
        <v>201</v>
      </c>
    </row>
    <row r="5" spans="2:11" x14ac:dyDescent="0.35">
      <c r="B5" s="44"/>
      <c r="C5" s="44"/>
      <c r="D5" s="45" t="s">
        <v>171</v>
      </c>
      <c r="E5" s="45" t="s">
        <v>178</v>
      </c>
      <c r="F5" s="45" t="s">
        <v>200</v>
      </c>
      <c r="G5" s="45" t="s">
        <v>186</v>
      </c>
      <c r="H5" s="45" t="s">
        <v>204</v>
      </c>
    </row>
    <row r="6" spans="2:11" x14ac:dyDescent="0.35">
      <c r="B6" s="44"/>
      <c r="C6" s="44"/>
      <c r="D6" s="45" t="s">
        <v>172</v>
      </c>
      <c r="E6" s="45" t="s">
        <v>179</v>
      </c>
      <c r="F6" s="45" t="s">
        <v>201</v>
      </c>
      <c r="G6" s="45" t="s">
        <v>187</v>
      </c>
      <c r="H6" s="45" t="s">
        <v>217</v>
      </c>
    </row>
    <row r="7" spans="2:11" x14ac:dyDescent="0.35">
      <c r="B7" s="44"/>
      <c r="C7" s="44"/>
      <c r="D7" s="45" t="s">
        <v>173</v>
      </c>
      <c r="E7" s="45" t="s">
        <v>181</v>
      </c>
      <c r="F7" s="45" t="s">
        <v>202</v>
      </c>
      <c r="G7" s="45" t="s">
        <v>188</v>
      </c>
      <c r="H7" s="45" t="s">
        <v>205</v>
      </c>
    </row>
    <row r="8" spans="2:11" x14ac:dyDescent="0.35">
      <c r="B8" s="44"/>
      <c r="C8" s="44"/>
      <c r="D8" s="45" t="s">
        <v>174</v>
      </c>
      <c r="E8" s="45" t="s">
        <v>182</v>
      </c>
      <c r="F8" s="45"/>
      <c r="G8" s="45" t="s">
        <v>189</v>
      </c>
      <c r="H8" s="45" t="s">
        <v>206</v>
      </c>
    </row>
    <row r="9" spans="2:11" x14ac:dyDescent="0.35">
      <c r="B9" s="44"/>
      <c r="C9" s="44"/>
      <c r="D9" s="45" t="s">
        <v>175</v>
      </c>
      <c r="E9" s="45" t="s">
        <v>180</v>
      </c>
      <c r="F9" s="45"/>
      <c r="G9" s="45" t="s">
        <v>190</v>
      </c>
      <c r="H9" s="45" t="s">
        <v>207</v>
      </c>
    </row>
    <row r="10" spans="2:11" x14ac:dyDescent="0.35">
      <c r="B10" s="44"/>
      <c r="C10" s="44"/>
      <c r="D10" s="45" t="s">
        <v>176</v>
      </c>
      <c r="E10" s="45" t="s">
        <v>183</v>
      </c>
      <c r="F10" s="45"/>
      <c r="G10" s="45" t="s">
        <v>191</v>
      </c>
      <c r="H10" s="45" t="s">
        <v>208</v>
      </c>
    </row>
    <row r="11" spans="2:11" x14ac:dyDescent="0.35">
      <c r="B11" s="44"/>
      <c r="C11" s="44"/>
      <c r="D11" s="45" t="s">
        <v>177</v>
      </c>
      <c r="E11" s="45" t="s">
        <v>184</v>
      </c>
      <c r="F11" s="45"/>
      <c r="G11" s="45" t="s">
        <v>192</v>
      </c>
      <c r="H11" s="45" t="s">
        <v>209</v>
      </c>
    </row>
    <row r="12" spans="2:11" x14ac:dyDescent="0.35">
      <c r="B12" s="44"/>
      <c r="C12" s="44"/>
      <c r="D12" s="45"/>
      <c r="E12" s="45"/>
      <c r="F12" s="45"/>
      <c r="G12" s="45" t="s">
        <v>193</v>
      </c>
      <c r="H12" s="45" t="s">
        <v>210</v>
      </c>
    </row>
    <row r="13" spans="2:11" x14ac:dyDescent="0.35">
      <c r="B13" s="44"/>
      <c r="C13" s="44"/>
      <c r="D13" s="45"/>
      <c r="E13" s="45"/>
      <c r="F13" s="45"/>
      <c r="G13" s="45" t="s">
        <v>194</v>
      </c>
      <c r="H13" s="45" t="s">
        <v>211</v>
      </c>
    </row>
    <row r="14" spans="2:11" x14ac:dyDescent="0.35">
      <c r="B14" s="44"/>
      <c r="C14" s="44"/>
      <c r="D14" s="45"/>
      <c r="E14" s="45"/>
      <c r="F14" s="45"/>
      <c r="G14" s="45" t="s">
        <v>195</v>
      </c>
      <c r="H14" s="45" t="s">
        <v>212</v>
      </c>
    </row>
    <row r="15" spans="2:11" x14ac:dyDescent="0.35">
      <c r="B15" s="44"/>
      <c r="C15" s="44"/>
      <c r="D15" s="45"/>
      <c r="E15" s="45"/>
      <c r="F15" s="45"/>
      <c r="G15" s="45" t="s">
        <v>196</v>
      </c>
      <c r="H15" s="45" t="s">
        <v>213</v>
      </c>
    </row>
    <row r="16" spans="2:11" x14ac:dyDescent="0.35">
      <c r="B16" s="44"/>
      <c r="C16" s="44"/>
      <c r="D16" s="45"/>
      <c r="E16" s="45"/>
      <c r="F16" s="45"/>
      <c r="G16" s="45" t="s">
        <v>197</v>
      </c>
      <c r="H16" s="45" t="s">
        <v>214</v>
      </c>
    </row>
    <row r="17" spans="2:8" x14ac:dyDescent="0.35">
      <c r="B17" s="44"/>
      <c r="C17" s="44"/>
      <c r="D17" s="45"/>
      <c r="E17" s="45"/>
      <c r="F17" s="45"/>
      <c r="G17" s="45" t="s">
        <v>198</v>
      </c>
      <c r="H17" s="45" t="s">
        <v>215</v>
      </c>
    </row>
    <row r="18" spans="2:8" x14ac:dyDescent="0.35">
      <c r="B18" s="44"/>
      <c r="C18" s="44"/>
      <c r="D18" s="45"/>
      <c r="E18" s="45"/>
      <c r="F18" s="45"/>
      <c r="G18" s="45" t="s">
        <v>199</v>
      </c>
      <c r="H18" s="45" t="s">
        <v>216</v>
      </c>
    </row>
    <row r="24" spans="2:8" x14ac:dyDescent="0.35">
      <c r="C24" t="s">
        <v>163</v>
      </c>
    </row>
    <row r="25" spans="2:8" x14ac:dyDescent="0.35">
      <c r="C25" t="s">
        <v>218</v>
      </c>
    </row>
    <row r="26" spans="2:8" x14ac:dyDescent="0.35">
      <c r="C26" t="s">
        <v>219</v>
      </c>
    </row>
    <row r="27" spans="2:8" x14ac:dyDescent="0.35">
      <c r="C27" t="s">
        <v>220</v>
      </c>
    </row>
    <row r="28" spans="2:8" x14ac:dyDescent="0.35">
      <c r="C28" t="s">
        <v>221</v>
      </c>
    </row>
    <row r="29" spans="2:8" x14ac:dyDescent="0.35">
      <c r="C29" t="s">
        <v>222</v>
      </c>
    </row>
    <row r="30" spans="2:8" x14ac:dyDescent="0.35">
      <c r="C30" t="s">
        <v>163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2025-09-10T09:02:24Z</cp:lastPrinted>
  <dcterms:created xsi:type="dcterms:W3CDTF">2019-07-16T09:29:46Z</dcterms:created>
  <dcterms:modified xsi:type="dcterms:W3CDTF">2025-09-10T09:12:28Z</dcterms:modified>
</cp:coreProperties>
</file>