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Sep 25\DUMP\"/>
    </mc:Choice>
  </mc:AlternateContent>
  <xr:revisionPtr revIDLastSave="0" documentId="13_ncr:1_{3782C829-3464-4EF1-BAA9-69B956528439}" xr6:coauthVersionLast="36" xr6:coauthVersionMax="47" xr10:uidLastSave="{00000000-0000-0000-0000-000000000000}"/>
  <bookViews>
    <workbookView xWindow="0" yWindow="0" windowWidth="20490" windowHeight="6825" tabRatio="725" xr2:uid="{00000000-000D-0000-FFFF-FFFF00000000}"/>
  </bookViews>
  <sheets>
    <sheet name="Report" sheetId="1" r:id="rId1"/>
    <sheet name="valuation" sheetId="5" r:id="rId2"/>
    <sheet name="Note &amp; OV Report" sheetId="4" r:id="rId3"/>
  </sheets>
  <definedNames>
    <definedName name="_xlnm.Print_Area" localSheetId="0">Report!$A$1:$H$342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74" i="1" l="1"/>
  <c r="J173" i="1"/>
  <c r="J172" i="1"/>
  <c r="J171" i="1"/>
  <c r="L169" i="1"/>
  <c r="M168" i="1"/>
  <c r="L168" i="1"/>
  <c r="M154" i="1"/>
  <c r="L155" i="1"/>
  <c r="L154" i="1"/>
  <c r="H164" i="1"/>
  <c r="D169" i="1" l="1"/>
  <c r="D176" i="1"/>
  <c r="D174" i="1"/>
  <c r="D172" i="1"/>
  <c r="D170" i="1"/>
  <c r="D175" i="1"/>
  <c r="D173" i="1"/>
  <c r="D171" i="1"/>
  <c r="J169" i="1"/>
  <c r="J170" i="1" s="1"/>
  <c r="J175" i="1" s="1"/>
  <c r="J176" i="1" s="1"/>
  <c r="J167" i="1"/>
  <c r="J168" i="1"/>
  <c r="J166" i="1"/>
  <c r="F11" i="5"/>
  <c r="G11" i="5" s="1"/>
  <c r="F10" i="5"/>
  <c r="G10" i="5" s="1"/>
  <c r="F9" i="5"/>
  <c r="G9" i="5" s="1"/>
  <c r="F8" i="5"/>
  <c r="G8" i="5" s="1"/>
  <c r="F7" i="5"/>
  <c r="G7" i="5" s="1"/>
  <c r="F6" i="5"/>
  <c r="G6" i="5" s="1"/>
  <c r="F5" i="5"/>
  <c r="G5" i="5" s="1"/>
  <c r="G12" i="5" s="1"/>
  <c r="D257" i="1"/>
  <c r="B239" i="1"/>
  <c r="B238" i="1"/>
  <c r="A238" i="1"/>
  <c r="A239" i="1" s="1"/>
  <c r="A240" i="1" s="1"/>
  <c r="A241" i="1" s="1"/>
  <c r="A242" i="1" s="1"/>
  <c r="A243" i="1" s="1"/>
  <c r="A244" i="1" s="1"/>
  <c r="F234" i="1"/>
  <c r="F233" i="1"/>
  <c r="F232" i="1"/>
  <c r="F231" i="1"/>
  <c r="F230" i="1"/>
  <c r="G229" i="1"/>
  <c r="G230" i="1" s="1"/>
  <c r="G231" i="1" s="1"/>
  <c r="G232" i="1" s="1"/>
  <c r="G233" i="1" s="1"/>
  <c r="G234" i="1" s="1"/>
  <c r="F229" i="1"/>
  <c r="F227" i="1"/>
  <c r="F226" i="1"/>
  <c r="F225" i="1"/>
  <c r="F224" i="1"/>
  <c r="F223" i="1"/>
  <c r="G222" i="1"/>
  <c r="G223" i="1" s="1"/>
  <c r="G224" i="1" s="1"/>
  <c r="G225" i="1" s="1"/>
  <c r="G226" i="1" s="1"/>
  <c r="G227" i="1" s="1"/>
  <c r="F222" i="1"/>
  <c r="F220" i="1"/>
  <c r="F219" i="1"/>
  <c r="F218" i="1"/>
  <c r="F217" i="1"/>
  <c r="F216" i="1"/>
  <c r="G215" i="1"/>
  <c r="G216" i="1" s="1"/>
  <c r="G217" i="1" s="1"/>
  <c r="G218" i="1" s="1"/>
  <c r="G219" i="1" s="1"/>
  <c r="G220" i="1" s="1"/>
  <c r="F215" i="1"/>
  <c r="F213" i="1"/>
  <c r="F212" i="1"/>
  <c r="F211" i="1"/>
  <c r="F210" i="1"/>
  <c r="F209" i="1"/>
  <c r="G208" i="1"/>
  <c r="G209" i="1" s="1"/>
  <c r="G210" i="1" s="1"/>
  <c r="G211" i="1" s="1"/>
  <c r="G212" i="1" s="1"/>
  <c r="G213" i="1" s="1"/>
  <c r="F208" i="1"/>
  <c r="A208" i="1"/>
  <c r="A209" i="1" s="1"/>
  <c r="A210" i="1" s="1"/>
  <c r="A211" i="1" s="1"/>
  <c r="A212" i="1" s="1"/>
  <c r="A213" i="1" s="1"/>
  <c r="F203" i="1"/>
  <c r="F202" i="1"/>
  <c r="F201" i="1"/>
  <c r="F200" i="1"/>
  <c r="F199" i="1"/>
  <c r="F198" i="1"/>
  <c r="A198" i="1"/>
  <c r="A199" i="1" s="1"/>
  <c r="A200" i="1" s="1"/>
  <c r="A201" i="1" s="1"/>
  <c r="A202" i="1" s="1"/>
  <c r="A203" i="1" s="1"/>
  <c r="G197" i="1"/>
  <c r="G198" i="1" s="1"/>
  <c r="G199" i="1" s="1"/>
  <c r="G200" i="1" s="1"/>
  <c r="G201" i="1" s="1"/>
  <c r="G202" i="1" s="1"/>
  <c r="G203" i="1" s="1"/>
  <c r="F197" i="1"/>
  <c r="F185" i="1"/>
  <c r="I183" i="1"/>
  <c r="L180" i="1"/>
  <c r="L181" i="1" s="1"/>
  <c r="K180" i="1"/>
  <c r="K181" i="1" s="1"/>
  <c r="I180" i="1"/>
  <c r="J160" i="1"/>
  <c r="J159" i="1"/>
  <c r="J158" i="1"/>
  <c r="J157" i="1"/>
  <c r="J146" i="1"/>
  <c r="J145" i="1"/>
  <c r="J144" i="1"/>
  <c r="J143" i="1"/>
  <c r="J132" i="1"/>
  <c r="J131" i="1"/>
  <c r="J130" i="1"/>
  <c r="J129" i="1"/>
  <c r="J118" i="1"/>
  <c r="J117" i="1"/>
  <c r="J116" i="1"/>
  <c r="J115" i="1"/>
  <c r="J104" i="1"/>
  <c r="J103" i="1"/>
  <c r="J102" i="1"/>
  <c r="J101" i="1"/>
  <c r="J90" i="1"/>
  <c r="J89" i="1"/>
  <c r="J88" i="1"/>
  <c r="J87" i="1"/>
  <c r="J76" i="1"/>
  <c r="J75" i="1"/>
  <c r="J74" i="1"/>
  <c r="J73" i="1"/>
  <c r="D59" i="1"/>
  <c r="D52" i="1"/>
  <c r="G47" i="1"/>
  <c r="G48" i="1" s="1"/>
  <c r="C47" i="1"/>
  <c r="C48" i="1" s="1"/>
  <c r="I44" i="1"/>
  <c r="E25" i="1"/>
  <c r="E23" i="1"/>
  <c r="C14" i="1"/>
  <c r="E7" i="1"/>
  <c r="E3" i="1"/>
  <c r="H136" i="1"/>
  <c r="P229" i="1"/>
  <c r="H150" i="1"/>
  <c r="P215" i="1"/>
  <c r="H80" i="1"/>
  <c r="O215" i="1"/>
  <c r="H66" i="1"/>
  <c r="O222" i="1"/>
  <c r="H122" i="1"/>
  <c r="P222" i="1"/>
  <c r="H94" i="1"/>
  <c r="O229" i="1"/>
  <c r="H108" i="1"/>
  <c r="E167" i="1" l="1"/>
  <c r="I163" i="1" s="1"/>
  <c r="C165" i="1" s="1"/>
  <c r="D168" i="1"/>
  <c r="G167" i="1"/>
  <c r="D167" i="1"/>
  <c r="P216" i="1"/>
  <c r="P217" i="1" s="1"/>
  <c r="P218" i="1" s="1"/>
  <c r="P219" i="1" s="1"/>
  <c r="P220" i="1" s="1"/>
  <c r="J71" i="1"/>
  <c r="J72" i="1" s="1"/>
  <c r="J77" i="1" s="1"/>
  <c r="J78" i="1" s="1"/>
  <c r="C70" i="1" s="1"/>
  <c r="C71" i="1"/>
  <c r="D71" i="1" s="1"/>
  <c r="J69" i="1"/>
  <c r="D77" i="1"/>
  <c r="D75" i="1"/>
  <c r="D73" i="1"/>
  <c r="D78" i="1"/>
  <c r="D76" i="1"/>
  <c r="D74" i="1"/>
  <c r="D72" i="1"/>
  <c r="J70" i="1"/>
  <c r="C69" i="1" s="1"/>
  <c r="J68" i="1"/>
  <c r="D120" i="1"/>
  <c r="D119" i="1"/>
  <c r="D118" i="1"/>
  <c r="D117" i="1"/>
  <c r="D116" i="1"/>
  <c r="D115" i="1"/>
  <c r="D114" i="1"/>
  <c r="D113" i="1"/>
  <c r="J111" i="1"/>
  <c r="J112" i="1"/>
  <c r="C111" i="1" s="1"/>
  <c r="D111" i="1" s="1"/>
  <c r="J113" i="1"/>
  <c r="J114" i="1" s="1"/>
  <c r="J119" i="1" s="1"/>
  <c r="J120" i="1" s="1"/>
  <c r="C112" i="1" s="1"/>
  <c r="J110" i="1"/>
  <c r="D134" i="1"/>
  <c r="D133" i="1"/>
  <c r="D132" i="1"/>
  <c r="D131" i="1"/>
  <c r="D130" i="1"/>
  <c r="D129" i="1"/>
  <c r="D128" i="1"/>
  <c r="D127" i="1"/>
  <c r="J125" i="1"/>
  <c r="J127" i="1"/>
  <c r="J128" i="1" s="1"/>
  <c r="J133" i="1" s="1"/>
  <c r="J134" i="1" s="1"/>
  <c r="C126" i="1" s="1"/>
  <c r="J126" i="1"/>
  <c r="C125" i="1" s="1"/>
  <c r="D125" i="1" s="1"/>
  <c r="J124" i="1"/>
  <c r="P230" i="1"/>
  <c r="P231" i="1" s="1"/>
  <c r="P232" i="1" s="1"/>
  <c r="P233" i="1" s="1"/>
  <c r="P234" i="1" s="1"/>
  <c r="J85" i="1"/>
  <c r="J86" i="1" s="1"/>
  <c r="J91" i="1" s="1"/>
  <c r="J92" i="1" s="1"/>
  <c r="C84" i="1" s="1"/>
  <c r="J84" i="1"/>
  <c r="C83" i="1" s="1"/>
  <c r="D83" i="1" s="1"/>
  <c r="J82" i="1"/>
  <c r="D91" i="1"/>
  <c r="D90" i="1"/>
  <c r="D88" i="1"/>
  <c r="D86" i="1"/>
  <c r="D92" i="1"/>
  <c r="D89" i="1"/>
  <c r="D87" i="1"/>
  <c r="D85" i="1"/>
  <c r="J83" i="1"/>
  <c r="D106" i="1"/>
  <c r="D105" i="1"/>
  <c r="D104" i="1"/>
  <c r="D103" i="1"/>
  <c r="D102" i="1"/>
  <c r="D101" i="1"/>
  <c r="D100" i="1"/>
  <c r="J98" i="1"/>
  <c r="C97" i="1" s="1"/>
  <c r="D97" i="1" s="1"/>
  <c r="J96" i="1"/>
  <c r="C99" i="1"/>
  <c r="D99" i="1" s="1"/>
  <c r="J99" i="1"/>
  <c r="J100" i="1" s="1"/>
  <c r="J105" i="1" s="1"/>
  <c r="J106" i="1" s="1"/>
  <c r="C98" i="1" s="1"/>
  <c r="J97" i="1"/>
  <c r="P223" i="1"/>
  <c r="P224" i="1" s="1"/>
  <c r="P225" i="1" s="1"/>
  <c r="P226" i="1" s="1"/>
  <c r="P227" i="1" s="1"/>
  <c r="J141" i="1"/>
  <c r="J142" i="1" s="1"/>
  <c r="J147" i="1" s="1"/>
  <c r="J148" i="1" s="1"/>
  <c r="C140" i="1" s="1"/>
  <c r="J140" i="1"/>
  <c r="C139" i="1" s="1"/>
  <c r="D139" i="1" s="1"/>
  <c r="J138" i="1"/>
  <c r="D148" i="1"/>
  <c r="D142" i="1"/>
  <c r="D147" i="1"/>
  <c r="D145" i="1"/>
  <c r="D144" i="1"/>
  <c r="D141" i="1"/>
  <c r="D146" i="1"/>
  <c r="D143" i="1"/>
  <c r="J139" i="1"/>
  <c r="J155" i="1"/>
  <c r="J156" i="1" s="1"/>
  <c r="J161" i="1" s="1"/>
  <c r="J162" i="1" s="1"/>
  <c r="C154" i="1" s="1"/>
  <c r="J154" i="1"/>
  <c r="C153" i="1" s="1"/>
  <c r="J152" i="1"/>
  <c r="D162" i="1"/>
  <c r="D156" i="1"/>
  <c r="D160" i="1"/>
  <c r="D158" i="1"/>
  <c r="D155" i="1"/>
  <c r="D161" i="1"/>
  <c r="D159" i="1"/>
  <c r="D157" i="1"/>
  <c r="J153" i="1"/>
  <c r="O216" i="1"/>
  <c r="N215" i="1"/>
  <c r="A215" i="1" s="1"/>
  <c r="O223" i="1"/>
  <c r="N222" i="1"/>
  <c r="A222" i="1" s="1"/>
  <c r="O230" i="1"/>
  <c r="N229" i="1"/>
  <c r="A229" i="1" s="1"/>
  <c r="E97" i="1" l="1"/>
  <c r="I93" i="1" s="1"/>
  <c r="C95" i="1" s="1"/>
  <c r="D98" i="1"/>
  <c r="E83" i="1"/>
  <c r="I79" i="1" s="1"/>
  <c r="C81" i="1" s="1"/>
  <c r="D84" i="1"/>
  <c r="E69" i="1"/>
  <c r="D70" i="1"/>
  <c r="E153" i="1"/>
  <c r="D154" i="1"/>
  <c r="E139" i="1"/>
  <c r="I135" i="1" s="1"/>
  <c r="C137" i="1" s="1"/>
  <c r="D140" i="1"/>
  <c r="E125" i="1"/>
  <c r="I121" i="1" s="1"/>
  <c r="C123" i="1" s="1"/>
  <c r="D126" i="1"/>
  <c r="E111" i="1"/>
  <c r="I107" i="1" s="1"/>
  <c r="C109" i="1" s="1"/>
  <c r="D112" i="1"/>
  <c r="G153" i="1"/>
  <c r="G97" i="1"/>
  <c r="G69" i="1"/>
  <c r="D63" i="1" s="1"/>
  <c r="O231" i="1"/>
  <c r="N230" i="1"/>
  <c r="A230" i="1" s="1"/>
  <c r="O224" i="1"/>
  <c r="N223" i="1"/>
  <c r="A223" i="1" s="1"/>
  <c r="O217" i="1"/>
  <c r="N216" i="1"/>
  <c r="A216" i="1" s="1"/>
  <c r="D153" i="1"/>
  <c r="G139" i="1"/>
  <c r="G83" i="1"/>
  <c r="G125" i="1"/>
  <c r="G111" i="1"/>
  <c r="D69" i="1"/>
  <c r="O218" i="1" l="1"/>
  <c r="N217" i="1"/>
  <c r="A217" i="1" s="1"/>
  <c r="O225" i="1"/>
  <c r="N224" i="1"/>
  <c r="A224" i="1" s="1"/>
  <c r="O232" i="1"/>
  <c r="N231" i="1"/>
  <c r="A231" i="1" s="1"/>
  <c r="D64" i="1"/>
  <c r="F64" i="1"/>
  <c r="I149" i="1"/>
  <c r="C151" i="1" s="1"/>
  <c r="I65" i="1"/>
  <c r="C67" i="1" s="1"/>
  <c r="O233" i="1" l="1"/>
  <c r="N232" i="1"/>
  <c r="A232" i="1" s="1"/>
  <c r="O226" i="1"/>
  <c r="N225" i="1"/>
  <c r="A225" i="1" s="1"/>
  <c r="O219" i="1"/>
  <c r="N218" i="1"/>
  <c r="A218" i="1" s="1"/>
  <c r="O220" i="1" l="1"/>
  <c r="N220" i="1" s="1"/>
  <c r="A220" i="1" s="1"/>
  <c r="N219" i="1"/>
  <c r="A219" i="1" s="1"/>
  <c r="O227" i="1"/>
  <c r="N227" i="1" s="1"/>
  <c r="A227" i="1" s="1"/>
  <c r="N226" i="1"/>
  <c r="A226" i="1" s="1"/>
  <c r="O234" i="1"/>
  <c r="N234" i="1" s="1"/>
  <c r="A234" i="1" s="1"/>
  <c r="N233" i="1"/>
  <c r="A233" i="1" s="1"/>
</calcChain>
</file>

<file path=xl/sharedStrings.xml><?xml version="1.0" encoding="utf-8"?>
<sst xmlns="http://schemas.openxmlformats.org/spreadsheetml/2006/main" count="519" uniqueCount="211">
  <si>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</si>
  <si>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</si>
  <si>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</si>
  <si>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</si>
  <si>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</si>
  <si>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</si>
  <si>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</si>
  <si>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</si>
  <si>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</si>
  <si>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</si>
  <si>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</si>
  <si>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</si>
  <si>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</si>
  <si>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</si>
  <si>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</si>
  <si>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</si>
  <si>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</si>
  <si>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</si>
  <si>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</si>
  <si>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</si>
  <si>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</si>
  <si>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</si>
  <si>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</si>
  <si>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</si>
  <si>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</si>
  <si>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</si>
  <si>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</si>
  <si>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</si>
  <si>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</si>
  <si>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</si>
  <si>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</si>
  <si>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</si>
  <si>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</si>
  <si>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</si>
  <si>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</si>
  <si>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</si>
  <si>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</si>
  <si>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</si>
  <si>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</si>
  <si>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</si>
  <si>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</si>
  <si>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</si>
  <si>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</si>
  <si>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</si>
  <si>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</si>
  <si>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</si>
  <si>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</si>
  <si>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</si>
  <si>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</si>
  <si>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</si>
  <si>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</si>
  <si>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</si>
  <si>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</si>
  <si>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</si>
  <si>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</si>
  <si>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</si>
  <si>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</si>
  <si>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</si>
  <si>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</si>
  <si>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</si>
  <si>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</si>
  <si>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</si>
  <si>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</si>
  <si>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</si>
  <si>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</si>
  <si>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</si>
  <si>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</si>
  <si>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</si>
  <si>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</si>
  <si>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</si>
  <si>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</si>
  <si>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</si>
  <si>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</si>
  <si>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</si>
  <si>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</si>
  <si>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</si>
  <si>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</si>
  <si>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</si>
  <si>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</si>
  <si>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</si>
  <si>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</si>
  <si>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</si>
  <si>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</si>
  <si>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</si>
  <si>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</si>
  <si>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</si>
  <si>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</si>
  <si>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</si>
  <si>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</si>
  <si>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</si>
  <si>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</si>
  <si>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</si>
  <si>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</si>
  <si>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</si>
  <si>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</si>
  <si>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</si>
  <si>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</si>
  <si>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</si>
  <si>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</si>
  <si>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</si>
  <si>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</si>
  <si>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</si>
  <si>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</si>
  <si>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</si>
  <si>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</si>
  <si>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</si>
  <si>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Legal Services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</si>
  <si>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</si>
  <si>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</si>
  <si>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</si>
  <si>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</si>
  <si>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</si>
  <si>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</si>
  <si>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</si>
  <si>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</si>
  <si>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</si>
  <si>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</si>
  <si>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</si>
  <si>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</si>
  <si>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</si>
  <si>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</si>
  <si>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</si>
  <si>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</si>
  <si>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</si>
  <si>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</si>
  <si>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</si>
  <si>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</si>
  <si>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</si>
  <si>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</si>
  <si>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</si>
  <si>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</si>
  <si>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</si>
  <si>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</si>
  <si>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</si>
  <si>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</si>
  <si>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 xml:space="preserve">Valid Up to:  </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</si>
  <si>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</si>
  <si>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</si>
  <si>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</si>
  <si>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</si>
  <si>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</si>
  <si>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</si>
  <si>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</si>
  <si>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</si>
  <si>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</si>
  <si>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</si>
  <si>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</si>
  <si>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</si>
  <si>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</si>
  <si>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</si>
  <si>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</si>
  <si>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</si>
  <si>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</si>
  <si>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</si>
  <si>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</si>
  <si>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</si>
  <si>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</si>
  <si>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</si>
  <si>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</si>
  <si>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</si>
  <si>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</si>
  <si>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</si>
  <si>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</si>
  <si>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</si>
  <si>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</si>
  <si>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</si>
  <si>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</si>
  <si>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</si>
  <si>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</si>
  <si>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</si>
  <si>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Axis Thane</t>
  </si>
  <si>
    <t>Sheltrex Karjat Pvt. Ltd.</t>
  </si>
  <si>
    <t>Singh 8605446942/ Amol 9764369558</t>
  </si>
  <si>
    <t>3.7 KM from Karjat Railway Station</t>
  </si>
  <si>
    <t>Sr .No</t>
  </si>
  <si>
    <t>Karjat</t>
  </si>
  <si>
    <t>Raigad</t>
  </si>
  <si>
    <t>Akurle Road</t>
  </si>
  <si>
    <t>The Mist</t>
  </si>
  <si>
    <t>Residential + Commercial</t>
  </si>
  <si>
    <t>Open Plot</t>
  </si>
  <si>
    <t>Shivaum Gardens</t>
  </si>
  <si>
    <t>Ulhas River</t>
  </si>
  <si>
    <t>Akurle</t>
  </si>
  <si>
    <t>27/B, 1 to 16  and Old Sr. No. 27, 28,29,31,32,33,34,35/1,37,38/1,41/5</t>
  </si>
  <si>
    <t>X1, X2, X3, X4 Wing = G + 1st to 7th Floor</t>
  </si>
  <si>
    <t>X1 Wing = G + 1st to 7th Floor</t>
  </si>
  <si>
    <t>X2 Wing = G + 1st to 7th Floor</t>
  </si>
  <si>
    <t>X3 &amp; X4 Wing = G + 1st to 7th Floor</t>
  </si>
  <si>
    <t>Y10 Wing = G + 1st to 22nd Floor</t>
  </si>
  <si>
    <t>Y11 Wing = G + 1st to 22nd Floor</t>
  </si>
  <si>
    <t>Y12 Wing = G + 1st to 22nd Floor</t>
  </si>
  <si>
    <t>Y13 &amp; Y14 Wing = G + 1st to 22nd Floor</t>
  </si>
  <si>
    <t>Electrical &amp; Water Connection</t>
  </si>
  <si>
    <t>https://goo.gl/maps/mzVGmcPEWR2Duq6s7</t>
  </si>
  <si>
    <t>Site Meet Person Details ( Name &amp; Contect No.)</t>
  </si>
  <si>
    <t>Mr.Ravindra Prabhat (9730414989).</t>
  </si>
  <si>
    <t>Sheltrex Smart Phone City Project 2</t>
  </si>
  <si>
    <t>X1, X2, X3, X4, Y10, Y11, Y12, Y13 &amp; Y14
Y1, Z1, Z2, Z3, Z4, Z5, Z6 &amp; Z8</t>
  </si>
  <si>
    <t>Project 2 ­ Phase I = P51800012307 - X1, X2, X3, X4, Y10, Y11, Y12, Y13 &amp; Y14, Z4, Z5, Z6
Project 2 - Phase II = P51800012221 -  Z1, Z2, Z3 &amp; Z8
Y1 - Not Registered</t>
  </si>
  <si>
    <t>1.Vitrified tiles flooring 2. Granite Kitchen Platform  3. Decorative Enternace  etc.</t>
  </si>
  <si>
    <t>Y1 Wing = G + 1st to 22nd Floor</t>
  </si>
  <si>
    <t>Y1, Y10, Y11, Y12, Y13 &amp; Y14 Wing = G + 1st to 22nd Floor</t>
  </si>
  <si>
    <t>Z1, Z2, Z3, Z4, Z5, Z6 &amp; Z8 Wing = G + 1st to 23rd Floor</t>
  </si>
  <si>
    <t>17 Building</t>
  </si>
  <si>
    <t>As per RERA - 30/12/2023</t>
  </si>
  <si>
    <t>Office No. 1031, Wing J, Akshar Business Park, Plot No. 03 Sector 25, Near APMC Market, 
Vashi, Navi Mumbai, Maharashtra 400703 TEL: 022-46090378/79/8
E mail : vsjcapf@gmail.com. Web site : www.vsjadon.com</t>
  </si>
  <si>
    <t>Location Link</t>
  </si>
  <si>
    <r>
      <t xml:space="preserve">1. X1, X2, X3, X4, Y1, Y10, Y11, Y12, Y13 &amp; Y14 = Construction work was stopped at the time of Visit.
2. Z1 to Z6 &amp; Z8 = Construction work stopped. As no one found on site we were unable to identify the buildings and its construction stage. 
3. We have considered rate by verifying it from market inquire.
4. Recommended rate should be considered as all inclusive rate if other charges are not mentioned. (Excluding GST &amp; other government Taxes)
5. Car parking is subjected to authentic documentation.
6. </t>
    </r>
    <r>
      <rPr>
        <b/>
        <sz val="12"/>
        <color rgb="FFFF0000"/>
        <rFont val="Times New Roman"/>
        <family val="1"/>
      </rPr>
      <t>As per RERA, completion period of project Sheltrex Smart Phone City Project 2 is expired on 30/12/2023 but still project is under construction.</t>
    </r>
    <r>
      <rPr>
        <b/>
        <sz val="12"/>
        <rFont val="Times New Roman"/>
        <family val="1"/>
      </rPr>
      <t xml:space="preserve">
5. On Site, we meet Mr.Ravindra Prabhat (9730414989).</t>
    </r>
  </si>
  <si>
    <t>Naynesh Lovanshi</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</si>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</sst>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dd\/mm\/yyyy"/>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s>
  <fills count="2">
    <fill>
      <patternFill patternType="none"/>
    </fill>
    <fill>
      <patternFill patternType="gray125"/>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1" fillId="0" borderId="0"/>
    <xf numFmtId="9" fontId="22" fillId="0" borderId="0" applyFont="0" applyFill="0" applyBorder="0" applyAlignment="0" applyProtection="0"/>
    <xf numFmtId="0" fontId="26" fillId="0" borderId="0" applyNumberFormat="0" applyFill="0" applyBorder="0" applyAlignment="0" applyProtection="0"/>
  </cellStyleXfs>
  <cellXfs count="19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9" xfId="8" applyFont="1" applyFill="1" applyBorder="1" applyAlignment="1" applyProtection="1">
      <alignment horizontal="center" vertical="top" wrapText="1"/>
      <protection locked="0"/>
    </xf>
    <xf numFmtId="0" fontId="18" fillId="0" borderId="0" xfId="0" applyFont="1" applyProtection="1">
      <protection hidden="1"/>
    </xf>
    <xf numFmtId="0" fontId="7" fillId="0" borderId="11" xfId="1" applyFont="1" applyBorder="1" applyProtection="1">
      <protection hidden="1"/>
    </xf>
    <xf numFmtId="0" fontId="7" fillId="0" borderId="0" xfId="1" applyFont="1" applyProtection="1">
      <protection hidden="1"/>
    </xf>
    <xf numFmtId="0" fontId="18" fillId="0" borderId="14"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1" fontId="7" fillId="0" borderId="0" xfId="1" applyNumberFormat="1" applyFont="1"/>
    <xf numFmtId="14" fontId="7" fillId="0" borderId="0" xfId="1" applyNumberFormat="1" applyFont="1"/>
    <xf numFmtId="0" fontId="24" fillId="0" borderId="0" xfId="1" applyFont="1"/>
    <xf numFmtId="0" fontId="7" fillId="0" borderId="12" xfId="1" applyFont="1" applyBorder="1" applyProtection="1">
      <protection hidden="1"/>
    </xf>
    <xf numFmtId="0" fontId="7" fillId="0" borderId="13" xfId="1" applyFont="1" applyBorder="1" applyProtection="1">
      <protection hidden="1"/>
    </xf>
    <xf numFmtId="0" fontId="7" fillId="0" borderId="13" xfId="1" applyFont="1" applyBorder="1"/>
    <xf numFmtId="0" fontId="18" fillId="0" borderId="13" xfId="0" applyFont="1" applyBorder="1" applyProtection="1">
      <protection hidden="1"/>
    </xf>
    <xf numFmtId="1" fontId="0" fillId="0" borderId="13" xfId="0" applyNumberFormat="1" applyBorder="1"/>
    <xf numFmtId="1" fontId="0" fillId="0" borderId="13" xfId="0" applyNumberFormat="1" applyBorder="1" applyAlignment="1">
      <alignment horizontal="right"/>
    </xf>
    <xf numFmtId="1" fontId="0" fillId="0" borderId="15"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0" fontId="7" fillId="0" borderId="0" xfId="1"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1" xfId="1" applyFont="1" applyBorder="1" applyAlignment="1" applyProtection="1">
      <alignment horizontal="center" vertical="top" wrapText="1"/>
      <protection locked="0"/>
    </xf>
    <xf numFmtId="9" fontId="7" fillId="0" borderId="1" xfId="1" applyNumberFormat="1" applyFont="1" applyBorder="1" applyAlignment="1" applyProtection="1">
      <alignment horizontal="center" vertical="center" wrapText="1"/>
      <protection hidden="1"/>
    </xf>
    <xf numFmtId="9" fontId="7" fillId="0" borderId="7" xfId="1" applyNumberFormat="1" applyFont="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0" fontId="12" fillId="0" borderId="0" xfId="1" applyFont="1" applyProtection="1">
      <protection hidden="1"/>
    </xf>
    <xf numFmtId="0" fontId="12" fillId="0" borderId="13" xfId="1" applyFont="1" applyBorder="1" applyProtection="1">
      <protection hidden="1"/>
    </xf>
    <xf numFmtId="0" fontId="12" fillId="0" borderId="1" xfId="1" applyFont="1" applyBorder="1" applyAlignment="1" applyProtection="1">
      <alignment horizontal="center" vertical="top" wrapText="1"/>
      <protection locked="0"/>
    </xf>
    <xf numFmtId="0" fontId="14" fillId="0" borderId="0" xfId="0" applyFont="1" applyProtection="1">
      <protection hidden="1"/>
    </xf>
    <xf numFmtId="0" fontId="12" fillId="0" borderId="13"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14" fillId="0" borderId="13" xfId="0" applyFont="1" applyBorder="1" applyProtection="1">
      <protection hidden="1"/>
    </xf>
    <xf numFmtId="1" fontId="12" fillId="0" borderId="1" xfId="1" applyNumberFormat="1" applyFont="1" applyBorder="1" applyAlignment="1" applyProtection="1">
      <alignment horizontal="center" wrapText="1"/>
      <protection locked="0"/>
    </xf>
    <xf numFmtId="1" fontId="25" fillId="0" borderId="13" xfId="0" applyNumberFormat="1" applyFont="1" applyBorder="1"/>
    <xf numFmtId="1" fontId="25" fillId="0" borderId="13" xfId="0" applyNumberFormat="1" applyFont="1" applyBorder="1" applyAlignment="1">
      <alignment horizontal="right"/>
    </xf>
    <xf numFmtId="0" fontId="12" fillId="0" borderId="7" xfId="1" applyFont="1" applyBorder="1" applyAlignment="1" applyProtection="1">
      <alignment horizontal="center" wrapText="1"/>
      <protection locked="0"/>
    </xf>
    <xf numFmtId="9" fontId="12" fillId="0" borderId="7" xfId="1" applyNumberFormat="1" applyFont="1" applyBorder="1" applyAlignment="1" applyProtection="1">
      <alignment horizontal="center" vertical="center" wrapText="1"/>
      <protection hidden="1"/>
    </xf>
    <xf numFmtId="0" fontId="14" fillId="0" borderId="14" xfId="0" applyFont="1" applyBorder="1" applyProtection="1">
      <protection hidden="1"/>
    </xf>
    <xf numFmtId="1" fontId="25" fillId="0" borderId="15" xfId="0" applyNumberFormat="1" applyFont="1" applyBorder="1"/>
    <xf numFmtId="0" fontId="12" fillId="0" borderId="11" xfId="1" applyFont="1" applyBorder="1" applyProtection="1">
      <protection hidden="1"/>
    </xf>
    <xf numFmtId="0" fontId="12" fillId="0" borderId="12" xfId="1" applyFont="1" applyBorder="1" applyProtection="1">
      <protection hidden="1"/>
    </xf>
    <xf numFmtId="165"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6" fillId="0" borderId="9"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1" fontId="8" fillId="0" borderId="23" xfId="1" applyNumberFormat="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27"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22"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3"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167" fontId="13" fillId="0" borderId="1" xfId="1" applyNumberFormat="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9" xfId="0" applyNumberFormat="1" applyFont="1" applyBorder="1" applyAlignment="1" applyProtection="1">
      <alignment vertical="top" wrapText="1"/>
      <protection locked="0"/>
    </xf>
    <xf numFmtId="1" fontId="8" fillId="0" borderId="24" xfId="0" applyNumberFormat="1" applyFont="1" applyBorder="1" applyAlignment="1" applyProtection="1">
      <alignment vertical="top" wrapText="1"/>
      <protection locked="0"/>
    </xf>
    <xf numFmtId="1" fontId="8" fillId="0" borderId="10"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7" fillId="0" borderId="24" xfId="0" applyNumberFormat="1" applyFont="1" applyBorder="1" applyAlignment="1" applyProtection="1">
      <alignment vertical="top" wrapText="1"/>
      <protection locked="0"/>
    </xf>
    <xf numFmtId="1" fontId="17" fillId="0" borderId="10"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3" fillId="0" borderId="24" xfId="0" applyNumberFormat="1" applyFont="1" applyBorder="1" applyAlignment="1" applyProtection="1">
      <alignment vertical="top" wrapText="1"/>
      <protection locked="0"/>
    </xf>
    <xf numFmtId="1" fontId="13" fillId="0" borderId="10" xfId="0" applyNumberFormat="1" applyFont="1" applyBorder="1" applyAlignment="1" applyProtection="1">
      <alignmen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3" fontId="12" fillId="0" borderId="1" xfId="1" applyNumberFormat="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8" fillId="0" borderId="9" xfId="1" applyNumberFormat="1" applyFont="1" applyBorder="1" applyAlignment="1" applyProtection="1">
      <alignment horizontal="center" vertical="center" wrapText="1"/>
      <protection locked="0"/>
    </xf>
    <xf numFmtId="1" fontId="8" fillId="0" borderId="24"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8" fillId="0" borderId="25"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9" fontId="12" fillId="0" borderId="1" xfId="1" applyNumberFormat="1" applyFont="1" applyBorder="1" applyAlignment="1" applyProtection="1">
      <alignment horizontal="center" vertical="center" wrapText="1"/>
      <protection hidden="1"/>
    </xf>
    <xf numFmtId="9" fontId="12" fillId="0" borderId="7" xfId="1" applyNumberFormat="1" applyFont="1" applyBorder="1" applyAlignment="1" applyProtection="1">
      <alignment horizontal="center" vertical="center" wrapText="1"/>
      <protection hidden="1"/>
    </xf>
    <xf numFmtId="9" fontId="12" fillId="0" borderId="5" xfId="1" applyNumberFormat="1" applyFont="1" applyBorder="1" applyAlignment="1" applyProtection="1">
      <alignment horizontal="center" vertical="center" wrapText="1"/>
      <protection hidden="1"/>
    </xf>
    <xf numFmtId="9" fontId="12" fillId="0" borderId="8" xfId="1" applyNumberFormat="1" applyFont="1" applyBorder="1" applyAlignment="1" applyProtection="1">
      <alignment horizontal="center" vertical="center" wrapText="1"/>
      <protection hidden="1"/>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167"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26" fillId="0" borderId="9" xfId="9" applyFill="1" applyBorder="1" applyAlignment="1" applyProtection="1">
      <alignment horizontal="center"/>
      <protection locked="0"/>
    </xf>
    <xf numFmtId="0" fontId="7" fillId="0" borderId="24" xfId="1" applyFont="1" applyBorder="1" applyAlignment="1" applyProtection="1">
      <alignment horizontal="center"/>
      <protection locked="0"/>
    </xf>
    <xf numFmtId="0" fontId="7" fillId="0" borderId="10" xfId="1" applyFont="1" applyBorder="1" applyAlignment="1" applyProtection="1">
      <alignment horizontal="center"/>
      <protection locked="0"/>
    </xf>
    <xf numFmtId="3" fontId="12" fillId="0" borderId="1" xfId="1" applyNumberFormat="1" applyFont="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24" xfId="1" applyNumberFormat="1" applyFont="1" applyBorder="1" applyAlignment="1" applyProtection="1">
      <alignment horizontal="center" vertical="center" wrapText="1"/>
      <protection locked="0"/>
    </xf>
    <xf numFmtId="1" fontId="13" fillId="0" borderId="9" xfId="0" applyNumberFormat="1" applyFont="1" applyBorder="1" applyAlignment="1" applyProtection="1">
      <alignment horizontal="left" vertical="top" wrapText="1"/>
      <protection locked="0"/>
    </xf>
    <xf numFmtId="1" fontId="13" fillId="0" borderId="24" xfId="0" applyNumberFormat="1" applyFont="1" applyBorder="1" applyAlignment="1" applyProtection="1">
      <alignment horizontal="left" vertical="top" wrapText="1"/>
      <protection locked="0"/>
    </xf>
    <xf numFmtId="1" fontId="13" fillId="0" borderId="10" xfId="0" applyNumberFormat="1" applyFont="1" applyBorder="1" applyAlignment="1" applyProtection="1">
      <alignment horizontal="left" vertical="top" wrapText="1"/>
      <protection locked="0"/>
    </xf>
    <xf numFmtId="9" fontId="7" fillId="0" borderId="1" xfId="1" applyNumberFormat="1" applyFont="1" applyBorder="1" applyAlignment="1" applyProtection="1">
      <alignment horizontal="center" vertical="center" wrapText="1"/>
      <protection hidden="1"/>
    </xf>
    <xf numFmtId="9" fontId="7" fillId="0" borderId="7" xfId="1" applyNumberFormat="1" applyFont="1" applyBorder="1" applyAlignment="1" applyProtection="1">
      <alignment horizontal="center" vertical="center" wrapText="1"/>
      <protection hidden="1"/>
    </xf>
    <xf numFmtId="9" fontId="7" fillId="0" borderId="5" xfId="1" applyNumberFormat="1" applyFont="1" applyBorder="1" applyAlignment="1" applyProtection="1">
      <alignment horizontal="center" vertical="center" wrapText="1"/>
      <protection hidden="1"/>
    </xf>
    <xf numFmtId="9" fontId="7" fillId="0" borderId="8" xfId="1" applyNumberFormat="1" applyFont="1" applyBorder="1" applyAlignment="1" applyProtection="1">
      <alignment horizontal="center" vertical="center" wrapText="1"/>
      <protection hidden="1"/>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3" fillId="0" borderId="25"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9" xfId="1" applyFont="1" applyBorder="1" applyAlignment="1" applyProtection="1">
      <alignment horizontal="left" vertical="top" wrapText="1"/>
      <protection locked="0"/>
    </xf>
    <xf numFmtId="0" fontId="12" fillId="0" borderId="2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9"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222888</xdr:colOff>
      <xdr:row>318</xdr:row>
      <xdr:rowOff>189251</xdr:rowOff>
    </xdr:from>
    <xdr:to>
      <xdr:col>6</xdr:col>
      <xdr:colOff>589483</xdr:colOff>
      <xdr:row>337</xdr:row>
      <xdr:rowOff>12006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84888" y="55053251"/>
          <a:ext cx="4514300" cy="3606778"/>
        </a:xfrm>
        <a:prstGeom prst="rect">
          <a:avLst/>
        </a:prstGeom>
        <a:ln>
          <a:solidFill>
            <a:schemeClr val="tx1"/>
          </a:solidFill>
        </a:ln>
      </xdr:spPr>
    </xdr:pic>
    <xdr:clientData/>
  </xdr:twoCellAnchor>
  <xdr:twoCellAnchor editAs="oneCell">
    <xdr:from>
      <xdr:col>1</xdr:col>
      <xdr:colOff>240207</xdr:colOff>
      <xdr:row>300</xdr:row>
      <xdr:rowOff>41415</xdr:rowOff>
    </xdr:from>
    <xdr:to>
      <xdr:col>6</xdr:col>
      <xdr:colOff>606802</xdr:colOff>
      <xdr:row>318</xdr:row>
      <xdr:rowOff>63329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060185" y="33213263"/>
          <a:ext cx="4822639" cy="3600000"/>
        </a:xfrm>
        <a:prstGeom prst="rect">
          <a:avLst/>
        </a:prstGeom>
        <a:ln>
          <a:solidFill>
            <a:schemeClr val="tx1"/>
          </a:solidFill>
        </a:ln>
      </xdr:spPr>
    </xdr:pic>
    <xdr:clientData/>
  </xdr:twoCellAnchor>
  <xdr:twoCellAnchor>
    <xdr:from>
      <xdr:col>10</xdr:col>
      <xdr:colOff>106196</xdr:colOff>
      <xdr:row>257</xdr:row>
      <xdr:rowOff>45719</xdr:rowOff>
    </xdr:from>
    <xdr:to>
      <xdr:col>21</xdr:col>
      <xdr:colOff>474345</xdr:colOff>
      <xdr:row>298</xdr:row>
      <xdr:rowOff>53070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8554871" y="43127294"/>
          <a:ext cx="5616424" cy="8198851"/>
          <a:chOff x="365276" y="43119674"/>
          <a:chExt cx="5606899" cy="8198851"/>
        </a:xfrm>
      </xdr:grpSpPr>
      <xdr:pic>
        <xdr:nvPicPr>
          <xdr:cNvPr id="21" name="Picture 20" descr="https://vsjcllp.vsjadon.com/upload/insp-220670-1525.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67050" y="491585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20670-843.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65276" y="46662974"/>
            <a:ext cx="1805487" cy="2409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20670-844.jp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171950" y="46662975"/>
            <a:ext cx="1800225" cy="24028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20670-861.jpg">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270276" y="46662974"/>
            <a:ext cx="1805487" cy="2409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20670-860.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22776" y="43119674"/>
            <a:ext cx="2583346" cy="34575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20670-880.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523875" y="43119674"/>
            <a:ext cx="2590800" cy="34580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20670-1512.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352550" y="491490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60960</xdr:colOff>
      <xdr:row>257</xdr:row>
      <xdr:rowOff>108585</xdr:rowOff>
    </xdr:from>
    <xdr:to>
      <xdr:col>21</xdr:col>
      <xdr:colOff>139477</xdr:colOff>
      <xdr:row>294</xdr:row>
      <xdr:rowOff>7037</xdr:rowOff>
    </xdr:to>
    <xdr:grpSp>
      <xdr:nvGrpSpPr>
        <xdr:cNvPr id="4" name="Group 3">
          <a:extLst>
            <a:ext uri="{FF2B5EF4-FFF2-40B4-BE49-F238E27FC236}">
              <a16:creationId xmlns:a16="http://schemas.microsoft.com/office/drawing/2014/main" id="{81BEF53A-29A8-60B4-10B6-75B5222E2945}"/>
            </a:ext>
          </a:extLst>
        </xdr:cNvPr>
        <xdr:cNvGrpSpPr/>
      </xdr:nvGrpSpPr>
      <xdr:grpSpPr>
        <a:xfrm>
          <a:off x="8509635" y="43190160"/>
          <a:ext cx="5326792" cy="7289852"/>
          <a:chOff x="683243" y="238440"/>
          <a:chExt cx="5475382" cy="7223177"/>
        </a:xfrm>
      </xdr:grpSpPr>
      <xdr:grpSp>
        <xdr:nvGrpSpPr>
          <xdr:cNvPr id="6" name="Group 5">
            <a:extLst>
              <a:ext uri="{FF2B5EF4-FFF2-40B4-BE49-F238E27FC236}">
                <a16:creationId xmlns:a16="http://schemas.microsoft.com/office/drawing/2014/main" id="{F067CD62-F1B3-1D07-FEDC-7CEE7278D400}"/>
              </a:ext>
            </a:extLst>
          </xdr:cNvPr>
          <xdr:cNvGrpSpPr/>
        </xdr:nvGrpSpPr>
        <xdr:grpSpPr>
          <a:xfrm>
            <a:off x="1417564" y="2956560"/>
            <a:ext cx="4006741" cy="2520000"/>
            <a:chOff x="683243" y="2956560"/>
            <a:chExt cx="4006741" cy="2520000"/>
          </a:xfrm>
        </xdr:grpSpPr>
        <xdr:pic>
          <xdr:nvPicPr>
            <xdr:cNvPr id="13" name="Picture 12">
              <a:extLst>
                <a:ext uri="{FF2B5EF4-FFF2-40B4-BE49-F238E27FC236}">
                  <a16:creationId xmlns:a16="http://schemas.microsoft.com/office/drawing/2014/main" id="{3C7E790B-61EA-0DB4-AB28-75DAB9653C5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683243" y="2956560"/>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C3354C2D-44BB-8E57-14C8-CBB0052B0E45}"/>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2801734" y="2956560"/>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nvGrpSpPr>
          <xdr:cNvPr id="7" name="Group 6">
            <a:extLst>
              <a:ext uri="{FF2B5EF4-FFF2-40B4-BE49-F238E27FC236}">
                <a16:creationId xmlns:a16="http://schemas.microsoft.com/office/drawing/2014/main" id="{53A8C6DD-07E9-D308-1AF1-20BB943E7EA2}"/>
              </a:ext>
            </a:extLst>
          </xdr:cNvPr>
          <xdr:cNvGrpSpPr/>
        </xdr:nvGrpSpPr>
        <xdr:grpSpPr>
          <a:xfrm>
            <a:off x="1957064" y="5661617"/>
            <a:ext cx="2927741" cy="1800000"/>
            <a:chOff x="1222743" y="5661617"/>
            <a:chExt cx="2927741" cy="1800000"/>
          </a:xfrm>
        </xdr:grpSpPr>
        <xdr:pic>
          <xdr:nvPicPr>
            <xdr:cNvPr id="11" name="Picture 10">
              <a:extLst>
                <a:ext uri="{FF2B5EF4-FFF2-40B4-BE49-F238E27FC236}">
                  <a16:creationId xmlns:a16="http://schemas.microsoft.com/office/drawing/2014/main" id="{A06EF570-A745-753A-6E2B-B519F194878C}"/>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801734" y="5661617"/>
              <a:ext cx="1348750" cy="18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a:extLst>
                <a:ext uri="{FF2B5EF4-FFF2-40B4-BE49-F238E27FC236}">
                  <a16:creationId xmlns:a16="http://schemas.microsoft.com/office/drawing/2014/main" id="{8AB5EDF8-296A-B8E7-D43C-523831543393}"/>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222743" y="5661617"/>
              <a:ext cx="1348750" cy="18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nvGrpSpPr>
          <xdr:cNvPr id="8" name="Group 7">
            <a:extLst>
              <a:ext uri="{FF2B5EF4-FFF2-40B4-BE49-F238E27FC236}">
                <a16:creationId xmlns:a16="http://schemas.microsoft.com/office/drawing/2014/main" id="{2AC18ED2-7F53-2F3C-BF9D-54AB6F7B8979}"/>
              </a:ext>
            </a:extLst>
          </xdr:cNvPr>
          <xdr:cNvGrpSpPr/>
        </xdr:nvGrpSpPr>
        <xdr:grpSpPr>
          <a:xfrm>
            <a:off x="683243" y="238440"/>
            <a:ext cx="5475382" cy="2520000"/>
            <a:chOff x="683243" y="238440"/>
            <a:chExt cx="5475382" cy="2520000"/>
          </a:xfrm>
        </xdr:grpSpPr>
        <xdr:pic>
          <xdr:nvPicPr>
            <xdr:cNvPr id="9" name="Picture 8">
              <a:extLst>
                <a:ext uri="{FF2B5EF4-FFF2-40B4-BE49-F238E27FC236}">
                  <a16:creationId xmlns:a16="http://schemas.microsoft.com/office/drawing/2014/main" id="{3DF697E4-367A-25F9-F0AE-39A1F8C46F98}"/>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683243" y="238440"/>
              <a:ext cx="188825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7B388AF3-0EAF-975B-EF94-3F73C5FAE21F}"/>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2801734" y="238440"/>
              <a:ext cx="335689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76200</xdr:colOff>
      <xdr:row>257</xdr:row>
      <xdr:rowOff>161925</xdr:rowOff>
    </xdr:from>
    <xdr:to>
      <xdr:col>7</xdr:col>
      <xdr:colOff>739987</xdr:colOff>
      <xdr:row>287</xdr:row>
      <xdr:rowOff>147366</xdr:rowOff>
    </xdr:to>
    <xdr:grpSp>
      <xdr:nvGrpSpPr>
        <xdr:cNvPr id="22" name="Group 21">
          <a:extLst>
            <a:ext uri="{FF2B5EF4-FFF2-40B4-BE49-F238E27FC236}">
              <a16:creationId xmlns:a16="http://schemas.microsoft.com/office/drawing/2014/main" id="{CDABB76B-F3B7-4BA0-BEF0-13454801A59D}"/>
            </a:ext>
          </a:extLst>
        </xdr:cNvPr>
        <xdr:cNvGrpSpPr/>
      </xdr:nvGrpSpPr>
      <xdr:grpSpPr>
        <a:xfrm>
          <a:off x="76200" y="43243500"/>
          <a:ext cx="6359737" cy="5976666"/>
          <a:chOff x="234844" y="619600"/>
          <a:chExt cx="6359737" cy="5976666"/>
        </a:xfrm>
      </xdr:grpSpPr>
      <xdr:pic>
        <xdr:nvPicPr>
          <xdr:cNvPr id="23" name="Picture 22">
            <a:extLst>
              <a:ext uri="{FF2B5EF4-FFF2-40B4-BE49-F238E27FC236}">
                <a16:creationId xmlns:a16="http://schemas.microsoft.com/office/drawing/2014/main" id="{CBA0F3B7-9B99-4896-921E-4FA3E0F955C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18833" y="619600"/>
            <a:ext cx="2697187" cy="3600000"/>
          </a:xfrm>
          <a:prstGeom prst="rect">
            <a:avLst/>
          </a:prstGeom>
          <a:ln>
            <a:solidFill>
              <a:schemeClr val="tx1"/>
            </a:solidFill>
          </a:ln>
        </xdr:spPr>
      </xdr:pic>
      <xdr:pic>
        <xdr:nvPicPr>
          <xdr:cNvPr id="24" name="Picture 23">
            <a:extLst>
              <a:ext uri="{FF2B5EF4-FFF2-40B4-BE49-F238E27FC236}">
                <a16:creationId xmlns:a16="http://schemas.microsoft.com/office/drawing/2014/main" id="{ED23CDCE-D8CD-462A-9CDB-E38D31AE30D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429000" y="619600"/>
            <a:ext cx="2697187" cy="3600000"/>
          </a:xfrm>
          <a:prstGeom prst="rect">
            <a:avLst/>
          </a:prstGeom>
          <a:ln>
            <a:solidFill>
              <a:schemeClr val="tx1"/>
            </a:solidFill>
          </a:ln>
        </xdr:spPr>
      </xdr:pic>
      <xdr:pic>
        <xdr:nvPicPr>
          <xdr:cNvPr id="25" name="Picture 24">
            <a:extLst>
              <a:ext uri="{FF2B5EF4-FFF2-40B4-BE49-F238E27FC236}">
                <a16:creationId xmlns:a16="http://schemas.microsoft.com/office/drawing/2014/main" id="{E30DC395-CC54-418B-A464-7A53063765FF}"/>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34844" y="4436266"/>
            <a:ext cx="2877333" cy="2160000"/>
          </a:xfrm>
          <a:prstGeom prst="rect">
            <a:avLst/>
          </a:prstGeom>
          <a:ln>
            <a:solidFill>
              <a:schemeClr val="tx1"/>
            </a:solidFill>
          </a:ln>
        </xdr:spPr>
      </xdr:pic>
      <xdr:pic>
        <xdr:nvPicPr>
          <xdr:cNvPr id="26" name="Picture 25">
            <a:extLst>
              <a:ext uri="{FF2B5EF4-FFF2-40B4-BE49-F238E27FC236}">
                <a16:creationId xmlns:a16="http://schemas.microsoft.com/office/drawing/2014/main" id="{A7C0DF18-67EF-4AA8-9DD0-B190BC9036C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244126" y="4436266"/>
            <a:ext cx="1618312" cy="2160000"/>
          </a:xfrm>
          <a:prstGeom prst="rect">
            <a:avLst/>
          </a:prstGeom>
          <a:ln>
            <a:solidFill>
              <a:schemeClr val="tx1"/>
            </a:solidFill>
          </a:ln>
        </xdr:spPr>
      </xdr:pic>
      <xdr:pic>
        <xdr:nvPicPr>
          <xdr:cNvPr id="27" name="Picture 26">
            <a:extLst>
              <a:ext uri="{FF2B5EF4-FFF2-40B4-BE49-F238E27FC236}">
                <a16:creationId xmlns:a16="http://schemas.microsoft.com/office/drawing/2014/main" id="{936A826E-24C0-4F8D-9885-C069A0D3CB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976269" y="4436266"/>
            <a:ext cx="1618312"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mzVGmcPEWR2Duq6s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300"/>
  <sheetViews>
    <sheetView tabSelected="1" view="pageBreakPreview" zoomScaleNormal="100" zoomScaleSheetLayoutView="100" workbookViewId="0">
      <selection activeCell="J9" sqref="J9"/>
    </sheetView>
  </sheetViews>
  <sheetFormatPr defaultColWidth="9.140625" defaultRowHeight="15.75" x14ac:dyDescent="0.25"/>
  <cols>
    <col min="1" max="1" width="11.42578125" style="46" customWidth="1"/>
    <col min="2" max="2" width="12" style="46" customWidth="1"/>
    <col min="3" max="3" width="12.7109375" style="46" customWidth="1"/>
    <col min="4" max="4" width="14.140625" style="46" customWidth="1"/>
    <col min="5" max="7" width="11.7109375" style="46" customWidth="1"/>
    <col min="8" max="8" width="12.42578125" style="46" customWidth="1"/>
    <col min="9" max="9" width="17.42578125" style="25" customWidth="1"/>
    <col min="10" max="10" width="11.42578125" style="25" customWidth="1"/>
    <col min="11" max="11" width="10.5703125" style="25" bestFit="1" customWidth="1"/>
    <col min="12" max="12" width="10.5703125" style="25" customWidth="1"/>
    <col min="13" max="13" width="11.85546875" style="25" customWidth="1"/>
    <col min="14" max="14" width="12.5703125" style="25" hidden="1" customWidth="1"/>
    <col min="15" max="15" width="9.85546875" style="25" hidden="1" customWidth="1"/>
    <col min="16" max="16" width="11.7109375" style="25" hidden="1" customWidth="1"/>
    <col min="17" max="247" width="9.140625" style="25"/>
    <col min="248" max="248" width="8.7109375" style="25" customWidth="1"/>
    <col min="249" max="249" width="9.85546875" style="25" customWidth="1"/>
    <col min="250" max="250" width="14.42578125" style="25" customWidth="1"/>
    <col min="251" max="251" width="7.28515625" style="25" customWidth="1"/>
    <col min="252" max="252" width="5.5703125" style="25" customWidth="1"/>
    <col min="253" max="253" width="9" style="25" customWidth="1"/>
    <col min="254" max="255" width="9.85546875" style="25" customWidth="1"/>
    <col min="256" max="256" width="11.140625" style="25" customWidth="1"/>
    <col min="257" max="257" width="2.85546875" style="25" customWidth="1"/>
    <col min="258" max="258" width="3.5703125" style="25" customWidth="1"/>
    <col min="259" max="503" width="9.140625" style="25"/>
    <col min="504" max="504" width="8.7109375" style="25" customWidth="1"/>
    <col min="505" max="505" width="9.85546875" style="25" customWidth="1"/>
    <col min="506" max="506" width="14.42578125" style="25" customWidth="1"/>
    <col min="507" max="507" width="7.28515625" style="25" customWidth="1"/>
    <col min="508" max="508" width="5.5703125" style="25" customWidth="1"/>
    <col min="509" max="509" width="9" style="25" customWidth="1"/>
    <col min="510" max="511" width="9.85546875" style="25" customWidth="1"/>
    <col min="512" max="512" width="11.140625" style="25" customWidth="1"/>
    <col min="513" max="513" width="2.85546875" style="25" customWidth="1"/>
    <col min="514" max="514" width="3.5703125" style="25" customWidth="1"/>
    <col min="515" max="759" width="9.140625" style="25"/>
    <col min="760" max="760" width="8.7109375" style="25" customWidth="1"/>
    <col min="761" max="761" width="9.85546875" style="25" customWidth="1"/>
    <col min="762" max="762" width="14.42578125" style="25" customWidth="1"/>
    <col min="763" max="763" width="7.28515625" style="25" customWidth="1"/>
    <col min="764" max="764" width="5.5703125" style="25" customWidth="1"/>
    <col min="765" max="765" width="9" style="25" customWidth="1"/>
    <col min="766" max="767" width="9.85546875" style="25" customWidth="1"/>
    <col min="768" max="768" width="11.140625" style="25" customWidth="1"/>
    <col min="769" max="769" width="2.85546875" style="25" customWidth="1"/>
    <col min="770" max="770" width="3.5703125" style="25" customWidth="1"/>
    <col min="771" max="1015" width="9.140625" style="25"/>
    <col min="1016" max="1016" width="8.7109375" style="25" customWidth="1"/>
    <col min="1017" max="1017" width="9.85546875" style="25" customWidth="1"/>
    <col min="1018" max="1018" width="14.42578125" style="25" customWidth="1"/>
    <col min="1019" max="1019" width="7.28515625" style="25" customWidth="1"/>
    <col min="1020" max="1020" width="5.5703125" style="25" customWidth="1"/>
    <col min="1021" max="1021" width="9" style="25" customWidth="1"/>
    <col min="1022" max="1023" width="9.85546875" style="25" customWidth="1"/>
    <col min="1024" max="1024" width="11.140625" style="25" customWidth="1"/>
    <col min="1025" max="1025" width="2.85546875" style="25" customWidth="1"/>
    <col min="1026" max="1026" width="3.5703125" style="25" customWidth="1"/>
    <col min="1027" max="1271" width="9.140625" style="25"/>
    <col min="1272" max="1272" width="8.7109375" style="25" customWidth="1"/>
    <col min="1273" max="1273" width="9.85546875" style="25" customWidth="1"/>
    <col min="1274" max="1274" width="14.42578125" style="25" customWidth="1"/>
    <col min="1275" max="1275" width="7.28515625" style="25" customWidth="1"/>
    <col min="1276" max="1276" width="5.5703125" style="25" customWidth="1"/>
    <col min="1277" max="1277" width="9" style="25" customWidth="1"/>
    <col min="1278" max="1279" width="9.85546875" style="25" customWidth="1"/>
    <col min="1280" max="1280" width="11.140625" style="25" customWidth="1"/>
    <col min="1281" max="1281" width="2.85546875" style="25" customWidth="1"/>
    <col min="1282" max="1282" width="3.5703125" style="25" customWidth="1"/>
    <col min="1283" max="1527" width="9.140625" style="25"/>
    <col min="1528" max="1528" width="8.7109375" style="25" customWidth="1"/>
    <col min="1529" max="1529" width="9.85546875" style="25" customWidth="1"/>
    <col min="1530" max="1530" width="14.42578125" style="25" customWidth="1"/>
    <col min="1531" max="1531" width="7.28515625" style="25" customWidth="1"/>
    <col min="1532" max="1532" width="5.5703125" style="25" customWidth="1"/>
    <col min="1533" max="1533" width="9" style="25" customWidth="1"/>
    <col min="1534" max="1535" width="9.85546875" style="25" customWidth="1"/>
    <col min="1536" max="1536" width="11.140625" style="25" customWidth="1"/>
    <col min="1537" max="1537" width="2.85546875" style="25" customWidth="1"/>
    <col min="1538" max="1538" width="3.5703125" style="25" customWidth="1"/>
    <col min="1539" max="1783" width="9.140625" style="25"/>
    <col min="1784" max="1784" width="8.7109375" style="25" customWidth="1"/>
    <col min="1785" max="1785" width="9.85546875" style="25" customWidth="1"/>
    <col min="1786" max="1786" width="14.42578125" style="25" customWidth="1"/>
    <col min="1787" max="1787" width="7.28515625" style="25" customWidth="1"/>
    <col min="1788" max="1788" width="5.5703125" style="25" customWidth="1"/>
    <col min="1789" max="1789" width="9" style="25" customWidth="1"/>
    <col min="1790" max="1791" width="9.85546875" style="25" customWidth="1"/>
    <col min="1792" max="1792" width="11.140625" style="25" customWidth="1"/>
    <col min="1793" max="1793" width="2.85546875" style="25" customWidth="1"/>
    <col min="1794" max="1794" width="3.5703125" style="25" customWidth="1"/>
    <col min="1795" max="2039" width="9.140625" style="25"/>
    <col min="2040" max="2040" width="8.7109375" style="25" customWidth="1"/>
    <col min="2041" max="2041" width="9.85546875" style="25" customWidth="1"/>
    <col min="2042" max="2042" width="14.42578125" style="25" customWidth="1"/>
    <col min="2043" max="2043" width="7.28515625" style="25" customWidth="1"/>
    <col min="2044" max="2044" width="5.5703125" style="25" customWidth="1"/>
    <col min="2045" max="2045" width="9" style="25" customWidth="1"/>
    <col min="2046" max="2047" width="9.85546875" style="25" customWidth="1"/>
    <col min="2048" max="2048" width="11.140625" style="25" customWidth="1"/>
    <col min="2049" max="2049" width="2.85546875" style="25" customWidth="1"/>
    <col min="2050" max="2050" width="3.5703125" style="25" customWidth="1"/>
    <col min="2051" max="2295" width="9.140625" style="25"/>
    <col min="2296" max="2296" width="8.7109375" style="25" customWidth="1"/>
    <col min="2297" max="2297" width="9.85546875" style="25" customWidth="1"/>
    <col min="2298" max="2298" width="14.42578125" style="25" customWidth="1"/>
    <col min="2299" max="2299" width="7.28515625" style="25" customWidth="1"/>
    <col min="2300" max="2300" width="5.5703125" style="25" customWidth="1"/>
    <col min="2301" max="2301" width="9" style="25" customWidth="1"/>
    <col min="2302" max="2303" width="9.85546875" style="25" customWidth="1"/>
    <col min="2304" max="2304" width="11.140625" style="25" customWidth="1"/>
    <col min="2305" max="2305" width="2.85546875" style="25" customWidth="1"/>
    <col min="2306" max="2306" width="3.5703125" style="25" customWidth="1"/>
    <col min="2307" max="2551" width="9.140625" style="25"/>
    <col min="2552" max="2552" width="8.7109375" style="25" customWidth="1"/>
    <col min="2553" max="2553" width="9.85546875" style="25" customWidth="1"/>
    <col min="2554" max="2554" width="14.42578125" style="25" customWidth="1"/>
    <col min="2555" max="2555" width="7.28515625" style="25" customWidth="1"/>
    <col min="2556" max="2556" width="5.5703125" style="25" customWidth="1"/>
    <col min="2557" max="2557" width="9" style="25" customWidth="1"/>
    <col min="2558" max="2559" width="9.85546875" style="25" customWidth="1"/>
    <col min="2560" max="2560" width="11.140625" style="25" customWidth="1"/>
    <col min="2561" max="2561" width="2.85546875" style="25" customWidth="1"/>
    <col min="2562" max="2562" width="3.5703125" style="25" customWidth="1"/>
    <col min="2563" max="2807" width="9.140625" style="25"/>
    <col min="2808" max="2808" width="8.7109375" style="25" customWidth="1"/>
    <col min="2809" max="2809" width="9.85546875" style="25" customWidth="1"/>
    <col min="2810" max="2810" width="14.42578125" style="25" customWidth="1"/>
    <col min="2811" max="2811" width="7.28515625" style="25" customWidth="1"/>
    <col min="2812" max="2812" width="5.5703125" style="25" customWidth="1"/>
    <col min="2813" max="2813" width="9" style="25" customWidth="1"/>
    <col min="2814" max="2815" width="9.85546875" style="25" customWidth="1"/>
    <col min="2816" max="2816" width="11.140625" style="25" customWidth="1"/>
    <col min="2817" max="2817" width="2.85546875" style="25" customWidth="1"/>
    <col min="2818" max="2818" width="3.5703125" style="25" customWidth="1"/>
    <col min="2819" max="3063" width="9.140625" style="25"/>
    <col min="3064" max="3064" width="8.7109375" style="25" customWidth="1"/>
    <col min="3065" max="3065" width="9.85546875" style="25" customWidth="1"/>
    <col min="3066" max="3066" width="14.42578125" style="25" customWidth="1"/>
    <col min="3067" max="3067" width="7.28515625" style="25" customWidth="1"/>
    <col min="3068" max="3068" width="5.5703125" style="25" customWidth="1"/>
    <col min="3069" max="3069" width="9" style="25" customWidth="1"/>
    <col min="3070" max="3071" width="9.85546875" style="25" customWidth="1"/>
    <col min="3072" max="3072" width="11.140625" style="25" customWidth="1"/>
    <col min="3073" max="3073" width="2.85546875" style="25" customWidth="1"/>
    <col min="3074" max="3074" width="3.5703125" style="25" customWidth="1"/>
    <col min="3075" max="3319" width="9.140625" style="25"/>
    <col min="3320" max="3320" width="8.7109375" style="25" customWidth="1"/>
    <col min="3321" max="3321" width="9.85546875" style="25" customWidth="1"/>
    <col min="3322" max="3322" width="14.42578125" style="25" customWidth="1"/>
    <col min="3323" max="3323" width="7.28515625" style="25" customWidth="1"/>
    <col min="3324" max="3324" width="5.5703125" style="25" customWidth="1"/>
    <col min="3325" max="3325" width="9" style="25" customWidth="1"/>
    <col min="3326" max="3327" width="9.85546875" style="25" customWidth="1"/>
    <col min="3328" max="3328" width="11.140625" style="25" customWidth="1"/>
    <col min="3329" max="3329" width="2.85546875" style="25" customWidth="1"/>
    <col min="3330" max="3330" width="3.5703125" style="25" customWidth="1"/>
    <col min="3331" max="3575" width="9.140625" style="25"/>
    <col min="3576" max="3576" width="8.7109375" style="25" customWidth="1"/>
    <col min="3577" max="3577" width="9.85546875" style="25" customWidth="1"/>
    <col min="3578" max="3578" width="14.42578125" style="25" customWidth="1"/>
    <col min="3579" max="3579" width="7.28515625" style="25" customWidth="1"/>
    <col min="3580" max="3580" width="5.5703125" style="25" customWidth="1"/>
    <col min="3581" max="3581" width="9" style="25" customWidth="1"/>
    <col min="3582" max="3583" width="9.85546875" style="25" customWidth="1"/>
    <col min="3584" max="3584" width="11.140625" style="25" customWidth="1"/>
    <col min="3585" max="3585" width="2.85546875" style="25" customWidth="1"/>
    <col min="3586" max="3586" width="3.5703125" style="25" customWidth="1"/>
    <col min="3587" max="3831" width="9.140625" style="25"/>
    <col min="3832" max="3832" width="8.7109375" style="25" customWidth="1"/>
    <col min="3833" max="3833" width="9.85546875" style="25" customWidth="1"/>
    <col min="3834" max="3834" width="14.42578125" style="25" customWidth="1"/>
    <col min="3835" max="3835" width="7.28515625" style="25" customWidth="1"/>
    <col min="3836" max="3836" width="5.5703125" style="25" customWidth="1"/>
    <col min="3837" max="3837" width="9" style="25" customWidth="1"/>
    <col min="3838" max="3839" width="9.85546875" style="25" customWidth="1"/>
    <col min="3840" max="3840" width="11.140625" style="25" customWidth="1"/>
    <col min="3841" max="3841" width="2.85546875" style="25" customWidth="1"/>
    <col min="3842" max="3842" width="3.5703125" style="25" customWidth="1"/>
    <col min="3843" max="4087" width="9.140625" style="25"/>
    <col min="4088" max="4088" width="8.7109375" style="25" customWidth="1"/>
    <col min="4089" max="4089" width="9.85546875" style="25" customWidth="1"/>
    <col min="4090" max="4090" width="14.42578125" style="25" customWidth="1"/>
    <col min="4091" max="4091" width="7.28515625" style="25" customWidth="1"/>
    <col min="4092" max="4092" width="5.5703125" style="25" customWidth="1"/>
    <col min="4093" max="4093" width="9" style="25" customWidth="1"/>
    <col min="4094" max="4095" width="9.85546875" style="25" customWidth="1"/>
    <col min="4096" max="4096" width="11.140625" style="25" customWidth="1"/>
    <col min="4097" max="4097" width="2.85546875" style="25" customWidth="1"/>
    <col min="4098" max="4098" width="3.5703125" style="25" customWidth="1"/>
    <col min="4099" max="4343" width="9.140625" style="25"/>
    <col min="4344" max="4344" width="8.7109375" style="25" customWidth="1"/>
    <col min="4345" max="4345" width="9.85546875" style="25" customWidth="1"/>
    <col min="4346" max="4346" width="14.42578125" style="25" customWidth="1"/>
    <col min="4347" max="4347" width="7.28515625" style="25" customWidth="1"/>
    <col min="4348" max="4348" width="5.5703125" style="25" customWidth="1"/>
    <col min="4349" max="4349" width="9" style="25" customWidth="1"/>
    <col min="4350" max="4351" width="9.85546875" style="25" customWidth="1"/>
    <col min="4352" max="4352" width="11.140625" style="25" customWidth="1"/>
    <col min="4353" max="4353" width="2.85546875" style="25" customWidth="1"/>
    <col min="4354" max="4354" width="3.5703125" style="25" customWidth="1"/>
    <col min="4355" max="4599" width="9.140625" style="25"/>
    <col min="4600" max="4600" width="8.7109375" style="25" customWidth="1"/>
    <col min="4601" max="4601" width="9.85546875" style="25" customWidth="1"/>
    <col min="4602" max="4602" width="14.42578125" style="25" customWidth="1"/>
    <col min="4603" max="4603" width="7.28515625" style="25" customWidth="1"/>
    <col min="4604" max="4604" width="5.5703125" style="25" customWidth="1"/>
    <col min="4605" max="4605" width="9" style="25" customWidth="1"/>
    <col min="4606" max="4607" width="9.85546875" style="25" customWidth="1"/>
    <col min="4608" max="4608" width="11.140625" style="25" customWidth="1"/>
    <col min="4609" max="4609" width="2.85546875" style="25" customWidth="1"/>
    <col min="4610" max="4610" width="3.5703125" style="25" customWidth="1"/>
    <col min="4611" max="4855" width="9.140625" style="25"/>
    <col min="4856" max="4856" width="8.7109375" style="25" customWidth="1"/>
    <col min="4857" max="4857" width="9.85546875" style="25" customWidth="1"/>
    <col min="4858" max="4858" width="14.42578125" style="25" customWidth="1"/>
    <col min="4859" max="4859" width="7.28515625" style="25" customWidth="1"/>
    <col min="4860" max="4860" width="5.5703125" style="25" customWidth="1"/>
    <col min="4861" max="4861" width="9" style="25" customWidth="1"/>
    <col min="4862" max="4863" width="9.85546875" style="25" customWidth="1"/>
    <col min="4864" max="4864" width="11.140625" style="25" customWidth="1"/>
    <col min="4865" max="4865" width="2.85546875" style="25" customWidth="1"/>
    <col min="4866" max="4866" width="3.5703125" style="25" customWidth="1"/>
    <col min="4867" max="5111" width="9.140625" style="25"/>
    <col min="5112" max="5112" width="8.7109375" style="25" customWidth="1"/>
    <col min="5113" max="5113" width="9.85546875" style="25" customWidth="1"/>
    <col min="5114" max="5114" width="14.42578125" style="25" customWidth="1"/>
    <col min="5115" max="5115" width="7.28515625" style="25" customWidth="1"/>
    <col min="5116" max="5116" width="5.5703125" style="25" customWidth="1"/>
    <col min="5117" max="5117" width="9" style="25" customWidth="1"/>
    <col min="5118" max="5119" width="9.85546875" style="25" customWidth="1"/>
    <col min="5120" max="5120" width="11.140625" style="25" customWidth="1"/>
    <col min="5121" max="5121" width="2.85546875" style="25" customWidth="1"/>
    <col min="5122" max="5122" width="3.5703125" style="25" customWidth="1"/>
    <col min="5123" max="5367" width="9.140625" style="25"/>
    <col min="5368" max="5368" width="8.7109375" style="25" customWidth="1"/>
    <col min="5369" max="5369" width="9.85546875" style="25" customWidth="1"/>
    <col min="5370" max="5370" width="14.42578125" style="25" customWidth="1"/>
    <col min="5371" max="5371" width="7.28515625" style="25" customWidth="1"/>
    <col min="5372" max="5372" width="5.5703125" style="25" customWidth="1"/>
    <col min="5373" max="5373" width="9" style="25" customWidth="1"/>
    <col min="5374" max="5375" width="9.85546875" style="25" customWidth="1"/>
    <col min="5376" max="5376" width="11.140625" style="25" customWidth="1"/>
    <col min="5377" max="5377" width="2.85546875" style="25" customWidth="1"/>
    <col min="5378" max="5378" width="3.5703125" style="25" customWidth="1"/>
    <col min="5379" max="5623" width="9.140625" style="25"/>
    <col min="5624" max="5624" width="8.7109375" style="25" customWidth="1"/>
    <col min="5625" max="5625" width="9.85546875" style="25" customWidth="1"/>
    <col min="5626" max="5626" width="14.42578125" style="25" customWidth="1"/>
    <col min="5627" max="5627" width="7.28515625" style="25" customWidth="1"/>
    <col min="5628" max="5628" width="5.5703125" style="25" customWidth="1"/>
    <col min="5629" max="5629" width="9" style="25" customWidth="1"/>
    <col min="5630" max="5631" width="9.85546875" style="25" customWidth="1"/>
    <col min="5632" max="5632" width="11.140625" style="25" customWidth="1"/>
    <col min="5633" max="5633" width="2.85546875" style="25" customWidth="1"/>
    <col min="5634" max="5634" width="3.5703125" style="25" customWidth="1"/>
    <col min="5635" max="5879" width="9.140625" style="25"/>
    <col min="5880" max="5880" width="8.7109375" style="25" customWidth="1"/>
    <col min="5881" max="5881" width="9.85546875" style="25" customWidth="1"/>
    <col min="5882" max="5882" width="14.42578125" style="25" customWidth="1"/>
    <col min="5883" max="5883" width="7.28515625" style="25" customWidth="1"/>
    <col min="5884" max="5884" width="5.5703125" style="25" customWidth="1"/>
    <col min="5885" max="5885" width="9" style="25" customWidth="1"/>
    <col min="5886" max="5887" width="9.85546875" style="25" customWidth="1"/>
    <col min="5888" max="5888" width="11.140625" style="25" customWidth="1"/>
    <col min="5889" max="5889" width="2.85546875" style="25" customWidth="1"/>
    <col min="5890" max="5890" width="3.5703125" style="25" customWidth="1"/>
    <col min="5891" max="6135" width="9.140625" style="25"/>
    <col min="6136" max="6136" width="8.7109375" style="25" customWidth="1"/>
    <col min="6137" max="6137" width="9.85546875" style="25" customWidth="1"/>
    <col min="6138" max="6138" width="14.42578125" style="25" customWidth="1"/>
    <col min="6139" max="6139" width="7.28515625" style="25" customWidth="1"/>
    <col min="6140" max="6140" width="5.5703125" style="25" customWidth="1"/>
    <col min="6141" max="6141" width="9" style="25" customWidth="1"/>
    <col min="6142" max="6143" width="9.85546875" style="25" customWidth="1"/>
    <col min="6144" max="6144" width="11.140625" style="25" customWidth="1"/>
    <col min="6145" max="6145" width="2.85546875" style="25" customWidth="1"/>
    <col min="6146" max="6146" width="3.5703125" style="25" customWidth="1"/>
    <col min="6147" max="6391" width="9.140625" style="25"/>
    <col min="6392" max="6392" width="8.7109375" style="25" customWidth="1"/>
    <col min="6393" max="6393" width="9.85546875" style="25" customWidth="1"/>
    <col min="6394" max="6394" width="14.42578125" style="25" customWidth="1"/>
    <col min="6395" max="6395" width="7.28515625" style="25" customWidth="1"/>
    <col min="6396" max="6396" width="5.5703125" style="25" customWidth="1"/>
    <col min="6397" max="6397" width="9" style="25" customWidth="1"/>
    <col min="6398" max="6399" width="9.85546875" style="25" customWidth="1"/>
    <col min="6400" max="6400" width="11.140625" style="25" customWidth="1"/>
    <col min="6401" max="6401" width="2.85546875" style="25" customWidth="1"/>
    <col min="6402" max="6402" width="3.5703125" style="25" customWidth="1"/>
    <col min="6403" max="6647" width="9.140625" style="25"/>
    <col min="6648" max="6648" width="8.7109375" style="25" customWidth="1"/>
    <col min="6649" max="6649" width="9.85546875" style="25" customWidth="1"/>
    <col min="6650" max="6650" width="14.42578125" style="25" customWidth="1"/>
    <col min="6651" max="6651" width="7.28515625" style="25" customWidth="1"/>
    <col min="6652" max="6652" width="5.5703125" style="25" customWidth="1"/>
    <col min="6653" max="6653" width="9" style="25" customWidth="1"/>
    <col min="6654" max="6655" width="9.85546875" style="25" customWidth="1"/>
    <col min="6656" max="6656" width="11.140625" style="25" customWidth="1"/>
    <col min="6657" max="6657" width="2.85546875" style="25" customWidth="1"/>
    <col min="6658" max="6658" width="3.5703125" style="25" customWidth="1"/>
    <col min="6659" max="6903" width="9.140625" style="25"/>
    <col min="6904" max="6904" width="8.7109375" style="25" customWidth="1"/>
    <col min="6905" max="6905" width="9.85546875" style="25" customWidth="1"/>
    <col min="6906" max="6906" width="14.42578125" style="25" customWidth="1"/>
    <col min="6907" max="6907" width="7.28515625" style="25" customWidth="1"/>
    <col min="6908" max="6908" width="5.5703125" style="25" customWidth="1"/>
    <col min="6909" max="6909" width="9" style="25" customWidth="1"/>
    <col min="6910" max="6911" width="9.85546875" style="25" customWidth="1"/>
    <col min="6912" max="6912" width="11.140625" style="25" customWidth="1"/>
    <col min="6913" max="6913" width="2.85546875" style="25" customWidth="1"/>
    <col min="6914" max="6914" width="3.5703125" style="25" customWidth="1"/>
    <col min="6915" max="7159" width="9.140625" style="25"/>
    <col min="7160" max="7160" width="8.7109375" style="25" customWidth="1"/>
    <col min="7161" max="7161" width="9.85546875" style="25" customWidth="1"/>
    <col min="7162" max="7162" width="14.42578125" style="25" customWidth="1"/>
    <col min="7163" max="7163" width="7.28515625" style="25" customWidth="1"/>
    <col min="7164" max="7164" width="5.5703125" style="25" customWidth="1"/>
    <col min="7165" max="7165" width="9" style="25" customWidth="1"/>
    <col min="7166" max="7167" width="9.85546875" style="25" customWidth="1"/>
    <col min="7168" max="7168" width="11.140625" style="25" customWidth="1"/>
    <col min="7169" max="7169" width="2.85546875" style="25" customWidth="1"/>
    <col min="7170" max="7170" width="3.5703125" style="25" customWidth="1"/>
    <col min="7171" max="7415" width="9.140625" style="25"/>
    <col min="7416" max="7416" width="8.7109375" style="25" customWidth="1"/>
    <col min="7417" max="7417" width="9.85546875" style="25" customWidth="1"/>
    <col min="7418" max="7418" width="14.42578125" style="25" customWidth="1"/>
    <col min="7419" max="7419" width="7.28515625" style="25" customWidth="1"/>
    <col min="7420" max="7420" width="5.5703125" style="25" customWidth="1"/>
    <col min="7421" max="7421" width="9" style="25" customWidth="1"/>
    <col min="7422" max="7423" width="9.85546875" style="25" customWidth="1"/>
    <col min="7424" max="7424" width="11.140625" style="25" customWidth="1"/>
    <col min="7425" max="7425" width="2.85546875" style="25" customWidth="1"/>
    <col min="7426" max="7426" width="3.5703125" style="25" customWidth="1"/>
    <col min="7427" max="7671" width="9.140625" style="25"/>
    <col min="7672" max="7672" width="8.7109375" style="25" customWidth="1"/>
    <col min="7673" max="7673" width="9.85546875" style="25" customWidth="1"/>
    <col min="7674" max="7674" width="14.42578125" style="25" customWidth="1"/>
    <col min="7675" max="7675" width="7.28515625" style="25" customWidth="1"/>
    <col min="7676" max="7676" width="5.5703125" style="25" customWidth="1"/>
    <col min="7677" max="7677" width="9" style="25" customWidth="1"/>
    <col min="7678" max="7679" width="9.85546875" style="25" customWidth="1"/>
    <col min="7680" max="7680" width="11.140625" style="25" customWidth="1"/>
    <col min="7681" max="7681" width="2.85546875" style="25" customWidth="1"/>
    <col min="7682" max="7682" width="3.5703125" style="25" customWidth="1"/>
    <col min="7683" max="7927" width="9.140625" style="25"/>
    <col min="7928" max="7928" width="8.7109375" style="25" customWidth="1"/>
    <col min="7929" max="7929" width="9.85546875" style="25" customWidth="1"/>
    <col min="7930" max="7930" width="14.42578125" style="25" customWidth="1"/>
    <col min="7931" max="7931" width="7.28515625" style="25" customWidth="1"/>
    <col min="7932" max="7932" width="5.5703125" style="25" customWidth="1"/>
    <col min="7933" max="7933" width="9" style="25" customWidth="1"/>
    <col min="7934" max="7935" width="9.85546875" style="25" customWidth="1"/>
    <col min="7936" max="7936" width="11.140625" style="25" customWidth="1"/>
    <col min="7937" max="7937" width="2.85546875" style="25" customWidth="1"/>
    <col min="7938" max="7938" width="3.5703125" style="25" customWidth="1"/>
    <col min="7939" max="8183" width="9.140625" style="25"/>
    <col min="8184" max="8184" width="8.7109375" style="25" customWidth="1"/>
    <col min="8185" max="8185" width="9.85546875" style="25" customWidth="1"/>
    <col min="8186" max="8186" width="14.42578125" style="25" customWidth="1"/>
    <col min="8187" max="8187" width="7.28515625" style="25" customWidth="1"/>
    <col min="8188" max="8188" width="5.5703125" style="25" customWidth="1"/>
    <col min="8189" max="8189" width="9" style="25" customWidth="1"/>
    <col min="8190" max="8191" width="9.85546875" style="25" customWidth="1"/>
    <col min="8192" max="8192" width="11.140625" style="25" customWidth="1"/>
    <col min="8193" max="8193" width="2.85546875" style="25" customWidth="1"/>
    <col min="8194" max="8194" width="3.5703125" style="25" customWidth="1"/>
    <col min="8195" max="8439" width="9.140625" style="25"/>
    <col min="8440" max="8440" width="8.7109375" style="25" customWidth="1"/>
    <col min="8441" max="8441" width="9.85546875" style="25" customWidth="1"/>
    <col min="8442" max="8442" width="14.42578125" style="25" customWidth="1"/>
    <col min="8443" max="8443" width="7.28515625" style="25" customWidth="1"/>
    <col min="8444" max="8444" width="5.5703125" style="25" customWidth="1"/>
    <col min="8445" max="8445" width="9" style="25" customWidth="1"/>
    <col min="8446" max="8447" width="9.85546875" style="25" customWidth="1"/>
    <col min="8448" max="8448" width="11.140625" style="25" customWidth="1"/>
    <col min="8449" max="8449" width="2.85546875" style="25" customWidth="1"/>
    <col min="8450" max="8450" width="3.5703125" style="25" customWidth="1"/>
    <col min="8451" max="8695" width="9.140625" style="25"/>
    <col min="8696" max="8696" width="8.7109375" style="25" customWidth="1"/>
    <col min="8697" max="8697" width="9.85546875" style="25" customWidth="1"/>
    <col min="8698" max="8698" width="14.42578125" style="25" customWidth="1"/>
    <col min="8699" max="8699" width="7.28515625" style="25" customWidth="1"/>
    <col min="8700" max="8700" width="5.5703125" style="25" customWidth="1"/>
    <col min="8701" max="8701" width="9" style="25" customWidth="1"/>
    <col min="8702" max="8703" width="9.85546875" style="25" customWidth="1"/>
    <col min="8704" max="8704" width="11.140625" style="25" customWidth="1"/>
    <col min="8705" max="8705" width="2.85546875" style="25" customWidth="1"/>
    <col min="8706" max="8706" width="3.5703125" style="25" customWidth="1"/>
    <col min="8707" max="8951" width="9.140625" style="25"/>
    <col min="8952" max="8952" width="8.7109375" style="25" customWidth="1"/>
    <col min="8953" max="8953" width="9.85546875" style="25" customWidth="1"/>
    <col min="8954" max="8954" width="14.42578125" style="25" customWidth="1"/>
    <col min="8955" max="8955" width="7.28515625" style="25" customWidth="1"/>
    <col min="8956" max="8956" width="5.5703125" style="25" customWidth="1"/>
    <col min="8957" max="8957" width="9" style="25" customWidth="1"/>
    <col min="8958" max="8959" width="9.85546875" style="25" customWidth="1"/>
    <col min="8960" max="8960" width="11.140625" style="25" customWidth="1"/>
    <col min="8961" max="8961" width="2.85546875" style="25" customWidth="1"/>
    <col min="8962" max="8962" width="3.5703125" style="25" customWidth="1"/>
    <col min="8963" max="9207" width="9.140625" style="25"/>
    <col min="9208" max="9208" width="8.7109375" style="25" customWidth="1"/>
    <col min="9209" max="9209" width="9.85546875" style="25" customWidth="1"/>
    <col min="9210" max="9210" width="14.42578125" style="25" customWidth="1"/>
    <col min="9211" max="9211" width="7.28515625" style="25" customWidth="1"/>
    <col min="9212" max="9212" width="5.5703125" style="25" customWidth="1"/>
    <col min="9213" max="9213" width="9" style="25" customWidth="1"/>
    <col min="9214" max="9215" width="9.85546875" style="25" customWidth="1"/>
    <col min="9216" max="9216" width="11.140625" style="25" customWidth="1"/>
    <col min="9217" max="9217" width="2.85546875" style="25" customWidth="1"/>
    <col min="9218" max="9218" width="3.5703125" style="25" customWidth="1"/>
    <col min="9219" max="9463" width="9.140625" style="25"/>
    <col min="9464" max="9464" width="8.7109375" style="25" customWidth="1"/>
    <col min="9465" max="9465" width="9.85546875" style="25" customWidth="1"/>
    <col min="9466" max="9466" width="14.42578125" style="25" customWidth="1"/>
    <col min="9467" max="9467" width="7.28515625" style="25" customWidth="1"/>
    <col min="9468" max="9468" width="5.5703125" style="25" customWidth="1"/>
    <col min="9469" max="9469" width="9" style="25" customWidth="1"/>
    <col min="9470" max="9471" width="9.85546875" style="25" customWidth="1"/>
    <col min="9472" max="9472" width="11.140625" style="25" customWidth="1"/>
    <col min="9473" max="9473" width="2.85546875" style="25" customWidth="1"/>
    <col min="9474" max="9474" width="3.5703125" style="25" customWidth="1"/>
    <col min="9475" max="9719" width="9.140625" style="25"/>
    <col min="9720" max="9720" width="8.7109375" style="25" customWidth="1"/>
    <col min="9721" max="9721" width="9.85546875" style="25" customWidth="1"/>
    <col min="9722" max="9722" width="14.42578125" style="25" customWidth="1"/>
    <col min="9723" max="9723" width="7.28515625" style="25" customWidth="1"/>
    <col min="9724" max="9724" width="5.5703125" style="25" customWidth="1"/>
    <col min="9725" max="9725" width="9" style="25" customWidth="1"/>
    <col min="9726" max="9727" width="9.85546875" style="25" customWidth="1"/>
    <col min="9728" max="9728" width="11.140625" style="25" customWidth="1"/>
    <col min="9729" max="9729" width="2.85546875" style="25" customWidth="1"/>
    <col min="9730" max="9730" width="3.5703125" style="25" customWidth="1"/>
    <col min="9731" max="9975" width="9.140625" style="25"/>
    <col min="9976" max="9976" width="8.7109375" style="25" customWidth="1"/>
    <col min="9977" max="9977" width="9.85546875" style="25" customWidth="1"/>
    <col min="9978" max="9978" width="14.42578125" style="25" customWidth="1"/>
    <col min="9979" max="9979" width="7.28515625" style="25" customWidth="1"/>
    <col min="9980" max="9980" width="5.5703125" style="25" customWidth="1"/>
    <col min="9981" max="9981" width="9" style="25" customWidth="1"/>
    <col min="9982" max="9983" width="9.85546875" style="25" customWidth="1"/>
    <col min="9984" max="9984" width="11.140625" style="25" customWidth="1"/>
    <col min="9985" max="9985" width="2.85546875" style="25" customWidth="1"/>
    <col min="9986" max="9986" width="3.5703125" style="25" customWidth="1"/>
    <col min="9987" max="10231" width="9.140625" style="25"/>
    <col min="10232" max="10232" width="8.7109375" style="25" customWidth="1"/>
    <col min="10233" max="10233" width="9.85546875" style="25" customWidth="1"/>
    <col min="10234" max="10234" width="14.42578125" style="25" customWidth="1"/>
    <col min="10235" max="10235" width="7.28515625" style="25" customWidth="1"/>
    <col min="10236" max="10236" width="5.5703125" style="25" customWidth="1"/>
    <col min="10237" max="10237" width="9" style="25" customWidth="1"/>
    <col min="10238" max="10239" width="9.85546875" style="25" customWidth="1"/>
    <col min="10240" max="10240" width="11.140625" style="25" customWidth="1"/>
    <col min="10241" max="10241" width="2.85546875" style="25" customWidth="1"/>
    <col min="10242" max="10242" width="3.5703125" style="25" customWidth="1"/>
    <col min="10243" max="10487" width="9.140625" style="25"/>
    <col min="10488" max="10488" width="8.7109375" style="25" customWidth="1"/>
    <col min="10489" max="10489" width="9.85546875" style="25" customWidth="1"/>
    <col min="10490" max="10490" width="14.42578125" style="25" customWidth="1"/>
    <col min="10491" max="10491" width="7.28515625" style="25" customWidth="1"/>
    <col min="10492" max="10492" width="5.5703125" style="25" customWidth="1"/>
    <col min="10493" max="10493" width="9" style="25" customWidth="1"/>
    <col min="10494" max="10495" width="9.85546875" style="25" customWidth="1"/>
    <col min="10496" max="10496" width="11.140625" style="25" customWidth="1"/>
    <col min="10497" max="10497" width="2.85546875" style="25" customWidth="1"/>
    <col min="10498" max="10498" width="3.5703125" style="25" customWidth="1"/>
    <col min="10499" max="10743" width="9.140625" style="25"/>
    <col min="10744" max="10744" width="8.7109375" style="25" customWidth="1"/>
    <col min="10745" max="10745" width="9.85546875" style="25" customWidth="1"/>
    <col min="10746" max="10746" width="14.42578125" style="25" customWidth="1"/>
    <col min="10747" max="10747" width="7.28515625" style="25" customWidth="1"/>
    <col min="10748" max="10748" width="5.5703125" style="25" customWidth="1"/>
    <col min="10749" max="10749" width="9" style="25" customWidth="1"/>
    <col min="10750" max="10751" width="9.85546875" style="25" customWidth="1"/>
    <col min="10752" max="10752" width="11.140625" style="25" customWidth="1"/>
    <col min="10753" max="10753" width="2.85546875" style="25" customWidth="1"/>
    <col min="10754" max="10754" width="3.5703125" style="25" customWidth="1"/>
    <col min="10755" max="10999" width="9.140625" style="25"/>
    <col min="11000" max="11000" width="8.7109375" style="25" customWidth="1"/>
    <col min="11001" max="11001" width="9.85546875" style="25" customWidth="1"/>
    <col min="11002" max="11002" width="14.42578125" style="25" customWidth="1"/>
    <col min="11003" max="11003" width="7.28515625" style="25" customWidth="1"/>
    <col min="11004" max="11004" width="5.5703125" style="25" customWidth="1"/>
    <col min="11005" max="11005" width="9" style="25" customWidth="1"/>
    <col min="11006" max="11007" width="9.85546875" style="25" customWidth="1"/>
    <col min="11008" max="11008" width="11.140625" style="25" customWidth="1"/>
    <col min="11009" max="11009" width="2.85546875" style="25" customWidth="1"/>
    <col min="11010" max="11010" width="3.5703125" style="25" customWidth="1"/>
    <col min="11011" max="11255" width="9.140625" style="25"/>
    <col min="11256" max="11256" width="8.7109375" style="25" customWidth="1"/>
    <col min="11257" max="11257" width="9.85546875" style="25" customWidth="1"/>
    <col min="11258" max="11258" width="14.42578125" style="25" customWidth="1"/>
    <col min="11259" max="11259" width="7.28515625" style="25" customWidth="1"/>
    <col min="11260" max="11260" width="5.5703125" style="25" customWidth="1"/>
    <col min="11261" max="11261" width="9" style="25" customWidth="1"/>
    <col min="11262" max="11263" width="9.85546875" style="25" customWidth="1"/>
    <col min="11264" max="11264" width="11.140625" style="25" customWidth="1"/>
    <col min="11265" max="11265" width="2.85546875" style="25" customWidth="1"/>
    <col min="11266" max="11266" width="3.5703125" style="25" customWidth="1"/>
    <col min="11267" max="11511" width="9.140625" style="25"/>
    <col min="11512" max="11512" width="8.7109375" style="25" customWidth="1"/>
    <col min="11513" max="11513" width="9.85546875" style="25" customWidth="1"/>
    <col min="11514" max="11514" width="14.42578125" style="25" customWidth="1"/>
    <col min="11515" max="11515" width="7.28515625" style="25" customWidth="1"/>
    <col min="11516" max="11516" width="5.5703125" style="25" customWidth="1"/>
    <col min="11517" max="11517" width="9" style="25" customWidth="1"/>
    <col min="11518" max="11519" width="9.85546875" style="25" customWidth="1"/>
    <col min="11520" max="11520" width="11.140625" style="25" customWidth="1"/>
    <col min="11521" max="11521" width="2.85546875" style="25" customWidth="1"/>
    <col min="11522" max="11522" width="3.5703125" style="25" customWidth="1"/>
    <col min="11523" max="11767" width="9.140625" style="25"/>
    <col min="11768" max="11768" width="8.7109375" style="25" customWidth="1"/>
    <col min="11769" max="11769" width="9.85546875" style="25" customWidth="1"/>
    <col min="11770" max="11770" width="14.42578125" style="25" customWidth="1"/>
    <col min="11771" max="11771" width="7.28515625" style="25" customWidth="1"/>
    <col min="11772" max="11772" width="5.5703125" style="25" customWidth="1"/>
    <col min="11773" max="11773" width="9" style="25" customWidth="1"/>
    <col min="11774" max="11775" width="9.85546875" style="25" customWidth="1"/>
    <col min="11776" max="11776" width="11.140625" style="25" customWidth="1"/>
    <col min="11777" max="11777" width="2.85546875" style="25" customWidth="1"/>
    <col min="11778" max="11778" width="3.5703125" style="25" customWidth="1"/>
    <col min="11779" max="12023" width="9.140625" style="25"/>
    <col min="12024" max="12024" width="8.7109375" style="25" customWidth="1"/>
    <col min="12025" max="12025" width="9.85546875" style="25" customWidth="1"/>
    <col min="12026" max="12026" width="14.42578125" style="25" customWidth="1"/>
    <col min="12027" max="12027" width="7.28515625" style="25" customWidth="1"/>
    <col min="12028" max="12028" width="5.5703125" style="25" customWidth="1"/>
    <col min="12029" max="12029" width="9" style="25" customWidth="1"/>
    <col min="12030" max="12031" width="9.85546875" style="25" customWidth="1"/>
    <col min="12032" max="12032" width="11.140625" style="25" customWidth="1"/>
    <col min="12033" max="12033" width="2.85546875" style="25" customWidth="1"/>
    <col min="12034" max="12034" width="3.5703125" style="25" customWidth="1"/>
    <col min="12035" max="12279" width="9.140625" style="25"/>
    <col min="12280" max="12280" width="8.7109375" style="25" customWidth="1"/>
    <col min="12281" max="12281" width="9.85546875" style="25" customWidth="1"/>
    <col min="12282" max="12282" width="14.42578125" style="25" customWidth="1"/>
    <col min="12283" max="12283" width="7.28515625" style="25" customWidth="1"/>
    <col min="12284" max="12284" width="5.5703125" style="25" customWidth="1"/>
    <col min="12285" max="12285" width="9" style="25" customWidth="1"/>
    <col min="12286" max="12287" width="9.85546875" style="25" customWidth="1"/>
    <col min="12288" max="12288" width="11.140625" style="25" customWidth="1"/>
    <col min="12289" max="12289" width="2.85546875" style="25" customWidth="1"/>
    <col min="12290" max="12290" width="3.5703125" style="25" customWidth="1"/>
    <col min="12291" max="12535" width="9.140625" style="25"/>
    <col min="12536" max="12536" width="8.7109375" style="25" customWidth="1"/>
    <col min="12537" max="12537" width="9.85546875" style="25" customWidth="1"/>
    <col min="12538" max="12538" width="14.42578125" style="25" customWidth="1"/>
    <col min="12539" max="12539" width="7.28515625" style="25" customWidth="1"/>
    <col min="12540" max="12540" width="5.5703125" style="25" customWidth="1"/>
    <col min="12541" max="12541" width="9" style="25" customWidth="1"/>
    <col min="12542" max="12543" width="9.85546875" style="25" customWidth="1"/>
    <col min="12544" max="12544" width="11.140625" style="25" customWidth="1"/>
    <col min="12545" max="12545" width="2.85546875" style="25" customWidth="1"/>
    <col min="12546" max="12546" width="3.5703125" style="25" customWidth="1"/>
    <col min="12547" max="12791" width="9.140625" style="25"/>
    <col min="12792" max="12792" width="8.7109375" style="25" customWidth="1"/>
    <col min="12793" max="12793" width="9.85546875" style="25" customWidth="1"/>
    <col min="12794" max="12794" width="14.42578125" style="25" customWidth="1"/>
    <col min="12795" max="12795" width="7.28515625" style="25" customWidth="1"/>
    <col min="12796" max="12796" width="5.5703125" style="25" customWidth="1"/>
    <col min="12797" max="12797" width="9" style="25" customWidth="1"/>
    <col min="12798" max="12799" width="9.85546875" style="25" customWidth="1"/>
    <col min="12800" max="12800" width="11.140625" style="25" customWidth="1"/>
    <col min="12801" max="12801" width="2.85546875" style="25" customWidth="1"/>
    <col min="12802" max="12802" width="3.5703125" style="25" customWidth="1"/>
    <col min="12803" max="13047" width="9.140625" style="25"/>
    <col min="13048" max="13048" width="8.7109375" style="25" customWidth="1"/>
    <col min="13049" max="13049" width="9.85546875" style="25" customWidth="1"/>
    <col min="13050" max="13050" width="14.42578125" style="25" customWidth="1"/>
    <col min="13051" max="13051" width="7.28515625" style="25" customWidth="1"/>
    <col min="13052" max="13052" width="5.5703125" style="25" customWidth="1"/>
    <col min="13053" max="13053" width="9" style="25" customWidth="1"/>
    <col min="13054" max="13055" width="9.85546875" style="25" customWidth="1"/>
    <col min="13056" max="13056" width="11.140625" style="25" customWidth="1"/>
    <col min="13057" max="13057" width="2.85546875" style="25" customWidth="1"/>
    <col min="13058" max="13058" width="3.5703125" style="25" customWidth="1"/>
    <col min="13059" max="13303" width="9.140625" style="25"/>
    <col min="13304" max="13304" width="8.7109375" style="25" customWidth="1"/>
    <col min="13305" max="13305" width="9.85546875" style="25" customWidth="1"/>
    <col min="13306" max="13306" width="14.42578125" style="25" customWidth="1"/>
    <col min="13307" max="13307" width="7.28515625" style="25" customWidth="1"/>
    <col min="13308" max="13308" width="5.5703125" style="25" customWidth="1"/>
    <col min="13309" max="13309" width="9" style="25" customWidth="1"/>
    <col min="13310" max="13311" width="9.85546875" style="25" customWidth="1"/>
    <col min="13312" max="13312" width="11.140625" style="25" customWidth="1"/>
    <col min="13313" max="13313" width="2.85546875" style="25" customWidth="1"/>
    <col min="13314" max="13314" width="3.5703125" style="25" customWidth="1"/>
    <col min="13315" max="13559" width="9.140625" style="25"/>
    <col min="13560" max="13560" width="8.7109375" style="25" customWidth="1"/>
    <col min="13561" max="13561" width="9.85546875" style="25" customWidth="1"/>
    <col min="13562" max="13562" width="14.42578125" style="25" customWidth="1"/>
    <col min="13563" max="13563" width="7.28515625" style="25" customWidth="1"/>
    <col min="13564" max="13564" width="5.5703125" style="25" customWidth="1"/>
    <col min="13565" max="13565" width="9" style="25" customWidth="1"/>
    <col min="13566" max="13567" width="9.85546875" style="25" customWidth="1"/>
    <col min="13568" max="13568" width="11.140625" style="25" customWidth="1"/>
    <col min="13569" max="13569" width="2.85546875" style="25" customWidth="1"/>
    <col min="13570" max="13570" width="3.5703125" style="25" customWidth="1"/>
    <col min="13571" max="13815" width="9.140625" style="25"/>
    <col min="13816" max="13816" width="8.7109375" style="25" customWidth="1"/>
    <col min="13817" max="13817" width="9.85546875" style="25" customWidth="1"/>
    <col min="13818" max="13818" width="14.42578125" style="25" customWidth="1"/>
    <col min="13819" max="13819" width="7.28515625" style="25" customWidth="1"/>
    <col min="13820" max="13820" width="5.5703125" style="25" customWidth="1"/>
    <col min="13821" max="13821" width="9" style="25" customWidth="1"/>
    <col min="13822" max="13823" width="9.85546875" style="25" customWidth="1"/>
    <col min="13824" max="13824" width="11.140625" style="25" customWidth="1"/>
    <col min="13825" max="13825" width="2.85546875" style="25" customWidth="1"/>
    <col min="13826" max="13826" width="3.5703125" style="25" customWidth="1"/>
    <col min="13827" max="14071" width="9.140625" style="25"/>
    <col min="14072" max="14072" width="8.7109375" style="25" customWidth="1"/>
    <col min="14073" max="14073" width="9.85546875" style="25" customWidth="1"/>
    <col min="14074" max="14074" width="14.42578125" style="25" customWidth="1"/>
    <col min="14075" max="14075" width="7.28515625" style="25" customWidth="1"/>
    <col min="14076" max="14076" width="5.5703125" style="25" customWidth="1"/>
    <col min="14077" max="14077" width="9" style="25" customWidth="1"/>
    <col min="14078" max="14079" width="9.85546875" style="25" customWidth="1"/>
    <col min="14080" max="14080" width="11.140625" style="25" customWidth="1"/>
    <col min="14081" max="14081" width="2.85546875" style="25" customWidth="1"/>
    <col min="14082" max="14082" width="3.5703125" style="25" customWidth="1"/>
    <col min="14083" max="14327" width="9.140625" style="25"/>
    <col min="14328" max="14328" width="8.7109375" style="25" customWidth="1"/>
    <col min="14329" max="14329" width="9.85546875" style="25" customWidth="1"/>
    <col min="14330" max="14330" width="14.42578125" style="25" customWidth="1"/>
    <col min="14331" max="14331" width="7.28515625" style="25" customWidth="1"/>
    <col min="14332" max="14332" width="5.5703125" style="25" customWidth="1"/>
    <col min="14333" max="14333" width="9" style="25" customWidth="1"/>
    <col min="14334" max="14335" width="9.85546875" style="25" customWidth="1"/>
    <col min="14336" max="14336" width="11.140625" style="25" customWidth="1"/>
    <col min="14337" max="14337" width="2.85546875" style="25" customWidth="1"/>
    <col min="14338" max="14338" width="3.5703125" style="25" customWidth="1"/>
    <col min="14339" max="14583" width="9.140625" style="25"/>
    <col min="14584" max="14584" width="8.7109375" style="25" customWidth="1"/>
    <col min="14585" max="14585" width="9.85546875" style="25" customWidth="1"/>
    <col min="14586" max="14586" width="14.42578125" style="25" customWidth="1"/>
    <col min="14587" max="14587" width="7.28515625" style="25" customWidth="1"/>
    <col min="14588" max="14588" width="5.5703125" style="25" customWidth="1"/>
    <col min="14589" max="14589" width="9" style="25" customWidth="1"/>
    <col min="14590" max="14591" width="9.85546875" style="25" customWidth="1"/>
    <col min="14592" max="14592" width="11.140625" style="25" customWidth="1"/>
    <col min="14593" max="14593" width="2.85546875" style="25" customWidth="1"/>
    <col min="14594" max="14594" width="3.5703125" style="25" customWidth="1"/>
    <col min="14595" max="14839" width="9.140625" style="25"/>
    <col min="14840" max="14840" width="8.7109375" style="25" customWidth="1"/>
    <col min="14841" max="14841" width="9.85546875" style="25" customWidth="1"/>
    <col min="14842" max="14842" width="14.42578125" style="25" customWidth="1"/>
    <col min="14843" max="14843" width="7.28515625" style="25" customWidth="1"/>
    <col min="14844" max="14844" width="5.5703125" style="25" customWidth="1"/>
    <col min="14845" max="14845" width="9" style="25" customWidth="1"/>
    <col min="14846" max="14847" width="9.85546875" style="25" customWidth="1"/>
    <col min="14848" max="14848" width="11.140625" style="25" customWidth="1"/>
    <col min="14849" max="14849" width="2.85546875" style="25" customWidth="1"/>
    <col min="14850" max="14850" width="3.5703125" style="25" customWidth="1"/>
    <col min="14851" max="15095" width="9.140625" style="25"/>
    <col min="15096" max="15096" width="8.7109375" style="25" customWidth="1"/>
    <col min="15097" max="15097" width="9.85546875" style="25" customWidth="1"/>
    <col min="15098" max="15098" width="14.42578125" style="25" customWidth="1"/>
    <col min="15099" max="15099" width="7.28515625" style="25" customWidth="1"/>
    <col min="15100" max="15100" width="5.5703125" style="25" customWidth="1"/>
    <col min="15101" max="15101" width="9" style="25" customWidth="1"/>
    <col min="15102" max="15103" width="9.85546875" style="25" customWidth="1"/>
    <col min="15104" max="15104" width="11.140625" style="25" customWidth="1"/>
    <col min="15105" max="15105" width="2.85546875" style="25" customWidth="1"/>
    <col min="15106" max="15106" width="3.5703125" style="25" customWidth="1"/>
    <col min="15107" max="15351" width="9.140625" style="25"/>
    <col min="15352" max="15352" width="8.7109375" style="25" customWidth="1"/>
    <col min="15353" max="15353" width="9.85546875" style="25" customWidth="1"/>
    <col min="15354" max="15354" width="14.42578125" style="25" customWidth="1"/>
    <col min="15355" max="15355" width="7.28515625" style="25" customWidth="1"/>
    <col min="15356" max="15356" width="5.5703125" style="25" customWidth="1"/>
    <col min="15357" max="15357" width="9" style="25" customWidth="1"/>
    <col min="15358" max="15359" width="9.85546875" style="25" customWidth="1"/>
    <col min="15360" max="15360" width="11.140625" style="25" customWidth="1"/>
    <col min="15361" max="15361" width="2.85546875" style="25" customWidth="1"/>
    <col min="15362" max="15362" width="3.5703125" style="25" customWidth="1"/>
    <col min="15363" max="15607" width="9.140625" style="25"/>
    <col min="15608" max="15608" width="8.7109375" style="25" customWidth="1"/>
    <col min="15609" max="15609" width="9.85546875" style="25" customWidth="1"/>
    <col min="15610" max="15610" width="14.42578125" style="25" customWidth="1"/>
    <col min="15611" max="15611" width="7.28515625" style="25" customWidth="1"/>
    <col min="15612" max="15612" width="5.5703125" style="25" customWidth="1"/>
    <col min="15613" max="15613" width="9" style="25" customWidth="1"/>
    <col min="15614" max="15615" width="9.85546875" style="25" customWidth="1"/>
    <col min="15616" max="15616" width="11.140625" style="25" customWidth="1"/>
    <col min="15617" max="15617" width="2.85546875" style="25" customWidth="1"/>
    <col min="15618" max="15618" width="3.5703125" style="25" customWidth="1"/>
    <col min="15619" max="15863" width="9.140625" style="25"/>
    <col min="15864" max="15864" width="8.7109375" style="25" customWidth="1"/>
    <col min="15865" max="15865" width="9.85546875" style="25" customWidth="1"/>
    <col min="15866" max="15866" width="14.42578125" style="25" customWidth="1"/>
    <col min="15867" max="15867" width="7.28515625" style="25" customWidth="1"/>
    <col min="15868" max="15868" width="5.5703125" style="25" customWidth="1"/>
    <col min="15869" max="15869" width="9" style="25" customWidth="1"/>
    <col min="15870" max="15871" width="9.85546875" style="25" customWidth="1"/>
    <col min="15872" max="15872" width="11.140625" style="25" customWidth="1"/>
    <col min="15873" max="15873" width="2.85546875" style="25" customWidth="1"/>
    <col min="15874" max="15874" width="3.5703125" style="25" customWidth="1"/>
    <col min="15875" max="16119" width="9.140625" style="25"/>
    <col min="16120" max="16120" width="8.7109375" style="25" customWidth="1"/>
    <col min="16121" max="16121" width="9.85546875" style="25" customWidth="1"/>
    <col min="16122" max="16122" width="14.42578125" style="25" customWidth="1"/>
    <col min="16123" max="16123" width="7.28515625" style="25" customWidth="1"/>
    <col min="16124" max="16124" width="5.5703125" style="25" customWidth="1"/>
    <col min="16125" max="16125" width="9" style="25" customWidth="1"/>
    <col min="16126" max="16127" width="9.85546875" style="25" customWidth="1"/>
    <col min="16128" max="16128" width="11.140625" style="25" customWidth="1"/>
    <col min="16129" max="16129" width="2.85546875" style="25" customWidth="1"/>
    <col min="16130" max="16130" width="3.5703125" style="25" customWidth="1"/>
    <col min="16131" max="16384" width="9.140625" style="25"/>
  </cols>
  <sheetData>
    <row r="1" spans="1:8" ht="46.5" customHeight="1" x14ac:dyDescent="0.25">
      <c r="A1" s="154" t="s">
        <v>206</v>
      </c>
      <c r="B1" s="154"/>
      <c r="C1" s="154"/>
      <c r="D1" s="154"/>
      <c r="E1" s="154"/>
      <c r="F1" s="154"/>
      <c r="G1" s="154"/>
      <c r="H1" s="154"/>
    </row>
    <row r="2" spans="1:8" ht="16.5" customHeight="1" x14ac:dyDescent="0.25">
      <c r="A2" s="107" t="s">
        <v>0</v>
      </c>
      <c r="B2" s="107"/>
      <c r="C2" s="107"/>
      <c r="D2" s="107"/>
      <c r="E2" s="107"/>
      <c r="F2" s="107"/>
      <c r="G2" s="107"/>
      <c r="H2" s="107"/>
    </row>
    <row r="3" spans="1:8" x14ac:dyDescent="0.25">
      <c r="A3" s="70" t="s">
        <v>1</v>
      </c>
      <c r="B3" s="70"/>
      <c r="C3" s="70"/>
      <c r="D3" s="70"/>
      <c r="E3" s="155" t="str">
        <f ca="1">TEXT(TODAY(),"DD/MM/YYYY")</f>
        <v>18/09/2025</v>
      </c>
      <c r="F3" s="155"/>
      <c r="G3" s="155"/>
      <c r="H3" s="155"/>
    </row>
    <row r="4" spans="1:8" ht="15" customHeight="1" x14ac:dyDescent="0.25">
      <c r="A4" s="70" t="s">
        <v>2</v>
      </c>
      <c r="B4" s="70"/>
      <c r="C4" s="70"/>
      <c r="D4" s="70"/>
      <c r="E4" s="156" t="s">
        <v>170</v>
      </c>
      <c r="F4" s="156"/>
      <c r="G4" s="156"/>
      <c r="H4" s="156"/>
    </row>
    <row r="5" spans="1:8" x14ac:dyDescent="0.25">
      <c r="A5" s="70" t="s">
        <v>3</v>
      </c>
      <c r="B5" s="70"/>
      <c r="C5" s="70"/>
      <c r="D5" s="70"/>
      <c r="E5" s="155">
        <v>45913</v>
      </c>
      <c r="F5" s="155"/>
      <c r="G5" s="155"/>
      <c r="H5" s="155"/>
    </row>
    <row r="6" spans="1:8" ht="16.5" customHeight="1" x14ac:dyDescent="0.25">
      <c r="A6" s="70" t="s">
        <v>4</v>
      </c>
      <c r="B6" s="70"/>
      <c r="C6" s="70"/>
      <c r="D6" s="70"/>
      <c r="E6" s="89" t="s">
        <v>171</v>
      </c>
      <c r="F6" s="89"/>
      <c r="G6" s="89"/>
      <c r="H6" s="89"/>
    </row>
    <row r="7" spans="1:8" ht="15" customHeight="1" x14ac:dyDescent="0.25">
      <c r="A7" s="70" t="s">
        <v>5</v>
      </c>
      <c r="B7" s="70"/>
      <c r="C7" s="70"/>
      <c r="D7" s="70"/>
      <c r="E7" s="89" t="str">
        <f>E6</f>
        <v>Sheltrex Karjat Pvt. Ltd.</v>
      </c>
      <c r="F7" s="89"/>
      <c r="G7" s="89"/>
      <c r="H7" s="89"/>
    </row>
    <row r="8" spans="1:8" x14ac:dyDescent="0.25">
      <c r="A8" s="70" t="s">
        <v>6</v>
      </c>
      <c r="B8" s="70"/>
      <c r="C8" s="70"/>
      <c r="D8" s="70"/>
      <c r="E8" s="87" t="s">
        <v>197</v>
      </c>
      <c r="F8" s="87"/>
      <c r="G8" s="87"/>
      <c r="H8" s="87"/>
    </row>
    <row r="9" spans="1:8" x14ac:dyDescent="0.25">
      <c r="A9" s="70" t="s">
        <v>134</v>
      </c>
      <c r="B9" s="70"/>
      <c r="C9" s="70"/>
      <c r="D9" s="70"/>
      <c r="E9" s="70" t="s">
        <v>172</v>
      </c>
      <c r="F9" s="70"/>
      <c r="G9" s="70"/>
      <c r="H9" s="70"/>
    </row>
    <row r="10" spans="1:8" hidden="1" x14ac:dyDescent="0.25">
      <c r="A10" s="70" t="s">
        <v>195</v>
      </c>
      <c r="B10" s="70"/>
      <c r="C10" s="70"/>
      <c r="D10" s="70"/>
      <c r="E10" s="70" t="s">
        <v>196</v>
      </c>
      <c r="F10" s="70"/>
      <c r="G10" s="70"/>
      <c r="H10" s="70"/>
    </row>
    <row r="11" spans="1:8" ht="30.75" customHeight="1" x14ac:dyDescent="0.25">
      <c r="A11" s="92" t="s">
        <v>7</v>
      </c>
      <c r="B11" s="92"/>
      <c r="C11" s="92"/>
      <c r="D11" s="92"/>
      <c r="E11" s="90" t="s">
        <v>198</v>
      </c>
      <c r="F11" s="90"/>
      <c r="G11" s="90"/>
      <c r="H11" s="90"/>
    </row>
    <row r="12" spans="1:8" x14ac:dyDescent="0.25">
      <c r="A12" s="70" t="s">
        <v>8</v>
      </c>
      <c r="B12" s="70"/>
      <c r="C12" s="70"/>
      <c r="D12" s="70"/>
      <c r="E12" s="90" t="s">
        <v>30</v>
      </c>
      <c r="F12" s="90"/>
      <c r="G12" s="90"/>
      <c r="H12" s="90"/>
    </row>
    <row r="13" spans="1:8" ht="78" customHeight="1" x14ac:dyDescent="0.25">
      <c r="A13" s="70" t="s">
        <v>9</v>
      </c>
      <c r="B13" s="70"/>
      <c r="C13" s="70"/>
      <c r="D13" s="70"/>
      <c r="E13" s="90" t="s">
        <v>199</v>
      </c>
      <c r="F13" s="92"/>
      <c r="G13" s="92"/>
      <c r="H13" s="92"/>
    </row>
    <row r="14" spans="1:8" ht="48.75" customHeight="1" x14ac:dyDescent="0.25">
      <c r="A14" s="89" t="s">
        <v>10</v>
      </c>
      <c r="B14" s="89"/>
      <c r="C14" s="89" t="str">
        <f>CONCATENATE((IF(OR(E8="",E8="NA"),"",E8)),", ",(IF(OR(A15="",A15="NA"),"",A15)),".",(IF(OR(C15="",C15="NA"),"",C15)),", near ",(IF(OR(C19="",C19="NA"),"",C19)),", ",(IF(OR(C16="",C16="NA"),"",C16)),", ",(IF(OR(G16="",G16="NA"),"",G16)),", ",(IF(OR(C17="",C17="NA"),"",C17)),", ",(IF(OR(C18="",C18="NA"),"",C18)),", ",(IF(OR(G17="",G17="NA"),"",G17)),".")</f>
        <v>Sheltrex Smart Phone City Project 2, Sr .No.27/B, 1 to 16  and Old Sr. No. 27, 28,29,31,32,33,34,35/1,37,38/1,41/5, near The Mist, Akurle Road, Akurle, Karjat, Karjat, Raigad.</v>
      </c>
      <c r="D14" s="89"/>
      <c r="E14" s="89"/>
      <c r="F14" s="89"/>
      <c r="G14" s="89"/>
      <c r="H14" s="89"/>
    </row>
    <row r="15" spans="1:8" x14ac:dyDescent="0.25">
      <c r="A15" s="90" t="s">
        <v>174</v>
      </c>
      <c r="B15" s="90"/>
      <c r="C15" s="90" t="s">
        <v>184</v>
      </c>
      <c r="D15" s="90"/>
      <c r="E15" s="90"/>
      <c r="F15" s="90"/>
      <c r="G15" s="90"/>
      <c r="H15" s="90"/>
    </row>
    <row r="16" spans="1:8" ht="15.75" customHeight="1" x14ac:dyDescent="0.25">
      <c r="A16" s="89" t="s">
        <v>11</v>
      </c>
      <c r="B16" s="89"/>
      <c r="C16" s="92" t="s">
        <v>177</v>
      </c>
      <c r="D16" s="92"/>
      <c r="E16" s="89" t="s">
        <v>80</v>
      </c>
      <c r="F16" s="89"/>
      <c r="G16" s="90" t="s">
        <v>183</v>
      </c>
      <c r="H16" s="90"/>
    </row>
    <row r="17" spans="1:8" x14ac:dyDescent="0.25">
      <c r="A17" s="70" t="s">
        <v>13</v>
      </c>
      <c r="B17" s="70"/>
      <c r="C17" s="90" t="s">
        <v>175</v>
      </c>
      <c r="D17" s="90"/>
      <c r="E17" s="89" t="s">
        <v>12</v>
      </c>
      <c r="F17" s="89"/>
      <c r="G17" s="157" t="s">
        <v>176</v>
      </c>
      <c r="H17" s="157"/>
    </row>
    <row r="18" spans="1:8" x14ac:dyDescent="0.25">
      <c r="A18" s="70" t="s">
        <v>81</v>
      </c>
      <c r="B18" s="70"/>
      <c r="C18" s="90" t="s">
        <v>175</v>
      </c>
      <c r="D18" s="90"/>
      <c r="E18" s="89" t="s">
        <v>14</v>
      </c>
      <c r="F18" s="89"/>
      <c r="G18" s="90">
        <v>401201</v>
      </c>
      <c r="H18" s="90"/>
    </row>
    <row r="19" spans="1:8" ht="32.25" customHeight="1" x14ac:dyDescent="0.25">
      <c r="A19" s="70" t="s">
        <v>136</v>
      </c>
      <c r="B19" s="70"/>
      <c r="C19" s="89" t="s">
        <v>178</v>
      </c>
      <c r="D19" s="89"/>
      <c r="E19" s="89" t="s">
        <v>15</v>
      </c>
      <c r="F19" s="89"/>
      <c r="G19" s="90" t="s">
        <v>173</v>
      </c>
      <c r="H19" s="90"/>
    </row>
    <row r="20" spans="1:8" ht="15" customHeight="1" x14ac:dyDescent="0.25">
      <c r="A20" s="89" t="s">
        <v>85</v>
      </c>
      <c r="B20" s="89"/>
      <c r="C20" s="89"/>
      <c r="D20" s="89"/>
      <c r="E20" s="92" t="s">
        <v>16</v>
      </c>
      <c r="F20" s="92"/>
      <c r="G20" s="92"/>
      <c r="H20" s="92"/>
    </row>
    <row r="21" spans="1:8" ht="18.75" customHeight="1" x14ac:dyDescent="0.25">
      <c r="A21" s="89"/>
      <c r="B21" s="89"/>
      <c r="C21" s="89"/>
      <c r="D21" s="89"/>
      <c r="E21" s="92"/>
      <c r="F21" s="92"/>
      <c r="G21" s="92"/>
      <c r="H21" s="92"/>
    </row>
    <row r="22" spans="1:8" ht="15" customHeight="1" x14ac:dyDescent="0.25">
      <c r="A22" s="89" t="s">
        <v>17</v>
      </c>
      <c r="B22" s="89"/>
      <c r="C22" s="89"/>
      <c r="D22" s="89"/>
      <c r="E22" s="90" t="s">
        <v>18</v>
      </c>
      <c r="F22" s="90"/>
      <c r="G22" s="90"/>
      <c r="H22" s="90"/>
    </row>
    <row r="23" spans="1:8" ht="15" customHeight="1" x14ac:dyDescent="0.25">
      <c r="A23" s="70" t="s">
        <v>19</v>
      </c>
      <c r="B23" s="70"/>
      <c r="C23" s="70"/>
      <c r="D23" s="70"/>
      <c r="E23" s="90" t="str">
        <f>IF(AND(G17="Mumbai"),"Upper Class","Middle Class")</f>
        <v>Middle Class</v>
      </c>
      <c r="F23" s="90"/>
      <c r="G23" s="90"/>
      <c r="H23" s="90"/>
    </row>
    <row r="24" spans="1:8" x14ac:dyDescent="0.25">
      <c r="A24" s="70" t="s">
        <v>20</v>
      </c>
      <c r="B24" s="70"/>
      <c r="C24" s="70"/>
      <c r="D24" s="70"/>
      <c r="E24" s="90" t="s">
        <v>21</v>
      </c>
      <c r="F24" s="90"/>
      <c r="G24" s="90"/>
      <c r="H24" s="90"/>
    </row>
    <row r="25" spans="1:8" ht="15.75" customHeight="1" x14ac:dyDescent="0.25">
      <c r="A25" s="70" t="s">
        <v>22</v>
      </c>
      <c r="B25" s="70"/>
      <c r="C25" s="70"/>
      <c r="D25" s="70"/>
      <c r="E25" s="90" t="str">
        <f>IF(AND(G17="Mumbai"),"Developed","Developing")</f>
        <v>Developing</v>
      </c>
      <c r="F25" s="90"/>
      <c r="G25" s="90"/>
      <c r="H25" s="90"/>
    </row>
    <row r="26" spans="1:8" x14ac:dyDescent="0.25">
      <c r="A26" s="70" t="s">
        <v>23</v>
      </c>
      <c r="B26" s="70"/>
      <c r="C26" s="70"/>
      <c r="D26" s="70"/>
      <c r="E26" s="90" t="s">
        <v>24</v>
      </c>
      <c r="F26" s="90"/>
      <c r="G26" s="90"/>
      <c r="H26" s="90"/>
    </row>
    <row r="27" spans="1:8" x14ac:dyDescent="0.25">
      <c r="A27" s="70" t="s">
        <v>91</v>
      </c>
      <c r="B27" s="70"/>
      <c r="C27" s="70"/>
      <c r="D27" s="70"/>
      <c r="E27" s="90" t="s">
        <v>92</v>
      </c>
      <c r="F27" s="90"/>
      <c r="G27" s="90"/>
      <c r="H27" s="90"/>
    </row>
    <row r="28" spans="1:8" ht="15" customHeight="1" x14ac:dyDescent="0.25">
      <c r="A28" s="89" t="s">
        <v>35</v>
      </c>
      <c r="B28" s="89"/>
      <c r="C28" s="89"/>
      <c r="D28" s="89"/>
      <c r="E28" s="156" t="s">
        <v>179</v>
      </c>
      <c r="F28" s="156"/>
      <c r="G28" s="156"/>
      <c r="H28" s="156"/>
    </row>
    <row r="29" spans="1:8" x14ac:dyDescent="0.25">
      <c r="A29" s="89" t="s">
        <v>103</v>
      </c>
      <c r="B29" s="89"/>
      <c r="C29" s="89"/>
      <c r="D29" s="89"/>
      <c r="E29" s="89" t="s">
        <v>36</v>
      </c>
      <c r="F29" s="89"/>
      <c r="G29" s="89"/>
      <c r="H29" s="89"/>
    </row>
    <row r="30" spans="1:8" s="26" customFormat="1" x14ac:dyDescent="0.25">
      <c r="A30" s="164" t="s">
        <v>104</v>
      </c>
      <c r="B30" s="164"/>
      <c r="C30" s="161" t="s">
        <v>29</v>
      </c>
      <c r="D30" s="161"/>
      <c r="E30" s="161"/>
      <c r="F30" s="161" t="s">
        <v>31</v>
      </c>
      <c r="G30" s="161"/>
      <c r="H30" s="161"/>
    </row>
    <row r="31" spans="1:8" s="26" customFormat="1" x14ac:dyDescent="0.25">
      <c r="A31" s="158" t="s">
        <v>25</v>
      </c>
      <c r="B31" s="158" t="s">
        <v>30</v>
      </c>
      <c r="C31" s="159" t="s">
        <v>30</v>
      </c>
      <c r="D31" s="159"/>
      <c r="E31" s="159"/>
      <c r="F31" s="159" t="s">
        <v>181</v>
      </c>
      <c r="G31" s="159"/>
      <c r="H31" s="159"/>
    </row>
    <row r="32" spans="1:8" x14ac:dyDescent="0.25">
      <c r="A32" s="158" t="s">
        <v>26</v>
      </c>
      <c r="B32" s="158" t="s">
        <v>30</v>
      </c>
      <c r="C32" s="159" t="s">
        <v>30</v>
      </c>
      <c r="D32" s="159"/>
      <c r="E32" s="159"/>
      <c r="F32" s="159" t="s">
        <v>182</v>
      </c>
      <c r="G32" s="159"/>
      <c r="H32" s="159"/>
    </row>
    <row r="33" spans="1:9" s="26" customFormat="1" x14ac:dyDescent="0.25">
      <c r="A33" s="158" t="s">
        <v>28</v>
      </c>
      <c r="B33" s="158" t="s">
        <v>30</v>
      </c>
      <c r="C33" s="159" t="s">
        <v>30</v>
      </c>
      <c r="D33" s="159"/>
      <c r="E33" s="159"/>
      <c r="F33" s="159" t="s">
        <v>180</v>
      </c>
      <c r="G33" s="159"/>
      <c r="H33" s="159"/>
    </row>
    <row r="34" spans="1:9" x14ac:dyDescent="0.25">
      <c r="A34" s="158" t="s">
        <v>27</v>
      </c>
      <c r="B34" s="158" t="s">
        <v>30</v>
      </c>
      <c r="C34" s="159" t="s">
        <v>30</v>
      </c>
      <c r="D34" s="159"/>
      <c r="E34" s="159"/>
      <c r="F34" s="159" t="s">
        <v>180</v>
      </c>
      <c r="G34" s="159"/>
      <c r="H34" s="159"/>
    </row>
    <row r="35" spans="1:9" x14ac:dyDescent="0.25">
      <c r="A35" s="70" t="s">
        <v>32</v>
      </c>
      <c r="B35" s="70"/>
      <c r="C35" s="70"/>
      <c r="D35" s="70"/>
      <c r="E35" s="70"/>
      <c r="F35" s="70"/>
      <c r="G35" s="70"/>
      <c r="H35" s="70"/>
    </row>
    <row r="36" spans="1:9" ht="15.75" customHeight="1" x14ac:dyDescent="0.25">
      <c r="A36" s="107" t="s">
        <v>33</v>
      </c>
      <c r="B36" s="107"/>
      <c r="C36" s="162">
        <v>18.902647000000002</v>
      </c>
      <c r="D36" s="162"/>
      <c r="E36" s="107" t="s">
        <v>34</v>
      </c>
      <c r="F36" s="107"/>
      <c r="G36" s="163">
        <v>73.322764000000006</v>
      </c>
      <c r="H36" s="163"/>
    </row>
    <row r="37" spans="1:9" ht="15.75" customHeight="1" x14ac:dyDescent="0.25">
      <c r="A37" s="107" t="s">
        <v>207</v>
      </c>
      <c r="B37" s="107"/>
      <c r="C37" s="165" t="s">
        <v>194</v>
      </c>
      <c r="D37" s="166"/>
      <c r="E37" s="166"/>
      <c r="F37" s="166"/>
      <c r="G37" s="166"/>
      <c r="H37" s="167"/>
    </row>
    <row r="38" spans="1:9" x14ac:dyDescent="0.25">
      <c r="A38" s="87" t="s">
        <v>37</v>
      </c>
      <c r="B38" s="87"/>
      <c r="C38" s="87"/>
      <c r="D38" s="87"/>
      <c r="E38" s="87"/>
      <c r="F38" s="87"/>
      <c r="G38" s="87"/>
      <c r="H38" s="87"/>
    </row>
    <row r="39" spans="1:9" x14ac:dyDescent="0.25">
      <c r="A39" s="70" t="s">
        <v>38</v>
      </c>
      <c r="B39" s="70"/>
      <c r="C39" s="70"/>
      <c r="D39" s="70"/>
      <c r="E39" s="160" t="s">
        <v>30</v>
      </c>
      <c r="F39" s="160"/>
      <c r="G39" s="160"/>
      <c r="H39" s="160"/>
    </row>
    <row r="40" spans="1:9" x14ac:dyDescent="0.25">
      <c r="A40" s="70" t="s">
        <v>39</v>
      </c>
      <c r="B40" s="70"/>
      <c r="C40" s="70"/>
      <c r="D40" s="70"/>
      <c r="E40" s="69" t="s">
        <v>30</v>
      </c>
      <c r="F40" s="69"/>
      <c r="G40" s="69"/>
      <c r="H40" s="69"/>
    </row>
    <row r="41" spans="1:9" x14ac:dyDescent="0.25">
      <c r="A41" s="70" t="s">
        <v>40</v>
      </c>
      <c r="B41" s="70"/>
      <c r="C41" s="70"/>
      <c r="D41" s="70"/>
      <c r="E41" s="69" t="s">
        <v>30</v>
      </c>
      <c r="F41" s="69"/>
      <c r="G41" s="69"/>
      <c r="H41" s="69"/>
    </row>
    <row r="42" spans="1:9" x14ac:dyDescent="0.25">
      <c r="A42" s="70" t="s">
        <v>41</v>
      </c>
      <c r="B42" s="70"/>
      <c r="C42" s="70"/>
      <c r="D42" s="70"/>
      <c r="E42" s="69" t="s">
        <v>30</v>
      </c>
      <c r="F42" s="69"/>
      <c r="G42" s="69"/>
      <c r="H42" s="69"/>
    </row>
    <row r="43" spans="1:9" x14ac:dyDescent="0.25">
      <c r="A43" s="70" t="s">
        <v>102</v>
      </c>
      <c r="B43" s="70"/>
      <c r="C43" s="70"/>
      <c r="D43" s="70"/>
      <c r="E43" s="149" t="s">
        <v>30</v>
      </c>
      <c r="F43" s="149"/>
      <c r="G43" s="149"/>
      <c r="H43" s="149"/>
    </row>
    <row r="44" spans="1:9" x14ac:dyDescent="0.25">
      <c r="A44" s="92" t="s">
        <v>42</v>
      </c>
      <c r="B44" s="92"/>
      <c r="C44" s="92"/>
      <c r="D44" s="92"/>
      <c r="E44" s="92" t="s">
        <v>204</v>
      </c>
      <c r="F44" s="92"/>
      <c r="G44" s="92"/>
      <c r="H44" s="92"/>
      <c r="I44" s="25">
        <f>41+28+25</f>
        <v>94</v>
      </c>
    </row>
    <row r="45" spans="1:9" x14ac:dyDescent="0.25">
      <c r="A45" s="87" t="s">
        <v>43</v>
      </c>
      <c r="B45" s="87"/>
      <c r="C45" s="87"/>
      <c r="D45" s="87"/>
      <c r="E45" s="87"/>
      <c r="F45" s="87"/>
      <c r="G45" s="87"/>
      <c r="H45" s="87"/>
    </row>
    <row r="46" spans="1:9" x14ac:dyDescent="0.25">
      <c r="A46" s="89" t="s">
        <v>44</v>
      </c>
      <c r="B46" s="89"/>
      <c r="C46" s="90" t="s">
        <v>30</v>
      </c>
      <c r="D46" s="90"/>
      <c r="E46" s="90"/>
      <c r="F46" s="20" t="s">
        <v>45</v>
      </c>
      <c r="G46" s="91" t="s">
        <v>30</v>
      </c>
      <c r="H46" s="91"/>
    </row>
    <row r="47" spans="1:9" x14ac:dyDescent="0.25">
      <c r="A47" s="70" t="s">
        <v>46</v>
      </c>
      <c r="B47" s="70"/>
      <c r="C47" s="90" t="str">
        <f>C46</f>
        <v>NA</v>
      </c>
      <c r="D47" s="90"/>
      <c r="E47" s="90"/>
      <c r="F47" s="20" t="s">
        <v>45</v>
      </c>
      <c r="G47" s="91" t="str">
        <f>G46</f>
        <v>NA</v>
      </c>
      <c r="H47" s="91"/>
    </row>
    <row r="48" spans="1:9" s="28" customFormat="1" x14ac:dyDescent="0.25">
      <c r="A48" s="90" t="s">
        <v>47</v>
      </c>
      <c r="B48" s="90"/>
      <c r="C48" s="90" t="str">
        <f>C47</f>
        <v>NA</v>
      </c>
      <c r="D48" s="92"/>
      <c r="E48" s="92"/>
      <c r="F48" s="27" t="s">
        <v>45</v>
      </c>
      <c r="G48" s="91" t="str">
        <f>G47</f>
        <v>NA</v>
      </c>
      <c r="H48" s="91"/>
    </row>
    <row r="49" spans="1:14" s="28" customFormat="1" x14ac:dyDescent="0.25">
      <c r="A49" s="90"/>
      <c r="B49" s="90"/>
      <c r="C49" s="103" t="s">
        <v>135</v>
      </c>
      <c r="D49" s="104"/>
      <c r="E49" s="104"/>
      <c r="F49" s="104"/>
      <c r="G49" s="104"/>
      <c r="H49" s="105"/>
    </row>
    <row r="50" spans="1:14" x14ac:dyDescent="0.25">
      <c r="A50" s="99" t="s">
        <v>48</v>
      </c>
      <c r="B50" s="99"/>
      <c r="C50" s="100" t="s">
        <v>114</v>
      </c>
      <c r="D50" s="86"/>
      <c r="E50" s="86" t="s">
        <v>49</v>
      </c>
      <c r="F50" s="23" t="s">
        <v>45</v>
      </c>
      <c r="G50" s="102" t="s">
        <v>30</v>
      </c>
      <c r="H50" s="102"/>
    </row>
    <row r="51" spans="1:14" x14ac:dyDescent="0.25">
      <c r="A51" s="101" t="s">
        <v>51</v>
      </c>
      <c r="B51" s="101"/>
      <c r="C51" s="101"/>
      <c r="D51" s="101"/>
      <c r="E51" s="101"/>
      <c r="F51" s="101"/>
      <c r="G51" s="101"/>
      <c r="H51" s="101"/>
    </row>
    <row r="52" spans="1:14" x14ac:dyDescent="0.25">
      <c r="A52" s="89" t="s">
        <v>101</v>
      </c>
      <c r="B52" s="89"/>
      <c r="C52" s="89"/>
      <c r="D52" s="70" t="str">
        <f>E43</f>
        <v>NA</v>
      </c>
      <c r="E52" s="70"/>
      <c r="F52" s="70"/>
      <c r="G52" s="70"/>
      <c r="H52" s="70"/>
    </row>
    <row r="53" spans="1:14" x14ac:dyDescent="0.25">
      <c r="A53" s="90" t="s">
        <v>52</v>
      </c>
      <c r="B53" s="92"/>
      <c r="C53" s="92"/>
      <c r="D53" s="92" t="s">
        <v>30</v>
      </c>
      <c r="E53" s="92"/>
      <c r="F53" s="92"/>
      <c r="G53" s="92"/>
      <c r="H53" s="92"/>
      <c r="I53" s="29"/>
    </row>
    <row r="54" spans="1:14" ht="15.75" customHeight="1" x14ac:dyDescent="0.25">
      <c r="A54" s="151" t="s">
        <v>53</v>
      </c>
      <c r="B54" s="152"/>
      <c r="C54" s="153"/>
      <c r="D54" s="150" t="s">
        <v>30</v>
      </c>
      <c r="E54" s="150"/>
      <c r="F54" s="150"/>
      <c r="G54" s="150"/>
      <c r="H54" s="150"/>
    </row>
    <row r="55" spans="1:14" ht="15.75" customHeight="1" x14ac:dyDescent="0.25">
      <c r="A55" s="151" t="s">
        <v>99</v>
      </c>
      <c r="B55" s="152"/>
      <c r="C55" s="153"/>
      <c r="D55" s="93" t="s">
        <v>185</v>
      </c>
      <c r="E55" s="94"/>
      <c r="F55" s="94"/>
      <c r="G55" s="94"/>
      <c r="H55" s="95"/>
    </row>
    <row r="56" spans="1:14" ht="15.75" customHeight="1" x14ac:dyDescent="0.25">
      <c r="A56" s="188"/>
      <c r="B56" s="189"/>
      <c r="C56" s="190"/>
      <c r="D56" s="96" t="s">
        <v>202</v>
      </c>
      <c r="E56" s="97"/>
      <c r="F56" s="97"/>
      <c r="G56" s="97"/>
      <c r="H56" s="98"/>
    </row>
    <row r="57" spans="1:14" ht="15.75" customHeight="1" x14ac:dyDescent="0.25">
      <c r="A57" s="191"/>
      <c r="B57" s="192"/>
      <c r="C57" s="193"/>
      <c r="D57" s="96" t="s">
        <v>203</v>
      </c>
      <c r="E57" s="97"/>
      <c r="F57" s="97"/>
      <c r="G57" s="97"/>
      <c r="H57" s="98"/>
    </row>
    <row r="58" spans="1:14" ht="15.75" customHeight="1" x14ac:dyDescent="0.25">
      <c r="A58" s="70" t="s">
        <v>50</v>
      </c>
      <c r="B58" s="70"/>
      <c r="C58" s="70"/>
      <c r="D58" s="141" t="s">
        <v>205</v>
      </c>
      <c r="E58" s="141"/>
      <c r="F58" s="141"/>
      <c r="G58" s="141"/>
      <c r="H58" s="141"/>
      <c r="J58" s="30"/>
      <c r="K58" s="29"/>
      <c r="N58" s="29"/>
    </row>
    <row r="59" spans="1:14" ht="15.75" customHeight="1" x14ac:dyDescent="0.25">
      <c r="A59" s="70" t="s">
        <v>97</v>
      </c>
      <c r="B59" s="70"/>
      <c r="C59" s="70"/>
      <c r="D59" s="148" t="str">
        <f>(IF(G50="NA","60 Years After Completion",IF(G50&lt;&gt;"NA",""&amp;60-ROUNDDOWN((E3-G50)/360,0)&amp;" Years"," ")))</f>
        <v>60 Years After Completion</v>
      </c>
      <c r="E59" s="148"/>
      <c r="F59" s="148"/>
      <c r="G59" s="148"/>
      <c r="H59" s="148"/>
      <c r="N59" s="29"/>
    </row>
    <row r="60" spans="1:14" ht="15.75" customHeight="1" x14ac:dyDescent="0.25">
      <c r="A60" s="70" t="s">
        <v>98</v>
      </c>
      <c r="B60" s="70"/>
      <c r="C60" s="70"/>
      <c r="D60" s="89" t="s">
        <v>24</v>
      </c>
      <c r="E60" s="89"/>
      <c r="F60" s="89"/>
      <c r="G60" s="89"/>
      <c r="H60" s="89"/>
      <c r="J60" s="16"/>
      <c r="K60" s="16"/>
    </row>
    <row r="61" spans="1:14" ht="30.75" customHeight="1" x14ac:dyDescent="0.25">
      <c r="A61" s="70" t="s">
        <v>82</v>
      </c>
      <c r="B61" s="70"/>
      <c r="C61" s="70"/>
      <c r="D61" s="90" t="s">
        <v>200</v>
      </c>
      <c r="E61" s="89"/>
      <c r="F61" s="89"/>
      <c r="G61" s="89"/>
      <c r="H61" s="89"/>
    </row>
    <row r="62" spans="1:14" x14ac:dyDescent="0.25">
      <c r="A62" s="89" t="s">
        <v>167</v>
      </c>
      <c r="B62" s="89"/>
      <c r="C62" s="89"/>
      <c r="D62" s="89" t="s">
        <v>30</v>
      </c>
      <c r="E62" s="89"/>
      <c r="F62" s="89"/>
      <c r="G62" s="89"/>
      <c r="H62" s="89"/>
      <c r="I62" s="31"/>
      <c r="J62" s="31"/>
      <c r="K62" s="31"/>
      <c r="L62" s="31"/>
      <c r="M62" s="31"/>
      <c r="N62" s="31"/>
    </row>
    <row r="63" spans="1:14" ht="15.75" customHeight="1" x14ac:dyDescent="0.25">
      <c r="A63" s="130" t="s">
        <v>96</v>
      </c>
      <c r="B63" s="130"/>
      <c r="C63" s="130"/>
      <c r="D63" s="131" t="str">
        <f ca="1">(IF(G69&gt;95%,"Nothing",IF(G69&gt;0%,"Cement, Aggregate, Steel, etc",IF(G69=0%,"Work not yet Started"))))</f>
        <v>Cement, Aggregate, Steel, etc</v>
      </c>
      <c r="E63" s="131"/>
      <c r="F63" s="131"/>
      <c r="G63" s="131"/>
      <c r="H63" s="131"/>
      <c r="J63" s="16"/>
    </row>
    <row r="64" spans="1:14" ht="33.75" customHeight="1" thickBot="1" x14ac:dyDescent="0.3">
      <c r="A64" s="140" t="s">
        <v>127</v>
      </c>
      <c r="B64" s="140"/>
      <c r="C64" s="140"/>
      <c r="D64" s="131" t="str">
        <f ca="1">(IF(D63="Nothing","Yes",IF(D63="Cement, Aggregate, Steel, etc","Under Construction",IF(D63="Work not yet Started","Work not yet Started"))))</f>
        <v>Under Construction</v>
      </c>
      <c r="E64" s="131"/>
      <c r="F64" s="131" t="str">
        <f ca="1">(IF(D63="Nothing","Yes",IF(D63="Cement, Aggregate, Steel, etc","Under Construction",IF(D63="Work not yet Started","Work not yet Started"))))</f>
        <v>Under Construction</v>
      </c>
      <c r="G64" s="131"/>
      <c r="H64" s="131"/>
    </row>
    <row r="65" spans="1:10" ht="15.75" customHeight="1" x14ac:dyDescent="0.25">
      <c r="A65" s="134" t="s">
        <v>157</v>
      </c>
      <c r="B65" s="135"/>
      <c r="C65" s="136" t="s">
        <v>186</v>
      </c>
      <c r="D65" s="137"/>
      <c r="E65" s="137"/>
      <c r="F65" s="137"/>
      <c r="G65" s="137"/>
      <c r="H65" s="138"/>
      <c r="I65" s="15" t="str">
        <f ca="1">(IF(E69&gt;99%,"All work completed. Please provide OC.",IF(E69&gt;89.8%,"Plinth, RCC, Brick, Plaster, Flooring, Painting work Completed. Finishing work is in process.",IF(E69&lt;94%,(IF(C69=0,"Work not yet Started.",IF(D69=25%,"Piling work in process",IF(D69=50%,"Excavation work in process",IF(D69=100%,"Excavation work Completed. ","0")))&amp;(IF(C70=0%,"",IF(C70=J71,"Footing work is process",IF(C70=J72,"Footing work Completed",IF(C70=J73,"1st Basement Completed",IF(C70=J74,"1st &amp; 2nd Basement Completed",IF(C70=J75,"1st to 3rd Basement Completed",IF(C70=J76,"1st to 4th Basement Completed",IF(C70=J77,"Plinth work is process",IF(C70=J78,"Plinth work completed","0")))))))))))&amp;(IF(C71=(D66+F66+H66),", RCC Slab Completed",IF(C71&gt;0,", RCC upto "&amp;C71&amp;" Slab Completed",""))&amp;(IF(C72=H66,", Brickwork Completed",IF(C72&gt;0,", Brickwork upto "&amp;C72&amp;" Floor Completed",""))&amp;(IF(C73=H66,", Internal Plaster Completed",IF(C73&gt;0,", Internal Plaster upto "&amp;C73&amp;" Floor Completed",""))&amp;(IF(C74=H66,", External Plaster Completed",IF(C74&gt;0,", External Plaster upto "&amp;C74&amp;" Floor Completed",""))&amp;(IF(C75=H66,", Flooring Completed",IF(C75&gt;0,", Flooring upto "&amp;C75&amp;" Floor Completed",""))&amp;(IF(C76=H66,", Painting Completed",IF(C76&gt;0,", Painting upto "&amp;C76&amp;" Floor Completed",""))&amp;(IF(C77&gt;0,", Finishing upto "&amp;C77&amp;" Floor Completed","")&amp;(IF(C71&gt;0.5,".",""))))))))))))))</f>
        <v>Excavation work Completed. Plinth work completed, RCC Slab Completed, Brickwork Completed, Internal Plaster upto 3 Floor Completed, External Plaster upto 2 Floor Completed.</v>
      </c>
      <c r="J65" s="32"/>
    </row>
    <row r="66" spans="1:10" s="28" customFormat="1" x14ac:dyDescent="0.25">
      <c r="A66" s="18" t="s">
        <v>159</v>
      </c>
      <c r="B66" s="51">
        <v>0</v>
      </c>
      <c r="C66" s="51" t="s">
        <v>79</v>
      </c>
      <c r="D66" s="51">
        <v>1</v>
      </c>
      <c r="E66" s="51" t="s">
        <v>78</v>
      </c>
      <c r="F66" s="51">
        <v>0</v>
      </c>
      <c r="G66" s="51" t="s">
        <v>90</v>
      </c>
      <c r="H66" s="19">
        <f ca="1">--TRIM(RIGHT(SUBSTITUTE(LEFT(C65,_xlfn.AGGREGATE(16,6,FIND({0,1,2,3,4,5,6,7,8,9},C65,ROW(INDIRECT("1:"&amp;LEN(C65)))),1))," ",REPT(" ",LEN(C65))),LEN(C65)))</f>
        <v>7</v>
      </c>
      <c r="I66" s="52"/>
      <c r="J66" s="53"/>
    </row>
    <row r="67" spans="1:10" ht="48.75" customHeight="1" x14ac:dyDescent="0.25">
      <c r="A67" s="133" t="s">
        <v>100</v>
      </c>
      <c r="B67" s="86"/>
      <c r="C67" s="100" t="str">
        <f ca="1">I65</f>
        <v>Excavation work Completed. Plinth work completed, RCC Slab Completed, Brickwork Completed, Internal Plaster upto 3 Floor Completed, External Plaster upto 2 Floor Completed.</v>
      </c>
      <c r="D67" s="100"/>
      <c r="E67" s="100"/>
      <c r="F67" s="100"/>
      <c r="G67" s="100"/>
      <c r="H67" s="139"/>
      <c r="I67" s="16" t="s">
        <v>113</v>
      </c>
      <c r="J67" s="33"/>
    </row>
    <row r="68" spans="1:10" s="28" customFormat="1" ht="15.75" customHeight="1" x14ac:dyDescent="0.25">
      <c r="A68" s="84" t="s">
        <v>54</v>
      </c>
      <c r="B68" s="85"/>
      <c r="C68" s="54" t="s">
        <v>156</v>
      </c>
      <c r="D68" s="54" t="s">
        <v>93</v>
      </c>
      <c r="E68" s="85" t="s">
        <v>95</v>
      </c>
      <c r="F68" s="85"/>
      <c r="G68" s="85" t="s">
        <v>94</v>
      </c>
      <c r="H68" s="132"/>
      <c r="I68" s="55" t="s">
        <v>158</v>
      </c>
      <c r="J68" s="56">
        <f ca="1">H66*25%</f>
        <v>1.75</v>
      </c>
    </row>
    <row r="69" spans="1:10" s="28" customFormat="1" x14ac:dyDescent="0.25">
      <c r="A69" s="84" t="s">
        <v>145</v>
      </c>
      <c r="B69" s="85"/>
      <c r="C69" s="57">
        <f ca="1">J70</f>
        <v>7</v>
      </c>
      <c r="D69" s="58">
        <f ca="1">((100/H66)*C69)/100</f>
        <v>1</v>
      </c>
      <c r="E69" s="142">
        <f ca="1">(((C70/H66*10)+(40/(D66+F66+H66)*C71)+(7.5/(H66)*C72)+(7.5/(H66)*C73)+(10/H66*C74)+(10/H66*C75)+(5/H66*C76)+(5/H66*C77)+(5/H66*C78))/100)</f>
        <v>0.63571428571428568</v>
      </c>
      <c r="F69" s="142"/>
      <c r="G69" s="142">
        <f ca="1">((((C69/H66)*20)+((C70/H66)*25)+(30/(H66+F66+D66)*C71)+(5/H66*C72)+(5/H66*C73)+(5/H66*C74)+(5/H66*C75)+(0/H66*C76)+(0/H66*C77)+(5/H66*C78))/100)</f>
        <v>0.83571428571428574</v>
      </c>
      <c r="H69" s="144"/>
      <c r="I69" s="55" t="s">
        <v>108</v>
      </c>
      <c r="J69" s="59">
        <f ca="1">H66*50%</f>
        <v>3.5</v>
      </c>
    </row>
    <row r="70" spans="1:10" s="28" customFormat="1" x14ac:dyDescent="0.25">
      <c r="A70" s="84" t="s">
        <v>55</v>
      </c>
      <c r="B70" s="85"/>
      <c r="C70" s="60">
        <f ca="1">J78</f>
        <v>7</v>
      </c>
      <c r="D70" s="58">
        <f ca="1">((100/H66)*C70)/100</f>
        <v>1</v>
      </c>
      <c r="E70" s="142"/>
      <c r="F70" s="142"/>
      <c r="G70" s="142"/>
      <c r="H70" s="144"/>
      <c r="I70" s="55" t="s">
        <v>109</v>
      </c>
      <c r="J70" s="59">
        <f ca="1">H66</f>
        <v>7</v>
      </c>
    </row>
    <row r="71" spans="1:10" s="28" customFormat="1" ht="15.75" customHeight="1" x14ac:dyDescent="0.25">
      <c r="A71" s="84" t="s">
        <v>146</v>
      </c>
      <c r="B71" s="85"/>
      <c r="C71" s="60">
        <f ca="1">D66+H66</f>
        <v>8</v>
      </c>
      <c r="D71" s="58">
        <f ca="1">((100/(D66+F66+H66))*C71)/100</f>
        <v>1</v>
      </c>
      <c r="E71" s="142"/>
      <c r="F71" s="142"/>
      <c r="G71" s="142"/>
      <c r="H71" s="144"/>
      <c r="I71" s="55" t="s">
        <v>110</v>
      </c>
      <c r="J71" s="61">
        <f ca="1">(IF(B66&gt;1,(H66/(B66+2)),H66/4))</f>
        <v>1.75</v>
      </c>
    </row>
    <row r="72" spans="1:10" s="28" customFormat="1" ht="15.75" customHeight="1" x14ac:dyDescent="0.25">
      <c r="A72" s="84" t="s">
        <v>153</v>
      </c>
      <c r="B72" s="85" t="s">
        <v>147</v>
      </c>
      <c r="C72" s="57">
        <v>7</v>
      </c>
      <c r="D72" s="58">
        <f ca="1">((100/H66)*C72)/100</f>
        <v>1</v>
      </c>
      <c r="E72" s="142"/>
      <c r="F72" s="142"/>
      <c r="G72" s="142"/>
      <c r="H72" s="144"/>
      <c r="I72" s="55" t="s">
        <v>111</v>
      </c>
      <c r="J72" s="61">
        <f ca="1">(IF(B66&gt;1,(H66/(B66+2)+J71),H66/4+J71))</f>
        <v>3.5</v>
      </c>
    </row>
    <row r="73" spans="1:10" s="28" customFormat="1" ht="15.75" customHeight="1" x14ac:dyDescent="0.25">
      <c r="A73" s="84" t="s">
        <v>154</v>
      </c>
      <c r="B73" s="85" t="s">
        <v>147</v>
      </c>
      <c r="C73" s="57">
        <v>3</v>
      </c>
      <c r="D73" s="58">
        <f ca="1">((100/H66)*C73)/100</f>
        <v>0.4285714285714286</v>
      </c>
      <c r="E73" s="142"/>
      <c r="F73" s="142"/>
      <c r="G73" s="142"/>
      <c r="H73" s="144"/>
      <c r="I73" s="55" t="s">
        <v>165</v>
      </c>
      <c r="J73" s="61">
        <f>(IF(B66&gt;1,(H66/(B66+2)+J72),0))</f>
        <v>0</v>
      </c>
    </row>
    <row r="74" spans="1:10" s="28" customFormat="1" ht="15" customHeight="1" x14ac:dyDescent="0.25">
      <c r="A74" s="84" t="s">
        <v>152</v>
      </c>
      <c r="B74" s="85" t="s">
        <v>149</v>
      </c>
      <c r="C74" s="57">
        <v>2</v>
      </c>
      <c r="D74" s="58">
        <f ca="1">((100/(H66))*C74)/100</f>
        <v>0.28571428571428575</v>
      </c>
      <c r="E74" s="142"/>
      <c r="F74" s="142"/>
      <c r="G74" s="142"/>
      <c r="H74" s="144"/>
      <c r="I74" s="55" t="s">
        <v>160</v>
      </c>
      <c r="J74" s="61">
        <f>(IF(B66&gt;2,(H66/(B66+2)+J73),0))</f>
        <v>0</v>
      </c>
    </row>
    <row r="75" spans="1:10" s="28" customFormat="1" ht="15.75" customHeight="1" x14ac:dyDescent="0.25">
      <c r="A75" s="84" t="s">
        <v>148</v>
      </c>
      <c r="B75" s="85" t="s">
        <v>148</v>
      </c>
      <c r="C75" s="57">
        <v>0</v>
      </c>
      <c r="D75" s="58">
        <f ca="1">((100/H66)*C75)/100</f>
        <v>0</v>
      </c>
      <c r="E75" s="142"/>
      <c r="F75" s="142"/>
      <c r="G75" s="142"/>
      <c r="H75" s="144"/>
      <c r="I75" s="55" t="s">
        <v>161</v>
      </c>
      <c r="J75" s="62">
        <f>(IF(B66&gt;3,(H66/(B66+2)+J74),0))</f>
        <v>0</v>
      </c>
    </row>
    <row r="76" spans="1:10" s="28" customFormat="1" ht="15.75" customHeight="1" x14ac:dyDescent="0.25">
      <c r="A76" s="84" t="s">
        <v>155</v>
      </c>
      <c r="B76" s="85"/>
      <c r="C76" s="57">
        <v>0</v>
      </c>
      <c r="D76" s="58">
        <f ca="1">((100/H66)*C76)/100</f>
        <v>0</v>
      </c>
      <c r="E76" s="142"/>
      <c r="F76" s="142"/>
      <c r="G76" s="142"/>
      <c r="H76" s="144"/>
      <c r="I76" s="55" t="s">
        <v>162</v>
      </c>
      <c r="J76" s="61">
        <f>(IF(B66&gt;4,(H66/(B66+2)+J75),0))</f>
        <v>0</v>
      </c>
    </row>
    <row r="77" spans="1:10" s="28" customFormat="1" ht="15.75" customHeight="1" x14ac:dyDescent="0.25">
      <c r="A77" s="84" t="s">
        <v>150</v>
      </c>
      <c r="B77" s="85" t="s">
        <v>150</v>
      </c>
      <c r="C77" s="57">
        <v>0</v>
      </c>
      <c r="D77" s="58">
        <f ca="1">((100/(H66))*C77)/100</f>
        <v>0</v>
      </c>
      <c r="E77" s="142"/>
      <c r="F77" s="142"/>
      <c r="G77" s="142"/>
      <c r="H77" s="144"/>
      <c r="I77" s="55" t="s">
        <v>166</v>
      </c>
      <c r="J77" s="61">
        <f ca="1">(IF(B66=1,(H66/(B66+3)+J72),IF(B66=0,(H66/4+J72),IF(B66&gt;1,0))))</f>
        <v>5.25</v>
      </c>
    </row>
    <row r="78" spans="1:10" s="28" customFormat="1" ht="16.5" thickBot="1" x14ac:dyDescent="0.3">
      <c r="A78" s="146" t="s">
        <v>151</v>
      </c>
      <c r="B78" s="147"/>
      <c r="C78" s="63">
        <v>0</v>
      </c>
      <c r="D78" s="64">
        <f ca="1">((100/(H66))*C78)/100</f>
        <v>0</v>
      </c>
      <c r="E78" s="143"/>
      <c r="F78" s="143"/>
      <c r="G78" s="143"/>
      <c r="H78" s="145"/>
      <c r="I78" s="65" t="s">
        <v>112</v>
      </c>
      <c r="J78" s="66">
        <f ca="1">(IF(B66&gt;1.5,(H66/(B66+2)+J72+MAX(0,J73-J72)+MAX(0,J74-J73)+MAX(0,J75-J74)+MAX(0,J76-J75)+MAX(0,J77-J76)),IF(B66=1,(H66/(B66+3)+J77),IF(B66=0,H66/4+J77))))</f>
        <v>7</v>
      </c>
    </row>
    <row r="79" spans="1:10" ht="15.75" customHeight="1" x14ac:dyDescent="0.25">
      <c r="A79" s="134" t="s">
        <v>157</v>
      </c>
      <c r="B79" s="135"/>
      <c r="C79" s="136" t="s">
        <v>187</v>
      </c>
      <c r="D79" s="137"/>
      <c r="E79" s="137"/>
      <c r="F79" s="137"/>
      <c r="G79" s="137"/>
      <c r="H79" s="138"/>
      <c r="I79" s="15" t="str">
        <f ca="1">(IF(E83&gt;99%,"All work completed. Please provide OC.",IF(E83&gt;89.8%,"Plinth, RCC, Brick, Plaster, Flooring, Painting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completed","0")))))))))))&amp;(IF(C85=(D80+F80+H80),", RCC Slab Completed",IF(C85&gt;0,", RCC upto "&amp;C85&amp;" Slab Completed",""))&amp;(IF(C86=H80,", Brickwork Completed",IF(C86&gt;0,", Brickwork upto "&amp;C86&amp;" Floor Completed",""))&amp;(IF(C87=H80,", Internal Plaster Completed",IF(C87&gt;0,", Internal Plaster upto "&amp;C87&amp;" Floor Completed",""))&amp;(IF(C88=H80,", External Plaster Completed",IF(C88&gt;0,", External Plaster upto "&amp;C88&amp;" Floor Completed",""))&amp;(IF(C89=H80,", Flooring Completed",IF(C89&gt;0,", Flooring upto "&amp;C89&amp;" Floor Completed",""))&amp;(IF(C90=H80,", Painting Completed",IF(C90&gt;0,", Painting upto "&amp;C90&amp;" Floor Completed",""))&amp;(IF(C91&gt;0,", Finishing upto "&amp;C91&amp;" Floor Completed","")&amp;(IF(C85&gt;0.5,".",""))))))))))))))</f>
        <v>Excavation work Completed. Plinth work completed, RCC upto 3 Slab Completed.</v>
      </c>
      <c r="J79" s="32"/>
    </row>
    <row r="80" spans="1:10" s="28" customFormat="1" x14ac:dyDescent="0.25">
      <c r="A80" s="18" t="s">
        <v>159</v>
      </c>
      <c r="B80" s="51">
        <v>0</v>
      </c>
      <c r="C80" s="51" t="s">
        <v>79</v>
      </c>
      <c r="D80" s="51">
        <v>1</v>
      </c>
      <c r="E80" s="51" t="s">
        <v>78</v>
      </c>
      <c r="F80" s="51">
        <v>0</v>
      </c>
      <c r="G80" s="51" t="s">
        <v>90</v>
      </c>
      <c r="H80" s="19">
        <f ca="1">--TRIM(RIGHT(SUBSTITUTE(LEFT(C79,_xlfn.AGGREGATE(16,6,FIND({0,1,2,3,4,5,6,7,8,9},C79,ROW(INDIRECT("1:"&amp;LEN(C79)))),1))," ",REPT(" ",LEN(C79))),LEN(C79)))</f>
        <v>7</v>
      </c>
      <c r="I80" s="52"/>
      <c r="J80" s="53"/>
    </row>
    <row r="81" spans="1:10" ht="32.25" customHeight="1" x14ac:dyDescent="0.25">
      <c r="A81" s="133" t="s">
        <v>100</v>
      </c>
      <c r="B81" s="86"/>
      <c r="C81" s="100" t="str">
        <f ca="1">I79</f>
        <v>Excavation work Completed. Plinth work completed, RCC upto 3 Slab Completed.</v>
      </c>
      <c r="D81" s="100"/>
      <c r="E81" s="100"/>
      <c r="F81" s="100"/>
      <c r="G81" s="100"/>
      <c r="H81" s="139"/>
      <c r="I81" s="16" t="s">
        <v>113</v>
      </c>
      <c r="J81" s="33"/>
    </row>
    <row r="82" spans="1:10" s="28" customFormat="1" ht="15.75" customHeight="1" x14ac:dyDescent="0.25">
      <c r="A82" s="84" t="s">
        <v>54</v>
      </c>
      <c r="B82" s="85"/>
      <c r="C82" s="54" t="s">
        <v>156</v>
      </c>
      <c r="D82" s="54" t="s">
        <v>93</v>
      </c>
      <c r="E82" s="85" t="s">
        <v>95</v>
      </c>
      <c r="F82" s="85"/>
      <c r="G82" s="85" t="s">
        <v>94</v>
      </c>
      <c r="H82" s="132"/>
      <c r="I82" s="55" t="s">
        <v>158</v>
      </c>
      <c r="J82" s="56">
        <f ca="1">H80*25%</f>
        <v>1.75</v>
      </c>
    </row>
    <row r="83" spans="1:10" s="28" customFormat="1" x14ac:dyDescent="0.25">
      <c r="A83" s="84" t="s">
        <v>145</v>
      </c>
      <c r="B83" s="85"/>
      <c r="C83" s="57">
        <f ca="1">J84</f>
        <v>7</v>
      </c>
      <c r="D83" s="58">
        <f ca="1">((100/H80)*C83)/100</f>
        <v>1</v>
      </c>
      <c r="E83" s="142">
        <f ca="1">(((C84/H80*10)+(40/(D80+F80+H80)*C85)+(7.5/(H80)*C86)+(7.5/(H80)*C87)+(10/H80*C88)+(10/H80*C89)+(5/H80*C90)+(5/H80*C91)+(5/H80*C92))/100)</f>
        <v>0.25</v>
      </c>
      <c r="F83" s="142"/>
      <c r="G83" s="142">
        <f ca="1">((((C83/H80)*20)+((C84/H80)*25)+(30/(H80+F80+D80)*C85)+(5/H80*C86)+(5/H80*C87)+(5/H80*C88)+(5/H80*C89)+(0/H80*C90)+(0/H80*C91)+(5/H80*C92))/100)</f>
        <v>0.5625</v>
      </c>
      <c r="H83" s="144"/>
      <c r="I83" s="55" t="s">
        <v>108</v>
      </c>
      <c r="J83" s="59">
        <f ca="1">H80*50%</f>
        <v>3.5</v>
      </c>
    </row>
    <row r="84" spans="1:10" s="28" customFormat="1" x14ac:dyDescent="0.25">
      <c r="A84" s="84" t="s">
        <v>55</v>
      </c>
      <c r="B84" s="85"/>
      <c r="C84" s="60">
        <f ca="1">J92</f>
        <v>7</v>
      </c>
      <c r="D84" s="58">
        <f ca="1">((100/H80)*C84)/100</f>
        <v>1</v>
      </c>
      <c r="E84" s="142"/>
      <c r="F84" s="142"/>
      <c r="G84" s="142"/>
      <c r="H84" s="144"/>
      <c r="I84" s="55" t="s">
        <v>109</v>
      </c>
      <c r="J84" s="59">
        <f ca="1">H80</f>
        <v>7</v>
      </c>
    </row>
    <row r="85" spans="1:10" s="28" customFormat="1" ht="15.75" customHeight="1" x14ac:dyDescent="0.25">
      <c r="A85" s="84" t="s">
        <v>146</v>
      </c>
      <c r="B85" s="85"/>
      <c r="C85" s="60">
        <v>3</v>
      </c>
      <c r="D85" s="58">
        <f ca="1">((100/(D80+F80+H80))*C85)/100</f>
        <v>0.375</v>
      </c>
      <c r="E85" s="142"/>
      <c r="F85" s="142"/>
      <c r="G85" s="142"/>
      <c r="H85" s="144"/>
      <c r="I85" s="55" t="s">
        <v>110</v>
      </c>
      <c r="J85" s="61">
        <f ca="1">(IF(B80&gt;1,(H80/(B80+2)),H80/4))</f>
        <v>1.75</v>
      </c>
    </row>
    <row r="86" spans="1:10" s="28" customFormat="1" ht="15.75" customHeight="1" x14ac:dyDescent="0.25">
      <c r="A86" s="84" t="s">
        <v>153</v>
      </c>
      <c r="B86" s="85" t="s">
        <v>147</v>
      </c>
      <c r="C86" s="57">
        <v>0</v>
      </c>
      <c r="D86" s="58">
        <f ca="1">((100/H80)*C86)/100</f>
        <v>0</v>
      </c>
      <c r="E86" s="142"/>
      <c r="F86" s="142"/>
      <c r="G86" s="142"/>
      <c r="H86" s="144"/>
      <c r="I86" s="55" t="s">
        <v>111</v>
      </c>
      <c r="J86" s="61">
        <f ca="1">(IF(B80&gt;1,(H80/(B80+2)+J85),H80/4+J85))</f>
        <v>3.5</v>
      </c>
    </row>
    <row r="87" spans="1:10" s="28" customFormat="1" ht="15.75" customHeight="1" x14ac:dyDescent="0.25">
      <c r="A87" s="84" t="s">
        <v>154</v>
      </c>
      <c r="B87" s="85" t="s">
        <v>147</v>
      </c>
      <c r="C87" s="57">
        <v>0</v>
      </c>
      <c r="D87" s="58">
        <f ca="1">((100/H80)*C87)/100</f>
        <v>0</v>
      </c>
      <c r="E87" s="142"/>
      <c r="F87" s="142"/>
      <c r="G87" s="142"/>
      <c r="H87" s="144"/>
      <c r="I87" s="55" t="s">
        <v>165</v>
      </c>
      <c r="J87" s="61">
        <f>(IF(B80&gt;1,(H80/(B80+2)+J86),0))</f>
        <v>0</v>
      </c>
    </row>
    <row r="88" spans="1:10" s="28" customFormat="1" ht="15" customHeight="1" x14ac:dyDescent="0.25">
      <c r="A88" s="84" t="s">
        <v>152</v>
      </c>
      <c r="B88" s="85" t="s">
        <v>149</v>
      </c>
      <c r="C88" s="57">
        <v>0</v>
      </c>
      <c r="D88" s="58">
        <f ca="1">((100/(H80))*C88)/100</f>
        <v>0</v>
      </c>
      <c r="E88" s="142"/>
      <c r="F88" s="142"/>
      <c r="G88" s="142"/>
      <c r="H88" s="144"/>
      <c r="I88" s="55" t="s">
        <v>160</v>
      </c>
      <c r="J88" s="61">
        <f>(IF(B80&gt;2,(H80/(B80+2)+J87),0))</f>
        <v>0</v>
      </c>
    </row>
    <row r="89" spans="1:10" s="28" customFormat="1" ht="15.75" customHeight="1" x14ac:dyDescent="0.25">
      <c r="A89" s="84" t="s">
        <v>148</v>
      </c>
      <c r="B89" s="85" t="s">
        <v>148</v>
      </c>
      <c r="C89" s="57">
        <v>0</v>
      </c>
      <c r="D89" s="58">
        <f ca="1">((100/H80)*C89)/100</f>
        <v>0</v>
      </c>
      <c r="E89" s="142"/>
      <c r="F89" s="142"/>
      <c r="G89" s="142"/>
      <c r="H89" s="144"/>
      <c r="I89" s="55" t="s">
        <v>161</v>
      </c>
      <c r="J89" s="62">
        <f>(IF(B80&gt;3,(H80/(B80+2)+J88),0))</f>
        <v>0</v>
      </c>
    </row>
    <row r="90" spans="1:10" s="28" customFormat="1" ht="15.75" customHeight="1" x14ac:dyDescent="0.25">
      <c r="A90" s="84" t="s">
        <v>155</v>
      </c>
      <c r="B90" s="85"/>
      <c r="C90" s="57">
        <v>0</v>
      </c>
      <c r="D90" s="58">
        <f ca="1">((100/H80)*C90)/100</f>
        <v>0</v>
      </c>
      <c r="E90" s="142"/>
      <c r="F90" s="142"/>
      <c r="G90" s="142"/>
      <c r="H90" s="144"/>
      <c r="I90" s="55" t="s">
        <v>162</v>
      </c>
      <c r="J90" s="61">
        <f>(IF(B80&gt;4,(H80/(B80+2)+J89),0))</f>
        <v>0</v>
      </c>
    </row>
    <row r="91" spans="1:10" s="28" customFormat="1" ht="15.75" customHeight="1" x14ac:dyDescent="0.25">
      <c r="A91" s="84" t="s">
        <v>150</v>
      </c>
      <c r="B91" s="85" t="s">
        <v>150</v>
      </c>
      <c r="C91" s="57">
        <v>0</v>
      </c>
      <c r="D91" s="58">
        <f ca="1">((100/(H80))*C91)/100</f>
        <v>0</v>
      </c>
      <c r="E91" s="142"/>
      <c r="F91" s="142"/>
      <c r="G91" s="142"/>
      <c r="H91" s="144"/>
      <c r="I91" s="55" t="s">
        <v>166</v>
      </c>
      <c r="J91" s="61">
        <f ca="1">(IF(B80=1,(H80/(B80+3)+J86),IF(B80=0,(H80/4+J86),IF(B80&gt;1,0))))</f>
        <v>5.25</v>
      </c>
    </row>
    <row r="92" spans="1:10" s="28" customFormat="1" ht="16.5" thickBot="1" x14ac:dyDescent="0.3">
      <c r="A92" s="146" t="s">
        <v>151</v>
      </c>
      <c r="B92" s="147"/>
      <c r="C92" s="63">
        <v>0</v>
      </c>
      <c r="D92" s="64">
        <f ca="1">((100/(H80))*C92)/100</f>
        <v>0</v>
      </c>
      <c r="E92" s="143"/>
      <c r="F92" s="143"/>
      <c r="G92" s="143"/>
      <c r="H92" s="145"/>
      <c r="I92" s="65" t="s">
        <v>112</v>
      </c>
      <c r="J92" s="66">
        <f ca="1">(IF(B80&gt;1.5,(H80/(B80+2)+J86+MAX(0,J87-J86)+MAX(0,J88-J87)+MAX(0,J89-J88)+MAX(0,J90-J89)+MAX(0,J91-J90)),IF(B80=1,(H80/(B80+3)+J91),IF(B80=0,H80/4+J91))))</f>
        <v>7</v>
      </c>
    </row>
    <row r="93" spans="1:10" ht="15.75" customHeight="1" x14ac:dyDescent="0.25">
      <c r="A93" s="134" t="s">
        <v>157</v>
      </c>
      <c r="B93" s="135"/>
      <c r="C93" s="136" t="s">
        <v>188</v>
      </c>
      <c r="D93" s="137"/>
      <c r="E93" s="137"/>
      <c r="F93" s="137"/>
      <c r="G93" s="137"/>
      <c r="H93" s="138"/>
      <c r="I93" s="15" t="str">
        <f ca="1">(IF(E97&gt;99%,"All work completed. Please provide OC.",IF(E97&gt;89.8%,"Plinth, RCC, Brick, Plaster, Flooring, Painting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completed","0")))))))))))&amp;(IF(C99=(D94+F94+H94),", RCC Slab Completed",IF(C99&gt;0,", RCC upto "&amp;C99&amp;" Slab Completed",""))&amp;(IF(C100=H94,", Brickwork Completed",IF(C100&gt;0,", Brickwork upto "&amp;C100&amp;" Floor Completed",""))&amp;(IF(C101=H94,", Internal Plaster Completed",IF(C101&gt;0,", Internal Plaster upto "&amp;C101&amp;" Floor Completed",""))&amp;(IF(C102=H94,", External Plaster Completed",IF(C102&gt;0,", External Plaster upto "&amp;C102&amp;" Floor Completed",""))&amp;(IF(C103=H94,", Flooring Completed",IF(C103&gt;0,", Flooring upto "&amp;C103&amp;" Floor Completed",""))&amp;(IF(C104=H94,", Painting Completed",IF(C104&gt;0,", Painting upto "&amp;C104&amp;" Floor Completed",""))&amp;(IF(C105&gt;0,", Finishing upto "&amp;C105&amp;" Floor Completed","")&amp;(IF(C99&gt;0.5,".",""))))))))))))))</f>
        <v>Excavation work Completed. Plinth work completed, RCC Slab Completed, Brickwork upto 6 Floor Completed.</v>
      </c>
      <c r="J93" s="32"/>
    </row>
    <row r="94" spans="1:10" s="28" customFormat="1" x14ac:dyDescent="0.25">
      <c r="A94" s="18" t="s">
        <v>159</v>
      </c>
      <c r="B94" s="51">
        <v>0</v>
      </c>
      <c r="C94" s="51" t="s">
        <v>79</v>
      </c>
      <c r="D94" s="51">
        <v>1</v>
      </c>
      <c r="E94" s="51" t="s">
        <v>78</v>
      </c>
      <c r="F94" s="51">
        <v>0</v>
      </c>
      <c r="G94" s="51" t="s">
        <v>90</v>
      </c>
      <c r="H94" s="19">
        <f ca="1">--TRIM(RIGHT(SUBSTITUTE(LEFT(C93,_xlfn.AGGREGATE(16,6,FIND({0,1,2,3,4,5,6,7,8,9},C93,ROW(INDIRECT("1:"&amp;LEN(C93)))),1))," ",REPT(" ",LEN(C93))),LEN(C93)))</f>
        <v>7</v>
      </c>
      <c r="I94" s="52"/>
      <c r="J94" s="53"/>
    </row>
    <row r="95" spans="1:10" ht="33" customHeight="1" x14ac:dyDescent="0.25">
      <c r="A95" s="133" t="s">
        <v>100</v>
      </c>
      <c r="B95" s="86"/>
      <c r="C95" s="100" t="str">
        <f ca="1">I93</f>
        <v>Excavation work Completed. Plinth work completed, RCC Slab Completed, Brickwork upto 6 Floor Completed.</v>
      </c>
      <c r="D95" s="100"/>
      <c r="E95" s="100"/>
      <c r="F95" s="100"/>
      <c r="G95" s="100"/>
      <c r="H95" s="139"/>
      <c r="I95" s="16" t="s">
        <v>113</v>
      </c>
      <c r="J95" s="33"/>
    </row>
    <row r="96" spans="1:10" ht="15.75" customHeight="1" x14ac:dyDescent="0.25">
      <c r="A96" s="169" t="s">
        <v>54</v>
      </c>
      <c r="B96" s="170"/>
      <c r="C96" s="48" t="s">
        <v>156</v>
      </c>
      <c r="D96" s="48" t="s">
        <v>93</v>
      </c>
      <c r="E96" s="170" t="s">
        <v>95</v>
      </c>
      <c r="F96" s="170"/>
      <c r="G96" s="170" t="s">
        <v>94</v>
      </c>
      <c r="H96" s="171"/>
      <c r="I96" s="14" t="s">
        <v>158</v>
      </c>
      <c r="J96" s="34">
        <f ca="1">H94*25%</f>
        <v>1.75</v>
      </c>
    </row>
    <row r="97" spans="1:10" s="28" customFormat="1" x14ac:dyDescent="0.25">
      <c r="A97" s="84" t="s">
        <v>145</v>
      </c>
      <c r="B97" s="85"/>
      <c r="C97" s="57">
        <f ca="1">J98</f>
        <v>7</v>
      </c>
      <c r="D97" s="58">
        <f ca="1">((100/H94)*C97)/100</f>
        <v>1</v>
      </c>
      <c r="E97" s="142">
        <f ca="1">(((C98/H94*10)+(40/(D94+F94+H94)*C99)+(7.5/(H94)*C100)+(7.5/(H94)*C101)+(10/H94*C102)+(10/H94*C103)+(5/H94*C104)+(5/H94*C105)+(5/H94*C106))/100)</f>
        <v>0.56428571428571428</v>
      </c>
      <c r="F97" s="142"/>
      <c r="G97" s="142">
        <f ca="1">((((C97/H94)*20)+((C98/H94)*25)+(30/(H94+F94+D94)*C99)+(5/H94*C100)+(5/H94*C101)+(5/H94*C102)+(5/H94*C103)+(0/H94*C104)+(0/H94*C105)+(5/H94*C106))/100)</f>
        <v>0.79285714285714293</v>
      </c>
      <c r="H97" s="144"/>
      <c r="I97" s="55" t="s">
        <v>108</v>
      </c>
      <c r="J97" s="59">
        <f ca="1">H94*50%</f>
        <v>3.5</v>
      </c>
    </row>
    <row r="98" spans="1:10" s="28" customFormat="1" x14ac:dyDescent="0.25">
      <c r="A98" s="84" t="s">
        <v>55</v>
      </c>
      <c r="B98" s="85"/>
      <c r="C98" s="60">
        <f ca="1">J106</f>
        <v>7</v>
      </c>
      <c r="D98" s="58">
        <f ca="1">((100/H94)*C98)/100</f>
        <v>1</v>
      </c>
      <c r="E98" s="142"/>
      <c r="F98" s="142"/>
      <c r="G98" s="142"/>
      <c r="H98" s="144"/>
      <c r="I98" s="55" t="s">
        <v>109</v>
      </c>
      <c r="J98" s="59">
        <f ca="1">H94</f>
        <v>7</v>
      </c>
    </row>
    <row r="99" spans="1:10" s="28" customFormat="1" ht="15.75" customHeight="1" x14ac:dyDescent="0.25">
      <c r="A99" s="84" t="s">
        <v>146</v>
      </c>
      <c r="B99" s="85"/>
      <c r="C99" s="60">
        <f ca="1">D94+H94</f>
        <v>8</v>
      </c>
      <c r="D99" s="58">
        <f ca="1">((100/(D94+F94+H94))*C99)/100</f>
        <v>1</v>
      </c>
      <c r="E99" s="142"/>
      <c r="F99" s="142"/>
      <c r="G99" s="142"/>
      <c r="H99" s="144"/>
      <c r="I99" s="55" t="s">
        <v>110</v>
      </c>
      <c r="J99" s="61">
        <f ca="1">(IF(B94&gt;1,(H94/(B94+2)),H94/4))</f>
        <v>1.75</v>
      </c>
    </row>
    <row r="100" spans="1:10" s="28" customFormat="1" ht="15.75" customHeight="1" x14ac:dyDescent="0.25">
      <c r="A100" s="84" t="s">
        <v>153</v>
      </c>
      <c r="B100" s="85" t="s">
        <v>147</v>
      </c>
      <c r="C100" s="57">
        <v>6</v>
      </c>
      <c r="D100" s="58">
        <f ca="1">((100/H94)*C100)/100</f>
        <v>0.85714285714285721</v>
      </c>
      <c r="E100" s="142"/>
      <c r="F100" s="142"/>
      <c r="G100" s="142"/>
      <c r="H100" s="144"/>
      <c r="I100" s="55" t="s">
        <v>111</v>
      </c>
      <c r="J100" s="61">
        <f ca="1">(IF(B94&gt;1,(H94/(B94+2)+J99),H94/4+J99))</f>
        <v>3.5</v>
      </c>
    </row>
    <row r="101" spans="1:10" s="28" customFormat="1" ht="15.75" customHeight="1" x14ac:dyDescent="0.25">
      <c r="A101" s="84" t="s">
        <v>154</v>
      </c>
      <c r="B101" s="85" t="s">
        <v>147</v>
      </c>
      <c r="C101" s="57">
        <v>0</v>
      </c>
      <c r="D101" s="58">
        <f ca="1">((100/H94)*C101)/100</f>
        <v>0</v>
      </c>
      <c r="E101" s="142"/>
      <c r="F101" s="142"/>
      <c r="G101" s="142"/>
      <c r="H101" s="144"/>
      <c r="I101" s="55" t="s">
        <v>165</v>
      </c>
      <c r="J101" s="61">
        <f>(IF(B94&gt;1,(H94/(B94+2)+J100),0))</f>
        <v>0</v>
      </c>
    </row>
    <row r="102" spans="1:10" s="28" customFormat="1" ht="15" customHeight="1" x14ac:dyDescent="0.25">
      <c r="A102" s="84" t="s">
        <v>152</v>
      </c>
      <c r="B102" s="85" t="s">
        <v>149</v>
      </c>
      <c r="C102" s="57">
        <v>0</v>
      </c>
      <c r="D102" s="58">
        <f ca="1">((100/(H94))*C102)/100</f>
        <v>0</v>
      </c>
      <c r="E102" s="142"/>
      <c r="F102" s="142"/>
      <c r="G102" s="142"/>
      <c r="H102" s="144"/>
      <c r="I102" s="55" t="s">
        <v>160</v>
      </c>
      <c r="J102" s="61">
        <f>(IF(B94&gt;2,(H94/(B94+2)+J101),0))</f>
        <v>0</v>
      </c>
    </row>
    <row r="103" spans="1:10" s="28" customFormat="1" ht="15.75" customHeight="1" x14ac:dyDescent="0.25">
      <c r="A103" s="84" t="s">
        <v>148</v>
      </c>
      <c r="B103" s="85" t="s">
        <v>148</v>
      </c>
      <c r="C103" s="57">
        <v>0</v>
      </c>
      <c r="D103" s="58">
        <f ca="1">((100/H94)*C103)/100</f>
        <v>0</v>
      </c>
      <c r="E103" s="142"/>
      <c r="F103" s="142"/>
      <c r="G103" s="142"/>
      <c r="H103" s="144"/>
      <c r="I103" s="55" t="s">
        <v>161</v>
      </c>
      <c r="J103" s="62">
        <f>(IF(B94&gt;3,(H94/(B94+2)+J102),0))</f>
        <v>0</v>
      </c>
    </row>
    <row r="104" spans="1:10" s="28" customFormat="1" ht="15.75" customHeight="1" x14ac:dyDescent="0.25">
      <c r="A104" s="84" t="s">
        <v>155</v>
      </c>
      <c r="B104" s="85"/>
      <c r="C104" s="57">
        <v>0</v>
      </c>
      <c r="D104" s="58">
        <f ca="1">((100/H94)*C104)/100</f>
        <v>0</v>
      </c>
      <c r="E104" s="142"/>
      <c r="F104" s="142"/>
      <c r="G104" s="142"/>
      <c r="H104" s="144"/>
      <c r="I104" s="55" t="s">
        <v>162</v>
      </c>
      <c r="J104" s="61">
        <f>(IF(B94&gt;4,(H94/(B94+2)+J103),0))</f>
        <v>0</v>
      </c>
    </row>
    <row r="105" spans="1:10" s="28" customFormat="1" ht="15.75" customHeight="1" x14ac:dyDescent="0.25">
      <c r="A105" s="84" t="s">
        <v>150</v>
      </c>
      <c r="B105" s="85" t="s">
        <v>150</v>
      </c>
      <c r="C105" s="57">
        <v>0</v>
      </c>
      <c r="D105" s="58">
        <f ca="1">((100/(H94))*C105)/100</f>
        <v>0</v>
      </c>
      <c r="E105" s="142"/>
      <c r="F105" s="142"/>
      <c r="G105" s="142"/>
      <c r="H105" s="144"/>
      <c r="I105" s="55" t="s">
        <v>166</v>
      </c>
      <c r="J105" s="61">
        <f ca="1">(IF(B94=1,(H94/(B94+3)+J100),IF(B94=0,(H94/4+J100),IF(B94&gt;1,0))))</f>
        <v>5.25</v>
      </c>
    </row>
    <row r="106" spans="1:10" s="28" customFormat="1" ht="16.5" thickBot="1" x14ac:dyDescent="0.3">
      <c r="A106" s="146" t="s">
        <v>151</v>
      </c>
      <c r="B106" s="147"/>
      <c r="C106" s="63">
        <v>0</v>
      </c>
      <c r="D106" s="64">
        <f ca="1">((100/(H94))*C106)/100</f>
        <v>0</v>
      </c>
      <c r="E106" s="143"/>
      <c r="F106" s="143"/>
      <c r="G106" s="143"/>
      <c r="H106" s="145"/>
      <c r="I106" s="65" t="s">
        <v>112</v>
      </c>
      <c r="J106" s="66">
        <f ca="1">(IF(B94&gt;1.5,(H94/(B94+2)+J100+MAX(0,J101-J100)+MAX(0,J102-J101)+MAX(0,J103-J102)+MAX(0,J104-J103)+MAX(0,J105-J104)),IF(B94=1,(H94/(B94+3)+J105),IF(B94=0,H94/4+J105))))</f>
        <v>7</v>
      </c>
    </row>
    <row r="107" spans="1:10" ht="15.75" customHeight="1" x14ac:dyDescent="0.25">
      <c r="A107" s="134" t="s">
        <v>157</v>
      </c>
      <c r="B107" s="135"/>
      <c r="C107" s="136" t="s">
        <v>189</v>
      </c>
      <c r="D107" s="137"/>
      <c r="E107" s="137"/>
      <c r="F107" s="137"/>
      <c r="G107" s="137"/>
      <c r="H107" s="138"/>
      <c r="I107" s="15" t="str">
        <f ca="1">(IF(E111&gt;99%,"All work completed. Please provide OC.",IF(E111&gt;89.8%,"Plinth, RCC, Brick, Plaster, Flooring, Painting work Completed. Finishing work is in process.",IF(E111&lt;94%,(IF(C111=0,"Work not yet Started.",IF(D111=25%,"Piling work in process",IF(D111=50%,"Excavation work in process",IF(D111=100%,"Excavation work Completed. ","0")))&amp;(IF(C112=0%,"",IF(C112=J113,"Footing work is process",IF(C112=J114,"Footing work Completed",IF(C112=J115,"1st Basement Completed",IF(C112=J116,"1st &amp; 2nd Basement Completed",IF(C112=J117,"1st to 3rd Basement Completed",IF(C112=J118,"1st to 4th Basement Completed",IF(C112=J119,"Plinth work is process",IF(C112=J120,"Plinth work completed","0")))))))))))&amp;(IF(C113=(D108+F108+H108),", RCC Slab Completed",IF(C113&gt;0,", RCC upto "&amp;C113&amp;" Slab Completed",""))&amp;(IF(C114=H108,", Brickwork Completed",IF(C114&gt;0,", Brickwork upto "&amp;C114&amp;" Floor Completed",""))&amp;(IF(C115=H108,", Internal Plaster Completed",IF(C115&gt;0,", Internal Plaster upto "&amp;C115&amp;" Floor Completed",""))&amp;(IF(C116=H108,", External Plaster Completed",IF(C116&gt;0,", External Plaster upto "&amp;C116&amp;" Floor Completed",""))&amp;(IF(C117=H108,", Flooring Completed",IF(C117&gt;0,", Flooring upto "&amp;C117&amp;" Floor Completed",""))&amp;(IF(C118=H108,", Painting Completed",IF(C118&gt;0,", Painting upto "&amp;C118&amp;" Floor Completed",""))&amp;(IF(C119&gt;0,", Finishing upto "&amp;C119&amp;" Floor Completed","")&amp;(IF(C113&gt;0.5,".",""))))))))))))))</f>
        <v>Excavation work Completed. Plinth work completed, RCC upto 4 Slab Completed.</v>
      </c>
      <c r="J107" s="32"/>
    </row>
    <row r="108" spans="1:10" s="28" customFormat="1" x14ac:dyDescent="0.25">
      <c r="A108" s="18" t="s">
        <v>159</v>
      </c>
      <c r="B108" s="51">
        <v>0</v>
      </c>
      <c r="C108" s="51" t="s">
        <v>79</v>
      </c>
      <c r="D108" s="51">
        <v>1</v>
      </c>
      <c r="E108" s="51" t="s">
        <v>78</v>
      </c>
      <c r="F108" s="51">
        <v>0</v>
      </c>
      <c r="G108" s="51" t="s">
        <v>90</v>
      </c>
      <c r="H108" s="19">
        <f ca="1">--TRIM(RIGHT(SUBSTITUTE(LEFT(C107,_xlfn.AGGREGATE(16,6,FIND({0,1,2,3,4,5,6,7,8,9},C107,ROW(INDIRECT("1:"&amp;LEN(C107)))),1))," ",REPT(" ",LEN(C107))),LEN(C107)))</f>
        <v>22</v>
      </c>
      <c r="I108" s="52"/>
      <c r="J108" s="53"/>
    </row>
    <row r="109" spans="1:10" x14ac:dyDescent="0.25">
      <c r="A109" s="133" t="s">
        <v>100</v>
      </c>
      <c r="B109" s="86"/>
      <c r="C109" s="100" t="str">
        <f ca="1">I107</f>
        <v>Excavation work Completed. Plinth work completed, RCC upto 4 Slab Completed.</v>
      </c>
      <c r="D109" s="100"/>
      <c r="E109" s="100"/>
      <c r="F109" s="100"/>
      <c r="G109" s="100"/>
      <c r="H109" s="139"/>
      <c r="I109" s="16" t="s">
        <v>113</v>
      </c>
      <c r="J109" s="33"/>
    </row>
    <row r="110" spans="1:10" ht="15.75" customHeight="1" x14ac:dyDescent="0.25">
      <c r="A110" s="169" t="s">
        <v>54</v>
      </c>
      <c r="B110" s="170"/>
      <c r="C110" s="48" t="s">
        <v>156</v>
      </c>
      <c r="D110" s="48" t="s">
        <v>93</v>
      </c>
      <c r="E110" s="170" t="s">
        <v>95</v>
      </c>
      <c r="F110" s="170"/>
      <c r="G110" s="170" t="s">
        <v>94</v>
      </c>
      <c r="H110" s="171"/>
      <c r="I110" s="14" t="s">
        <v>158</v>
      </c>
      <c r="J110" s="34">
        <f ca="1">H108*25%</f>
        <v>5.5</v>
      </c>
    </row>
    <row r="111" spans="1:10" x14ac:dyDescent="0.25">
      <c r="A111" s="169" t="s">
        <v>145</v>
      </c>
      <c r="B111" s="170"/>
      <c r="C111" s="57">
        <f ca="1">J112</f>
        <v>22</v>
      </c>
      <c r="D111" s="49">
        <f ca="1">((100/H108)*C111)/100</f>
        <v>1.0000000000000002</v>
      </c>
      <c r="E111" s="177">
        <f ca="1">(((C112/H108*10)+(40/(D108+F108+H108)*C113)+(7.5/(H108)*C114)+(7.5/(H108)*C115)+(10/H108*C116)+(10/H108*C117)+(5/H108*C118)+(5/H108*C119)+(5/H108*C120))/100)</f>
        <v>0.16956521739130434</v>
      </c>
      <c r="F111" s="177"/>
      <c r="G111" s="177">
        <f ca="1">((((C111/H108)*20)+((C112/H108)*25)+(30/(H108+F108+D108)*C113)+(5/H108*C114)+(5/H108*C115)+(5/H108*C116)+(5/H108*C117)+(0/H108*C118)+(0/H108*C119)+(5/H108*C120))/100)</f>
        <v>0.50217391304347825</v>
      </c>
      <c r="H111" s="179"/>
      <c r="I111" s="14" t="s">
        <v>108</v>
      </c>
      <c r="J111" s="35">
        <f ca="1">H108*50%</f>
        <v>11</v>
      </c>
    </row>
    <row r="112" spans="1:10" x14ac:dyDescent="0.25">
      <c r="A112" s="169" t="s">
        <v>55</v>
      </c>
      <c r="B112" s="170"/>
      <c r="C112" s="60">
        <f ca="1">J120</f>
        <v>22</v>
      </c>
      <c r="D112" s="49">
        <f ca="1">((100/H108)*C112)/100</f>
        <v>1.0000000000000002</v>
      </c>
      <c r="E112" s="177"/>
      <c r="F112" s="177"/>
      <c r="G112" s="177"/>
      <c r="H112" s="179"/>
      <c r="I112" s="14" t="s">
        <v>109</v>
      </c>
      <c r="J112" s="35">
        <f ca="1">H108</f>
        <v>22</v>
      </c>
    </row>
    <row r="113" spans="1:10" ht="15.75" customHeight="1" x14ac:dyDescent="0.25">
      <c r="A113" s="169" t="s">
        <v>146</v>
      </c>
      <c r="B113" s="170"/>
      <c r="C113" s="60">
        <v>4</v>
      </c>
      <c r="D113" s="49">
        <f ca="1">((100/(D108+F108+H108))*C113)/100</f>
        <v>0.17391304347826086</v>
      </c>
      <c r="E113" s="177"/>
      <c r="F113" s="177"/>
      <c r="G113" s="177"/>
      <c r="H113" s="179"/>
      <c r="I113" s="14" t="s">
        <v>110</v>
      </c>
      <c r="J113" s="36">
        <f ca="1">(IF(B108&gt;1,(H108/(B108+2)),H108/4))</f>
        <v>5.5</v>
      </c>
    </row>
    <row r="114" spans="1:10" ht="15.75" customHeight="1" x14ac:dyDescent="0.25">
      <c r="A114" s="169" t="s">
        <v>153</v>
      </c>
      <c r="B114" s="170" t="s">
        <v>147</v>
      </c>
      <c r="C114" s="57">
        <v>0</v>
      </c>
      <c r="D114" s="49">
        <f ca="1">((100/H108)*C114)/100</f>
        <v>0</v>
      </c>
      <c r="E114" s="177"/>
      <c r="F114" s="177"/>
      <c r="G114" s="177"/>
      <c r="H114" s="179"/>
      <c r="I114" s="14" t="s">
        <v>111</v>
      </c>
      <c r="J114" s="36">
        <f ca="1">(IF(B108&gt;1,(H108/(B108+2)+J113),H108/4+J113))</f>
        <v>11</v>
      </c>
    </row>
    <row r="115" spans="1:10" ht="15.75" customHeight="1" x14ac:dyDescent="0.25">
      <c r="A115" s="169" t="s">
        <v>154</v>
      </c>
      <c r="B115" s="170" t="s">
        <v>147</v>
      </c>
      <c r="C115" s="57">
        <v>0</v>
      </c>
      <c r="D115" s="49">
        <f ca="1">((100/H108)*C115)/100</f>
        <v>0</v>
      </c>
      <c r="E115" s="177"/>
      <c r="F115" s="177"/>
      <c r="G115" s="177"/>
      <c r="H115" s="179"/>
      <c r="I115" s="14" t="s">
        <v>165</v>
      </c>
      <c r="J115" s="36">
        <f>(IF(B108&gt;1,(H108/(B108+2)+J114),0))</f>
        <v>0</v>
      </c>
    </row>
    <row r="116" spans="1:10" ht="15" customHeight="1" x14ac:dyDescent="0.25">
      <c r="A116" s="169" t="s">
        <v>152</v>
      </c>
      <c r="B116" s="170" t="s">
        <v>149</v>
      </c>
      <c r="C116" s="57">
        <v>0</v>
      </c>
      <c r="D116" s="49">
        <f ca="1">((100/(H108))*C116)/100</f>
        <v>0</v>
      </c>
      <c r="E116" s="177"/>
      <c r="F116" s="177"/>
      <c r="G116" s="177"/>
      <c r="H116" s="179"/>
      <c r="I116" s="14" t="s">
        <v>160</v>
      </c>
      <c r="J116" s="36">
        <f>(IF(B108&gt;2,(H108/(B108+2)+J115),0))</f>
        <v>0</v>
      </c>
    </row>
    <row r="117" spans="1:10" ht="15.75" customHeight="1" x14ac:dyDescent="0.25">
      <c r="A117" s="169" t="s">
        <v>148</v>
      </c>
      <c r="B117" s="170" t="s">
        <v>148</v>
      </c>
      <c r="C117" s="57">
        <v>0</v>
      </c>
      <c r="D117" s="49">
        <f ca="1">((100/H108)*C117)/100</f>
        <v>0</v>
      </c>
      <c r="E117" s="177"/>
      <c r="F117" s="177"/>
      <c r="G117" s="177"/>
      <c r="H117" s="179"/>
      <c r="I117" s="14" t="s">
        <v>161</v>
      </c>
      <c r="J117" s="37">
        <f>(IF(B108&gt;3,(H108/(B108+2)+J116),0))</f>
        <v>0</v>
      </c>
    </row>
    <row r="118" spans="1:10" ht="15.75" customHeight="1" x14ac:dyDescent="0.25">
      <c r="A118" s="169" t="s">
        <v>155</v>
      </c>
      <c r="B118" s="170"/>
      <c r="C118" s="57">
        <v>0</v>
      </c>
      <c r="D118" s="49">
        <f ca="1">((100/H108)*C118)/100</f>
        <v>0</v>
      </c>
      <c r="E118" s="177"/>
      <c r="F118" s="177"/>
      <c r="G118" s="177"/>
      <c r="H118" s="179"/>
      <c r="I118" s="14" t="s">
        <v>162</v>
      </c>
      <c r="J118" s="36">
        <f>(IF(B108&gt;4,(H108/(B108+2)+J117),0))</f>
        <v>0</v>
      </c>
    </row>
    <row r="119" spans="1:10" ht="15.75" customHeight="1" x14ac:dyDescent="0.25">
      <c r="A119" s="169" t="s">
        <v>150</v>
      </c>
      <c r="B119" s="170" t="s">
        <v>150</v>
      </c>
      <c r="C119" s="57">
        <v>0</v>
      </c>
      <c r="D119" s="49">
        <f ca="1">((100/(H108))*C119)/100</f>
        <v>0</v>
      </c>
      <c r="E119" s="177"/>
      <c r="F119" s="177"/>
      <c r="G119" s="177"/>
      <c r="H119" s="179"/>
      <c r="I119" s="14" t="s">
        <v>166</v>
      </c>
      <c r="J119" s="36">
        <f ca="1">(IF(B108=1,(H108/(B108+3)+J114),IF(B108=0,(H108/4+J114),IF(B108&gt;1,0))))</f>
        <v>16.5</v>
      </c>
    </row>
    <row r="120" spans="1:10" ht="16.5" thickBot="1" x14ac:dyDescent="0.3">
      <c r="A120" s="181" t="s">
        <v>151</v>
      </c>
      <c r="B120" s="182"/>
      <c r="C120" s="63">
        <v>0</v>
      </c>
      <c r="D120" s="50">
        <f ca="1">((100/(H108))*C120)/100</f>
        <v>0</v>
      </c>
      <c r="E120" s="178"/>
      <c r="F120" s="178"/>
      <c r="G120" s="178"/>
      <c r="H120" s="180"/>
      <c r="I120" s="17" t="s">
        <v>112</v>
      </c>
      <c r="J120" s="38">
        <f ca="1">(IF(B108&gt;1.5,(H108/(B108+2)+J114+MAX(0,J115-J114)+MAX(0,J116-J115)+MAX(0,J117-J116)+MAX(0,J118-J117)+MAX(0,J119-J118)),IF(B108=1,(H108/(B108+3)+J119),IF(B108=0,H108/4+J119))))</f>
        <v>22</v>
      </c>
    </row>
    <row r="121" spans="1:10" ht="15.75" customHeight="1" x14ac:dyDescent="0.25">
      <c r="A121" s="134" t="s">
        <v>157</v>
      </c>
      <c r="B121" s="135"/>
      <c r="C121" s="136" t="s">
        <v>190</v>
      </c>
      <c r="D121" s="137"/>
      <c r="E121" s="137"/>
      <c r="F121" s="137"/>
      <c r="G121" s="137"/>
      <c r="H121" s="138"/>
      <c r="I121" s="15" t="str">
        <f ca="1">(IF(E125&gt;99%,"All work completed. Please provide OC.",IF(E125&gt;89.8%,"Plinth, RCC, Brick, Plaster, Flooring, Painting work Completed. Finishing work is in process.",IF(E125&lt;94%,(IF(C125=0,"Work not yet Started.",IF(D125=25%,"Piling work in process",IF(D125=50%,"Excavation work in process",IF(D125=100%,"Excavation work Completed. ","0")))&amp;(IF(C126=0%,"",IF(C126=J127,"Footing work is process",IF(C126=J128,"Footing work Completed",IF(C126=J129,"1st Basement Completed",IF(C126=J130,"1st &amp; 2nd Basement Completed",IF(C126=J131,"1st to 3rd Basement Completed",IF(C126=J132,"1st to 4th Basement Completed",IF(C126=J133,"Plinth work is process",IF(C126=J134,"Plinth work completed","0")))))))))))&amp;(IF(C127=(D122+F122+H122),", RCC Slab Completed",IF(C127&gt;0,", RCC upto "&amp;C127&amp;" Slab Completed",""))&amp;(IF(C128=H122,", Brickwork Completed",IF(C128&gt;0,", Brickwork upto "&amp;C128&amp;" Floor Completed",""))&amp;(IF(C129=H122,", Internal Plaster Completed",IF(C129&gt;0,", Internal Plaster upto "&amp;C129&amp;" Floor Completed",""))&amp;(IF(C130=H122,", External Plaster Completed",IF(C130&gt;0,", External Plaster upto "&amp;C130&amp;" Floor Completed",""))&amp;(IF(C131=H122,", Flooring Completed",IF(C131&gt;0,", Flooring upto "&amp;C131&amp;" Floor Completed",""))&amp;(IF(C132=H122,", Painting Completed",IF(C132&gt;0,", Painting upto "&amp;C132&amp;" Floor Completed",""))&amp;(IF(C133&gt;0,", Finishing upto "&amp;C133&amp;" Floor Completed","")&amp;(IF(C127&gt;0.5,".",""))))))))))))))</f>
        <v>Excavation work Completed. Plinth work completed, RCC upto 4 Slab Completed.</v>
      </c>
      <c r="J121" s="32"/>
    </row>
    <row r="122" spans="1:10" s="28" customFormat="1" x14ac:dyDescent="0.25">
      <c r="A122" s="18" t="s">
        <v>159</v>
      </c>
      <c r="B122" s="51">
        <v>0</v>
      </c>
      <c r="C122" s="51" t="s">
        <v>79</v>
      </c>
      <c r="D122" s="51">
        <v>1</v>
      </c>
      <c r="E122" s="51" t="s">
        <v>78</v>
      </c>
      <c r="F122" s="51">
        <v>0</v>
      </c>
      <c r="G122" s="51" t="s">
        <v>90</v>
      </c>
      <c r="H122" s="19">
        <f ca="1">--TRIM(RIGHT(SUBSTITUTE(LEFT(C121,_xlfn.AGGREGATE(16,6,FIND({0,1,2,3,4,5,6,7,8,9},C121,ROW(INDIRECT("1:"&amp;LEN(C121)))),1))," ",REPT(" ",LEN(C121))),LEN(C121)))</f>
        <v>22</v>
      </c>
      <c r="I122" s="52"/>
      <c r="J122" s="53"/>
    </row>
    <row r="123" spans="1:10" s="28" customFormat="1" x14ac:dyDescent="0.25">
      <c r="A123" s="133" t="s">
        <v>100</v>
      </c>
      <c r="B123" s="86"/>
      <c r="C123" s="100" t="str">
        <f ca="1">I121</f>
        <v>Excavation work Completed. Plinth work completed, RCC upto 4 Slab Completed.</v>
      </c>
      <c r="D123" s="100"/>
      <c r="E123" s="100"/>
      <c r="F123" s="100"/>
      <c r="G123" s="100"/>
      <c r="H123" s="139"/>
      <c r="I123" s="52" t="s">
        <v>113</v>
      </c>
      <c r="J123" s="53"/>
    </row>
    <row r="124" spans="1:10" s="28" customFormat="1" ht="15.75" customHeight="1" x14ac:dyDescent="0.25">
      <c r="A124" s="84" t="s">
        <v>54</v>
      </c>
      <c r="B124" s="85"/>
      <c r="C124" s="54" t="s">
        <v>156</v>
      </c>
      <c r="D124" s="54" t="s">
        <v>93</v>
      </c>
      <c r="E124" s="85" t="s">
        <v>95</v>
      </c>
      <c r="F124" s="85"/>
      <c r="G124" s="85" t="s">
        <v>94</v>
      </c>
      <c r="H124" s="132"/>
      <c r="I124" s="55" t="s">
        <v>158</v>
      </c>
      <c r="J124" s="56">
        <f ca="1">H122*25%</f>
        <v>5.5</v>
      </c>
    </row>
    <row r="125" spans="1:10" s="28" customFormat="1" x14ac:dyDescent="0.25">
      <c r="A125" s="84" t="s">
        <v>145</v>
      </c>
      <c r="B125" s="85"/>
      <c r="C125" s="57">
        <f ca="1">J126</f>
        <v>22</v>
      </c>
      <c r="D125" s="58">
        <f ca="1">((100/H122)*C125)/100</f>
        <v>1.0000000000000002</v>
      </c>
      <c r="E125" s="142">
        <f ca="1">(((C126/H122*10)+(40/(D122+F122+H122)*C127)+(7.5/(H122)*C128)+(7.5/(H122)*C129)+(10/H122*C130)+(10/H122*C131)+(5/H122*C132)+(5/H122*C133)+(5/H122*C134))/100)</f>
        <v>0.16956521739130434</v>
      </c>
      <c r="F125" s="142"/>
      <c r="G125" s="142">
        <f ca="1">((((C125/H122)*20)+((C126/H122)*25)+(30/(H122+F122+D122)*C127)+(5/H122*C128)+(5/H122*C129)+(5/H122*C130)+(5/H122*C131)+(0/H122*C132)+(0/H122*C133)+(5/H122*C134))/100)</f>
        <v>0.50217391304347825</v>
      </c>
      <c r="H125" s="144"/>
      <c r="I125" s="55" t="s">
        <v>108</v>
      </c>
      <c r="J125" s="59">
        <f ca="1">H122*50%</f>
        <v>11</v>
      </c>
    </row>
    <row r="126" spans="1:10" s="28" customFormat="1" x14ac:dyDescent="0.25">
      <c r="A126" s="84" t="s">
        <v>55</v>
      </c>
      <c r="B126" s="85"/>
      <c r="C126" s="60">
        <f ca="1">J134</f>
        <v>22</v>
      </c>
      <c r="D126" s="58">
        <f ca="1">((100/H122)*C126)/100</f>
        <v>1.0000000000000002</v>
      </c>
      <c r="E126" s="142"/>
      <c r="F126" s="142"/>
      <c r="G126" s="142"/>
      <c r="H126" s="144"/>
      <c r="I126" s="55" t="s">
        <v>109</v>
      </c>
      <c r="J126" s="59">
        <f ca="1">H122</f>
        <v>22</v>
      </c>
    </row>
    <row r="127" spans="1:10" s="28" customFormat="1" ht="15.75" customHeight="1" x14ac:dyDescent="0.25">
      <c r="A127" s="84" t="s">
        <v>146</v>
      </c>
      <c r="B127" s="85"/>
      <c r="C127" s="60">
        <v>4</v>
      </c>
      <c r="D127" s="58">
        <f ca="1">((100/(D122+F122+H122))*C127)/100</f>
        <v>0.17391304347826086</v>
      </c>
      <c r="E127" s="142"/>
      <c r="F127" s="142"/>
      <c r="G127" s="142"/>
      <c r="H127" s="144"/>
      <c r="I127" s="55" t="s">
        <v>110</v>
      </c>
      <c r="J127" s="61">
        <f ca="1">(IF(B122&gt;1,(H122/(B122+2)),H122/4))</f>
        <v>5.5</v>
      </c>
    </row>
    <row r="128" spans="1:10" s="28" customFormat="1" ht="15.75" customHeight="1" x14ac:dyDescent="0.25">
      <c r="A128" s="84" t="s">
        <v>153</v>
      </c>
      <c r="B128" s="85" t="s">
        <v>147</v>
      </c>
      <c r="C128" s="57">
        <v>0</v>
      </c>
      <c r="D128" s="58">
        <f ca="1">((100/H122)*C128)/100</f>
        <v>0</v>
      </c>
      <c r="E128" s="142"/>
      <c r="F128" s="142"/>
      <c r="G128" s="142"/>
      <c r="H128" s="144"/>
      <c r="I128" s="55" t="s">
        <v>111</v>
      </c>
      <c r="J128" s="61">
        <f ca="1">(IF(B122&gt;1,(H122/(B122+2)+J127),H122/4+J127))</f>
        <v>11</v>
      </c>
    </row>
    <row r="129" spans="1:10" s="28" customFormat="1" ht="15.75" customHeight="1" x14ac:dyDescent="0.25">
      <c r="A129" s="84" t="s">
        <v>154</v>
      </c>
      <c r="B129" s="85" t="s">
        <v>147</v>
      </c>
      <c r="C129" s="57">
        <v>0</v>
      </c>
      <c r="D129" s="58">
        <f ca="1">((100/H122)*C129)/100</f>
        <v>0</v>
      </c>
      <c r="E129" s="142"/>
      <c r="F129" s="142"/>
      <c r="G129" s="142"/>
      <c r="H129" s="144"/>
      <c r="I129" s="55" t="s">
        <v>165</v>
      </c>
      <c r="J129" s="61">
        <f>(IF(B122&gt;1,(H122/(B122+2)+J128),0))</f>
        <v>0</v>
      </c>
    </row>
    <row r="130" spans="1:10" s="28" customFormat="1" ht="15" customHeight="1" x14ac:dyDescent="0.25">
      <c r="A130" s="84" t="s">
        <v>152</v>
      </c>
      <c r="B130" s="85" t="s">
        <v>149</v>
      </c>
      <c r="C130" s="57">
        <v>0</v>
      </c>
      <c r="D130" s="58">
        <f ca="1">((100/(H122))*C130)/100</f>
        <v>0</v>
      </c>
      <c r="E130" s="142"/>
      <c r="F130" s="142"/>
      <c r="G130" s="142"/>
      <c r="H130" s="144"/>
      <c r="I130" s="55" t="s">
        <v>160</v>
      </c>
      <c r="J130" s="61">
        <f>(IF(B122&gt;2,(H122/(B122+2)+J129),0))</f>
        <v>0</v>
      </c>
    </row>
    <row r="131" spans="1:10" s="28" customFormat="1" ht="15.75" customHeight="1" x14ac:dyDescent="0.25">
      <c r="A131" s="84" t="s">
        <v>148</v>
      </c>
      <c r="B131" s="85" t="s">
        <v>148</v>
      </c>
      <c r="C131" s="57">
        <v>0</v>
      </c>
      <c r="D131" s="58">
        <f ca="1">((100/H122)*C131)/100</f>
        <v>0</v>
      </c>
      <c r="E131" s="142"/>
      <c r="F131" s="142"/>
      <c r="G131" s="142"/>
      <c r="H131" s="144"/>
      <c r="I131" s="55" t="s">
        <v>161</v>
      </c>
      <c r="J131" s="62">
        <f>(IF(B122&gt;3,(H122/(B122+2)+J130),0))</f>
        <v>0</v>
      </c>
    </row>
    <row r="132" spans="1:10" s="28" customFormat="1" ht="15.75" customHeight="1" x14ac:dyDescent="0.25">
      <c r="A132" s="84" t="s">
        <v>155</v>
      </c>
      <c r="B132" s="85"/>
      <c r="C132" s="57">
        <v>0</v>
      </c>
      <c r="D132" s="58">
        <f ca="1">((100/H122)*C132)/100</f>
        <v>0</v>
      </c>
      <c r="E132" s="142"/>
      <c r="F132" s="142"/>
      <c r="G132" s="142"/>
      <c r="H132" s="144"/>
      <c r="I132" s="55" t="s">
        <v>162</v>
      </c>
      <c r="J132" s="61">
        <f>(IF(B122&gt;4,(H122/(B122+2)+J131),0))</f>
        <v>0</v>
      </c>
    </row>
    <row r="133" spans="1:10" s="28" customFormat="1" ht="15.75" customHeight="1" x14ac:dyDescent="0.25">
      <c r="A133" s="84" t="s">
        <v>150</v>
      </c>
      <c r="B133" s="85" t="s">
        <v>150</v>
      </c>
      <c r="C133" s="57">
        <v>0</v>
      </c>
      <c r="D133" s="58">
        <f ca="1">((100/(H122))*C133)/100</f>
        <v>0</v>
      </c>
      <c r="E133" s="142"/>
      <c r="F133" s="142"/>
      <c r="G133" s="142"/>
      <c r="H133" s="144"/>
      <c r="I133" s="55" t="s">
        <v>166</v>
      </c>
      <c r="J133" s="61">
        <f ca="1">(IF(B122=1,(H122/(B122+3)+J128),IF(B122=0,(H122/4+J128),IF(B122&gt;1,0))))</f>
        <v>16.5</v>
      </c>
    </row>
    <row r="134" spans="1:10" s="28" customFormat="1" ht="16.5" thickBot="1" x14ac:dyDescent="0.3">
      <c r="A134" s="146" t="s">
        <v>151</v>
      </c>
      <c r="B134" s="147"/>
      <c r="C134" s="63">
        <v>0</v>
      </c>
      <c r="D134" s="64">
        <f ca="1">((100/(H122))*C134)/100</f>
        <v>0</v>
      </c>
      <c r="E134" s="143"/>
      <c r="F134" s="143"/>
      <c r="G134" s="143"/>
      <c r="H134" s="145"/>
      <c r="I134" s="65" t="s">
        <v>112</v>
      </c>
      <c r="J134" s="66">
        <f ca="1">(IF(B122&gt;1.5,(H122/(B122+2)+J128+MAX(0,J129-J128)+MAX(0,J130-J129)+MAX(0,J131-J130)+MAX(0,J132-J131)+MAX(0,J133-J132)),IF(B122=1,(H122/(B122+3)+J133),IF(B122=0,H122/4+J133))))</f>
        <v>22</v>
      </c>
    </row>
    <row r="135" spans="1:10" s="28" customFormat="1" ht="15.75" customHeight="1" x14ac:dyDescent="0.25">
      <c r="A135" s="183" t="s">
        <v>157</v>
      </c>
      <c r="B135" s="184"/>
      <c r="C135" s="185" t="s">
        <v>191</v>
      </c>
      <c r="D135" s="186"/>
      <c r="E135" s="186"/>
      <c r="F135" s="186"/>
      <c r="G135" s="186"/>
      <c r="H135" s="187"/>
      <c r="I135" s="67" t="str">
        <f ca="1">(IF(E139&gt;99%,"All work completed. Please provide OC.",IF(E139&gt;89.8%,"Plinth, RCC, Brick, Plaster, Flooring, Painting work Completed. Finishing work is in process.",IF(E139&lt;94%,(IF(C139=0,"Work not yet Started.",IF(D139=25%,"Piling work in process",IF(D139=50%,"Excavation work in process",IF(D139=100%,"Excavation work Completed. ","0")))&amp;(IF(C140=0%,"",IF(C140=J141,"Footing work is process",IF(C140=J142,"Footing work Completed",IF(C140=J143,"1st Basement Completed",IF(C140=J144,"1st &amp; 2nd Basement Completed",IF(C140=J145,"1st to 3rd Basement Completed",IF(C140=J146,"1st to 4th Basement Completed",IF(C140=J147,"Plinth work is process",IF(C140=J148,"Plinth work completed","0")))))))))))&amp;(IF(C141=(D136+F136+H136),", RCC Slab Completed",IF(C141&gt;0,", RCC upto "&amp;C141&amp;" Slab Completed",""))&amp;(IF(C142=H136,", Brickwork Completed",IF(C142&gt;0,", Brickwork upto "&amp;C142&amp;" Floor Completed",""))&amp;(IF(C143=H136,", Internal Plaster Completed",IF(C143&gt;0,", Internal Plaster upto "&amp;C143&amp;" Floor Completed",""))&amp;(IF(C144=H136,", External Plaster Completed",IF(C144&gt;0,", External Plaster upto "&amp;C144&amp;" Floor Completed",""))&amp;(IF(C145=H136,", Flooring Completed",IF(C145&gt;0,", Flooring upto "&amp;C145&amp;" Floor Completed",""))&amp;(IF(C146=H136,", Painting Completed",IF(C146&gt;0,", Painting upto "&amp;C146&amp;" Floor Completed",""))&amp;(IF(C147&gt;0,", Finishing upto "&amp;C147&amp;" Floor Completed","")&amp;(IF(C141&gt;0.5,".",""))))))))))))))</f>
        <v>Excavation work Completed. Plinth work completed, RCC upto 9 Slab Completed.</v>
      </c>
      <c r="J135" s="68"/>
    </row>
    <row r="136" spans="1:10" s="28" customFormat="1" x14ac:dyDescent="0.25">
      <c r="A136" s="18" t="s">
        <v>159</v>
      </c>
      <c r="B136" s="51">
        <v>0</v>
      </c>
      <c r="C136" s="51" t="s">
        <v>79</v>
      </c>
      <c r="D136" s="51">
        <v>1</v>
      </c>
      <c r="E136" s="51" t="s">
        <v>78</v>
      </c>
      <c r="F136" s="51">
        <v>0</v>
      </c>
      <c r="G136" s="51" t="s">
        <v>90</v>
      </c>
      <c r="H136" s="19">
        <f ca="1">--TRIM(RIGHT(SUBSTITUTE(LEFT(C135,_xlfn.AGGREGATE(16,6,FIND({0,1,2,3,4,5,6,7,8,9},C135,ROW(INDIRECT("1:"&amp;LEN(C135)))),1))," ",REPT(" ",LEN(C135))),LEN(C135)))</f>
        <v>22</v>
      </c>
      <c r="I136" s="52"/>
      <c r="J136" s="53"/>
    </row>
    <row r="137" spans="1:10" s="28" customFormat="1" x14ac:dyDescent="0.25">
      <c r="A137" s="133" t="s">
        <v>100</v>
      </c>
      <c r="B137" s="86"/>
      <c r="C137" s="100" t="str">
        <f ca="1">I135</f>
        <v>Excavation work Completed. Plinth work completed, RCC upto 9 Slab Completed.</v>
      </c>
      <c r="D137" s="100"/>
      <c r="E137" s="100"/>
      <c r="F137" s="100"/>
      <c r="G137" s="100"/>
      <c r="H137" s="139"/>
      <c r="I137" s="52" t="s">
        <v>113</v>
      </c>
      <c r="J137" s="53"/>
    </row>
    <row r="138" spans="1:10" s="28" customFormat="1" ht="15.75" customHeight="1" x14ac:dyDescent="0.25">
      <c r="A138" s="84" t="s">
        <v>54</v>
      </c>
      <c r="B138" s="85"/>
      <c r="C138" s="54" t="s">
        <v>156</v>
      </c>
      <c r="D138" s="54" t="s">
        <v>93</v>
      </c>
      <c r="E138" s="85" t="s">
        <v>95</v>
      </c>
      <c r="F138" s="85"/>
      <c r="G138" s="85" t="s">
        <v>94</v>
      </c>
      <c r="H138" s="132"/>
      <c r="I138" s="55" t="s">
        <v>158</v>
      </c>
      <c r="J138" s="56">
        <f ca="1">H136*25%</f>
        <v>5.5</v>
      </c>
    </row>
    <row r="139" spans="1:10" s="28" customFormat="1" x14ac:dyDescent="0.25">
      <c r="A139" s="84" t="s">
        <v>145</v>
      </c>
      <c r="B139" s="85"/>
      <c r="C139" s="57">
        <f ca="1">J140</f>
        <v>22</v>
      </c>
      <c r="D139" s="58">
        <f ca="1">((100/H136)*C139)/100</f>
        <v>1.0000000000000002</v>
      </c>
      <c r="E139" s="142">
        <f ca="1">(((C140/H136*10)+(40/(D136+F136+H136)*C141)+(7.5/(H136)*C142)+(7.5/(H136)*C143)+(10/H136*C144)+(10/H136*C145)+(5/H136*C146)+(5/H136*C147)+(5/H136*C148))/100)</f>
        <v>0.25652173913043474</v>
      </c>
      <c r="F139" s="142"/>
      <c r="G139" s="142">
        <f ca="1">((((C139/H136)*20)+((C140/H136)*25)+(30/(H136+F136+D136)*C141)+(5/H136*C142)+(5/H136*C143)+(5/H136*C144)+(5/H136*C145)+(0/H136*C146)+(0/H136*C147)+(5/H136*C148))/100)</f>
        <v>0.56739130434782614</v>
      </c>
      <c r="H139" s="144"/>
      <c r="I139" s="55" t="s">
        <v>108</v>
      </c>
      <c r="J139" s="59">
        <f ca="1">H136*50%</f>
        <v>11</v>
      </c>
    </row>
    <row r="140" spans="1:10" s="28" customFormat="1" x14ac:dyDescent="0.25">
      <c r="A140" s="84" t="s">
        <v>55</v>
      </c>
      <c r="B140" s="85"/>
      <c r="C140" s="60">
        <f ca="1">J148</f>
        <v>22</v>
      </c>
      <c r="D140" s="58">
        <f ca="1">((100/H136)*C140)/100</f>
        <v>1.0000000000000002</v>
      </c>
      <c r="E140" s="142"/>
      <c r="F140" s="142"/>
      <c r="G140" s="142"/>
      <c r="H140" s="144"/>
      <c r="I140" s="55" t="s">
        <v>109</v>
      </c>
      <c r="J140" s="59">
        <f ca="1">H136</f>
        <v>22</v>
      </c>
    </row>
    <row r="141" spans="1:10" s="28" customFormat="1" ht="15.75" customHeight="1" x14ac:dyDescent="0.25">
      <c r="A141" s="84" t="s">
        <v>146</v>
      </c>
      <c r="B141" s="85"/>
      <c r="C141" s="60">
        <v>9</v>
      </c>
      <c r="D141" s="58">
        <f ca="1">((100/(D136+F136+H136))*C141)/100</f>
        <v>0.39130434782608697</v>
      </c>
      <c r="E141" s="142"/>
      <c r="F141" s="142"/>
      <c r="G141" s="142"/>
      <c r="H141" s="144"/>
      <c r="I141" s="55" t="s">
        <v>110</v>
      </c>
      <c r="J141" s="61">
        <f ca="1">(IF(B136&gt;1,(H136/(B136+2)),H136/4))</f>
        <v>5.5</v>
      </c>
    </row>
    <row r="142" spans="1:10" s="28" customFormat="1" ht="15.75" customHeight="1" x14ac:dyDescent="0.25">
      <c r="A142" s="84" t="s">
        <v>153</v>
      </c>
      <c r="B142" s="85" t="s">
        <v>147</v>
      </c>
      <c r="C142" s="57">
        <v>0</v>
      </c>
      <c r="D142" s="58">
        <f ca="1">((100/H136)*C142)/100</f>
        <v>0</v>
      </c>
      <c r="E142" s="142"/>
      <c r="F142" s="142"/>
      <c r="G142" s="142"/>
      <c r="H142" s="144"/>
      <c r="I142" s="55" t="s">
        <v>111</v>
      </c>
      <c r="J142" s="61">
        <f ca="1">(IF(B136&gt;1,(H136/(B136+2)+J141),H136/4+J141))</f>
        <v>11</v>
      </c>
    </row>
    <row r="143" spans="1:10" s="28" customFormat="1" ht="15.75" customHeight="1" x14ac:dyDescent="0.25">
      <c r="A143" s="84" t="s">
        <v>154</v>
      </c>
      <c r="B143" s="85" t="s">
        <v>147</v>
      </c>
      <c r="C143" s="57">
        <v>0</v>
      </c>
      <c r="D143" s="58">
        <f ca="1">((100/H136)*C143)/100</f>
        <v>0</v>
      </c>
      <c r="E143" s="142"/>
      <c r="F143" s="142"/>
      <c r="G143" s="142"/>
      <c r="H143" s="144"/>
      <c r="I143" s="55" t="s">
        <v>165</v>
      </c>
      <c r="J143" s="61">
        <f>(IF(B136&gt;1,(H136/(B136+2)+J142),0))</f>
        <v>0</v>
      </c>
    </row>
    <row r="144" spans="1:10" s="28" customFormat="1" ht="15" customHeight="1" x14ac:dyDescent="0.25">
      <c r="A144" s="84" t="s">
        <v>152</v>
      </c>
      <c r="B144" s="85" t="s">
        <v>149</v>
      </c>
      <c r="C144" s="57">
        <v>0</v>
      </c>
      <c r="D144" s="58">
        <f ca="1">((100/(H136))*C144)/100</f>
        <v>0</v>
      </c>
      <c r="E144" s="142"/>
      <c r="F144" s="142"/>
      <c r="G144" s="142"/>
      <c r="H144" s="144"/>
      <c r="I144" s="55" t="s">
        <v>160</v>
      </c>
      <c r="J144" s="61">
        <f>(IF(B136&gt;2,(H136/(B136+2)+J143),0))</f>
        <v>0</v>
      </c>
    </row>
    <row r="145" spans="1:13" s="28" customFormat="1" ht="15.75" customHeight="1" x14ac:dyDescent="0.25">
      <c r="A145" s="84" t="s">
        <v>148</v>
      </c>
      <c r="B145" s="85" t="s">
        <v>148</v>
      </c>
      <c r="C145" s="57">
        <v>0</v>
      </c>
      <c r="D145" s="58">
        <f ca="1">((100/H136)*C145)/100</f>
        <v>0</v>
      </c>
      <c r="E145" s="142"/>
      <c r="F145" s="142"/>
      <c r="G145" s="142"/>
      <c r="H145" s="144"/>
      <c r="I145" s="55" t="s">
        <v>161</v>
      </c>
      <c r="J145" s="62">
        <f>(IF(B136&gt;3,(H136/(B136+2)+J144),0))</f>
        <v>0</v>
      </c>
    </row>
    <row r="146" spans="1:13" s="28" customFormat="1" ht="15.75" customHeight="1" x14ac:dyDescent="0.25">
      <c r="A146" s="84" t="s">
        <v>155</v>
      </c>
      <c r="B146" s="85"/>
      <c r="C146" s="57">
        <v>0</v>
      </c>
      <c r="D146" s="58">
        <f ca="1">((100/H136)*C146)/100</f>
        <v>0</v>
      </c>
      <c r="E146" s="142"/>
      <c r="F146" s="142"/>
      <c r="G146" s="142"/>
      <c r="H146" s="144"/>
      <c r="I146" s="55" t="s">
        <v>162</v>
      </c>
      <c r="J146" s="61">
        <f>(IF(B136&gt;4,(H136/(B136+2)+J145),0))</f>
        <v>0</v>
      </c>
    </row>
    <row r="147" spans="1:13" s="28" customFormat="1" ht="15.75" customHeight="1" x14ac:dyDescent="0.25">
      <c r="A147" s="84" t="s">
        <v>150</v>
      </c>
      <c r="B147" s="85" t="s">
        <v>150</v>
      </c>
      <c r="C147" s="57">
        <v>0</v>
      </c>
      <c r="D147" s="58">
        <f ca="1">((100/(H136))*C147)/100</f>
        <v>0</v>
      </c>
      <c r="E147" s="142"/>
      <c r="F147" s="142"/>
      <c r="G147" s="142"/>
      <c r="H147" s="144"/>
      <c r="I147" s="55" t="s">
        <v>166</v>
      </c>
      <c r="J147" s="61">
        <f ca="1">(IF(B136=1,(H136/(B136+3)+J142),IF(B136=0,(H136/4+J142),IF(B136&gt;1,0))))</f>
        <v>16.5</v>
      </c>
    </row>
    <row r="148" spans="1:13" s="28" customFormat="1" ht="16.5" thickBot="1" x14ac:dyDescent="0.3">
      <c r="A148" s="146" t="s">
        <v>151</v>
      </c>
      <c r="B148" s="147"/>
      <c r="C148" s="63">
        <v>0</v>
      </c>
      <c r="D148" s="64">
        <f ca="1">((100/(H136))*C148)/100</f>
        <v>0</v>
      </c>
      <c r="E148" s="143"/>
      <c r="F148" s="143"/>
      <c r="G148" s="143"/>
      <c r="H148" s="145"/>
      <c r="I148" s="65" t="s">
        <v>112</v>
      </c>
      <c r="J148" s="66">
        <f ca="1">(IF(B136&gt;1.5,(H136/(B136+2)+J142+MAX(0,J143-J142)+MAX(0,J144-J143)+MAX(0,J145-J144)+MAX(0,J146-J145)+MAX(0,J147-J146)),IF(B136=1,(H136/(B136+3)+J147),IF(B136=0,H136/4+J147))))</f>
        <v>22</v>
      </c>
    </row>
    <row r="149" spans="1:13" s="28" customFormat="1" ht="15.75" customHeight="1" x14ac:dyDescent="0.25">
      <c r="A149" s="183" t="s">
        <v>157</v>
      </c>
      <c r="B149" s="184"/>
      <c r="C149" s="185" t="s">
        <v>192</v>
      </c>
      <c r="D149" s="186"/>
      <c r="E149" s="186"/>
      <c r="F149" s="186"/>
      <c r="G149" s="186"/>
      <c r="H149" s="187"/>
      <c r="I149" s="67" t="str">
        <f ca="1">(IF(E153&gt;99%,"All work completed. Please provide OC.",IF(E153&gt;89.8%,"Plinth, RCC, Brick, Plaster, Flooring, Painting work Completed. Finishing work is in process.",IF(E153&lt;94%,(IF(C153=0,"Work not yet Started.",IF(D153=25%,"Piling work in process",IF(D153=50%,"Excavation work in process",IF(D153=100%,"Excavation work Completed. ","0")))&amp;(IF(C154=0%,"",IF(C154=J155,"Footing work is process",IF(C154=J156,"Footing work Completed",IF(C154=J157,"1st Basement Completed",IF(C154=J158,"1st &amp; 2nd Basement Completed",IF(C154=J159,"1st to 3rd Basement Completed",IF(C154=J160,"1st to 4th Basement Completed",IF(C154=J161,"Plinth work is process",IF(C154=J162,"Plinth work completed","0")))))))))))&amp;(IF(C155=(D150+F150+H150),", RCC Slab Completed",IF(C155&gt;0,", RCC upto "&amp;C155&amp;" Slab Completed",""))&amp;(IF(C156=H150,", Brickwork Completed",IF(C156&gt;0,", Brickwork upto "&amp;C156&amp;" Floor Completed",""))&amp;(IF(C157=H150,", Internal Plaster Completed",IF(C157&gt;0,", Internal Plaster upto "&amp;C157&amp;" Floor Completed",""))&amp;(IF(C158=H150,", External Plaster Completed",IF(C158&gt;0,", External Plaster upto "&amp;C158&amp;" Floor Completed",""))&amp;(IF(C159=H150,", Flooring Completed",IF(C159&gt;0,", Flooring upto "&amp;C159&amp;" Floor Completed",""))&amp;(IF(C160=H150,", Painting Completed",IF(C160&gt;0,", Painting upto "&amp;C160&amp;" Floor Completed",""))&amp;(IF(C161&gt;0,", Finishing upto "&amp;C161&amp;" Floor Completed","")&amp;(IF(C155&gt;0.5,".",""))))))))))))))</f>
        <v>Excavation work Completed. Plinth work completed, RCC upto 9 Slab Completed.</v>
      </c>
      <c r="J149" s="68"/>
    </row>
    <row r="150" spans="1:13" s="28" customFormat="1" x14ac:dyDescent="0.25">
      <c r="A150" s="18" t="s">
        <v>159</v>
      </c>
      <c r="B150" s="51">
        <v>0</v>
      </c>
      <c r="C150" s="51" t="s">
        <v>79</v>
      </c>
      <c r="D150" s="51">
        <v>1</v>
      </c>
      <c r="E150" s="51" t="s">
        <v>78</v>
      </c>
      <c r="F150" s="51">
        <v>0</v>
      </c>
      <c r="G150" s="51" t="s">
        <v>90</v>
      </c>
      <c r="H150" s="19">
        <f ca="1">--TRIM(RIGHT(SUBSTITUTE(LEFT(C149,_xlfn.AGGREGATE(16,6,FIND({0,1,2,3,4,5,6,7,8,9},C149,ROW(INDIRECT("1:"&amp;LEN(C149)))),1))," ",REPT(" ",LEN(C149))),LEN(C149)))</f>
        <v>22</v>
      </c>
      <c r="I150" s="52"/>
      <c r="J150" s="53"/>
    </row>
    <row r="151" spans="1:13" s="28" customFormat="1" x14ac:dyDescent="0.25">
      <c r="A151" s="133" t="s">
        <v>100</v>
      </c>
      <c r="B151" s="86"/>
      <c r="C151" s="100" t="str">
        <f ca="1">I149</f>
        <v>Excavation work Completed. Plinth work completed, RCC upto 9 Slab Completed.</v>
      </c>
      <c r="D151" s="100"/>
      <c r="E151" s="100"/>
      <c r="F151" s="100"/>
      <c r="G151" s="100"/>
      <c r="H151" s="139"/>
      <c r="I151" s="52" t="s">
        <v>113</v>
      </c>
      <c r="J151" s="53"/>
    </row>
    <row r="152" spans="1:13" s="28" customFormat="1" ht="15.75" customHeight="1" x14ac:dyDescent="0.25">
      <c r="A152" s="84" t="s">
        <v>54</v>
      </c>
      <c r="B152" s="85"/>
      <c r="C152" s="54" t="s">
        <v>156</v>
      </c>
      <c r="D152" s="54" t="s">
        <v>93</v>
      </c>
      <c r="E152" s="85" t="s">
        <v>95</v>
      </c>
      <c r="F152" s="85"/>
      <c r="G152" s="85" t="s">
        <v>94</v>
      </c>
      <c r="H152" s="132"/>
      <c r="I152" s="55" t="s">
        <v>158</v>
      </c>
      <c r="J152" s="56">
        <f ca="1">H150*25%</f>
        <v>5.5</v>
      </c>
    </row>
    <row r="153" spans="1:13" s="28" customFormat="1" x14ac:dyDescent="0.25">
      <c r="A153" s="84" t="s">
        <v>145</v>
      </c>
      <c r="B153" s="85"/>
      <c r="C153" s="57">
        <f ca="1">J154</f>
        <v>22</v>
      </c>
      <c r="D153" s="58">
        <f ca="1">((100/H150)*C153)/100</f>
        <v>1.0000000000000002</v>
      </c>
      <c r="E153" s="142">
        <f ca="1">(((C154/H150*10)+(40/(D150+F150+H150)*C155)+(7.5/(H150)*C156)+(7.5/(H150)*C157)+(10/H150*C158)+(10/H150*C159)+(5/H150*C160)+(5/H150*C161)+(5/H150*C162))/100)</f>
        <v>0.25652173913043474</v>
      </c>
      <c r="F153" s="142"/>
      <c r="G153" s="142">
        <f ca="1">((((C153/H150)*20)+((C154/H150)*25)+(30/(H150+F150+D150)*C155)+(5/H150*C156)+(5/H150*C157)+(5/H150*C158)+(5/H150*C159)+(0/H150*C160)+(0/H150*C161)+(5/H150*C162))/100)</f>
        <v>0.56739130434782614</v>
      </c>
      <c r="H153" s="144"/>
      <c r="I153" s="55" t="s">
        <v>108</v>
      </c>
      <c r="J153" s="59">
        <f ca="1">H150*50%</f>
        <v>11</v>
      </c>
    </row>
    <row r="154" spans="1:13" s="28" customFormat="1" x14ac:dyDescent="0.25">
      <c r="A154" s="84" t="s">
        <v>55</v>
      </c>
      <c r="B154" s="85"/>
      <c r="C154" s="60">
        <f ca="1">J162</f>
        <v>22</v>
      </c>
      <c r="D154" s="58">
        <f ca="1">((100/H150)*C154)/100</f>
        <v>1.0000000000000002</v>
      </c>
      <c r="E154" s="142"/>
      <c r="F154" s="142"/>
      <c r="G154" s="142"/>
      <c r="H154" s="144"/>
      <c r="I154" s="55" t="s">
        <v>109</v>
      </c>
      <c r="J154" s="59">
        <f ca="1">H150</f>
        <v>22</v>
      </c>
      <c r="L154" s="28">
        <f>600*1.55*3700</f>
        <v>3441000</v>
      </c>
      <c r="M154" s="28">
        <f>326*1.55*3700</f>
        <v>1869610</v>
      </c>
    </row>
    <row r="155" spans="1:13" s="28" customFormat="1" ht="15.75" customHeight="1" x14ac:dyDescent="0.25">
      <c r="A155" s="84" t="s">
        <v>146</v>
      </c>
      <c r="B155" s="85"/>
      <c r="C155" s="60">
        <v>9</v>
      </c>
      <c r="D155" s="58">
        <f ca="1">((100/(D150+F150+H150))*C155)/100</f>
        <v>0.39130434782608697</v>
      </c>
      <c r="E155" s="142"/>
      <c r="F155" s="142"/>
      <c r="G155" s="142"/>
      <c r="H155" s="144"/>
      <c r="I155" s="55" t="s">
        <v>110</v>
      </c>
      <c r="J155" s="61">
        <f ca="1">(IF(B150&gt;1,(H150/(B150+2)),H150/4))</f>
        <v>5.5</v>
      </c>
      <c r="L155" s="28">
        <f>422*1.55*3700</f>
        <v>2420170</v>
      </c>
    </row>
    <row r="156" spans="1:13" s="28" customFormat="1" ht="15.75" customHeight="1" x14ac:dyDescent="0.25">
      <c r="A156" s="84" t="s">
        <v>153</v>
      </c>
      <c r="B156" s="85" t="s">
        <v>147</v>
      </c>
      <c r="C156" s="57">
        <v>0</v>
      </c>
      <c r="D156" s="58">
        <f ca="1">((100/H150)*C156)/100</f>
        <v>0</v>
      </c>
      <c r="E156" s="142"/>
      <c r="F156" s="142"/>
      <c r="G156" s="142"/>
      <c r="H156" s="144"/>
      <c r="I156" s="55" t="s">
        <v>111</v>
      </c>
      <c r="J156" s="61">
        <f ca="1">(IF(B150&gt;1,(H150/(B150+2)+J155),H150/4+J155))</f>
        <v>11</v>
      </c>
    </row>
    <row r="157" spans="1:13" s="28" customFormat="1" ht="15.75" customHeight="1" x14ac:dyDescent="0.25">
      <c r="A157" s="84" t="s">
        <v>154</v>
      </c>
      <c r="B157" s="85" t="s">
        <v>147</v>
      </c>
      <c r="C157" s="57">
        <v>0</v>
      </c>
      <c r="D157" s="58">
        <f ca="1">((100/H150)*C157)/100</f>
        <v>0</v>
      </c>
      <c r="E157" s="142"/>
      <c r="F157" s="142"/>
      <c r="G157" s="142"/>
      <c r="H157" s="144"/>
      <c r="I157" s="55" t="s">
        <v>165</v>
      </c>
      <c r="J157" s="61">
        <f>(IF(B150&gt;1,(H150/(B150+2)+J156),0))</f>
        <v>0</v>
      </c>
    </row>
    <row r="158" spans="1:13" s="28" customFormat="1" ht="15" customHeight="1" x14ac:dyDescent="0.25">
      <c r="A158" s="84" t="s">
        <v>152</v>
      </c>
      <c r="B158" s="85" t="s">
        <v>149</v>
      </c>
      <c r="C158" s="57">
        <v>0</v>
      </c>
      <c r="D158" s="58">
        <f ca="1">((100/(H150))*C158)/100</f>
        <v>0</v>
      </c>
      <c r="E158" s="142"/>
      <c r="F158" s="142"/>
      <c r="G158" s="142"/>
      <c r="H158" s="144"/>
      <c r="I158" s="55" t="s">
        <v>160</v>
      </c>
      <c r="J158" s="61">
        <f>(IF(B150&gt;2,(H150/(B150+2)+J157),0))</f>
        <v>0</v>
      </c>
    </row>
    <row r="159" spans="1:13" s="28" customFormat="1" ht="15.75" customHeight="1" x14ac:dyDescent="0.25">
      <c r="A159" s="84" t="s">
        <v>148</v>
      </c>
      <c r="B159" s="85" t="s">
        <v>148</v>
      </c>
      <c r="C159" s="57">
        <v>0</v>
      </c>
      <c r="D159" s="58">
        <f ca="1">((100/H150)*C159)/100</f>
        <v>0</v>
      </c>
      <c r="E159" s="142"/>
      <c r="F159" s="142"/>
      <c r="G159" s="142"/>
      <c r="H159" s="144"/>
      <c r="I159" s="55" t="s">
        <v>161</v>
      </c>
      <c r="J159" s="62">
        <f>(IF(B150&gt;3,(H150/(B150+2)+J158),0))</f>
        <v>0</v>
      </c>
    </row>
    <row r="160" spans="1:13" s="28" customFormat="1" ht="15.75" customHeight="1" x14ac:dyDescent="0.25">
      <c r="A160" s="84" t="s">
        <v>155</v>
      </c>
      <c r="B160" s="85"/>
      <c r="C160" s="57">
        <v>0</v>
      </c>
      <c r="D160" s="58">
        <f ca="1">((100/H150)*C160)/100</f>
        <v>0</v>
      </c>
      <c r="E160" s="142"/>
      <c r="F160" s="142"/>
      <c r="G160" s="142"/>
      <c r="H160" s="144"/>
      <c r="I160" s="55" t="s">
        <v>162</v>
      </c>
      <c r="J160" s="61">
        <f>(IF(B150&gt;4,(H150/(B150+2)+J159),0))</f>
        <v>0</v>
      </c>
    </row>
    <row r="161" spans="1:13" s="28" customFormat="1" ht="15.75" customHeight="1" x14ac:dyDescent="0.25">
      <c r="A161" s="84" t="s">
        <v>150</v>
      </c>
      <c r="B161" s="85" t="s">
        <v>150</v>
      </c>
      <c r="C161" s="57">
        <v>0</v>
      </c>
      <c r="D161" s="58">
        <f ca="1">((100/(H150))*C161)/100</f>
        <v>0</v>
      </c>
      <c r="E161" s="142"/>
      <c r="F161" s="142"/>
      <c r="G161" s="142"/>
      <c r="H161" s="144"/>
      <c r="I161" s="55" t="s">
        <v>166</v>
      </c>
      <c r="J161" s="61">
        <f ca="1">(IF(B150=1,(H150/(B150+3)+J156),IF(B150=0,(H150/4+J156),IF(B150&gt;1,0))))</f>
        <v>16.5</v>
      </c>
    </row>
    <row r="162" spans="1:13" s="28" customFormat="1" ht="16.5" thickBot="1" x14ac:dyDescent="0.3">
      <c r="A162" s="146" t="s">
        <v>151</v>
      </c>
      <c r="B162" s="147"/>
      <c r="C162" s="63">
        <v>0</v>
      </c>
      <c r="D162" s="64">
        <f ca="1">((100/(H150))*C162)/100</f>
        <v>0</v>
      </c>
      <c r="E162" s="143"/>
      <c r="F162" s="143"/>
      <c r="G162" s="143"/>
      <c r="H162" s="145"/>
      <c r="I162" s="65" t="s">
        <v>112</v>
      </c>
      <c r="J162" s="66">
        <f ca="1">(IF(B150&gt;1.5,(H150/(B150+2)+J156+MAX(0,J157-J156)+MAX(0,J158-J157)+MAX(0,J159-J158)+MAX(0,J160-J159)+MAX(0,J161-J160)),IF(B150=1,(H150/(B150+3)+J161),IF(B150=0,H150/4+J161))))</f>
        <v>22</v>
      </c>
    </row>
    <row r="163" spans="1:13" s="28" customFormat="1" ht="15.75" customHeight="1" x14ac:dyDescent="0.25">
      <c r="A163" s="183" t="s">
        <v>157</v>
      </c>
      <c r="B163" s="184"/>
      <c r="C163" s="185" t="s">
        <v>201</v>
      </c>
      <c r="D163" s="186"/>
      <c r="E163" s="186"/>
      <c r="F163" s="186"/>
      <c r="G163" s="186"/>
      <c r="H163" s="187"/>
      <c r="I163" s="67" t="str">
        <f ca="1">(IF(E167&gt;99%,"All work completed. Please provide OC.",IF(E167&gt;89.8%,"Plinth, RCC, Brick, Plaster, Flooring, Painting work Completed. Finishing work is in process.",IF(E167&lt;94%,(IF(C167=0,"Work not yet Started.",IF(D167=25%,"Piling work in process",IF(D167=50%,"Excavation work in process",IF(D167=100%,"Excavation work Completed. ","0")))&amp;(IF(C168=0%,"",IF(C168=J169,"Footing work is process",IF(C168=J170,"Footing work Completed",IF(C168=J171,"1st Basement Completed",IF(C168=J172,"1st &amp; 2nd Basement Completed",IF(C168=J173,"1st to 3rd Basement Completed",IF(C168=J174,"1st to 4th Basement Completed",IF(C168=J175,"Plinth work is process",IF(C168=J176,"Plinth work completed","0")))))))))))&amp;(IF(C169=(D164+F164+H164),", RCC Slab Completed",IF(C169&gt;0,", RCC upto "&amp;C169&amp;" Slab Completed",""))&amp;(IF(C170=H164,", Brickwork Completed",IF(C170&gt;0,", Brickwork upto "&amp;C170&amp;" Floor Completed",""))&amp;(IF(C171=H164,", Internal Plaster Completed",IF(C171&gt;0,", Internal Plaster upto "&amp;C171&amp;" Floor Completed",""))&amp;(IF(C172=H164,", External Plaster Completed",IF(C172&gt;0,", External Plaster upto "&amp;C172&amp;" Floor Completed",""))&amp;(IF(C173=H164,", Flooring Completed",IF(C173&gt;0,", Flooring upto "&amp;C173&amp;" Floor Completed",""))&amp;(IF(C174=H164,", Painting Completed",IF(C174&gt;0,", Painting upto "&amp;C174&amp;" Floor Completed",""))&amp;(IF(C175&gt;0,", Finishing upto "&amp;C175&amp;" Floor Completed","")&amp;(IF(C169&gt;0.5,".",""))))))))))))))</f>
        <v>Work not yet Started.</v>
      </c>
      <c r="J163" s="68"/>
    </row>
    <row r="164" spans="1:13" s="28" customFormat="1" x14ac:dyDescent="0.25">
      <c r="A164" s="18" t="s">
        <v>159</v>
      </c>
      <c r="B164" s="51">
        <v>0</v>
      </c>
      <c r="C164" s="51" t="s">
        <v>79</v>
      </c>
      <c r="D164" s="51">
        <v>1</v>
      </c>
      <c r="E164" s="51" t="s">
        <v>78</v>
      </c>
      <c r="F164" s="51">
        <v>0</v>
      </c>
      <c r="G164" s="51" t="s">
        <v>90</v>
      </c>
      <c r="H164" s="19">
        <f ca="1">--TRIM(RIGHT(SUBSTITUTE(LEFT(C163,_xlfn.AGGREGATE(16,6,FIND({0,1,2,3,4,5,6,7,8,9},C163,ROW(INDIRECT("1:"&amp;LEN(C163)))),1))," ",REPT(" ",LEN(C163))),LEN(C163)))</f>
        <v>22</v>
      </c>
      <c r="I164" s="52"/>
      <c r="J164" s="53"/>
    </row>
    <row r="165" spans="1:13" s="28" customFormat="1" x14ac:dyDescent="0.25">
      <c r="A165" s="133" t="s">
        <v>100</v>
      </c>
      <c r="B165" s="86"/>
      <c r="C165" s="100" t="str">
        <f ca="1">I163</f>
        <v>Work not yet Started.</v>
      </c>
      <c r="D165" s="100"/>
      <c r="E165" s="100"/>
      <c r="F165" s="100"/>
      <c r="G165" s="100"/>
      <c r="H165" s="139"/>
      <c r="I165" s="52" t="s">
        <v>113</v>
      </c>
      <c r="J165" s="53"/>
    </row>
    <row r="166" spans="1:13" s="28" customFormat="1" ht="15.75" customHeight="1" x14ac:dyDescent="0.25">
      <c r="A166" s="84" t="s">
        <v>54</v>
      </c>
      <c r="B166" s="85"/>
      <c r="C166" s="54" t="s">
        <v>156</v>
      </c>
      <c r="D166" s="54" t="s">
        <v>93</v>
      </c>
      <c r="E166" s="85" t="s">
        <v>95</v>
      </c>
      <c r="F166" s="85"/>
      <c r="G166" s="85" t="s">
        <v>94</v>
      </c>
      <c r="H166" s="132"/>
      <c r="I166" s="55" t="s">
        <v>158</v>
      </c>
      <c r="J166" s="56">
        <f ca="1">H164*25%</f>
        <v>5.5</v>
      </c>
    </row>
    <row r="167" spans="1:13" s="28" customFormat="1" x14ac:dyDescent="0.25">
      <c r="A167" s="84" t="s">
        <v>145</v>
      </c>
      <c r="B167" s="85"/>
      <c r="C167" s="57">
        <v>0</v>
      </c>
      <c r="D167" s="58">
        <f ca="1">((100/H164)*C167)/100</f>
        <v>0</v>
      </c>
      <c r="E167" s="142">
        <f ca="1">(((C168/H164*10)+(40/(D164+F164+H164)*C169)+(7.5/(H164)*C170)+(7.5/(H164)*C171)+(10/H164*C172)+(10/H164*C173)+(5/H164*C174)+(5/H164*C175)+(5/H164*C176))/100)</f>
        <v>0</v>
      </c>
      <c r="F167" s="142"/>
      <c r="G167" s="142">
        <f ca="1">((((C167/H164)*20)+((C168/H164)*25)+(30/(H164+F164+D164)*C169)+(5/H164*C170)+(5/H164*C171)+(5/H164*C172)+(5/H164*C173)+(0/H164*C174)+(0/H164*C175)+(5/H164*C176))/100)</f>
        <v>0</v>
      </c>
      <c r="H167" s="144"/>
      <c r="I167" s="55" t="s">
        <v>108</v>
      </c>
      <c r="J167" s="59">
        <f ca="1">H164*50%</f>
        <v>11</v>
      </c>
    </row>
    <row r="168" spans="1:13" s="28" customFormat="1" x14ac:dyDescent="0.25">
      <c r="A168" s="84" t="s">
        <v>55</v>
      </c>
      <c r="B168" s="85"/>
      <c r="C168" s="60">
        <v>0</v>
      </c>
      <c r="D168" s="58">
        <f ca="1">((100/H164)*C168)/100</f>
        <v>0</v>
      </c>
      <c r="E168" s="142"/>
      <c r="F168" s="142"/>
      <c r="G168" s="142"/>
      <c r="H168" s="144"/>
      <c r="I168" s="55" t="s">
        <v>109</v>
      </c>
      <c r="J168" s="59">
        <f ca="1">H164</f>
        <v>22</v>
      </c>
      <c r="L168" s="28">
        <f>600*1.55*3700</f>
        <v>3441000</v>
      </c>
      <c r="M168" s="28">
        <f>326*1.55*3700</f>
        <v>1869610</v>
      </c>
    </row>
    <row r="169" spans="1:13" s="28" customFormat="1" ht="15.75" customHeight="1" x14ac:dyDescent="0.25">
      <c r="A169" s="84" t="s">
        <v>146</v>
      </c>
      <c r="B169" s="85"/>
      <c r="C169" s="60">
        <v>0</v>
      </c>
      <c r="D169" s="58">
        <f ca="1">((100/(D164+F164+H164))*C169)/100</f>
        <v>0</v>
      </c>
      <c r="E169" s="142"/>
      <c r="F169" s="142"/>
      <c r="G169" s="142"/>
      <c r="H169" s="144"/>
      <c r="I169" s="55" t="s">
        <v>110</v>
      </c>
      <c r="J169" s="61">
        <f ca="1">(IF(B164&gt;1,(H164/(B164+2)),H164/4))</f>
        <v>5.5</v>
      </c>
      <c r="L169" s="28">
        <f>422*1.55*3700</f>
        <v>2420170</v>
      </c>
    </row>
    <row r="170" spans="1:13" s="28" customFormat="1" ht="15.75" customHeight="1" x14ac:dyDescent="0.25">
      <c r="A170" s="84" t="s">
        <v>153</v>
      </c>
      <c r="B170" s="85" t="s">
        <v>147</v>
      </c>
      <c r="C170" s="57">
        <v>0</v>
      </c>
      <c r="D170" s="58">
        <f ca="1">((100/H164)*C170)/100</f>
        <v>0</v>
      </c>
      <c r="E170" s="142"/>
      <c r="F170" s="142"/>
      <c r="G170" s="142"/>
      <c r="H170" s="144"/>
      <c r="I170" s="55" t="s">
        <v>111</v>
      </c>
      <c r="J170" s="61">
        <f ca="1">(IF(B164&gt;1,(H164/(B164+2)+J169),H164/4+J169))</f>
        <v>11</v>
      </c>
    </row>
    <row r="171" spans="1:13" s="28" customFormat="1" ht="15.75" customHeight="1" x14ac:dyDescent="0.25">
      <c r="A171" s="84" t="s">
        <v>154</v>
      </c>
      <c r="B171" s="85" t="s">
        <v>147</v>
      </c>
      <c r="C171" s="57">
        <v>0</v>
      </c>
      <c r="D171" s="58">
        <f ca="1">((100/H164)*C171)/100</f>
        <v>0</v>
      </c>
      <c r="E171" s="142"/>
      <c r="F171" s="142"/>
      <c r="G171" s="142"/>
      <c r="H171" s="144"/>
      <c r="I171" s="55" t="s">
        <v>165</v>
      </c>
      <c r="J171" s="61">
        <f>(IF(B164&gt;1,(H164/(B164+2)+J170),0))</f>
        <v>0</v>
      </c>
    </row>
    <row r="172" spans="1:13" s="28" customFormat="1" ht="15" customHeight="1" x14ac:dyDescent="0.25">
      <c r="A172" s="84" t="s">
        <v>152</v>
      </c>
      <c r="B172" s="85" t="s">
        <v>149</v>
      </c>
      <c r="C172" s="57">
        <v>0</v>
      </c>
      <c r="D172" s="58">
        <f ca="1">((100/(H164))*C172)/100</f>
        <v>0</v>
      </c>
      <c r="E172" s="142"/>
      <c r="F172" s="142"/>
      <c r="G172" s="142"/>
      <c r="H172" s="144"/>
      <c r="I172" s="55" t="s">
        <v>160</v>
      </c>
      <c r="J172" s="61">
        <f>(IF(B164&gt;2,(H164/(B164+2)+J171),0))</f>
        <v>0</v>
      </c>
    </row>
    <row r="173" spans="1:13" s="28" customFormat="1" ht="15.75" customHeight="1" x14ac:dyDescent="0.25">
      <c r="A173" s="84" t="s">
        <v>148</v>
      </c>
      <c r="B173" s="85" t="s">
        <v>148</v>
      </c>
      <c r="C173" s="57">
        <v>0</v>
      </c>
      <c r="D173" s="58">
        <f ca="1">((100/H164)*C173)/100</f>
        <v>0</v>
      </c>
      <c r="E173" s="142"/>
      <c r="F173" s="142"/>
      <c r="G173" s="142"/>
      <c r="H173" s="144"/>
      <c r="I173" s="55" t="s">
        <v>161</v>
      </c>
      <c r="J173" s="62">
        <f>(IF(B164&gt;3,(H164/(B164+2)+J172),0))</f>
        <v>0</v>
      </c>
    </row>
    <row r="174" spans="1:13" s="28" customFormat="1" ht="15.75" customHeight="1" x14ac:dyDescent="0.25">
      <c r="A174" s="84" t="s">
        <v>155</v>
      </c>
      <c r="B174" s="85"/>
      <c r="C174" s="57">
        <v>0</v>
      </c>
      <c r="D174" s="58">
        <f ca="1">((100/H164)*C174)/100</f>
        <v>0</v>
      </c>
      <c r="E174" s="142"/>
      <c r="F174" s="142"/>
      <c r="G174" s="142"/>
      <c r="H174" s="144"/>
      <c r="I174" s="55" t="s">
        <v>162</v>
      </c>
      <c r="J174" s="61">
        <f>(IF(B164&gt;4,(H164/(B164+2)+J173),0))</f>
        <v>0</v>
      </c>
    </row>
    <row r="175" spans="1:13" s="28" customFormat="1" ht="15.75" customHeight="1" x14ac:dyDescent="0.25">
      <c r="A175" s="84" t="s">
        <v>150</v>
      </c>
      <c r="B175" s="85" t="s">
        <v>150</v>
      </c>
      <c r="C175" s="57">
        <v>0</v>
      </c>
      <c r="D175" s="58">
        <f ca="1">((100/(H164))*C175)/100</f>
        <v>0</v>
      </c>
      <c r="E175" s="142"/>
      <c r="F175" s="142"/>
      <c r="G175" s="142"/>
      <c r="H175" s="144"/>
      <c r="I175" s="55" t="s">
        <v>166</v>
      </c>
      <c r="J175" s="61">
        <f ca="1">(IF(B164=1,(H164/(B164+3)+J170),IF(B164=0,(H164/4+J170),IF(B164&gt;1,0))))</f>
        <v>16.5</v>
      </c>
    </row>
    <row r="176" spans="1:13" s="28" customFormat="1" ht="16.5" thickBot="1" x14ac:dyDescent="0.3">
      <c r="A176" s="146" t="s">
        <v>151</v>
      </c>
      <c r="B176" s="147"/>
      <c r="C176" s="63">
        <v>0</v>
      </c>
      <c r="D176" s="64">
        <f ca="1">((100/(H164))*C176)/100</f>
        <v>0</v>
      </c>
      <c r="E176" s="143"/>
      <c r="F176" s="143"/>
      <c r="G176" s="143"/>
      <c r="H176" s="145"/>
      <c r="I176" s="65" t="s">
        <v>112</v>
      </c>
      <c r="J176" s="66">
        <f ca="1">(IF(B164&gt;1.5,(H164/(B164+2)+J170+MAX(0,J171-J170)+MAX(0,J172-J171)+MAX(0,J173-J172)+MAX(0,J174-J173)+MAX(0,J175-J174)),IF(B164=1,(H164/(B164+3)+J175),IF(B164=0,H164/4+J175))))</f>
        <v>22</v>
      </c>
    </row>
    <row r="177" spans="1:12" x14ac:dyDescent="0.25">
      <c r="A177" s="87" t="s">
        <v>56</v>
      </c>
      <c r="B177" s="87"/>
      <c r="C177" s="87"/>
      <c r="D177" s="87"/>
      <c r="E177" s="87"/>
      <c r="F177" s="87"/>
      <c r="G177" s="87"/>
      <c r="H177" s="87"/>
    </row>
    <row r="178" spans="1:12" x14ac:dyDescent="0.25">
      <c r="A178" s="70" t="s">
        <v>83</v>
      </c>
      <c r="B178" s="70"/>
      <c r="C178" s="70"/>
      <c r="D178" s="70"/>
      <c r="E178" s="70"/>
      <c r="F178" s="86">
        <v>3400</v>
      </c>
      <c r="G178" s="86"/>
      <c r="H178" s="86"/>
    </row>
    <row r="179" spans="1:12" x14ac:dyDescent="0.25">
      <c r="A179" s="70" t="s">
        <v>89</v>
      </c>
      <c r="B179" s="70"/>
      <c r="C179" s="70"/>
      <c r="D179" s="70"/>
      <c r="E179" s="70"/>
      <c r="F179" s="92">
        <v>7000</v>
      </c>
      <c r="G179" s="92"/>
      <c r="H179" s="92"/>
    </row>
    <row r="180" spans="1:12" s="39" customFormat="1" x14ac:dyDescent="0.25">
      <c r="A180" s="70" t="s">
        <v>105</v>
      </c>
      <c r="B180" s="70"/>
      <c r="C180" s="70"/>
      <c r="D180" s="70"/>
      <c r="E180" s="70"/>
      <c r="F180" s="168">
        <v>180000</v>
      </c>
      <c r="G180" s="92"/>
      <c r="H180" s="92"/>
      <c r="I180" s="39">
        <f>600*200*1.55</f>
        <v>186000</v>
      </c>
      <c r="K180" s="39">
        <f>422*1.55</f>
        <v>654.1</v>
      </c>
      <c r="L180" s="39">
        <f>600*1.55</f>
        <v>930</v>
      </c>
    </row>
    <row r="181" spans="1:12" s="39" customFormat="1" hidden="1" x14ac:dyDescent="0.25">
      <c r="A181" s="70" t="s">
        <v>106</v>
      </c>
      <c r="B181" s="70"/>
      <c r="C181" s="70"/>
      <c r="D181" s="70"/>
      <c r="E181" s="70"/>
      <c r="F181" s="168">
        <v>25000</v>
      </c>
      <c r="G181" s="92"/>
      <c r="H181" s="92"/>
      <c r="K181" s="39">
        <f>1800000/K180</f>
        <v>2751.8728023238036</v>
      </c>
      <c r="L181" s="39">
        <f>4500000/L180</f>
        <v>4838.7096774193551</v>
      </c>
    </row>
    <row r="182" spans="1:12" s="39" customFormat="1" x14ac:dyDescent="0.25">
      <c r="A182" s="70" t="s">
        <v>193</v>
      </c>
      <c r="B182" s="70"/>
      <c r="C182" s="70"/>
      <c r="D182" s="70"/>
      <c r="E182" s="70"/>
      <c r="F182" s="168">
        <v>75000</v>
      </c>
      <c r="G182" s="92"/>
      <c r="H182" s="92"/>
    </row>
    <row r="183" spans="1:12" s="39" customFormat="1" x14ac:dyDescent="0.25">
      <c r="A183" s="70" t="s">
        <v>107</v>
      </c>
      <c r="B183" s="70"/>
      <c r="C183" s="70"/>
      <c r="D183" s="70"/>
      <c r="E183" s="70"/>
      <c r="F183" s="168">
        <v>65000</v>
      </c>
      <c r="G183" s="92"/>
      <c r="H183" s="92"/>
      <c r="I183" s="39">
        <f>600*1.55*3*24</f>
        <v>66960</v>
      </c>
    </row>
    <row r="184" spans="1:12" x14ac:dyDescent="0.25">
      <c r="A184" s="70" t="s">
        <v>57</v>
      </c>
      <c r="B184" s="70"/>
      <c r="C184" s="70"/>
      <c r="D184" s="70"/>
      <c r="E184" s="70"/>
      <c r="F184" s="123">
        <v>150000</v>
      </c>
      <c r="G184" s="90"/>
      <c r="H184" s="90"/>
    </row>
    <row r="185" spans="1:12" s="40" customFormat="1" x14ac:dyDescent="0.25">
      <c r="A185" s="87" t="s">
        <v>58</v>
      </c>
      <c r="B185" s="87"/>
      <c r="C185" s="87"/>
      <c r="D185" s="87"/>
      <c r="E185" s="87"/>
      <c r="F185" s="92">
        <f>F178*0.8</f>
        <v>2720</v>
      </c>
      <c r="G185" s="92"/>
      <c r="H185" s="92"/>
    </row>
    <row r="186" spans="1:12" s="41" customFormat="1" ht="15.75" hidden="1" customHeight="1" x14ac:dyDescent="0.25">
      <c r="A186" s="122" t="s">
        <v>84</v>
      </c>
      <c r="B186" s="122"/>
      <c r="C186" s="122"/>
      <c r="D186" s="122"/>
      <c r="E186" s="122"/>
      <c r="F186" s="122"/>
      <c r="G186" s="122"/>
      <c r="H186" s="122"/>
    </row>
    <row r="187" spans="1:12" s="41" customFormat="1" ht="15.75" hidden="1" customHeight="1" x14ac:dyDescent="0.25">
      <c r="A187" s="75" t="s">
        <v>59</v>
      </c>
      <c r="B187" s="75"/>
      <c r="C187" s="108" t="s">
        <v>87</v>
      </c>
      <c r="D187" s="108"/>
      <c r="E187" s="106" t="s">
        <v>60</v>
      </c>
      <c r="F187" s="106"/>
      <c r="G187" s="75" t="s">
        <v>61</v>
      </c>
      <c r="H187" s="75"/>
    </row>
    <row r="188" spans="1:12" s="41" customFormat="1" hidden="1" x14ac:dyDescent="0.25">
      <c r="A188" s="125"/>
      <c r="B188" s="125"/>
      <c r="C188" s="109"/>
      <c r="D188" s="109"/>
      <c r="E188" s="110"/>
      <c r="F188" s="110"/>
      <c r="G188" s="88"/>
      <c r="H188" s="88"/>
    </row>
    <row r="189" spans="1:12" s="41" customFormat="1" hidden="1" x14ac:dyDescent="0.25">
      <c r="A189" s="122" t="s">
        <v>77</v>
      </c>
      <c r="B189" s="122"/>
      <c r="C189" s="122"/>
      <c r="D189" s="122"/>
      <c r="E189" s="122"/>
      <c r="F189" s="122"/>
      <c r="G189" s="122"/>
      <c r="H189" s="122"/>
    </row>
    <row r="190" spans="1:12" s="41" customFormat="1" ht="15.75" hidden="1" customHeight="1" x14ac:dyDescent="0.25">
      <c r="A190" s="75" t="s">
        <v>59</v>
      </c>
      <c r="B190" s="75"/>
      <c r="C190" s="108" t="s">
        <v>87</v>
      </c>
      <c r="D190" s="108"/>
      <c r="E190" s="106" t="s">
        <v>60</v>
      </c>
      <c r="F190" s="106"/>
      <c r="G190" s="75" t="s">
        <v>61</v>
      </c>
      <c r="H190" s="75"/>
    </row>
    <row r="191" spans="1:12" s="41" customFormat="1" hidden="1" x14ac:dyDescent="0.25">
      <c r="A191" s="125"/>
      <c r="B191" s="125"/>
      <c r="C191" s="109"/>
      <c r="D191" s="109"/>
      <c r="E191" s="110"/>
      <c r="F191" s="110"/>
      <c r="G191" s="88"/>
      <c r="H191" s="88"/>
    </row>
    <row r="192" spans="1:12" s="40" customFormat="1" hidden="1" x14ac:dyDescent="0.25">
      <c r="A192" s="107" t="s">
        <v>62</v>
      </c>
      <c r="B192" s="107"/>
      <c r="C192" s="107"/>
      <c r="D192" s="107"/>
      <c r="E192" s="107"/>
      <c r="F192" s="107"/>
      <c r="G192" s="107"/>
      <c r="H192" s="107"/>
    </row>
    <row r="193" spans="1:14" hidden="1" x14ac:dyDescent="0.25">
      <c r="A193" s="107" t="s">
        <v>63</v>
      </c>
      <c r="B193" s="107"/>
      <c r="C193" s="107"/>
      <c r="D193" s="107"/>
      <c r="E193" s="107"/>
      <c r="F193" s="107"/>
      <c r="G193" s="107"/>
      <c r="H193" s="107"/>
    </row>
    <row r="194" spans="1:14" ht="47.25" hidden="1" customHeight="1" x14ac:dyDescent="0.25">
      <c r="A194" s="76" t="s">
        <v>131</v>
      </c>
      <c r="B194" s="76" t="s">
        <v>130</v>
      </c>
      <c r="C194" s="76" t="s">
        <v>64</v>
      </c>
      <c r="D194" s="76" t="s">
        <v>65</v>
      </c>
      <c r="E194" s="78" t="s">
        <v>66</v>
      </c>
      <c r="F194" s="22" t="s">
        <v>168</v>
      </c>
      <c r="G194" s="80" t="s">
        <v>67</v>
      </c>
      <c r="H194" s="81"/>
    </row>
    <row r="195" spans="1:14" s="42" customFormat="1" hidden="1" x14ac:dyDescent="0.25">
      <c r="A195" s="77"/>
      <c r="B195" s="77"/>
      <c r="C195" s="77"/>
      <c r="D195" s="77"/>
      <c r="E195" s="79"/>
      <c r="F195" s="13">
        <v>0.6</v>
      </c>
      <c r="G195" s="82"/>
      <c r="H195" s="83"/>
    </row>
    <row r="196" spans="1:14" s="42" customFormat="1" hidden="1" x14ac:dyDescent="0.25">
      <c r="A196" s="127" t="s">
        <v>128</v>
      </c>
      <c r="B196" s="128"/>
      <c r="C196" s="128"/>
      <c r="D196" s="128"/>
      <c r="E196" s="128"/>
      <c r="F196" s="128"/>
      <c r="G196" s="128"/>
      <c r="H196" s="129"/>
      <c r="J196" s="43"/>
    </row>
    <row r="197" spans="1:14" s="42" customFormat="1" hidden="1" x14ac:dyDescent="0.25">
      <c r="A197" s="73">
        <v>1</v>
      </c>
      <c r="B197" s="74"/>
      <c r="C197" s="21"/>
      <c r="D197" s="21"/>
      <c r="E197" s="21">
        <v>0</v>
      </c>
      <c r="F197" s="21">
        <f>D197*(($F$195)+1)+(IF(E197&lt;101,E197,IF(E197&lt;201,E197/2,IF(E197&lt;=301,E197/3,E197/4))))</f>
        <v>0</v>
      </c>
      <c r="G197" s="73" t="str">
        <f>A196</f>
        <v>Ground Floor</v>
      </c>
      <c r="H197" s="74"/>
      <c r="I197" s="43"/>
      <c r="L197" s="172"/>
      <c r="M197" s="172"/>
      <c r="N197" s="43"/>
    </row>
    <row r="198" spans="1:14" s="42" customFormat="1" hidden="1" x14ac:dyDescent="0.25">
      <c r="A198" s="73">
        <f t="shared" ref="A198:A203" si="0">A197+1</f>
        <v>2</v>
      </c>
      <c r="B198" s="74"/>
      <c r="C198" s="21"/>
      <c r="D198" s="21"/>
      <c r="E198" s="21">
        <v>0</v>
      </c>
      <c r="F198" s="21">
        <f t="shared" ref="F198:F203" si="1">D198*(($F$195)+1)+(IF(E198&lt;101,E198,IF(E198&lt;201,E198/2,IF(E198&lt;=301,E198/3,E198/4))))</f>
        <v>0</v>
      </c>
      <c r="G198" s="73" t="str">
        <f t="shared" ref="G198:G203" si="2">G197</f>
        <v>Ground Floor</v>
      </c>
      <c r="H198" s="74"/>
      <c r="I198" s="43"/>
      <c r="L198" s="172"/>
      <c r="M198" s="172"/>
      <c r="N198" s="43"/>
    </row>
    <row r="199" spans="1:14" s="42" customFormat="1" hidden="1" x14ac:dyDescent="0.25">
      <c r="A199" s="73">
        <f t="shared" si="0"/>
        <v>3</v>
      </c>
      <c r="B199" s="74"/>
      <c r="C199" s="21"/>
      <c r="D199" s="21"/>
      <c r="E199" s="21">
        <v>0</v>
      </c>
      <c r="F199" s="21">
        <f t="shared" si="1"/>
        <v>0</v>
      </c>
      <c r="G199" s="73" t="str">
        <f t="shared" si="2"/>
        <v>Ground Floor</v>
      </c>
      <c r="H199" s="74"/>
      <c r="I199" s="43"/>
      <c r="L199" s="172"/>
      <c r="M199" s="172"/>
      <c r="N199" s="43"/>
    </row>
    <row r="200" spans="1:14" s="42" customFormat="1" hidden="1" x14ac:dyDescent="0.25">
      <c r="A200" s="73">
        <f t="shared" si="0"/>
        <v>4</v>
      </c>
      <c r="B200" s="74"/>
      <c r="C200" s="21"/>
      <c r="D200" s="21"/>
      <c r="E200" s="21">
        <v>0</v>
      </c>
      <c r="F200" s="21">
        <f t="shared" si="1"/>
        <v>0</v>
      </c>
      <c r="G200" s="73" t="str">
        <f t="shared" si="2"/>
        <v>Ground Floor</v>
      </c>
      <c r="H200" s="74"/>
      <c r="I200" s="43"/>
      <c r="L200" s="172"/>
      <c r="M200" s="172"/>
      <c r="N200" s="43"/>
    </row>
    <row r="201" spans="1:14" s="42" customFormat="1" hidden="1" x14ac:dyDescent="0.25">
      <c r="A201" s="73">
        <f t="shared" si="0"/>
        <v>5</v>
      </c>
      <c r="B201" s="74"/>
      <c r="C201" s="21"/>
      <c r="D201" s="21"/>
      <c r="E201" s="21">
        <v>0</v>
      </c>
      <c r="F201" s="21">
        <f t="shared" si="1"/>
        <v>0</v>
      </c>
      <c r="G201" s="73" t="str">
        <f t="shared" si="2"/>
        <v>Ground Floor</v>
      </c>
      <c r="H201" s="74"/>
      <c r="I201" s="43"/>
      <c r="L201" s="172"/>
      <c r="M201" s="172"/>
      <c r="N201" s="43"/>
    </row>
    <row r="202" spans="1:14" s="42" customFormat="1" hidden="1" x14ac:dyDescent="0.25">
      <c r="A202" s="73">
        <f t="shared" si="0"/>
        <v>6</v>
      </c>
      <c r="B202" s="74"/>
      <c r="C202" s="21"/>
      <c r="D202" s="21"/>
      <c r="E202" s="21">
        <v>0</v>
      </c>
      <c r="F202" s="21">
        <f t="shared" si="1"/>
        <v>0</v>
      </c>
      <c r="G202" s="73" t="str">
        <f t="shared" si="2"/>
        <v>Ground Floor</v>
      </c>
      <c r="H202" s="74"/>
      <c r="I202" s="43"/>
      <c r="L202" s="172"/>
      <c r="M202" s="172"/>
      <c r="N202" s="43"/>
    </row>
    <row r="203" spans="1:14" s="42" customFormat="1" hidden="1" x14ac:dyDescent="0.25">
      <c r="A203" s="73">
        <f t="shared" si="0"/>
        <v>7</v>
      </c>
      <c r="B203" s="74"/>
      <c r="C203" s="21"/>
      <c r="D203" s="21"/>
      <c r="E203" s="21">
        <v>0</v>
      </c>
      <c r="F203" s="21">
        <f t="shared" si="1"/>
        <v>0</v>
      </c>
      <c r="G203" s="73" t="str">
        <f t="shared" si="2"/>
        <v>Ground Floor</v>
      </c>
      <c r="H203" s="74"/>
      <c r="I203" s="43"/>
      <c r="L203" s="172"/>
      <c r="M203" s="172"/>
      <c r="N203" s="43"/>
    </row>
    <row r="204" spans="1:14" s="42" customFormat="1" hidden="1" x14ac:dyDescent="0.25">
      <c r="A204" s="73"/>
      <c r="B204" s="173"/>
      <c r="C204" s="173"/>
      <c r="D204" s="173"/>
      <c r="E204" s="173"/>
      <c r="F204" s="173"/>
      <c r="G204" s="173"/>
      <c r="H204" s="74"/>
      <c r="I204" s="43"/>
      <c r="N204" s="43"/>
    </row>
    <row r="205" spans="1:14" ht="47.25" hidden="1" customHeight="1" x14ac:dyDescent="0.25">
      <c r="A205" s="80" t="s">
        <v>132</v>
      </c>
      <c r="B205" s="80" t="s">
        <v>133</v>
      </c>
      <c r="C205" s="76" t="s">
        <v>64</v>
      </c>
      <c r="D205" s="76" t="s">
        <v>65</v>
      </c>
      <c r="E205" s="78" t="s">
        <v>66</v>
      </c>
      <c r="F205" s="22" t="s">
        <v>168</v>
      </c>
      <c r="G205" s="80" t="s">
        <v>67</v>
      </c>
      <c r="H205" s="81"/>
      <c r="I205" s="43"/>
    </row>
    <row r="206" spans="1:14" s="42" customFormat="1" hidden="1" x14ac:dyDescent="0.25">
      <c r="A206" s="82"/>
      <c r="B206" s="82"/>
      <c r="C206" s="77"/>
      <c r="D206" s="77"/>
      <c r="E206" s="79"/>
      <c r="F206" s="13">
        <v>0.5</v>
      </c>
      <c r="G206" s="82"/>
      <c r="H206" s="83"/>
      <c r="I206" s="43"/>
    </row>
    <row r="207" spans="1:14" s="42" customFormat="1" hidden="1" x14ac:dyDescent="0.25">
      <c r="A207" s="124" t="s">
        <v>129</v>
      </c>
      <c r="B207" s="124"/>
      <c r="C207" s="124"/>
      <c r="D207" s="124"/>
      <c r="E207" s="124"/>
      <c r="F207" s="124"/>
      <c r="G207" s="124"/>
      <c r="H207" s="124"/>
      <c r="I207" s="43"/>
      <c r="L207" s="172"/>
      <c r="M207" s="172"/>
    </row>
    <row r="208" spans="1:14" s="42" customFormat="1" hidden="1" x14ac:dyDescent="0.25">
      <c r="A208" s="71">
        <f>LEFT(A207,SUM(LEN(A207)-LEN(SUBSTITUTE(A207,{"0","1","2","3","4","5","6","7","8","9"},""))))*100+1</f>
        <v>201</v>
      </c>
      <c r="B208" s="71"/>
      <c r="C208" s="21"/>
      <c r="D208" s="21"/>
      <c r="E208" s="21">
        <v>0</v>
      </c>
      <c r="F208" s="21">
        <f t="shared" ref="F208:F213" si="3">D208*(($F$195)+1)+(IF(E208&lt;101,E208,IF(E208&lt;201,E208/2,IF(E208&lt;=301,E208/3,E208/4))))</f>
        <v>0</v>
      </c>
      <c r="G208" s="71" t="str">
        <f>A207</f>
        <v>2nd Floor</v>
      </c>
      <c r="H208" s="71"/>
      <c r="I208" s="43"/>
      <c r="N208" s="43"/>
    </row>
    <row r="209" spans="1:16" s="42" customFormat="1" hidden="1" x14ac:dyDescent="0.25">
      <c r="A209" s="71">
        <f>A208+1</f>
        <v>202</v>
      </c>
      <c r="B209" s="71"/>
      <c r="C209" s="21"/>
      <c r="D209" s="21"/>
      <c r="E209" s="21">
        <v>0</v>
      </c>
      <c r="F209" s="21">
        <f t="shared" si="3"/>
        <v>0</v>
      </c>
      <c r="G209" s="71" t="str">
        <f>G208</f>
        <v>2nd Floor</v>
      </c>
      <c r="H209" s="71"/>
      <c r="I209" s="43"/>
      <c r="N209" s="43"/>
    </row>
    <row r="210" spans="1:16" s="42" customFormat="1" hidden="1" x14ac:dyDescent="0.25">
      <c r="A210" s="71">
        <f>A209+1</f>
        <v>203</v>
      </c>
      <c r="B210" s="71"/>
      <c r="C210" s="21"/>
      <c r="D210" s="21"/>
      <c r="E210" s="21">
        <v>0</v>
      </c>
      <c r="F210" s="21">
        <f t="shared" si="3"/>
        <v>0</v>
      </c>
      <c r="G210" s="71" t="str">
        <f>G209</f>
        <v>2nd Floor</v>
      </c>
      <c r="H210" s="71"/>
      <c r="I210" s="43"/>
      <c r="N210" s="43"/>
    </row>
    <row r="211" spans="1:16" s="42" customFormat="1" hidden="1" x14ac:dyDescent="0.25">
      <c r="A211" s="71">
        <f>A210+1</f>
        <v>204</v>
      </c>
      <c r="B211" s="71"/>
      <c r="C211" s="21"/>
      <c r="D211" s="21"/>
      <c r="E211" s="21">
        <v>0</v>
      </c>
      <c r="F211" s="21">
        <f t="shared" si="3"/>
        <v>0</v>
      </c>
      <c r="G211" s="71" t="str">
        <f>G210</f>
        <v>2nd Floor</v>
      </c>
      <c r="H211" s="71"/>
      <c r="I211" s="43"/>
      <c r="N211" s="43"/>
    </row>
    <row r="212" spans="1:16" s="42" customFormat="1" hidden="1" x14ac:dyDescent="0.25">
      <c r="A212" s="71">
        <f>A211+1</f>
        <v>205</v>
      </c>
      <c r="B212" s="71"/>
      <c r="C212" s="21"/>
      <c r="D212" s="21"/>
      <c r="E212" s="21">
        <v>0</v>
      </c>
      <c r="F212" s="21">
        <f t="shared" si="3"/>
        <v>0</v>
      </c>
      <c r="G212" s="71" t="str">
        <f>G211</f>
        <v>2nd Floor</v>
      </c>
      <c r="H212" s="71"/>
      <c r="I212" s="43"/>
      <c r="N212" s="43"/>
    </row>
    <row r="213" spans="1:16" s="42" customFormat="1" hidden="1" x14ac:dyDescent="0.25">
      <c r="A213" s="71">
        <f>A212+1</f>
        <v>206</v>
      </c>
      <c r="B213" s="71"/>
      <c r="C213" s="21"/>
      <c r="D213" s="21"/>
      <c r="E213" s="21">
        <v>0</v>
      </c>
      <c r="F213" s="21">
        <f t="shared" si="3"/>
        <v>0</v>
      </c>
      <c r="G213" s="71" t="str">
        <f>G212</f>
        <v>2nd Floor</v>
      </c>
      <c r="H213" s="71"/>
      <c r="I213" s="43"/>
      <c r="N213" s="43"/>
    </row>
    <row r="214" spans="1:16" s="42" customFormat="1" ht="15.75" hidden="1" customHeight="1" x14ac:dyDescent="0.25">
      <c r="A214" s="127" t="s">
        <v>169</v>
      </c>
      <c r="B214" s="128"/>
      <c r="C214" s="128"/>
      <c r="D214" s="128"/>
      <c r="E214" s="128"/>
      <c r="F214" s="128"/>
      <c r="G214" s="128"/>
      <c r="H214" s="129"/>
      <c r="I214" s="43"/>
    </row>
    <row r="215" spans="1:16" s="42" customFormat="1" hidden="1" x14ac:dyDescent="0.25">
      <c r="A215" s="73" t="str">
        <f t="shared" ref="A215:A220" ca="1" si="4">N215</f>
        <v>301,..,1501</v>
      </c>
      <c r="B215" s="74"/>
      <c r="C215" s="21"/>
      <c r="D215" s="21"/>
      <c r="E215" s="21">
        <v>0</v>
      </c>
      <c r="F215" s="21">
        <f t="shared" ref="F215:F220" si="5">D215*(($F$195)+1)+(IF(E215&lt;101,E215,IF(E215&lt;201,E215/2,IF(E215&lt;=301,E215/3,E215/4))))</f>
        <v>0</v>
      </c>
      <c r="G215" s="73" t="str">
        <f>A214</f>
        <v>3rd, 5th, 7th, 9th, 11th, 13th, 15th Floor</v>
      </c>
      <c r="H215" s="74"/>
      <c r="I215" s="43"/>
      <c r="N215" s="42" t="str">
        <f t="shared" ref="N215:N220" ca="1" si="6">O215&amp;""&amp;",..,"&amp;""&amp;P215</f>
        <v>301,..,1501</v>
      </c>
      <c r="O215" s="42">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10^ROW(INDIRECT("1:"&amp;LEN((LEFT(A214,SUM(LEN(A214)-LEN(SUBSTITUTE(A214,{0,1,2},""))))))))/10))*100+1</f>
        <v>301</v>
      </c>
      <c r="P215" s="42">
        <f ca="1">(SUMPRODUCT(MID(0&amp;(--TRIM(RIGHT(SUBSTITUTE(LEFT(A214,_xlfn.AGGREGATE(16,6,FIND({0,1,2,3,4,5,6,7,8,9},A214,ROW(INDIRECT("1:"&amp;LEN(A214)))),1)),"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",LEN(A214))),LEN(A214)))))))/10))*100+1</f>
        <v>1501</v>
      </c>
    </row>
    <row r="216" spans="1:16" s="42" customFormat="1" hidden="1" x14ac:dyDescent="0.25">
      <c r="A216" s="73" t="str">
        <f t="shared" ca="1" si="4"/>
        <v>302,..,1502</v>
      </c>
      <c r="B216" s="74"/>
      <c r="C216" s="21"/>
      <c r="D216" s="21"/>
      <c r="E216" s="21">
        <v>0</v>
      </c>
      <c r="F216" s="21">
        <f t="shared" si="5"/>
        <v>0</v>
      </c>
      <c r="G216" s="73" t="str">
        <f>G215</f>
        <v>3rd, 5th, 7th, 9th, 11th, 13th, 15th Floor</v>
      </c>
      <c r="H216" s="74"/>
      <c r="I216" s="43"/>
      <c r="N216" s="42" t="str">
        <f t="shared" ca="1" si="6"/>
        <v>302,..,1502</v>
      </c>
      <c r="O216" s="42">
        <f t="shared" ref="O216:P219" ca="1" si="7">O215+1</f>
        <v>302</v>
      </c>
      <c r="P216" s="42">
        <f t="shared" ca="1" si="7"/>
        <v>1502</v>
      </c>
    </row>
    <row r="217" spans="1:16" s="42" customFormat="1" hidden="1" x14ac:dyDescent="0.25">
      <c r="A217" s="73" t="str">
        <f t="shared" ca="1" si="4"/>
        <v>303,..,1503</v>
      </c>
      <c r="B217" s="74"/>
      <c r="C217" s="21"/>
      <c r="D217" s="21"/>
      <c r="E217" s="21">
        <v>0</v>
      </c>
      <c r="F217" s="21">
        <f t="shared" si="5"/>
        <v>0</v>
      </c>
      <c r="G217" s="73" t="str">
        <f>G216</f>
        <v>3rd, 5th, 7th, 9th, 11th, 13th, 15th Floor</v>
      </c>
      <c r="H217" s="74"/>
      <c r="I217" s="43"/>
      <c r="N217" s="42" t="str">
        <f t="shared" ca="1" si="6"/>
        <v>303,..,1503</v>
      </c>
      <c r="O217" s="42">
        <f t="shared" ca="1" si="7"/>
        <v>303</v>
      </c>
      <c r="P217" s="42">
        <f t="shared" ca="1" si="7"/>
        <v>1503</v>
      </c>
    </row>
    <row r="218" spans="1:16" s="42" customFormat="1" hidden="1" x14ac:dyDescent="0.25">
      <c r="A218" s="73" t="str">
        <f t="shared" ca="1" si="4"/>
        <v>304,..,1504</v>
      </c>
      <c r="B218" s="74"/>
      <c r="C218" s="21"/>
      <c r="D218" s="21"/>
      <c r="E218" s="21">
        <v>0</v>
      </c>
      <c r="F218" s="21">
        <f t="shared" si="5"/>
        <v>0</v>
      </c>
      <c r="G218" s="73" t="str">
        <f>G217</f>
        <v>3rd, 5th, 7th, 9th, 11th, 13th, 15th Floor</v>
      </c>
      <c r="H218" s="74"/>
      <c r="I218" s="43"/>
      <c r="N218" s="42" t="str">
        <f t="shared" ca="1" si="6"/>
        <v>304,..,1504</v>
      </c>
      <c r="O218" s="42">
        <f t="shared" ca="1" si="7"/>
        <v>304</v>
      </c>
      <c r="P218" s="42">
        <f t="shared" ca="1" si="7"/>
        <v>1504</v>
      </c>
    </row>
    <row r="219" spans="1:16" s="42" customFormat="1" hidden="1" x14ac:dyDescent="0.25">
      <c r="A219" s="73" t="str">
        <f t="shared" ca="1" si="4"/>
        <v>305,..,1505</v>
      </c>
      <c r="B219" s="74"/>
      <c r="C219" s="21"/>
      <c r="D219" s="21"/>
      <c r="E219" s="21">
        <v>0</v>
      </c>
      <c r="F219" s="21">
        <f t="shared" si="5"/>
        <v>0</v>
      </c>
      <c r="G219" s="73" t="str">
        <f>G218</f>
        <v>3rd, 5th, 7th, 9th, 11th, 13th, 15th Floor</v>
      </c>
      <c r="H219" s="74"/>
      <c r="I219" s="43"/>
      <c r="N219" s="42" t="str">
        <f t="shared" ca="1" si="6"/>
        <v>305,..,1505</v>
      </c>
      <c r="O219" s="42">
        <f t="shared" ca="1" si="7"/>
        <v>305</v>
      </c>
      <c r="P219" s="42">
        <f t="shared" ca="1" si="7"/>
        <v>1505</v>
      </c>
    </row>
    <row r="220" spans="1:16" s="42" customFormat="1" hidden="1" x14ac:dyDescent="0.25">
      <c r="A220" s="73" t="str">
        <f t="shared" ca="1" si="4"/>
        <v>306,..,1506</v>
      </c>
      <c r="B220" s="74"/>
      <c r="C220" s="21"/>
      <c r="D220" s="21"/>
      <c r="E220" s="21">
        <v>0</v>
      </c>
      <c r="F220" s="21">
        <f t="shared" si="5"/>
        <v>0</v>
      </c>
      <c r="G220" s="73" t="str">
        <f>G219</f>
        <v>3rd, 5th, 7th, 9th, 11th, 13th, 15th Floor</v>
      </c>
      <c r="H220" s="74"/>
      <c r="I220" s="43"/>
      <c r="N220" s="42" t="str">
        <f t="shared" ca="1" si="6"/>
        <v>306,..,1506</v>
      </c>
      <c r="O220" s="42">
        <f ca="1">O219+1</f>
        <v>306</v>
      </c>
      <c r="P220" s="42">
        <f ca="1">P219+1</f>
        <v>1506</v>
      </c>
    </row>
    <row r="221" spans="1:16" s="42" customFormat="1" hidden="1" x14ac:dyDescent="0.25">
      <c r="A221" s="127" t="s">
        <v>163</v>
      </c>
      <c r="B221" s="128"/>
      <c r="C221" s="128"/>
      <c r="D221" s="128"/>
      <c r="E221" s="128"/>
      <c r="F221" s="128"/>
      <c r="G221" s="128"/>
      <c r="H221" s="129"/>
      <c r="I221" s="43"/>
    </row>
    <row r="222" spans="1:16" s="42" customFormat="1" hidden="1" x14ac:dyDescent="0.25">
      <c r="A222" s="73" t="str">
        <f t="shared" ref="A222:A227" ca="1" si="8">N222</f>
        <v>201 to 501</v>
      </c>
      <c r="B222" s="74"/>
      <c r="C222" s="21"/>
      <c r="D222" s="21"/>
      <c r="E222" s="21">
        <v>0</v>
      </c>
      <c r="F222" s="21">
        <f t="shared" ref="F222:F227" si="9">D222*(($F$195)+1)+(IF(E222&lt;101,E222,IF(E222&lt;201,E222/2,IF(E222&lt;=301,E222/3,E222/4))))</f>
        <v>0</v>
      </c>
      <c r="G222" s="73" t="str">
        <f>A221</f>
        <v>2nd to 5th Floor</v>
      </c>
      <c r="H222" s="74"/>
      <c r="I222" s="43"/>
      <c r="N222" s="42" t="str">
        <f t="shared" ref="N222:N227" ca="1" si="10">O222&amp;""&amp;" to "&amp;""&amp;P222</f>
        <v>201 to 501</v>
      </c>
      <c r="O222" s="42">
        <f ca="1">(SUMPRODUCT(MID(0&amp;(LEFT(A221,SUM(LEN(A221)-LEN(SUBSTITUTE(A221,{"0","1","2"},""))))), LARGE(INDEX(ISNUMBER(--MID((LEFT(A221,SUM(LEN(A221)-LEN(SUBSTITUTE(A221,{"0","1","2"},""))))), ROW(INDIRECT("1:"&amp;LEN((LEFT(A221,SUM(LEN(A221)-LEN(SUBSTITUTE(A221,{"0","1","2"},"")))))))), 1)) * ROW(INDIRECT("1:"&amp;LEN((LEFT(A221,SUM(LEN(A221)-LEN(SUBSTITUTE(A221,{"0","1","2"},"")))))))), 0), ROW(INDIRECT("1:"&amp;LEN((LEFT(A221,SUM(LEN(A221)-LEN(SUBSTITUTE(A221,{"0","1","2"},"")))))))))+1, 1) * 10^ROW(INDIRECT("1:"&amp;LEN((LEFT(A221,SUM(LEN(A221)-LEN(SUBSTITUTE(A221,{"0","1","2"},""))))))))/10))*100+1</f>
        <v>201</v>
      </c>
      <c r="P222" s="42">
        <f ca="1">(SUMPRODUCT(MID(0&amp;(--TRIM(RIGHT(SUBSTITUTE(LEFT(A221,_xlfn.AGGREGATE(16,6,FIND({0,1,2,3,4,5,6,7,8,9},A221,ROW(INDIRECT("1:"&amp;LEN(A221)))),1))," ",REPT(" ",LEN(A221))),LEN(A221)))), LARGE(INDEX(ISNUMBER(--MID((--TRIM(RIGHT(SUBSTITUTE(LEFT(A221,_xlfn.AGGREGATE(16,6,FIND({0,1,2,3,4,5,6,7,8,9},A221,ROW(INDIRECT("1:"&amp;LEN(A221)))),1))," ",REPT(" ",LEN(A221))),LEN(A221)))), ROW(INDIRECT("1:"&amp;LEN((--TRIM(RIGHT(SUBSTITUTE(LEFT(A221,_xlfn.AGGREGATE(16,6,FIND({0,1,2,3,4,5,6,7,8,9},A221,ROW(INDIRECT("1:"&amp;LEN(A221)))),1))," ",REPT(" ",LEN(A221))),LEN(A221))))))), 1)) * ROW(INDIRECT("1:"&amp;LEN((--TRIM(RIGHT(SUBSTITUTE(LEFT(A221,_xlfn.AGGREGATE(16,6,FIND({0,1,2,3,4,5,6,7,8,9},A221,ROW(INDIRECT("1:"&amp;LEN(A221)))),1))," ",REPT(" ",LEN(A221))),LEN(A221))))))), 0), ROW(INDIRECT("1:"&amp;LEN((--TRIM(RIGHT(SUBSTITUTE(LEFT(A221,_xlfn.AGGREGATE(16,6,FIND({0,1,2,3,4,5,6,7,8,9},A221,ROW(INDIRECT("1:"&amp;LEN(A221)))),1))," ",REPT(" ",LEN(A221))),LEN(A221))))))))+1, 1) * 10^ROW(INDIRECT("1:"&amp;LEN((--TRIM(RIGHT(SUBSTITUTE(LEFT(A221,_xlfn.AGGREGATE(16,6,FIND({0,1,2,3,4,5,6,7,8,9},A221,ROW(INDIRECT("1:"&amp;LEN(A221)))),1))," ",REPT(" ",LEN(A221))),LEN(A221)))))))/10))*100+1</f>
        <v>501</v>
      </c>
    </row>
    <row r="223" spans="1:16" s="42" customFormat="1" hidden="1" x14ac:dyDescent="0.25">
      <c r="A223" s="73" t="str">
        <f t="shared" ca="1" si="8"/>
        <v>202 to 502</v>
      </c>
      <c r="B223" s="74"/>
      <c r="C223" s="21"/>
      <c r="D223" s="21"/>
      <c r="E223" s="21">
        <v>0</v>
      </c>
      <c r="F223" s="21">
        <f t="shared" si="9"/>
        <v>0</v>
      </c>
      <c r="G223" s="73" t="str">
        <f>G222</f>
        <v>2nd to 5th Floor</v>
      </c>
      <c r="H223" s="74"/>
      <c r="I223" s="43"/>
      <c r="N223" s="42" t="str">
        <f t="shared" ca="1" si="10"/>
        <v>202 to 502</v>
      </c>
      <c r="O223" s="42">
        <f t="shared" ref="O223:P226" ca="1" si="11">O222+1</f>
        <v>202</v>
      </c>
      <c r="P223" s="42">
        <f t="shared" ca="1" si="11"/>
        <v>502</v>
      </c>
    </row>
    <row r="224" spans="1:16" s="42" customFormat="1" hidden="1" x14ac:dyDescent="0.25">
      <c r="A224" s="73" t="str">
        <f t="shared" ca="1" si="8"/>
        <v>203 to 503</v>
      </c>
      <c r="B224" s="74"/>
      <c r="C224" s="21"/>
      <c r="D224" s="21"/>
      <c r="E224" s="21">
        <v>0</v>
      </c>
      <c r="F224" s="21">
        <f t="shared" si="9"/>
        <v>0</v>
      </c>
      <c r="G224" s="73" t="str">
        <f>G223</f>
        <v>2nd to 5th Floor</v>
      </c>
      <c r="H224" s="74"/>
      <c r="I224" s="43"/>
      <c r="N224" s="42" t="str">
        <f t="shared" ca="1" si="10"/>
        <v>203 to 503</v>
      </c>
      <c r="O224" s="42">
        <f t="shared" ca="1" si="11"/>
        <v>203</v>
      </c>
      <c r="P224" s="42">
        <f t="shared" ca="1" si="11"/>
        <v>503</v>
      </c>
    </row>
    <row r="225" spans="1:16" s="42" customFormat="1" hidden="1" x14ac:dyDescent="0.25">
      <c r="A225" s="73" t="str">
        <f t="shared" ca="1" si="8"/>
        <v>204 to 504</v>
      </c>
      <c r="B225" s="74"/>
      <c r="C225" s="21"/>
      <c r="D225" s="21"/>
      <c r="E225" s="21">
        <v>0</v>
      </c>
      <c r="F225" s="21">
        <f t="shared" si="9"/>
        <v>0</v>
      </c>
      <c r="G225" s="73" t="str">
        <f>G224</f>
        <v>2nd to 5th Floor</v>
      </c>
      <c r="H225" s="74"/>
      <c r="I225" s="43"/>
      <c r="N225" s="42" t="str">
        <f t="shared" ca="1" si="10"/>
        <v>204 to 504</v>
      </c>
      <c r="O225" s="42">
        <f t="shared" ca="1" si="11"/>
        <v>204</v>
      </c>
      <c r="P225" s="42">
        <f t="shared" ca="1" si="11"/>
        <v>504</v>
      </c>
    </row>
    <row r="226" spans="1:16" s="42" customFormat="1" hidden="1" x14ac:dyDescent="0.25">
      <c r="A226" s="73" t="str">
        <f t="shared" ca="1" si="8"/>
        <v>205 to 505</v>
      </c>
      <c r="B226" s="74"/>
      <c r="C226" s="21"/>
      <c r="D226" s="21"/>
      <c r="E226" s="21">
        <v>0</v>
      </c>
      <c r="F226" s="21">
        <f t="shared" si="9"/>
        <v>0</v>
      </c>
      <c r="G226" s="73" t="str">
        <f>G225</f>
        <v>2nd to 5th Floor</v>
      </c>
      <c r="H226" s="74"/>
      <c r="I226" s="43"/>
      <c r="N226" s="42" t="str">
        <f t="shared" ca="1" si="10"/>
        <v>205 to 505</v>
      </c>
      <c r="O226" s="42">
        <f t="shared" ca="1" si="11"/>
        <v>205</v>
      </c>
      <c r="P226" s="42">
        <f t="shared" ca="1" si="11"/>
        <v>505</v>
      </c>
    </row>
    <row r="227" spans="1:16" s="42" customFormat="1" hidden="1" x14ac:dyDescent="0.25">
      <c r="A227" s="73" t="str">
        <f t="shared" ca="1" si="8"/>
        <v>206 to 506</v>
      </c>
      <c r="B227" s="74"/>
      <c r="C227" s="21"/>
      <c r="D227" s="21"/>
      <c r="E227" s="21">
        <v>0</v>
      </c>
      <c r="F227" s="21">
        <f t="shared" si="9"/>
        <v>0</v>
      </c>
      <c r="G227" s="73" t="str">
        <f>G226</f>
        <v>2nd to 5th Floor</v>
      </c>
      <c r="H227" s="74"/>
      <c r="I227" s="43"/>
      <c r="N227" s="42" t="str">
        <f t="shared" ca="1" si="10"/>
        <v>206 to 506</v>
      </c>
      <c r="O227" s="42">
        <f ca="1">O226+1</f>
        <v>206</v>
      </c>
      <c r="P227" s="42">
        <f ca="1">P226+1</f>
        <v>506</v>
      </c>
    </row>
    <row r="228" spans="1:16" s="42" customFormat="1" hidden="1" x14ac:dyDescent="0.25">
      <c r="A228" s="127" t="s">
        <v>164</v>
      </c>
      <c r="B228" s="128"/>
      <c r="C228" s="128"/>
      <c r="D228" s="128"/>
      <c r="E228" s="128"/>
      <c r="F228" s="128"/>
      <c r="G228" s="128"/>
      <c r="H228" s="129"/>
      <c r="I228" s="43"/>
    </row>
    <row r="229" spans="1:16" s="42" customFormat="1" hidden="1" x14ac:dyDescent="0.25">
      <c r="A229" s="73" t="str">
        <f t="shared" ref="A229:A234" ca="1" si="12">N229</f>
        <v>201 &amp; 501</v>
      </c>
      <c r="B229" s="74"/>
      <c r="C229" s="21"/>
      <c r="D229" s="21"/>
      <c r="E229" s="21">
        <v>0</v>
      </c>
      <c r="F229" s="21">
        <f t="shared" ref="F229:F234" si="13">D229*(($F$195)+1)+(IF(E229&lt;101,E229,IF(E229&lt;201,E229/2,IF(E229&lt;=301,E229/3,E229/4))))</f>
        <v>0</v>
      </c>
      <c r="G229" s="73" t="str">
        <f>A228</f>
        <v>2nd &amp; 5th Floor</v>
      </c>
      <c r="H229" s="74"/>
      <c r="I229" s="43"/>
      <c r="N229" s="42" t="str">
        <f t="shared" ref="N229:N234" ca="1" si="14">O229&amp;""&amp;" &amp; "&amp;""&amp;P229</f>
        <v>201 &amp; 501</v>
      </c>
      <c r="O229" s="42">
        <f ca="1">(SUMPRODUCT(MID(0&amp;(LEFT(A228,SUM(LEN(A228)-LEN(SUBSTITUTE(A228,{"0","1","2"},""))))), LARGE(INDEX(ISNUMBER(--MID((LEFT(A228,SUM(LEN(A228)-LEN(SUBSTITUTE(A228,{"0","1","2"},""))))), ROW(INDIRECT("1:"&amp;LEN((LEFT(A228,SUM(LEN(A228)-LEN(SUBSTITUTE(A228,{"0","1","2"},"")))))))), 1)) * ROW(INDIRECT("1:"&amp;LEN((LEFT(A228,SUM(LEN(A228)-LEN(SUBSTITUTE(A228,{"0","1","2"},"")))))))), 0), ROW(INDIRECT("1:"&amp;LEN((LEFT(A228,SUM(LEN(A228)-LEN(SUBSTITUTE(A228,{"0","1","2"},"")))))))))+1, 1) * 10^ROW(INDIRECT("1:"&amp;LEN((LEFT(A228,SUM(LEN(A228)-LEN(SUBSTITUTE(A228,{"0","1","2"},""))))))))/10))*100+1</f>
        <v>201</v>
      </c>
      <c r="P229" s="42">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501</v>
      </c>
    </row>
    <row r="230" spans="1:16" s="42" customFormat="1" hidden="1" x14ac:dyDescent="0.25">
      <c r="A230" s="73" t="str">
        <f t="shared" ca="1" si="12"/>
        <v>202 &amp; 502</v>
      </c>
      <c r="B230" s="74"/>
      <c r="C230" s="21"/>
      <c r="D230" s="21"/>
      <c r="E230" s="21">
        <v>0</v>
      </c>
      <c r="F230" s="21">
        <f t="shared" si="13"/>
        <v>0</v>
      </c>
      <c r="G230" s="73" t="str">
        <f>G229</f>
        <v>2nd &amp; 5th Floor</v>
      </c>
      <c r="H230" s="74"/>
      <c r="I230" s="43"/>
      <c r="N230" s="42" t="str">
        <f t="shared" ca="1" si="14"/>
        <v>202 &amp; 502</v>
      </c>
      <c r="O230" s="42">
        <f t="shared" ref="O230:P234" ca="1" si="15">O229+1</f>
        <v>202</v>
      </c>
      <c r="P230" s="42">
        <f t="shared" ca="1" si="15"/>
        <v>502</v>
      </c>
    </row>
    <row r="231" spans="1:16" s="42" customFormat="1" hidden="1" x14ac:dyDescent="0.25">
      <c r="A231" s="73" t="str">
        <f t="shared" ca="1" si="12"/>
        <v>203 &amp; 503</v>
      </c>
      <c r="B231" s="74"/>
      <c r="C231" s="21"/>
      <c r="D231" s="21"/>
      <c r="E231" s="21">
        <v>0</v>
      </c>
      <c r="F231" s="21">
        <f t="shared" si="13"/>
        <v>0</v>
      </c>
      <c r="G231" s="73" t="str">
        <f>G230</f>
        <v>2nd &amp; 5th Floor</v>
      </c>
      <c r="H231" s="74"/>
      <c r="I231" s="43"/>
      <c r="N231" s="42" t="str">
        <f t="shared" ca="1" si="14"/>
        <v>203 &amp; 503</v>
      </c>
      <c r="O231" s="42">
        <f t="shared" ca="1" si="15"/>
        <v>203</v>
      </c>
      <c r="P231" s="42">
        <f t="shared" ca="1" si="15"/>
        <v>503</v>
      </c>
    </row>
    <row r="232" spans="1:16" s="42" customFormat="1" hidden="1" x14ac:dyDescent="0.25">
      <c r="A232" s="73" t="str">
        <f t="shared" ca="1" si="12"/>
        <v>204 &amp; 504</v>
      </c>
      <c r="B232" s="74"/>
      <c r="C232" s="21"/>
      <c r="D232" s="21"/>
      <c r="E232" s="21">
        <v>0</v>
      </c>
      <c r="F232" s="21">
        <f t="shared" si="13"/>
        <v>0</v>
      </c>
      <c r="G232" s="73" t="str">
        <f>G231</f>
        <v>2nd &amp; 5th Floor</v>
      </c>
      <c r="H232" s="74"/>
      <c r="I232" s="43"/>
      <c r="N232" s="42" t="str">
        <f t="shared" ca="1" si="14"/>
        <v>204 &amp; 504</v>
      </c>
      <c r="O232" s="42">
        <f t="shared" ca="1" si="15"/>
        <v>204</v>
      </c>
      <c r="P232" s="42">
        <f t="shared" ca="1" si="15"/>
        <v>504</v>
      </c>
    </row>
    <row r="233" spans="1:16" s="42" customFormat="1" hidden="1" x14ac:dyDescent="0.25">
      <c r="A233" s="73" t="str">
        <f t="shared" ca="1" si="12"/>
        <v>205 &amp; 505</v>
      </c>
      <c r="B233" s="74"/>
      <c r="C233" s="21"/>
      <c r="D233" s="21"/>
      <c r="E233" s="21">
        <v>0</v>
      </c>
      <c r="F233" s="21">
        <f t="shared" si="13"/>
        <v>0</v>
      </c>
      <c r="G233" s="73" t="str">
        <f>G232</f>
        <v>2nd &amp; 5th Floor</v>
      </c>
      <c r="H233" s="74"/>
      <c r="I233" s="43"/>
      <c r="N233" s="42" t="str">
        <f t="shared" ca="1" si="14"/>
        <v>205 &amp; 505</v>
      </c>
      <c r="O233" s="42">
        <f t="shared" ca="1" si="15"/>
        <v>205</v>
      </c>
      <c r="P233" s="42">
        <f t="shared" ca="1" si="15"/>
        <v>505</v>
      </c>
    </row>
    <row r="234" spans="1:16" s="42" customFormat="1" hidden="1" x14ac:dyDescent="0.25">
      <c r="A234" s="73" t="str">
        <f t="shared" ca="1" si="12"/>
        <v>206 &amp; 506</v>
      </c>
      <c r="B234" s="74"/>
      <c r="C234" s="21"/>
      <c r="D234" s="21"/>
      <c r="E234" s="21">
        <v>0</v>
      </c>
      <c r="F234" s="21">
        <f t="shared" si="13"/>
        <v>0</v>
      </c>
      <c r="G234" s="73" t="str">
        <f>G233</f>
        <v>2nd &amp; 5th Floor</v>
      </c>
      <c r="H234" s="74"/>
      <c r="I234" s="43"/>
      <c r="N234" s="42" t="str">
        <f t="shared" ca="1" si="14"/>
        <v>206 &amp; 506</v>
      </c>
      <c r="O234" s="42">
        <f t="shared" ca="1" si="15"/>
        <v>206</v>
      </c>
      <c r="P234" s="42">
        <f t="shared" ca="1" si="15"/>
        <v>506</v>
      </c>
    </row>
    <row r="235" spans="1:16" s="41" customFormat="1" x14ac:dyDescent="0.25">
      <c r="A235" s="126" t="s">
        <v>75</v>
      </c>
      <c r="B235" s="126"/>
      <c r="C235" s="126"/>
      <c r="D235" s="126"/>
      <c r="E235" s="126"/>
      <c r="F235" s="126"/>
      <c r="G235" s="126"/>
      <c r="H235" s="126"/>
    </row>
    <row r="236" spans="1:16" s="41" customFormat="1" ht="142.5" customHeight="1" x14ac:dyDescent="0.25">
      <c r="A236" s="174" t="s">
        <v>208</v>
      </c>
      <c r="B236" s="175"/>
      <c r="C236" s="175"/>
      <c r="D236" s="175"/>
      <c r="E236" s="175"/>
      <c r="F236" s="175"/>
      <c r="G236" s="175"/>
      <c r="H236" s="176"/>
    </row>
    <row r="237" spans="1:16" s="41" customFormat="1" ht="33" hidden="1" customHeight="1" x14ac:dyDescent="0.25">
      <c r="A237" s="24">
        <v>1</v>
      </c>
      <c r="B237" s="114" t="s">
        <v>137</v>
      </c>
      <c r="C237" s="115"/>
      <c r="D237" s="115"/>
      <c r="E237" s="115"/>
      <c r="F237" s="115"/>
      <c r="G237" s="115"/>
      <c r="H237" s="116"/>
    </row>
    <row r="238" spans="1:16" s="41" customFormat="1" hidden="1" x14ac:dyDescent="0.25">
      <c r="A238" s="24">
        <f t="shared" ref="A238:A244" si="16">A237+1</f>
        <v>2</v>
      </c>
      <c r="B238" s="117" t="str">
        <f>(IF(F205="Saleable area Loading :","We have considered Saleable area of Flats as per our Calculation.","We considered Saleable area of Flat as per Builder area Sheet."))</f>
        <v>We have considered Saleable area of Flats as per our Calculation.</v>
      </c>
      <c r="C238" s="118"/>
      <c r="D238" s="118"/>
      <c r="E238" s="118"/>
      <c r="F238" s="118"/>
      <c r="G238" s="118"/>
      <c r="H238" s="119"/>
    </row>
    <row r="239" spans="1:16" s="41" customFormat="1" hidden="1" x14ac:dyDescent="0.25">
      <c r="A239" s="24">
        <f t="shared" si="16"/>
        <v>3</v>
      </c>
      <c r="B239" s="117" t="str">
        <f>(IF(F194="Saleable area Loading :","We have considered Saleable area of Commercial as per our Calculation.","We considered Saleable area of Commercial as per Builder area Sheet."))</f>
        <v>We have considered Saleable area of Commercial as per our Calculation.</v>
      </c>
      <c r="C239" s="118"/>
      <c r="D239" s="118"/>
      <c r="E239" s="118"/>
      <c r="F239" s="118"/>
      <c r="G239" s="118"/>
      <c r="H239" s="119"/>
    </row>
    <row r="240" spans="1:16" s="41" customFormat="1" hidden="1" x14ac:dyDescent="0.25">
      <c r="A240" s="24">
        <f>A239+1</f>
        <v>4</v>
      </c>
      <c r="B240" s="111" t="s">
        <v>138</v>
      </c>
      <c r="C240" s="112"/>
      <c r="D240" s="112"/>
      <c r="E240" s="112"/>
      <c r="F240" s="112"/>
      <c r="G240" s="112"/>
      <c r="H240" s="113"/>
    </row>
    <row r="241" spans="1:8" s="41" customFormat="1" hidden="1" x14ac:dyDescent="0.25">
      <c r="A241" s="24">
        <f t="shared" si="16"/>
        <v>5</v>
      </c>
      <c r="B241" s="111" t="s">
        <v>139</v>
      </c>
      <c r="C241" s="112"/>
      <c r="D241" s="112"/>
      <c r="E241" s="112"/>
      <c r="F241" s="112"/>
      <c r="G241" s="112"/>
      <c r="H241" s="113"/>
    </row>
    <row r="242" spans="1:8" s="41" customFormat="1" hidden="1" x14ac:dyDescent="0.25">
      <c r="A242" s="24">
        <f t="shared" si="16"/>
        <v>6</v>
      </c>
      <c r="B242" s="111" t="s">
        <v>140</v>
      </c>
      <c r="C242" s="112"/>
      <c r="D242" s="112"/>
      <c r="E242" s="112"/>
      <c r="F242" s="112"/>
      <c r="G242" s="112"/>
      <c r="H242" s="113"/>
    </row>
    <row r="243" spans="1:8" s="41" customFormat="1" hidden="1" x14ac:dyDescent="0.25">
      <c r="A243" s="24">
        <f t="shared" si="16"/>
        <v>7</v>
      </c>
      <c r="B243" s="111" t="s">
        <v>141</v>
      </c>
      <c r="C243" s="112"/>
      <c r="D243" s="112"/>
      <c r="E243" s="112"/>
      <c r="F243" s="112"/>
      <c r="G243" s="112"/>
      <c r="H243" s="113"/>
    </row>
    <row r="244" spans="1:8" s="41" customFormat="1" hidden="1" x14ac:dyDescent="0.25">
      <c r="A244" s="24">
        <f t="shared" si="16"/>
        <v>8</v>
      </c>
      <c r="B244" s="114" t="s">
        <v>142</v>
      </c>
      <c r="C244" s="115"/>
      <c r="D244" s="115"/>
      <c r="E244" s="115"/>
      <c r="F244" s="115"/>
      <c r="G244" s="115"/>
      <c r="H244" s="116"/>
    </row>
    <row r="245" spans="1:8" hidden="1" x14ac:dyDescent="0.25">
      <c r="A245" s="101" t="s">
        <v>68</v>
      </c>
      <c r="B245" s="101"/>
      <c r="C245" s="101"/>
      <c r="D245" s="101"/>
      <c r="E245" s="101"/>
      <c r="F245" s="101"/>
      <c r="G245" s="101"/>
      <c r="H245" s="101"/>
    </row>
    <row r="246" spans="1:8" hidden="1" x14ac:dyDescent="0.25">
      <c r="A246" s="70" t="s">
        <v>69</v>
      </c>
      <c r="B246" s="70"/>
      <c r="C246" s="70"/>
      <c r="D246" s="70"/>
      <c r="E246" s="70"/>
      <c r="F246" s="70"/>
      <c r="G246" s="70"/>
      <c r="H246" s="70"/>
    </row>
    <row r="247" spans="1:8" ht="15.75" hidden="1" customHeight="1" x14ac:dyDescent="0.25">
      <c r="A247" s="72" t="s">
        <v>70</v>
      </c>
      <c r="B247" s="72"/>
      <c r="C247" s="72"/>
      <c r="D247" s="72"/>
      <c r="E247" s="72"/>
      <c r="F247" s="72"/>
      <c r="G247" s="72"/>
      <c r="H247" s="72"/>
    </row>
    <row r="248" spans="1:8" hidden="1" x14ac:dyDescent="0.25">
      <c r="A248" s="70" t="s">
        <v>71</v>
      </c>
      <c r="B248" s="70"/>
      <c r="C248" s="70"/>
      <c r="D248" s="70"/>
      <c r="E248" s="70"/>
      <c r="F248" s="70"/>
      <c r="G248" s="70"/>
      <c r="H248" s="70"/>
    </row>
    <row r="249" spans="1:8" hidden="1" x14ac:dyDescent="0.25">
      <c r="A249" s="70" t="s">
        <v>72</v>
      </c>
      <c r="B249" s="70"/>
      <c r="C249" s="70"/>
      <c r="D249" s="70"/>
      <c r="E249" s="70"/>
      <c r="F249" s="70"/>
      <c r="G249" s="70"/>
      <c r="H249" s="70"/>
    </row>
    <row r="250" spans="1:8" hidden="1" x14ac:dyDescent="0.25">
      <c r="A250" s="70" t="s">
        <v>143</v>
      </c>
      <c r="B250" s="70"/>
      <c r="C250" s="70"/>
      <c r="D250" s="70"/>
      <c r="E250" s="70"/>
      <c r="F250" s="70"/>
      <c r="G250" s="70"/>
      <c r="H250" s="70"/>
    </row>
    <row r="251" spans="1:8" ht="35.25" hidden="1" customHeight="1" x14ac:dyDescent="0.25">
      <c r="A251" s="89" t="s">
        <v>144</v>
      </c>
      <c r="B251" s="89"/>
      <c r="C251" s="89"/>
      <c r="D251" s="89"/>
      <c r="E251" s="89"/>
      <c r="F251" s="89"/>
      <c r="G251" s="89"/>
      <c r="H251" s="89"/>
    </row>
    <row r="252" spans="1:8" x14ac:dyDescent="0.25">
      <c r="A252" s="121" t="s">
        <v>86</v>
      </c>
      <c r="B252" s="121"/>
      <c r="C252" s="121" t="s">
        <v>209</v>
      </c>
      <c r="D252" s="121"/>
      <c r="E252" s="121" t="s">
        <v>115</v>
      </c>
      <c r="F252" s="121"/>
      <c r="G252" s="121" t="s">
        <v>210</v>
      </c>
      <c r="H252" s="121"/>
    </row>
    <row r="253" spans="1:8" x14ac:dyDescent="0.25">
      <c r="A253" s="120" t="s">
        <v>88</v>
      </c>
      <c r="B253" s="120"/>
      <c r="C253" s="120"/>
      <c r="D253" s="120"/>
      <c r="E253" s="120"/>
      <c r="F253" s="120"/>
      <c r="G253" s="120"/>
      <c r="H253" s="120"/>
    </row>
    <row r="254" spans="1:8" x14ac:dyDescent="0.25">
      <c r="A254" s="120"/>
      <c r="B254" s="120"/>
      <c r="C254" s="120"/>
      <c r="D254" s="120"/>
      <c r="E254" s="120"/>
      <c r="F254" s="120"/>
      <c r="G254" s="120"/>
      <c r="H254" s="120"/>
    </row>
    <row r="255" spans="1:8" x14ac:dyDescent="0.25">
      <c r="A255" s="120"/>
      <c r="B255" s="120"/>
      <c r="C255" s="120"/>
      <c r="D255" s="120"/>
      <c r="E255" s="120"/>
      <c r="F255" s="120"/>
      <c r="G255" s="120"/>
      <c r="H255" s="120"/>
    </row>
    <row r="256" spans="1:8" x14ac:dyDescent="0.25">
      <c r="A256" s="120"/>
      <c r="B256" s="120"/>
      <c r="C256" s="120"/>
      <c r="D256" s="120"/>
      <c r="E256" s="120"/>
      <c r="F256" s="120"/>
      <c r="G256" s="120"/>
      <c r="H256" s="120"/>
    </row>
    <row r="257" spans="1:8" x14ac:dyDescent="0.25">
      <c r="A257" s="44" t="s">
        <v>73</v>
      </c>
      <c r="B257" s="45"/>
      <c r="C257" s="45"/>
      <c r="D257" s="44" t="str">
        <f>E8</f>
        <v>Sheltrex Smart Phone City Project 2</v>
      </c>
      <c r="F257" s="45"/>
      <c r="G257" s="45"/>
      <c r="H257" s="45"/>
    </row>
    <row r="258" spans="1:8" x14ac:dyDescent="0.25">
      <c r="A258" s="45"/>
      <c r="B258" s="45"/>
      <c r="C258" s="45"/>
      <c r="D258" s="45"/>
      <c r="E258" s="45"/>
      <c r="F258" s="45"/>
      <c r="G258" s="45"/>
      <c r="H258" s="45"/>
    </row>
    <row r="259" spans="1:8" x14ac:dyDescent="0.25">
      <c r="A259" s="45"/>
      <c r="B259" s="45"/>
      <c r="C259" s="45"/>
      <c r="D259" s="45"/>
      <c r="E259" s="45"/>
      <c r="F259" s="45"/>
      <c r="G259" s="45"/>
      <c r="H259" s="45"/>
    </row>
    <row r="260" spans="1:8" ht="15" customHeight="1" x14ac:dyDescent="0.25"/>
    <row r="300" spans="1:1" x14ac:dyDescent="0.25">
      <c r="A300" s="47" t="s">
        <v>74</v>
      </c>
    </row>
  </sheetData>
  <mergeCells count="435">
    <mergeCell ref="D57:H57"/>
    <mergeCell ref="A55:C57"/>
    <mergeCell ref="A163:B163"/>
    <mergeCell ref="C163:H163"/>
    <mergeCell ref="A165:B165"/>
    <mergeCell ref="C165:H165"/>
    <mergeCell ref="A166:B166"/>
    <mergeCell ref="E166:F166"/>
    <mergeCell ref="G166:H166"/>
    <mergeCell ref="A121:B121"/>
    <mergeCell ref="C121:H121"/>
    <mergeCell ref="A123:B123"/>
    <mergeCell ref="C123:H123"/>
    <mergeCell ref="A124:B124"/>
    <mergeCell ref="E124:F124"/>
    <mergeCell ref="G124:H124"/>
    <mergeCell ref="A79:B79"/>
    <mergeCell ref="C79:H79"/>
    <mergeCell ref="A81:B81"/>
    <mergeCell ref="C81:H81"/>
    <mergeCell ref="A82:B82"/>
    <mergeCell ref="E82:F82"/>
    <mergeCell ref="G82:H82"/>
    <mergeCell ref="A83:B83"/>
    <mergeCell ref="A167:B167"/>
    <mergeCell ref="E167:F176"/>
    <mergeCell ref="G167:H176"/>
    <mergeCell ref="A168:B168"/>
    <mergeCell ref="A169:B169"/>
    <mergeCell ref="A170:B170"/>
    <mergeCell ref="A171:B171"/>
    <mergeCell ref="A172:B172"/>
    <mergeCell ref="A173:B173"/>
    <mergeCell ref="A174:B174"/>
    <mergeCell ref="A175:B175"/>
    <mergeCell ref="A176:B176"/>
    <mergeCell ref="E83:F92"/>
    <mergeCell ref="G83:H92"/>
    <mergeCell ref="A84:B84"/>
    <mergeCell ref="A85:B85"/>
    <mergeCell ref="A86:B86"/>
    <mergeCell ref="A87:B87"/>
    <mergeCell ref="A88:B88"/>
    <mergeCell ref="A89:B89"/>
    <mergeCell ref="A90:B90"/>
    <mergeCell ref="A91:B91"/>
    <mergeCell ref="A92:B92"/>
    <mergeCell ref="A125:B125"/>
    <mergeCell ref="E125:F134"/>
    <mergeCell ref="G125:H134"/>
    <mergeCell ref="A126:B126"/>
    <mergeCell ref="A127:B127"/>
    <mergeCell ref="A128:B128"/>
    <mergeCell ref="A129:B129"/>
    <mergeCell ref="A130:B130"/>
    <mergeCell ref="A131:B131"/>
    <mergeCell ref="A132:B132"/>
    <mergeCell ref="A133:B133"/>
    <mergeCell ref="A134:B134"/>
    <mergeCell ref="A135:B135"/>
    <mergeCell ref="C135:H135"/>
    <mergeCell ref="A137:B137"/>
    <mergeCell ref="C137:H137"/>
    <mergeCell ref="A138:B138"/>
    <mergeCell ref="E138:F138"/>
    <mergeCell ref="G138:H138"/>
    <mergeCell ref="A139:B139"/>
    <mergeCell ref="E139:F148"/>
    <mergeCell ref="G139:H148"/>
    <mergeCell ref="A140:B140"/>
    <mergeCell ref="A141:B141"/>
    <mergeCell ref="A142:B142"/>
    <mergeCell ref="A143:B143"/>
    <mergeCell ref="A144:B144"/>
    <mergeCell ref="A145:B145"/>
    <mergeCell ref="A146:B146"/>
    <mergeCell ref="A147:B147"/>
    <mergeCell ref="A148:B148"/>
    <mergeCell ref="A149:B149"/>
    <mergeCell ref="C149:H149"/>
    <mergeCell ref="A151:B151"/>
    <mergeCell ref="C151:H151"/>
    <mergeCell ref="A152:B152"/>
    <mergeCell ref="E152:F152"/>
    <mergeCell ref="G152:H152"/>
    <mergeCell ref="A153:B153"/>
    <mergeCell ref="E153:F162"/>
    <mergeCell ref="G153:H162"/>
    <mergeCell ref="A154:B154"/>
    <mergeCell ref="A155:B155"/>
    <mergeCell ref="A156:B156"/>
    <mergeCell ref="A157:B157"/>
    <mergeCell ref="A158:B158"/>
    <mergeCell ref="A159:B159"/>
    <mergeCell ref="A160:B160"/>
    <mergeCell ref="A161:B161"/>
    <mergeCell ref="A162:B162"/>
    <mergeCell ref="A93:B93"/>
    <mergeCell ref="C93:H93"/>
    <mergeCell ref="A95:B95"/>
    <mergeCell ref="C95:H95"/>
    <mergeCell ref="A96:B96"/>
    <mergeCell ref="E96:F96"/>
    <mergeCell ref="G96:H96"/>
    <mergeCell ref="A97:B97"/>
    <mergeCell ref="E97:F106"/>
    <mergeCell ref="G97:H106"/>
    <mergeCell ref="A98:B98"/>
    <mergeCell ref="A99:B99"/>
    <mergeCell ref="A100:B100"/>
    <mergeCell ref="A101:B101"/>
    <mergeCell ref="A102:B102"/>
    <mergeCell ref="A103:B103"/>
    <mergeCell ref="A104:B104"/>
    <mergeCell ref="A105:B105"/>
    <mergeCell ref="A106:B106"/>
    <mergeCell ref="A111:B111"/>
    <mergeCell ref="E111:F120"/>
    <mergeCell ref="G111:H120"/>
    <mergeCell ref="A112:B112"/>
    <mergeCell ref="A113:B113"/>
    <mergeCell ref="A114:B114"/>
    <mergeCell ref="A115:B115"/>
    <mergeCell ref="A116:B116"/>
    <mergeCell ref="A117:B117"/>
    <mergeCell ref="A118:B118"/>
    <mergeCell ref="A119:B119"/>
    <mergeCell ref="A120:B120"/>
    <mergeCell ref="A203:B203"/>
    <mergeCell ref="A197:B197"/>
    <mergeCell ref="A198:B198"/>
    <mergeCell ref="A199:B199"/>
    <mergeCell ref="A200:B200"/>
    <mergeCell ref="A201:B201"/>
    <mergeCell ref="A181:E181"/>
    <mergeCell ref="A182:E182"/>
    <mergeCell ref="F182:H182"/>
    <mergeCell ref="B237:H237"/>
    <mergeCell ref="B238:H238"/>
    <mergeCell ref="B240:H240"/>
    <mergeCell ref="B241:H241"/>
    <mergeCell ref="G229:H229"/>
    <mergeCell ref="G216:H216"/>
    <mergeCell ref="G211:H211"/>
    <mergeCell ref="G208:H208"/>
    <mergeCell ref="D194:D195"/>
    <mergeCell ref="G231:H231"/>
    <mergeCell ref="G230:H230"/>
    <mergeCell ref="A228:H228"/>
    <mergeCell ref="A229:B229"/>
    <mergeCell ref="A230:B230"/>
    <mergeCell ref="A236:H236"/>
    <mergeCell ref="A233:B233"/>
    <mergeCell ref="G233:H233"/>
    <mergeCell ref="A234:B234"/>
    <mergeCell ref="A232:B232"/>
    <mergeCell ref="G232:H232"/>
    <mergeCell ref="G217:H217"/>
    <mergeCell ref="G215:H215"/>
    <mergeCell ref="G213:H213"/>
    <mergeCell ref="A202:B202"/>
    <mergeCell ref="L207:M207"/>
    <mergeCell ref="A204:H204"/>
    <mergeCell ref="A205:A206"/>
    <mergeCell ref="A227:B227"/>
    <mergeCell ref="G227:H227"/>
    <mergeCell ref="A212:B212"/>
    <mergeCell ref="A209:B209"/>
    <mergeCell ref="A210:B210"/>
    <mergeCell ref="A222:B222"/>
    <mergeCell ref="A223:B223"/>
    <mergeCell ref="A224:B224"/>
    <mergeCell ref="A211:B211"/>
    <mergeCell ref="A220:B220"/>
    <mergeCell ref="G212:H212"/>
    <mergeCell ref="G219:H219"/>
    <mergeCell ref="G218:H218"/>
    <mergeCell ref="G220:H220"/>
    <mergeCell ref="G226:H226"/>
    <mergeCell ref="G222:H222"/>
    <mergeCell ref="A225:B225"/>
    <mergeCell ref="A226:B226"/>
    <mergeCell ref="A219:B219"/>
    <mergeCell ref="A218:B218"/>
    <mergeCell ref="A215:B215"/>
    <mergeCell ref="L203:M203"/>
    <mergeCell ref="L202:M202"/>
    <mergeCell ref="G199:H199"/>
    <mergeCell ref="G197:H197"/>
    <mergeCell ref="G203:H203"/>
    <mergeCell ref="G202:H202"/>
    <mergeCell ref="G198:H198"/>
    <mergeCell ref="G201:H201"/>
    <mergeCell ref="G200:H200"/>
    <mergeCell ref="L201:M201"/>
    <mergeCell ref="L200:M200"/>
    <mergeCell ref="L199:M199"/>
    <mergeCell ref="L198:M198"/>
    <mergeCell ref="L197:M197"/>
    <mergeCell ref="A76:B76"/>
    <mergeCell ref="C191:D191"/>
    <mergeCell ref="E191:F191"/>
    <mergeCell ref="G191:H191"/>
    <mergeCell ref="F181:H181"/>
    <mergeCell ref="A178:E178"/>
    <mergeCell ref="A196:H196"/>
    <mergeCell ref="E194:E195"/>
    <mergeCell ref="G194:H195"/>
    <mergeCell ref="F179:H179"/>
    <mergeCell ref="A179:E179"/>
    <mergeCell ref="A183:E183"/>
    <mergeCell ref="C190:D190"/>
    <mergeCell ref="G190:H190"/>
    <mergeCell ref="A180:E180"/>
    <mergeCell ref="F180:H180"/>
    <mergeCell ref="F183:H183"/>
    <mergeCell ref="A107:B107"/>
    <mergeCell ref="C107:H107"/>
    <mergeCell ref="A109:B109"/>
    <mergeCell ref="C109:H109"/>
    <mergeCell ref="A110:B110"/>
    <mergeCell ref="E110:F110"/>
    <mergeCell ref="G110:H110"/>
    <mergeCell ref="A39:D39"/>
    <mergeCell ref="E39:H39"/>
    <mergeCell ref="F31:H31"/>
    <mergeCell ref="F32:H32"/>
    <mergeCell ref="C30:E30"/>
    <mergeCell ref="F33:H33"/>
    <mergeCell ref="F34:H34"/>
    <mergeCell ref="A36:B36"/>
    <mergeCell ref="E36:F36"/>
    <mergeCell ref="C36:D36"/>
    <mergeCell ref="G36:H36"/>
    <mergeCell ref="F30:H30"/>
    <mergeCell ref="A31:B31"/>
    <mergeCell ref="A30:B30"/>
    <mergeCell ref="C31:E31"/>
    <mergeCell ref="A32:B32"/>
    <mergeCell ref="C32:E32"/>
    <mergeCell ref="A35:H35"/>
    <mergeCell ref="A34:B34"/>
    <mergeCell ref="A38:H38"/>
    <mergeCell ref="C34:E34"/>
    <mergeCell ref="A37:B37"/>
    <mergeCell ref="C37:H37"/>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11:D11"/>
    <mergeCell ref="E11:H11"/>
    <mergeCell ref="A5:D5"/>
    <mergeCell ref="E5:H5"/>
    <mergeCell ref="A6:D6"/>
    <mergeCell ref="E6:H6"/>
    <mergeCell ref="A7:D7"/>
    <mergeCell ref="E7:H7"/>
    <mergeCell ref="A15:B15"/>
    <mergeCell ref="A12:D12"/>
    <mergeCell ref="E12:H12"/>
    <mergeCell ref="A13:D13"/>
    <mergeCell ref="A10:D10"/>
    <mergeCell ref="E10:H10"/>
    <mergeCell ref="A1:H1"/>
    <mergeCell ref="A2:H2"/>
    <mergeCell ref="A3:D3"/>
    <mergeCell ref="E3:H3"/>
    <mergeCell ref="A4:D4"/>
    <mergeCell ref="A8:D8"/>
    <mergeCell ref="E8:H8"/>
    <mergeCell ref="A9:D9"/>
    <mergeCell ref="E9:H9"/>
    <mergeCell ref="E4:H4"/>
    <mergeCell ref="A58:C58"/>
    <mergeCell ref="A59:C59"/>
    <mergeCell ref="D58:H58"/>
    <mergeCell ref="E69:F78"/>
    <mergeCell ref="G69:H78"/>
    <mergeCell ref="A77:B77"/>
    <mergeCell ref="A78:B78"/>
    <mergeCell ref="D59:H59"/>
    <mergeCell ref="A41:D41"/>
    <mergeCell ref="E41:H41"/>
    <mergeCell ref="E42:H42"/>
    <mergeCell ref="E43:H43"/>
    <mergeCell ref="E44:H44"/>
    <mergeCell ref="A42:D42"/>
    <mergeCell ref="A43:D43"/>
    <mergeCell ref="A44:D44"/>
    <mergeCell ref="A45:H45"/>
    <mergeCell ref="D54:H54"/>
    <mergeCell ref="A54:C54"/>
    <mergeCell ref="G47:H47"/>
    <mergeCell ref="A48:B49"/>
    <mergeCell ref="A75:B75"/>
    <mergeCell ref="A68:B68"/>
    <mergeCell ref="A71:B71"/>
    <mergeCell ref="A63:C63"/>
    <mergeCell ref="D63:H63"/>
    <mergeCell ref="A69:B69"/>
    <mergeCell ref="G68:H68"/>
    <mergeCell ref="A67:B67"/>
    <mergeCell ref="A65:B65"/>
    <mergeCell ref="C65:H65"/>
    <mergeCell ref="A73:B73"/>
    <mergeCell ref="A60:C60"/>
    <mergeCell ref="D60:H60"/>
    <mergeCell ref="C67:H67"/>
    <mergeCell ref="A70:B70"/>
    <mergeCell ref="A72:B72"/>
    <mergeCell ref="E68:F68"/>
    <mergeCell ref="A61:C61"/>
    <mergeCell ref="D61:H61"/>
    <mergeCell ref="A64:C64"/>
    <mergeCell ref="D64:H64"/>
    <mergeCell ref="A62:C62"/>
    <mergeCell ref="D62:H62"/>
    <mergeCell ref="A253:H256"/>
    <mergeCell ref="A252:B252"/>
    <mergeCell ref="E252:F252"/>
    <mergeCell ref="C252:D252"/>
    <mergeCell ref="G252:H252"/>
    <mergeCell ref="A186:H186"/>
    <mergeCell ref="A184:E184"/>
    <mergeCell ref="F184:H184"/>
    <mergeCell ref="A185:E185"/>
    <mergeCell ref="F185:H185"/>
    <mergeCell ref="A207:H207"/>
    <mergeCell ref="A191:B191"/>
    <mergeCell ref="A217:B217"/>
    <mergeCell ref="A188:B188"/>
    <mergeCell ref="A248:H248"/>
    <mergeCell ref="A189:H189"/>
    <mergeCell ref="A251:H251"/>
    <mergeCell ref="A249:H249"/>
    <mergeCell ref="A235:H235"/>
    <mergeCell ref="G224:H224"/>
    <mergeCell ref="C194:C195"/>
    <mergeCell ref="B205:B206"/>
    <mergeCell ref="A221:H221"/>
    <mergeCell ref="A214:H214"/>
    <mergeCell ref="A245:H245"/>
    <mergeCell ref="A246:H246"/>
    <mergeCell ref="E190:F190"/>
    <mergeCell ref="E187:F187"/>
    <mergeCell ref="A192:H192"/>
    <mergeCell ref="G210:H210"/>
    <mergeCell ref="A187:B187"/>
    <mergeCell ref="C187:D187"/>
    <mergeCell ref="G223:H223"/>
    <mergeCell ref="A216:B216"/>
    <mergeCell ref="A193:H193"/>
    <mergeCell ref="G187:H187"/>
    <mergeCell ref="C188:D188"/>
    <mergeCell ref="E188:F188"/>
    <mergeCell ref="G209:H209"/>
    <mergeCell ref="B194:B195"/>
    <mergeCell ref="A194:A195"/>
    <mergeCell ref="C205:C206"/>
    <mergeCell ref="B243:H243"/>
    <mergeCell ref="B244:H244"/>
    <mergeCell ref="B242:H242"/>
    <mergeCell ref="G234:H234"/>
    <mergeCell ref="B239:H239"/>
    <mergeCell ref="A231:B231"/>
    <mergeCell ref="A50:B50"/>
    <mergeCell ref="C50:E50"/>
    <mergeCell ref="A47:B47"/>
    <mergeCell ref="A51:H51"/>
    <mergeCell ref="A52:C52"/>
    <mergeCell ref="A53:C53"/>
    <mergeCell ref="D53:H53"/>
    <mergeCell ref="G50:H50"/>
    <mergeCell ref="C49:H49"/>
    <mergeCell ref="E40:H40"/>
    <mergeCell ref="A40:D40"/>
    <mergeCell ref="A250:H250"/>
    <mergeCell ref="A213:B213"/>
    <mergeCell ref="A247:H247"/>
    <mergeCell ref="G225:H225"/>
    <mergeCell ref="A208:B208"/>
    <mergeCell ref="A190:B190"/>
    <mergeCell ref="D205:D206"/>
    <mergeCell ref="E205:E206"/>
    <mergeCell ref="G205:H206"/>
    <mergeCell ref="A74:B74"/>
    <mergeCell ref="F178:H178"/>
    <mergeCell ref="A177:H177"/>
    <mergeCell ref="G188:H188"/>
    <mergeCell ref="A46:B46"/>
    <mergeCell ref="C46:E46"/>
    <mergeCell ref="G46:H46"/>
    <mergeCell ref="G48:H48"/>
    <mergeCell ref="D52:H52"/>
    <mergeCell ref="C48:E48"/>
    <mergeCell ref="D55:H55"/>
    <mergeCell ref="D56:H56"/>
    <mergeCell ref="C47:E47"/>
  </mergeCells>
  <hyperlinks>
    <hyperlink ref="C37" r:id="rId1" xr:uid="{00000000-0004-0000-0000-000000000000}"/>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64" max="16383" man="1"/>
    <brk id="234" max="7" man="1"/>
    <brk id="256" max="16383" man="1"/>
    <brk id="29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94" t="s">
        <v>116</v>
      </c>
      <c r="C3" s="194"/>
      <c r="D3" s="194"/>
      <c r="E3" s="194"/>
      <c r="F3" s="194"/>
      <c r="G3" s="194"/>
      <c r="H3" s="194"/>
    </row>
    <row r="4" spans="1:9" x14ac:dyDescent="0.25">
      <c r="A4" s="2"/>
      <c r="B4" s="3" t="s">
        <v>117</v>
      </c>
      <c r="C4" s="3" t="s">
        <v>118</v>
      </c>
      <c r="D4" s="3" t="s">
        <v>76</v>
      </c>
      <c r="E4" s="3" t="s">
        <v>119</v>
      </c>
      <c r="F4" s="3" t="s">
        <v>125</v>
      </c>
      <c r="G4" s="3" t="s">
        <v>126</v>
      </c>
      <c r="H4" s="3" t="s">
        <v>120</v>
      </c>
    </row>
    <row r="5" spans="1:9" ht="15" customHeight="1" x14ac:dyDescent="0.25">
      <c r="A5" s="2"/>
      <c r="B5" s="5" t="s">
        <v>121</v>
      </c>
      <c r="C5" s="6"/>
      <c r="D5" s="5"/>
      <c r="E5" s="5"/>
      <c r="F5" s="7">
        <f>E5*1.6</f>
        <v>0</v>
      </c>
      <c r="G5" s="7" t="e">
        <f>H5/F5</f>
        <v>#DIV/0!</v>
      </c>
      <c r="H5" s="8"/>
    </row>
    <row r="6" spans="1:9" x14ac:dyDescent="0.25">
      <c r="A6" s="2"/>
      <c r="B6" s="5" t="s">
        <v>121</v>
      </c>
      <c r="C6" s="9"/>
      <c r="D6" s="5"/>
      <c r="E6" s="5"/>
      <c r="F6" s="7">
        <f t="shared" ref="F6:F11" si="0">E6*1.6</f>
        <v>0</v>
      </c>
      <c r="G6" s="7" t="e">
        <f t="shared" ref="G6:G11" si="1">H6/F6</f>
        <v>#DIV/0!</v>
      </c>
      <c r="H6" s="8"/>
    </row>
    <row r="7" spans="1:9" ht="15" customHeight="1" x14ac:dyDescent="0.25">
      <c r="A7" s="2"/>
      <c r="B7" s="5" t="s">
        <v>121</v>
      </c>
      <c r="C7" s="6"/>
      <c r="D7" s="5"/>
      <c r="E7" s="5"/>
      <c r="F7" s="7">
        <f t="shared" si="0"/>
        <v>0</v>
      </c>
      <c r="G7" s="7" t="e">
        <f t="shared" si="1"/>
        <v>#DIV/0!</v>
      </c>
      <c r="H7" s="8"/>
    </row>
    <row r="8" spans="1:9" x14ac:dyDescent="0.25">
      <c r="A8" s="2"/>
      <c r="B8" s="5" t="s">
        <v>121</v>
      </c>
      <c r="C8" s="9"/>
      <c r="D8" s="5"/>
      <c r="E8" s="5"/>
      <c r="F8" s="7">
        <f t="shared" si="0"/>
        <v>0</v>
      </c>
      <c r="G8" s="7" t="e">
        <f t="shared" si="1"/>
        <v>#DIV/0!</v>
      </c>
      <c r="H8" s="8"/>
    </row>
    <row r="9" spans="1:9" ht="15" customHeight="1" x14ac:dyDescent="0.25">
      <c r="A9" s="2"/>
      <c r="B9" s="5" t="s">
        <v>121</v>
      </c>
      <c r="C9" s="9"/>
      <c r="D9" s="5"/>
      <c r="E9" s="5"/>
      <c r="F9" s="7">
        <f t="shared" si="0"/>
        <v>0</v>
      </c>
      <c r="G9" s="7" t="e">
        <f t="shared" si="1"/>
        <v>#DIV/0!</v>
      </c>
      <c r="H9" s="8"/>
    </row>
    <row r="10" spans="1:9" ht="15" customHeight="1" x14ac:dyDescent="0.25">
      <c r="A10" s="2"/>
      <c r="B10" s="5" t="s">
        <v>122</v>
      </c>
      <c r="C10" s="6"/>
      <c r="D10" s="5"/>
      <c r="E10" s="5"/>
      <c r="F10" s="7">
        <f t="shared" si="0"/>
        <v>0</v>
      </c>
      <c r="G10" s="7" t="e">
        <f t="shared" si="1"/>
        <v>#DIV/0!</v>
      </c>
      <c r="H10" s="8"/>
    </row>
    <row r="11" spans="1:9" ht="15" customHeight="1" x14ac:dyDescent="0.25">
      <c r="A11" s="2"/>
      <c r="B11" s="5" t="s">
        <v>122</v>
      </c>
      <c r="C11" s="6"/>
      <c r="D11" s="5"/>
      <c r="E11" s="5"/>
      <c r="F11" s="7">
        <f t="shared" si="0"/>
        <v>0</v>
      </c>
      <c r="G11" s="7" t="e">
        <f t="shared" si="1"/>
        <v>#DIV/0!</v>
      </c>
      <c r="H11" s="8"/>
    </row>
    <row r="12" spans="1:9" ht="15" customHeight="1" x14ac:dyDescent="0.25">
      <c r="A12" s="2"/>
      <c r="B12" s="10" t="s">
        <v>123</v>
      </c>
      <c r="C12" s="5"/>
      <c r="D12" s="5"/>
      <c r="E12" s="5"/>
      <c r="F12" s="5"/>
      <c r="G12" s="11" t="e">
        <f>AVERAGE(G5:G11)</f>
        <v>#DIV/0!</v>
      </c>
      <c r="H12" s="5"/>
    </row>
    <row r="13" spans="1:9" ht="15" customHeight="1" x14ac:dyDescent="0.25">
      <c r="B13" s="10" t="s">
        <v>124</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2025-09-18T13:16:09Z</cp:lastPrinted>
  <dcterms:created xsi:type="dcterms:W3CDTF">2019-07-16T09:29:46Z</dcterms:created>
  <dcterms:modified xsi:type="dcterms:W3CDTF">2025-09-18T13:19:05Z</dcterms:modified>
</cp:coreProperties>
</file>