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/>
  </bookViews>
  <sheets>
    <sheet name="Report" sheetId="1" r:id="rId1"/>
    <sheet name="Sheet1" sheetId="5" r:id="rId2"/>
    <sheet name="Flat detail" sheetId="3" r:id="rId3"/>
    <sheet name="Valuation" sheetId="4" r:id="rId4"/>
  </sheets>
  <definedNames>
    <definedName name="_xlnm.Print_Area" localSheetId="0">Report!$A$1:$H$742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6" i="1" l="1"/>
  <c r="J175" i="1"/>
  <c r="J133" i="1"/>
  <c r="J132" i="1"/>
  <c r="J148" i="1"/>
  <c r="J147" i="1"/>
  <c r="H165" i="1"/>
  <c r="H137" i="1"/>
  <c r="H122" i="1"/>
  <c r="J169" i="1" l="1"/>
  <c r="C168" i="1" s="1"/>
  <c r="E168" i="1"/>
  <c r="J170" i="1"/>
  <c r="J171" i="1" s="1"/>
  <c r="J168" i="1"/>
  <c r="D176" i="1"/>
  <c r="D174" i="1"/>
  <c r="D172" i="1"/>
  <c r="D170" i="1"/>
  <c r="J167" i="1"/>
  <c r="D177" i="1"/>
  <c r="D175" i="1"/>
  <c r="D173" i="1"/>
  <c r="D171" i="1"/>
  <c r="D169" i="1"/>
  <c r="D134" i="1"/>
  <c r="D130" i="1"/>
  <c r="D133" i="1"/>
  <c r="D129" i="1"/>
  <c r="J125" i="1"/>
  <c r="D132" i="1"/>
  <c r="D128" i="1"/>
  <c r="J127" i="1"/>
  <c r="D125" i="1"/>
  <c r="D131" i="1"/>
  <c r="D127" i="1"/>
  <c r="J124" i="1"/>
  <c r="J126" i="1"/>
  <c r="J142" i="1"/>
  <c r="J139" i="1"/>
  <c r="D142" i="1"/>
  <c r="J141" i="1"/>
  <c r="D149" i="1"/>
  <c r="D145" i="1"/>
  <c r="J140" i="1"/>
  <c r="D148" i="1"/>
  <c r="D144" i="1"/>
  <c r="D147" i="1"/>
  <c r="D143" i="1"/>
  <c r="D140" i="1"/>
  <c r="D146" i="1"/>
  <c r="J105" i="1"/>
  <c r="J104" i="1"/>
  <c r="H94" i="1"/>
  <c r="J143" i="1" l="1"/>
  <c r="J144" i="1" s="1"/>
  <c r="G168" i="1"/>
  <c r="D168" i="1"/>
  <c r="I164" i="1" s="1"/>
  <c r="C166" i="1" s="1"/>
  <c r="J172" i="1"/>
  <c r="J173" i="1" s="1"/>
  <c r="J174" i="1" s="1"/>
  <c r="J128" i="1"/>
  <c r="J129" i="1" s="1"/>
  <c r="J130" i="1" s="1"/>
  <c r="D101" i="1"/>
  <c r="D105" i="1"/>
  <c r="D103" i="1"/>
  <c r="D100" i="1"/>
  <c r="J97" i="1"/>
  <c r="J98" i="1"/>
  <c r="C97" i="1" s="1"/>
  <c r="J96" i="1"/>
  <c r="D106" i="1"/>
  <c r="D104" i="1"/>
  <c r="D102" i="1"/>
  <c r="J99" i="1"/>
  <c r="J100" i="1" s="1"/>
  <c r="D99" i="1"/>
  <c r="C65" i="1"/>
  <c r="J145" i="1" l="1"/>
  <c r="J146" i="1" s="1"/>
  <c r="C141" i="1"/>
  <c r="D141" i="1" s="1"/>
  <c r="J131" i="1"/>
  <c r="J134" i="1" s="1"/>
  <c r="J135" i="1" s="1"/>
  <c r="C126" i="1"/>
  <c r="E125" i="1" s="1"/>
  <c r="I121" i="1" s="1"/>
  <c r="C123" i="1" s="1"/>
  <c r="J177" i="1"/>
  <c r="J101" i="1"/>
  <c r="J102" i="1" s="1"/>
  <c r="J103" i="1" s="1"/>
  <c r="D97" i="1"/>
  <c r="C14" i="1"/>
  <c r="J149" i="1" l="1"/>
  <c r="G140" i="1"/>
  <c r="E140" i="1"/>
  <c r="I136" i="1" s="1"/>
  <c r="C138" i="1" s="1"/>
  <c r="D126" i="1"/>
  <c r="G125" i="1"/>
  <c r="J106" i="1"/>
  <c r="C98" i="1" s="1"/>
  <c r="E3" i="1"/>
  <c r="G97" i="1" l="1"/>
  <c r="E97" i="1"/>
  <c r="I93" i="1" s="1"/>
  <c r="C95" i="1" s="1"/>
  <c r="D98" i="1"/>
  <c r="J162" i="1"/>
  <c r="J161" i="1"/>
  <c r="H151" i="1"/>
  <c r="J156" i="1" l="1"/>
  <c r="J157" i="1" s="1"/>
  <c r="J158" i="1" s="1"/>
  <c r="D162" i="1"/>
  <c r="D156" i="1"/>
  <c r="D163" i="1"/>
  <c r="J155" i="1"/>
  <c r="J154" i="1"/>
  <c r="C154" i="1" s="1"/>
  <c r="D160" i="1"/>
  <c r="D159" i="1"/>
  <c r="D161" i="1"/>
  <c r="D155" i="1"/>
  <c r="D157" i="1"/>
  <c r="E154" i="1"/>
  <c r="J153" i="1"/>
  <c r="D158" i="1"/>
  <c r="J190" i="1"/>
  <c r="J189" i="1"/>
  <c r="H179" i="1"/>
  <c r="G154" i="1" l="1"/>
  <c r="D154" i="1"/>
  <c r="I150" i="1" s="1"/>
  <c r="C152" i="1" s="1"/>
  <c r="J159" i="1"/>
  <c r="J160" i="1" s="1"/>
  <c r="J183" i="1"/>
  <c r="C182" i="1" s="1"/>
  <c r="D191" i="1"/>
  <c r="D189" i="1"/>
  <c r="D187" i="1"/>
  <c r="D185" i="1"/>
  <c r="J184" i="1"/>
  <c r="J182" i="1"/>
  <c r="J181" i="1"/>
  <c r="D190" i="1"/>
  <c r="D188" i="1"/>
  <c r="D186" i="1"/>
  <c r="D184" i="1"/>
  <c r="J118" i="1"/>
  <c r="J90" i="1"/>
  <c r="J76" i="1"/>
  <c r="H64" i="1"/>
  <c r="H108" i="1"/>
  <c r="H80" i="1"/>
  <c r="J185" i="1" l="1"/>
  <c r="J186" i="1" s="1"/>
  <c r="D182" i="1"/>
  <c r="J163" i="1"/>
  <c r="J112" i="1"/>
  <c r="D111" i="1" s="1"/>
  <c r="J110" i="1"/>
  <c r="D120" i="1"/>
  <c r="D118" i="1"/>
  <c r="D116" i="1"/>
  <c r="D114" i="1"/>
  <c r="D119" i="1"/>
  <c r="D117" i="1"/>
  <c r="D115" i="1"/>
  <c r="D113" i="1"/>
  <c r="J111" i="1"/>
  <c r="J113" i="1"/>
  <c r="J114" i="1" s="1"/>
  <c r="J119" i="1" s="1"/>
  <c r="D92" i="1"/>
  <c r="D90" i="1"/>
  <c r="D88" i="1"/>
  <c r="D86" i="1"/>
  <c r="J84" i="1"/>
  <c r="C83" i="1" s="1"/>
  <c r="J82" i="1"/>
  <c r="D91" i="1"/>
  <c r="D87" i="1"/>
  <c r="J85" i="1"/>
  <c r="J86" i="1" s="1"/>
  <c r="J91" i="1" s="1"/>
  <c r="D89" i="1"/>
  <c r="D85" i="1"/>
  <c r="J83" i="1"/>
  <c r="C71" i="1"/>
  <c r="D71" i="1" s="1"/>
  <c r="J69" i="1"/>
  <c r="D75" i="1"/>
  <c r="D78" i="1"/>
  <c r="D76" i="1"/>
  <c r="D74" i="1"/>
  <c r="D72" i="1"/>
  <c r="J70" i="1"/>
  <c r="C69" i="1" s="1"/>
  <c r="J68" i="1"/>
  <c r="J71" i="1"/>
  <c r="J72" i="1" s="1"/>
  <c r="J77" i="1" s="1"/>
  <c r="D77" i="1"/>
  <c r="D73" i="1"/>
  <c r="I199" i="1"/>
  <c r="J199" i="1" s="1"/>
  <c r="I200" i="1"/>
  <c r="I201" i="1" s="1"/>
  <c r="J187" i="1" l="1"/>
  <c r="J188" i="1" s="1"/>
  <c r="C183" i="1"/>
  <c r="G182" i="1" s="1"/>
  <c r="J115" i="1"/>
  <c r="J116" i="1" s="1"/>
  <c r="J117" i="1" s="1"/>
  <c r="J87" i="1"/>
  <c r="J88" i="1" s="1"/>
  <c r="J89" i="1" s="1"/>
  <c r="J73" i="1"/>
  <c r="J74" i="1" s="1"/>
  <c r="J75" i="1" s="1"/>
  <c r="D83" i="1"/>
  <c r="D69" i="1"/>
  <c r="I221" i="1"/>
  <c r="F223" i="1"/>
  <c r="I212" i="1"/>
  <c r="I197" i="1"/>
  <c r="I196" i="1"/>
  <c r="J196" i="1" s="1"/>
  <c r="D183" i="1" l="1"/>
  <c r="J191" i="1"/>
  <c r="E182" i="1"/>
  <c r="I178" i="1" s="1"/>
  <c r="C180" i="1" s="1"/>
  <c r="J120" i="1"/>
  <c r="C112" i="1" s="1"/>
  <c r="E111" i="1" s="1"/>
  <c r="J92" i="1"/>
  <c r="C84" i="1" s="1"/>
  <c r="J78" i="1"/>
  <c r="C70" i="1" s="1"/>
  <c r="I107" i="1" l="1"/>
  <c r="C109" i="1" s="1"/>
  <c r="C135" i="1"/>
  <c r="G111" i="1"/>
  <c r="G135" i="1" s="1"/>
  <c r="D112" i="1"/>
  <c r="D84" i="1"/>
  <c r="E83" i="1"/>
  <c r="I79" i="1" s="1"/>
  <c r="C81" i="1" s="1"/>
  <c r="G83" i="1"/>
  <c r="E69" i="1"/>
  <c r="I63" i="1" s="1"/>
  <c r="D70" i="1"/>
  <c r="G69" i="1"/>
  <c r="D444" i="1"/>
  <c r="F444" i="1" s="1"/>
  <c r="G443" i="1"/>
  <c r="D443" i="1"/>
  <c r="F443" i="1" s="1"/>
  <c r="D485" i="1"/>
  <c r="F485" i="1" s="1"/>
  <c r="D484" i="1"/>
  <c r="F484" i="1" s="1"/>
  <c r="D483" i="1"/>
  <c r="F483" i="1" s="1"/>
  <c r="D482" i="1"/>
  <c r="F482" i="1" s="1"/>
  <c r="D481" i="1"/>
  <c r="F481" i="1" s="1"/>
  <c r="G480" i="1"/>
  <c r="D480" i="1"/>
  <c r="F480" i="1" s="1"/>
  <c r="D520" i="1"/>
  <c r="F520" i="1" s="1"/>
  <c r="D519" i="1"/>
  <c r="F519" i="1" s="1"/>
  <c r="G518" i="1"/>
  <c r="D518" i="1"/>
  <c r="F518" i="1" s="1"/>
  <c r="D559" i="1"/>
  <c r="F559" i="1" s="1"/>
  <c r="D558" i="1"/>
  <c r="F558" i="1" s="1"/>
  <c r="D557" i="1"/>
  <c r="F557" i="1" s="1"/>
  <c r="D556" i="1"/>
  <c r="F556" i="1" s="1"/>
  <c r="G555" i="1"/>
  <c r="D555" i="1"/>
  <c r="F555" i="1" s="1"/>
  <c r="D553" i="1"/>
  <c r="F553" i="1" s="1"/>
  <c r="D552" i="1"/>
  <c r="F552" i="1" s="1"/>
  <c r="D551" i="1"/>
  <c r="F551" i="1" s="1"/>
  <c r="D550" i="1"/>
  <c r="F550" i="1" s="1"/>
  <c r="G549" i="1"/>
  <c r="D549" i="1"/>
  <c r="F549" i="1" s="1"/>
  <c r="D516" i="1"/>
  <c r="F516" i="1" s="1"/>
  <c r="D515" i="1"/>
  <c r="F515" i="1" s="1"/>
  <c r="G514" i="1"/>
  <c r="D514" i="1"/>
  <c r="F514" i="1" s="1"/>
  <c r="D478" i="1"/>
  <c r="F478" i="1" s="1"/>
  <c r="D475" i="1"/>
  <c r="F475" i="1" s="1"/>
  <c r="I475" i="1" s="1"/>
  <c r="D474" i="1"/>
  <c r="F474" i="1" s="1"/>
  <c r="G473" i="1"/>
  <c r="D473" i="1"/>
  <c r="F473" i="1" s="1"/>
  <c r="D441" i="1"/>
  <c r="F441" i="1" s="1"/>
  <c r="G440" i="1"/>
  <c r="D440" i="1"/>
  <c r="F440" i="1" s="1"/>
  <c r="D547" i="1"/>
  <c r="F547" i="1" s="1"/>
  <c r="D546" i="1"/>
  <c r="F546" i="1" s="1"/>
  <c r="D545" i="1"/>
  <c r="F545" i="1" s="1"/>
  <c r="D544" i="1"/>
  <c r="F544" i="1" s="1"/>
  <c r="G543" i="1"/>
  <c r="D543" i="1"/>
  <c r="F543" i="1" s="1"/>
  <c r="D512" i="1"/>
  <c r="F512" i="1" s="1"/>
  <c r="D511" i="1"/>
  <c r="F511" i="1" s="1"/>
  <c r="G510" i="1"/>
  <c r="D510" i="1"/>
  <c r="F510" i="1" s="1"/>
  <c r="D471" i="1"/>
  <c r="F471" i="1" s="1"/>
  <c r="D470" i="1"/>
  <c r="F470" i="1" s="1"/>
  <c r="D468" i="1"/>
  <c r="F468" i="1" s="1"/>
  <c r="D467" i="1"/>
  <c r="F467" i="1" s="1"/>
  <c r="G466" i="1"/>
  <c r="D466" i="1"/>
  <c r="F466" i="1" s="1"/>
  <c r="D438" i="1"/>
  <c r="F438" i="1" s="1"/>
  <c r="G437" i="1"/>
  <c r="D437" i="1"/>
  <c r="F437" i="1" s="1"/>
  <c r="D541" i="1"/>
  <c r="F541" i="1" s="1"/>
  <c r="D540" i="1"/>
  <c r="F540" i="1" s="1"/>
  <c r="D539" i="1"/>
  <c r="F539" i="1" s="1"/>
  <c r="D538" i="1"/>
  <c r="F538" i="1" s="1"/>
  <c r="G537" i="1"/>
  <c r="D537" i="1"/>
  <c r="F537" i="1" s="1"/>
  <c r="D507" i="1"/>
  <c r="F507" i="1" s="1"/>
  <c r="D508" i="1"/>
  <c r="F508" i="1" s="1"/>
  <c r="G506" i="1"/>
  <c r="D506" i="1"/>
  <c r="F506" i="1" s="1"/>
  <c r="D464" i="1"/>
  <c r="F464" i="1" s="1"/>
  <c r="D463" i="1"/>
  <c r="F463" i="1" s="1"/>
  <c r="D462" i="1"/>
  <c r="F462" i="1" s="1"/>
  <c r="D461" i="1"/>
  <c r="F461" i="1" s="1"/>
  <c r="D460" i="1"/>
  <c r="F460" i="1" s="1"/>
  <c r="G459" i="1"/>
  <c r="D459" i="1"/>
  <c r="F459" i="1" s="1"/>
  <c r="D435" i="1"/>
  <c r="F435" i="1" s="1"/>
  <c r="G434" i="1"/>
  <c r="D434" i="1"/>
  <c r="F434" i="1" s="1"/>
  <c r="D423" i="1"/>
  <c r="F423" i="1" s="1"/>
  <c r="D422" i="1"/>
  <c r="F422" i="1" s="1"/>
  <c r="D421" i="1"/>
  <c r="F421" i="1" s="1"/>
  <c r="G420" i="1"/>
  <c r="D420" i="1"/>
  <c r="F420" i="1" s="1"/>
  <c r="D385" i="1"/>
  <c r="F385" i="1" s="1"/>
  <c r="D384" i="1"/>
  <c r="F384" i="1" s="1"/>
  <c r="D383" i="1"/>
  <c r="F383" i="1" s="1"/>
  <c r="D382" i="1"/>
  <c r="F382" i="1" s="1"/>
  <c r="D379" i="1"/>
  <c r="F379" i="1" s="1"/>
  <c r="G378" i="1"/>
  <c r="D378" i="1"/>
  <c r="F378" i="1" s="1"/>
  <c r="D319" i="1"/>
  <c r="F319" i="1" s="1"/>
  <c r="D318" i="1"/>
  <c r="F318" i="1" s="1"/>
  <c r="D317" i="1"/>
  <c r="F317" i="1" s="1"/>
  <c r="G316" i="1"/>
  <c r="D316" i="1"/>
  <c r="F316" i="1" s="1"/>
  <c r="D281" i="1"/>
  <c r="F281" i="1" s="1"/>
  <c r="D280" i="1"/>
  <c r="F280" i="1" s="1"/>
  <c r="D279" i="1"/>
  <c r="F279" i="1" s="1"/>
  <c r="G278" i="1"/>
  <c r="D278" i="1"/>
  <c r="F278" i="1" s="1"/>
  <c r="D276" i="1"/>
  <c r="F276" i="1" s="1"/>
  <c r="D275" i="1"/>
  <c r="F275" i="1" s="1"/>
  <c r="D274" i="1"/>
  <c r="F274" i="1" s="1"/>
  <c r="G273" i="1"/>
  <c r="D273" i="1"/>
  <c r="F273" i="1" s="1"/>
  <c r="D314" i="1"/>
  <c r="F314" i="1" s="1"/>
  <c r="D313" i="1"/>
  <c r="F313" i="1" s="1"/>
  <c r="D312" i="1"/>
  <c r="F312" i="1" s="1"/>
  <c r="G311" i="1"/>
  <c r="D311" i="1"/>
  <c r="F311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G369" i="1"/>
  <c r="D369" i="1"/>
  <c r="F369" i="1" s="1"/>
  <c r="D418" i="1"/>
  <c r="F418" i="1" s="1"/>
  <c r="D417" i="1"/>
  <c r="F417" i="1" s="1"/>
  <c r="D416" i="1"/>
  <c r="F416" i="1" s="1"/>
  <c r="G415" i="1"/>
  <c r="D415" i="1"/>
  <c r="F415" i="1" s="1"/>
  <c r="D413" i="1"/>
  <c r="F413" i="1" s="1"/>
  <c r="D412" i="1"/>
  <c r="F412" i="1" s="1"/>
  <c r="D411" i="1"/>
  <c r="F411" i="1" s="1"/>
  <c r="G410" i="1"/>
  <c r="D410" i="1"/>
  <c r="F410" i="1" s="1"/>
  <c r="D367" i="1"/>
  <c r="F367" i="1" s="1"/>
  <c r="D366" i="1"/>
  <c r="F366" i="1" s="1"/>
  <c r="D365" i="1"/>
  <c r="F365" i="1" s="1"/>
  <c r="D364" i="1"/>
  <c r="F364" i="1" s="1"/>
  <c r="D361" i="1"/>
  <c r="F361" i="1" s="1"/>
  <c r="G360" i="1"/>
  <c r="D360" i="1"/>
  <c r="F360" i="1" s="1"/>
  <c r="D271" i="1"/>
  <c r="F271" i="1" s="1"/>
  <c r="D270" i="1"/>
  <c r="F270" i="1" s="1"/>
  <c r="D269" i="1"/>
  <c r="F269" i="1" s="1"/>
  <c r="G268" i="1"/>
  <c r="D268" i="1"/>
  <c r="F268" i="1" s="1"/>
  <c r="D309" i="1"/>
  <c r="F309" i="1" s="1"/>
  <c r="D308" i="1"/>
  <c r="F308" i="1" s="1"/>
  <c r="D307" i="1"/>
  <c r="F307" i="1" s="1"/>
  <c r="G306" i="1"/>
  <c r="D306" i="1"/>
  <c r="F306" i="1" s="1"/>
  <c r="D408" i="1"/>
  <c r="F408" i="1" s="1"/>
  <c r="D407" i="1"/>
  <c r="F407" i="1" s="1"/>
  <c r="D406" i="1"/>
  <c r="F406" i="1" s="1"/>
  <c r="G405" i="1"/>
  <c r="D405" i="1"/>
  <c r="F405" i="1" s="1"/>
  <c r="D358" i="1"/>
  <c r="F358" i="1" s="1"/>
  <c r="D357" i="1"/>
  <c r="F357" i="1" s="1"/>
  <c r="D356" i="1"/>
  <c r="F356" i="1" s="1"/>
  <c r="D355" i="1"/>
  <c r="F355" i="1" s="1"/>
  <c r="D354" i="1"/>
  <c r="F354" i="1" s="1"/>
  <c r="D353" i="1"/>
  <c r="F353" i="1" s="1"/>
  <c r="D352" i="1"/>
  <c r="F352" i="1" s="1"/>
  <c r="G351" i="1"/>
  <c r="D351" i="1"/>
  <c r="F351" i="1" s="1"/>
  <c r="D304" i="1"/>
  <c r="F304" i="1" s="1"/>
  <c r="D303" i="1"/>
  <c r="F303" i="1" s="1"/>
  <c r="D302" i="1"/>
  <c r="F302" i="1" s="1"/>
  <c r="I302" i="1" s="1"/>
  <c r="G301" i="1"/>
  <c r="D301" i="1"/>
  <c r="F301" i="1" s="1"/>
  <c r="D266" i="1"/>
  <c r="F266" i="1" s="1"/>
  <c r="D265" i="1"/>
  <c r="F265" i="1" s="1"/>
  <c r="I265" i="1" s="1"/>
  <c r="D264" i="1"/>
  <c r="F264" i="1" s="1"/>
  <c r="G263" i="1"/>
  <c r="D263" i="1"/>
  <c r="F263" i="1" s="1"/>
  <c r="D403" i="1"/>
  <c r="F403" i="1" s="1"/>
  <c r="D402" i="1"/>
  <c r="F402" i="1" s="1"/>
  <c r="D401" i="1"/>
  <c r="F401" i="1" s="1"/>
  <c r="G400" i="1"/>
  <c r="D400" i="1"/>
  <c r="F400" i="1" s="1"/>
  <c r="D349" i="1"/>
  <c r="F349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G342" i="1"/>
  <c r="D342" i="1"/>
  <c r="F342" i="1" s="1"/>
  <c r="D299" i="1"/>
  <c r="F299" i="1" s="1"/>
  <c r="D298" i="1"/>
  <c r="F298" i="1" s="1"/>
  <c r="D297" i="1"/>
  <c r="F297" i="1" s="1"/>
  <c r="G296" i="1"/>
  <c r="D296" i="1"/>
  <c r="F296" i="1" s="1"/>
  <c r="D261" i="1"/>
  <c r="F261" i="1" s="1"/>
  <c r="D260" i="1"/>
  <c r="F260" i="1" s="1"/>
  <c r="D259" i="1"/>
  <c r="F259" i="1" s="1"/>
  <c r="G258" i="1"/>
  <c r="D258" i="1"/>
  <c r="F258" i="1" s="1"/>
  <c r="D532" i="1"/>
  <c r="F532" i="1" s="1"/>
  <c r="D531" i="1"/>
  <c r="F531" i="1" s="1"/>
  <c r="D535" i="1"/>
  <c r="F535" i="1" s="1"/>
  <c r="D534" i="1"/>
  <c r="F534" i="1" s="1"/>
  <c r="D533" i="1"/>
  <c r="F533" i="1" s="1"/>
  <c r="G531" i="1"/>
  <c r="D504" i="1"/>
  <c r="F504" i="1" s="1"/>
  <c r="I504" i="1" s="1"/>
  <c r="G503" i="1"/>
  <c r="D503" i="1"/>
  <c r="F503" i="1" s="1"/>
  <c r="D457" i="1"/>
  <c r="F457" i="1" s="1"/>
  <c r="D455" i="1"/>
  <c r="F455" i="1" s="1"/>
  <c r="D454" i="1"/>
  <c r="F454" i="1" s="1"/>
  <c r="D456" i="1"/>
  <c r="F456" i="1" s="1"/>
  <c r="G454" i="1"/>
  <c r="D432" i="1"/>
  <c r="F432" i="1" s="1"/>
  <c r="G431" i="1"/>
  <c r="D431" i="1"/>
  <c r="F431" i="1" s="1"/>
  <c r="D529" i="1"/>
  <c r="F529" i="1" s="1"/>
  <c r="D528" i="1"/>
  <c r="F528" i="1" s="1"/>
  <c r="D527" i="1"/>
  <c r="G525" i="1"/>
  <c r="D500" i="1"/>
  <c r="G500" i="1"/>
  <c r="D494" i="1"/>
  <c r="F494" i="1" s="1"/>
  <c r="D493" i="1"/>
  <c r="G490" i="1"/>
  <c r="D450" i="1"/>
  <c r="G449" i="1"/>
  <c r="G428" i="1"/>
  <c r="D428" i="1"/>
  <c r="D397" i="1"/>
  <c r="F397" i="1" s="1"/>
  <c r="D398" i="1"/>
  <c r="F398" i="1" s="1"/>
  <c r="D396" i="1"/>
  <c r="F396" i="1" s="1"/>
  <c r="G395" i="1"/>
  <c r="D395" i="1"/>
  <c r="F395" i="1" s="1"/>
  <c r="D339" i="1"/>
  <c r="F339" i="1" s="1"/>
  <c r="D340" i="1"/>
  <c r="F340" i="1" s="1"/>
  <c r="D336" i="1"/>
  <c r="F336" i="1" s="1"/>
  <c r="D335" i="1"/>
  <c r="F335" i="1" s="1"/>
  <c r="D338" i="1"/>
  <c r="F338" i="1" s="1"/>
  <c r="D337" i="1"/>
  <c r="F337" i="1" s="1"/>
  <c r="D334" i="1"/>
  <c r="F334" i="1" s="1"/>
  <c r="G333" i="1"/>
  <c r="D333" i="1"/>
  <c r="F333" i="1" s="1"/>
  <c r="D292" i="1"/>
  <c r="F292" i="1" s="1"/>
  <c r="D291" i="1"/>
  <c r="F291" i="1" s="1"/>
  <c r="D294" i="1"/>
  <c r="F294" i="1" s="1"/>
  <c r="D293" i="1"/>
  <c r="F293" i="1" s="1"/>
  <c r="G291" i="1"/>
  <c r="D256" i="1"/>
  <c r="F256" i="1" s="1"/>
  <c r="D255" i="1"/>
  <c r="F255" i="1" s="1"/>
  <c r="D254" i="1"/>
  <c r="F254" i="1" s="1"/>
  <c r="G253" i="1"/>
  <c r="D253" i="1"/>
  <c r="F253" i="1" s="1"/>
  <c r="D390" i="1"/>
  <c r="G390" i="1"/>
  <c r="G324" i="1"/>
  <c r="G286" i="1"/>
  <c r="G248" i="1"/>
  <c r="D329" i="1"/>
  <c r="F329" i="1" s="1"/>
  <c r="D328" i="1"/>
  <c r="F328" i="1" s="1"/>
  <c r="D325" i="1"/>
  <c r="F325" i="1" s="1"/>
  <c r="D324" i="1"/>
  <c r="D289" i="1"/>
  <c r="F289" i="1" s="1"/>
  <c r="D288" i="1"/>
  <c r="D249" i="1"/>
  <c r="F249" i="1" s="1"/>
  <c r="D248" i="1"/>
  <c r="F288" i="1" l="1"/>
  <c r="F230" i="1" s="1"/>
  <c r="C230" i="1"/>
  <c r="D230" i="1"/>
  <c r="F428" i="1"/>
  <c r="F233" i="1" s="1"/>
  <c r="C233" i="1"/>
  <c r="D233" i="1"/>
  <c r="F500" i="1"/>
  <c r="F236" i="1" s="1"/>
  <c r="C236" i="1"/>
  <c r="D236" i="1"/>
  <c r="F493" i="1"/>
  <c r="F235" i="1" s="1"/>
  <c r="D235" i="1"/>
  <c r="C235" i="1"/>
  <c r="F450" i="1"/>
  <c r="F234" i="1" s="1"/>
  <c r="C234" i="1"/>
  <c r="D234" i="1"/>
  <c r="F248" i="1"/>
  <c r="F229" i="1" s="1"/>
  <c r="D229" i="1"/>
  <c r="C229" i="1"/>
  <c r="F324" i="1"/>
  <c r="F231" i="1" s="1"/>
  <c r="D231" i="1"/>
  <c r="C231" i="1"/>
  <c r="F390" i="1"/>
  <c r="F232" i="1" s="1"/>
  <c r="D232" i="1"/>
  <c r="C232" i="1"/>
  <c r="F527" i="1"/>
  <c r="F237" i="1" s="1"/>
  <c r="D237" i="1"/>
  <c r="C237" i="1"/>
  <c r="D641" i="1"/>
  <c r="F641" i="1" s="1"/>
  <c r="D640" i="1"/>
  <c r="F640" i="1" s="1"/>
  <c r="D639" i="1"/>
  <c r="F639" i="1" s="1"/>
  <c r="D638" i="1"/>
  <c r="F638" i="1" s="1"/>
  <c r="I637" i="1"/>
  <c r="D637" i="1"/>
  <c r="F637" i="1" s="1"/>
  <c r="D636" i="1"/>
  <c r="F636" i="1" s="1"/>
  <c r="D635" i="1"/>
  <c r="F635" i="1" s="1"/>
  <c r="G634" i="1"/>
  <c r="D634" i="1"/>
  <c r="F634" i="1" s="1"/>
  <c r="D632" i="1"/>
  <c r="F632" i="1" s="1"/>
  <c r="D631" i="1"/>
  <c r="F631" i="1" s="1"/>
  <c r="D630" i="1"/>
  <c r="F630" i="1" s="1"/>
  <c r="D629" i="1"/>
  <c r="F629" i="1" s="1"/>
  <c r="I628" i="1"/>
  <c r="D628" i="1"/>
  <c r="F628" i="1" s="1"/>
  <c r="D627" i="1"/>
  <c r="F627" i="1" s="1"/>
  <c r="D626" i="1"/>
  <c r="F626" i="1" s="1"/>
  <c r="G625" i="1"/>
  <c r="D625" i="1"/>
  <c r="F625" i="1" s="1"/>
  <c r="D621" i="1"/>
  <c r="F621" i="1" s="1"/>
  <c r="D620" i="1"/>
  <c r="F620" i="1" s="1"/>
  <c r="D619" i="1"/>
  <c r="F619" i="1" s="1"/>
  <c r="D618" i="1"/>
  <c r="F618" i="1" s="1"/>
  <c r="D617" i="1"/>
  <c r="F617" i="1" s="1"/>
  <c r="G616" i="1"/>
  <c r="D616" i="1"/>
  <c r="F616" i="1" s="1"/>
  <c r="D612" i="1"/>
  <c r="F612" i="1" s="1"/>
  <c r="D611" i="1"/>
  <c r="F611" i="1" s="1"/>
  <c r="D610" i="1"/>
  <c r="F610" i="1" s="1"/>
  <c r="D609" i="1"/>
  <c r="F609" i="1" s="1"/>
  <c r="D608" i="1"/>
  <c r="F608" i="1" s="1"/>
  <c r="G607" i="1"/>
  <c r="D607" i="1"/>
  <c r="F607" i="1" s="1"/>
  <c r="D605" i="1"/>
  <c r="F605" i="1" s="1"/>
  <c r="D604" i="1"/>
  <c r="F604" i="1" s="1"/>
  <c r="D603" i="1"/>
  <c r="F603" i="1" s="1"/>
  <c r="J603" i="1" s="1"/>
  <c r="D602" i="1"/>
  <c r="F602" i="1" s="1"/>
  <c r="I601" i="1"/>
  <c r="D601" i="1"/>
  <c r="F601" i="1" s="1"/>
  <c r="D600" i="1"/>
  <c r="F600" i="1" s="1"/>
  <c r="D599" i="1"/>
  <c r="F599" i="1" s="1"/>
  <c r="G598" i="1"/>
  <c r="D598" i="1"/>
  <c r="D587" i="1"/>
  <c r="D586" i="1"/>
  <c r="F586" i="1" s="1"/>
  <c r="D585" i="1"/>
  <c r="F585" i="1" s="1"/>
  <c r="D584" i="1"/>
  <c r="F584" i="1" s="1"/>
  <c r="D583" i="1"/>
  <c r="F583" i="1" s="1"/>
  <c r="G582" i="1"/>
  <c r="D582" i="1"/>
  <c r="F582" i="1" s="1"/>
  <c r="D578" i="1"/>
  <c r="F578" i="1" s="1"/>
  <c r="D577" i="1"/>
  <c r="F577" i="1" s="1"/>
  <c r="D576" i="1"/>
  <c r="F576" i="1" s="1"/>
  <c r="D575" i="1"/>
  <c r="F575" i="1" s="1"/>
  <c r="D574" i="1"/>
  <c r="F574" i="1" s="1"/>
  <c r="G573" i="1"/>
  <c r="D573" i="1"/>
  <c r="F573" i="1" s="1"/>
  <c r="D571" i="1"/>
  <c r="F571" i="1" s="1"/>
  <c r="D570" i="1"/>
  <c r="F570" i="1" s="1"/>
  <c r="D569" i="1"/>
  <c r="F569" i="1" s="1"/>
  <c r="D568" i="1"/>
  <c r="F568" i="1" s="1"/>
  <c r="I567" i="1"/>
  <c r="D567" i="1"/>
  <c r="F567" i="1" s="1"/>
  <c r="D566" i="1"/>
  <c r="F566" i="1" s="1"/>
  <c r="D565" i="1"/>
  <c r="F565" i="1" s="1"/>
  <c r="D564" i="1"/>
  <c r="F587" i="1" l="1"/>
  <c r="F564" i="1"/>
  <c r="C239" i="1"/>
  <c r="C238" i="1"/>
  <c r="F598" i="1"/>
  <c r="F239" i="1" s="1"/>
  <c r="D238" i="1"/>
  <c r="D239" i="1"/>
  <c r="C240" i="1" l="1"/>
  <c r="D240" i="1"/>
  <c r="F238" i="1"/>
  <c r="F240" i="1" s="1"/>
  <c r="G593" i="1"/>
  <c r="D596" i="1"/>
  <c r="D595" i="1"/>
  <c r="F595" i="1" s="1"/>
  <c r="D594" i="1"/>
  <c r="D593" i="1"/>
  <c r="F596" i="1" l="1"/>
  <c r="F594" i="1"/>
  <c r="D226" i="1"/>
  <c r="F593" i="1"/>
  <c r="F7" i="4"/>
  <c r="G7" i="4" s="1"/>
  <c r="F8" i="4"/>
  <c r="G8" i="4" s="1"/>
  <c r="F5" i="4"/>
  <c r="G5" i="4" s="1"/>
  <c r="F6" i="4"/>
  <c r="G6" i="4" s="1"/>
  <c r="F4" i="4"/>
  <c r="G4" i="4" s="1"/>
  <c r="F226" i="1" l="1"/>
  <c r="J226" i="1" s="1"/>
  <c r="G9" i="4"/>
  <c r="G564" i="1"/>
  <c r="E7" i="1" l="1"/>
  <c r="E41" i="1" l="1"/>
  <c r="D657" i="1" l="1"/>
  <c r="F208" i="1"/>
  <c r="G47" i="1"/>
  <c r="C47" i="1"/>
  <c r="C48" i="1" s="1"/>
  <c r="E42" i="1"/>
  <c r="D55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<sst xmlns="http://schemas.openxmlformats.org/spreadsheetml/2006/main" count="1031" uniqueCount="294">
  <si>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</si>
  <si>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</si>
  <si>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</si>
  <si>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</si>
  <si>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</si>
  <si>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</si>
  <si>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</si>
  <si>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</si>
  <si>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</si>
  <si>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</si>
  <si>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</si>
  <si>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</si>
  <si>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</si>
  <si>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</si>
  <si>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</si>
  <si>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</si>
  <si>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</si>
  <si>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</si>
  <si>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</si>
  <si>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</si>
  <si>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</si>
  <si>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</si>
  <si>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</si>
  <si>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</si>
  <si>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</si>
  <si>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</si>
  <si>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</si>
  <si>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</si>
  <si>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</si>
  <si>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</si>
  <si>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</si>
  <si>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</si>
  <si>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</si>
  <si>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</si>
  <si>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</si>
  <si>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</si>
  <si>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</si>
  <si>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</si>
  <si>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</si>
  <si>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</si>
  <si>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</si>
  <si>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</si>
  <si>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</si>
  <si>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</si>
  <si>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</si>
  <si>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</si>
  <si>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</si>
  <si>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</si>
  <si>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</si>
  <si>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</si>
  <si>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</si>
  <si>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</si>
  <si>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</si>
  <si>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</si>
  <si>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</si>
  <si>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</si>
  <si>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</si>
  <si>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</si>
  <si>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</si>
  <si>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</si>
  <si>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</si>
  <si>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</si>
  <si>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</si>
  <si>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</si>
  <si>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</si>
  <si>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</si>
  <si>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</si>
  <si>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</si>
  <si>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</si>
  <si>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</si>
  <si>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</si>
  <si>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</si>
  <si>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</si>
  <si>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</si>
  <si>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</si>
  <si>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</si>
  <si>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</si>
  <si>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</si>
  <si>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</si>
  <si>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</si>
  <si>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</si>
  <si>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</si>
  <si>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</si>
  <si>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</si>
  <si>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</si>
  <si>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</si>
  <si>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</si>
  <si>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</si>
  <si>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</si>
  <si>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</si>
  <si>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</si>
  <si>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</si>
  <si>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</si>
  <si>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</si>
  <si>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</si>
  <si>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</si>
  <si>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</si>
  <si>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</si>
  <si>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</si>
  <si>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</si>
  <si>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</si>
  <si>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</si>
  <si>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</si>
  <si>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</si>
  <si>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</si>
  <si>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</si>
  <si>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</si>
  <si>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</si>
  <si>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</si>
  <si>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</si>
  <si>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</si>
  <si>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</si>
  <si>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</si>
  <si>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</si>
  <si>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</si>
  <si>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</si>
  <si>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</si>
  <si>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</si>
  <si>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</si>
  <si>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</si>
  <si>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</si>
  <si>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</si>
  <si>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</si>
  <si>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</si>
  <si>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</si>
  <si>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</si>
  <si>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</si>
  <si>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</si>
  <si>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</si>
  <si>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</si>
  <si>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</si>
  <si>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</si>
  <si>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</si>
  <si>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</si>
  <si>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</si>
  <si>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</si>
  <si>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</si>
  <si>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</si>
  <si>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</si>
  <si>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</si>
  <si>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</si>
  <si>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</si>
  <si>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</si>
  <si>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</si>
  <si>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</si>
  <si>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</si>
  <si>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</si>
  <si>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</si>
  <si>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Approved Plans, CC</t>
  </si>
  <si>
    <t>M/s. Spenta Enclave Private Limited</t>
  </si>
  <si>
    <t>343(Pt.)</t>
  </si>
  <si>
    <t>Lal Dongar</t>
  </si>
  <si>
    <t xml:space="preserve">Mumbai </t>
  </si>
  <si>
    <t>Sion Trombay Road</t>
  </si>
  <si>
    <t>Chembur</t>
  </si>
  <si>
    <t>Kurla</t>
  </si>
  <si>
    <t>Upper Class</t>
  </si>
  <si>
    <t>Developed</t>
  </si>
  <si>
    <t>Slum</t>
  </si>
  <si>
    <t>Harijan Vijay CHS</t>
  </si>
  <si>
    <t>2.2km from Tilak Nagar Railway Station</t>
  </si>
  <si>
    <t>SRA/ENG/3104/MW/STGL/AP</t>
  </si>
  <si>
    <t xml:space="preserve">Cement, Aggregate, Steel, etc </t>
  </si>
  <si>
    <t>CTS No</t>
  </si>
  <si>
    <t>Stilt Floor for Parking</t>
  </si>
  <si>
    <t>2BHK</t>
  </si>
  <si>
    <t>8th &amp; 15th Floor (Part Refuge Area)</t>
  </si>
  <si>
    <t>800000/-</t>
  </si>
  <si>
    <t>Wheather the construction is as per approved Building plan : Under Construction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</si>
  <si>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</si>
  <si>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</si>
  <si>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</si>
  <si>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</si>
  <si>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</si>
  <si>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</si>
  <si>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</si>
  <si>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 xml:space="preserve">Valuation Adopted </t>
  </si>
  <si>
    <t>99 Acres</t>
  </si>
  <si>
    <t>Altavista</t>
  </si>
  <si>
    <t>Housing</t>
  </si>
  <si>
    <t>Protiger</t>
  </si>
  <si>
    <t>K Wing</t>
  </si>
  <si>
    <t>Stilt Floor for Commercial &amp; Parking</t>
  </si>
  <si>
    <t>Shop</t>
  </si>
  <si>
    <t>1BHK</t>
  </si>
  <si>
    <t>Axis Sanpada</t>
  </si>
  <si>
    <t>50000/-</t>
  </si>
  <si>
    <t>Pipeline &amp; Gas Connection Charges</t>
  </si>
  <si>
    <t>80/- from 2nd Habitual Floor</t>
  </si>
  <si>
    <t>J Wing</t>
  </si>
  <si>
    <t>Refuge Area</t>
  </si>
  <si>
    <t>22nd Floor (Part Refuge Area)</t>
  </si>
  <si>
    <t>24th Floor</t>
  </si>
  <si>
    <t>25th &amp; 26th Floor</t>
  </si>
  <si>
    <t>1st to 4th Basement Floor for Parking</t>
  </si>
  <si>
    <t>1st to 7th, 9th to 14th, 16th to 21st &amp; 23rd Floor for Residential</t>
  </si>
  <si>
    <t>A Wing</t>
  </si>
  <si>
    <t>1st Floor for residential</t>
  </si>
  <si>
    <t>B Wing</t>
  </si>
  <si>
    <t>C Wing</t>
  </si>
  <si>
    <t>Double height Entrance Lobby</t>
  </si>
  <si>
    <t>1st Floor for Residential</t>
  </si>
  <si>
    <t>D Wing</t>
  </si>
  <si>
    <t>3BHK</t>
  </si>
  <si>
    <t>2nd to 4th Floor</t>
  </si>
  <si>
    <t xml:space="preserve"> Void Double height </t>
  </si>
  <si>
    <t>E Wing</t>
  </si>
  <si>
    <t>F Wing</t>
  </si>
  <si>
    <t>G Wing</t>
  </si>
  <si>
    <t>2.5BHK</t>
  </si>
  <si>
    <t>H Wing</t>
  </si>
  <si>
    <t>I Wing</t>
  </si>
  <si>
    <t>2nd Floor for Terrace</t>
  </si>
  <si>
    <t>5th Floor</t>
  </si>
  <si>
    <t>6th, 7th, 9th, 11th, 13th, 17th, 19th, 21st &amp; 23rd Floor</t>
  </si>
  <si>
    <t>8th Floor</t>
  </si>
  <si>
    <t>8th Floor (Part Refuge Floor)</t>
  </si>
  <si>
    <t>10th, 12th, 14th, 16th, 18th, 20th &amp; 22nd Floor</t>
  </si>
  <si>
    <t>15th Floor</t>
  </si>
  <si>
    <t>15th Floor (Part Refuge Floor)</t>
  </si>
  <si>
    <t>5th, 6th, 7th, 9th, 11th, 13th, 17th, 19th, 21st &amp; 23rd Floor</t>
  </si>
  <si>
    <t>BWing</t>
  </si>
  <si>
    <t>Water Tank Purpose Area</t>
  </si>
  <si>
    <t>A to K wing</t>
  </si>
  <si>
    <t>Altavista Phase I = A to D wing = P51800001050
Altavista Phase II = E &amp; F wing = P51800000956
Altavista Phase III = H wing = P51800021249
Altavista Phase IV = I wing = P51800026131
G Wing = Not Registered on Rera
J Wing (Ornata - Amber) = P51800028964
K Wing (Ornata - Sapphire) = P51800026905</t>
  </si>
  <si>
    <t>11 Wings</t>
  </si>
  <si>
    <t>Flats - 1173, Shops - 4</t>
  </si>
  <si>
    <t>Terrace Floor for Amenties</t>
  </si>
  <si>
    <t>Recommended Rates of the Property : (Wing A, B, C, D)</t>
  </si>
  <si>
    <t>28000/-</t>
  </si>
  <si>
    <t>Recommended Rates of the Property : (Wing E to K)</t>
  </si>
  <si>
    <t>2,50,000/-</t>
  </si>
  <si>
    <t>25000/-</t>
  </si>
  <si>
    <t>Electricity Meter and Installation Charges</t>
  </si>
  <si>
    <t>Piped Gas Connection Charges</t>
  </si>
  <si>
    <t>Current Development Charges</t>
  </si>
  <si>
    <t>1,03,500/-</t>
  </si>
  <si>
    <t>5000/-</t>
  </si>
  <si>
    <t>70/- from 2nd Habitual Floor</t>
  </si>
  <si>
    <t>Development Charges</t>
  </si>
  <si>
    <t>3,50,000/-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</si>
  <si>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</si>
  <si>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</si>
  <si>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</si>
  <si>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</si>
  <si>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</si>
  <si>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</si>
  <si>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</si>
  <si>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</si>
  <si>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</si>
  <si>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</si>
  <si>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</si>
  <si>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</si>
  <si>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</si>
  <si>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</si>
  <si>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</si>
  <si>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</si>
  <si>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</si>
  <si>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</si>
  <si>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A to F Wing = 1st to 4th Basement + Stilt + 1st to 23rd Floor
H to J Wing = 1st to 4th Basement + Stilt + 1st to 23rd Floor
K Wing = 1st to 4th Basement + Stilt + 1st to 27th Floor</t>
  </si>
  <si>
    <t>A to D Wing = 1st to 4th Basement + Stilt +1st to  23rd Floor</t>
  </si>
  <si>
    <t>G Wing = 1st to 4th Basement + Stilt +1st to  23rd Floor</t>
  </si>
  <si>
    <t>100000/-</t>
  </si>
  <si>
    <t>Advance Maintenance Charges</t>
  </si>
  <si>
    <t>J &amp; K Wing = 1st to 4th Basement + Stilt + 1st to 26th Floor</t>
  </si>
  <si>
    <t>Site Person - Contact Details ( Name &amp; Contact No.)</t>
  </si>
  <si>
    <t>Latitude, Longitude</t>
  </si>
  <si>
    <t>Location Link</t>
  </si>
  <si>
    <t>https://goo.gl/maps/AGyEbsQjgjhaDGC27</t>
  </si>
  <si>
    <t>19.0516212,72.8862724</t>
  </si>
  <si>
    <t>SRA/ENG/3104/MW/STGL/AP
Approved upto : Wing A &amp; B = 4B + Stilt +1st to  23rd Floor</t>
  </si>
  <si>
    <t>SRA/ENG/3104/MW/STGL/AP
Approved upto : Wing C &amp; D = 4B + Stilt +1st to  23rd Floor</t>
  </si>
  <si>
    <t>Valid Up to: This C.C. is re-endorsed for wing A to I  and granted plinth CC to wing J &amp; K alongwith basement underneath and extend CC upto 15th Floor to wing F and restrict the CC of Wing E upto 15th Floor of sale building as per approved amended plans dated 04/03/2021.</t>
  </si>
  <si>
    <t>A to I Wing = 1st to 4th Basement + Stilt +1st to  23rd Floor
J &amp; K Wing = 1st to 4th Basement + Stilt + 1st to 27th Floor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</si>
  <si>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E mail : vsjcapf@gmail.com. Web site : www.vsjadon.com</t>
  </si>
  <si>
    <t>14250 to 15000</t>
  </si>
  <si>
    <t>Trupti</t>
  </si>
  <si>
    <t>Igr</t>
  </si>
  <si>
    <t>Miss. Vaibhavi Salvi 8652751918</t>
  </si>
  <si>
    <t>Contact Details ( Name &amp; Contact No.)</t>
  </si>
  <si>
    <t>E Wing = 1st to 4th Basement + Stilt +1st to 23rd Floor</t>
  </si>
  <si>
    <t>F Wing = 1st to 4th Basement + Stilt +1st to 23rd Floor</t>
  </si>
  <si>
    <t>I Wing = 1st to 4th Basement + Stilt +1st to  23rd Floor</t>
  </si>
  <si>
    <t>Part II = H Wing = 1st to 4th Basement + Stilt +1st to  23rd Floor</t>
  </si>
  <si>
    <t>Average Progress %</t>
  </si>
  <si>
    <t>Average Disbursement %</t>
  </si>
  <si>
    <t>K Wing = 1st to 4th Basement + Stilt + 1st to 26th Floor</t>
  </si>
  <si>
    <t>This CC is further extended beyond 20th upper floor upto full ht i.e. from 21st to 23rd upper floor including OHWT &amp; LMR to wing E &amp; now restricted upto 19th floor to wing F of sale bldg as per approved amended plans dtd. 26/02/2024.</t>
  </si>
  <si>
    <t>As per RERA - 
Phase I = Completed.
Phase II = 30/06/2025
Phase III = 30/06/2025
Phase IV = 31/12/2029 
Ornata - Amber = (Wing J) = 31/12/2029
Ornata - Sapphire = (Wing K) = 30/06/2025</t>
  </si>
  <si>
    <t>H Wing = 1st to 4th Basement + Stilt +1st to  23rd Floor</t>
  </si>
  <si>
    <t>Shruti Tathare</t>
  </si>
  <si>
    <t>Akash Chaure</t>
  </si>
  <si>
    <t>1. A to D Wing = All work Completed. OC Received.
    E, F, G, H &amp; I Wing = Construction work is in process. Internal visit was not allowed. (Slow Speed)    
   J &amp; K Wing = Construction work was stopped at the time of visit. (work same as visit (07/04/2022).
2. We considered  Saleable area  as per our calculation.
3. We considered Carpet area as per Approved Plan.
4. We considered Gross carpet area = Net carpet.
5. We have considered rate by verifying it from market inquire.
6. Car parking is subjected to authentic documentation.
7. G wing are not registered on RERA.
8. We have updated OC from Rera for Wing A to D (On 07/07/2023).
9. Please provide revised approved CC for F wing.
10. We have updated latest CC from rera (On 31/05/2025).
11. On site, we meet Mr. Vaibhav 8652751918.</t>
  </si>
  <si>
    <t>Mr. Nitesh 9970909135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</si>
</sst>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6" fillId="0" borderId="0"/>
    <xf numFmtId="0" fontId="3" fillId="0" borderId="0"/>
    <xf numFmtId="0" fontId="2" fillId="0" borderId="0"/>
    <xf numFmtId="164" fontId="6" fillId="0" borderId="0" applyFon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</cellStyleXfs>
  <cellXfs count="204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1" fontId="5" fillId="0" borderId="1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4" applyFont="1" applyBorder="1" applyAlignment="1">
      <alignment horizontal="center" vertical="top" wrapText="1"/>
    </xf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left" vertical="center"/>
    </xf>
    <xf numFmtId="1" fontId="2" fillId="0" borderId="1" xfId="4" applyNumberFormat="1" applyBorder="1" applyAlignment="1">
      <alignment horizontal="center" vertical="center"/>
    </xf>
    <xf numFmtId="166" fontId="2" fillId="0" borderId="1" xfId="5" applyNumberFormat="1" applyFont="1" applyBorder="1" applyAlignment="1">
      <alignment horizontal="right" vertical="center"/>
    </xf>
    <xf numFmtId="0" fontId="10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1" fontId="19" fillId="0" borderId="1" xfId="4" applyNumberFormat="1" applyFont="1" applyBorder="1" applyAlignment="1">
      <alignment horizontal="center" vertical="center"/>
    </xf>
    <xf numFmtId="0" fontId="8" fillId="0" borderId="7" xfId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18" fillId="0" borderId="0" xfId="0" applyFont="1" applyFill="1" applyBorder="1" applyProtection="1">
      <protection hidden="1"/>
    </xf>
    <xf numFmtId="0" fontId="18" fillId="0" borderId="10" xfId="0" applyFont="1" applyFill="1" applyBorder="1" applyProtection="1"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Fill="1"/>
    <xf numFmtId="0" fontId="16" fillId="0" borderId="0" xfId="1" applyFont="1" applyFill="1"/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0" xfId="1" applyFont="1" applyFill="1"/>
    <xf numFmtId="0" fontId="8" fillId="0" borderId="0" xfId="1" applyFont="1" applyFill="1" applyProtection="1">
      <protection hidden="1"/>
    </xf>
    <xf numFmtId="0" fontId="8" fillId="0" borderId="8" xfId="1" applyFont="1" applyFill="1" applyBorder="1" applyProtection="1">
      <protection hidden="1"/>
    </xf>
    <xf numFmtId="0" fontId="8" fillId="0" borderId="9" xfId="1" applyFont="1" applyFill="1" applyBorder="1" applyProtection="1">
      <protection hidden="1"/>
    </xf>
    <xf numFmtId="0" fontId="8" fillId="0" borderId="9" xfId="1" applyFont="1" applyFill="1" applyBorder="1"/>
    <xf numFmtId="0" fontId="13" fillId="0" borderId="1" xfId="1" applyFont="1" applyFill="1" applyBorder="1" applyAlignment="1" applyProtection="1">
      <alignment horizontal="center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9" xfId="0" applyNumberFormat="1" applyFont="1" applyFill="1" applyBorder="1" applyProtection="1">
      <protection hidden="1"/>
    </xf>
    <xf numFmtId="1" fontId="13" fillId="0" borderId="1" xfId="1" applyNumberFormat="1" applyFont="1" applyFill="1" applyBorder="1" applyAlignment="1" applyProtection="1">
      <alignment horizontal="center" wrapText="1"/>
      <protection locked="0"/>
    </xf>
    <xf numFmtId="9" fontId="18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9" fontId="18" fillId="0" borderId="11" xfId="0" applyNumberFormat="1" applyFont="1" applyFill="1" applyBorder="1" applyProtection="1">
      <protection hidden="1"/>
    </xf>
    <xf numFmtId="0" fontId="17" fillId="0" borderId="0" xfId="1" applyFont="1" applyFill="1"/>
    <xf numFmtId="0" fontId="7" fillId="0" borderId="0" xfId="2" applyFont="1" applyFill="1"/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0" applyFont="1" applyFill="1"/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8" fillId="0" borderId="0" xfId="1" applyFont="1" applyFill="1" applyProtection="1">
      <protection locked="0"/>
    </xf>
    <xf numFmtId="0" fontId="11" fillId="0" borderId="0" xfId="1" applyFont="1" applyFill="1" applyProtection="1"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1" fillId="0" borderId="0" xfId="1" applyFont="1" applyFill="1" applyBorder="1" applyAlignment="1" applyProtection="1">
      <alignment horizontal="center" vertical="center"/>
      <protection hidden="1"/>
    </xf>
    <xf numFmtId="0" fontId="11" fillId="0" borderId="9" xfId="1" applyFont="1" applyFill="1" applyBorder="1" applyAlignment="1" applyProtection="1">
      <alignment horizontal="center" vertical="center"/>
      <protection hidden="1"/>
    </xf>
    <xf numFmtId="0" fontId="11" fillId="0" borderId="0" xfId="1" applyFont="1" applyFill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23" xfId="1" applyFont="1" applyFill="1" applyBorder="1" applyAlignment="1" applyProtection="1">
      <alignment horizontal="center" vertical="top"/>
      <protection locked="0"/>
    </xf>
    <xf numFmtId="0" fontId="13" fillId="0" borderId="24" xfId="1" applyFont="1" applyFill="1" applyBorder="1" applyAlignment="1" applyProtection="1">
      <alignment horizontal="center" vertical="top"/>
      <protection locked="0"/>
    </xf>
    <xf numFmtId="0" fontId="13" fillId="0" borderId="3" xfId="1" applyFont="1" applyFill="1" applyBorder="1" applyAlignment="1" applyProtection="1">
      <alignment horizontal="center" wrapText="1"/>
      <protection locked="0"/>
    </xf>
    <xf numFmtId="9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1" xfId="1" applyFont="1" applyFill="1" applyBorder="1" applyAlignment="1" applyProtection="1">
      <alignment horizontal="center" wrapText="1"/>
      <protection locked="0"/>
    </xf>
    <xf numFmtId="9" fontId="13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left" vertical="top"/>
      <protection locked="0"/>
    </xf>
    <xf numFmtId="1" fontId="8" fillId="0" borderId="0" xfId="0" applyNumberFormat="1" applyFont="1" applyFill="1" applyAlignment="1">
      <alignment horizontal="center" vertical="center"/>
    </xf>
    <xf numFmtId="0" fontId="8" fillId="2" borderId="0" xfId="1" applyFont="1" applyFill="1"/>
    <xf numFmtId="14" fontId="8" fillId="2" borderId="0" xfId="1" applyNumberFormat="1" applyFont="1" applyFill="1"/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3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23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3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2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24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3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32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3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30" xfId="1" applyFont="1" applyFill="1" applyBorder="1" applyAlignment="1" applyProtection="1">
      <alignment horizontal="center" vertical="top" wrapText="1"/>
      <protection locked="0"/>
    </xf>
    <xf numFmtId="0" fontId="13" fillId="0" borderId="3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0" fontId="20" fillId="0" borderId="1" xfId="7" applyFill="1" applyBorder="1" applyAlignment="1" applyProtection="1">
      <alignment horizontal="left"/>
      <protection locked="0"/>
    </xf>
    <xf numFmtId="0" fontId="8" fillId="0" borderId="1" xfId="1" applyFont="1" applyFill="1" applyBorder="1" applyAlignment="1" applyProtection="1">
      <alignment horizontal="left"/>
      <protection locked="0"/>
    </xf>
    <xf numFmtId="0" fontId="14" fillId="0" borderId="20" xfId="1" applyFont="1" applyFill="1" applyBorder="1" applyAlignment="1" applyProtection="1">
      <alignment horizontal="left" vertical="top" wrapText="1"/>
      <protection locked="0"/>
    </xf>
    <xf numFmtId="0" fontId="14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4" fillId="0" borderId="25" xfId="1" applyFont="1" applyFill="1" applyBorder="1" applyAlignment="1" applyProtection="1">
      <alignment horizontal="center" vertical="center"/>
      <protection locked="0"/>
    </xf>
    <xf numFmtId="0" fontId="14" fillId="0" borderId="14" xfId="1" applyFont="1" applyFill="1" applyBorder="1" applyAlignment="1" applyProtection="1">
      <alignment horizontal="center" vertical="center"/>
      <protection locked="0"/>
    </xf>
    <xf numFmtId="0" fontId="14" fillId="0" borderId="27" xfId="1" applyFont="1" applyFill="1" applyBorder="1" applyAlignment="1" applyProtection="1">
      <alignment horizontal="center" vertical="center"/>
      <protection locked="0"/>
    </xf>
    <xf numFmtId="0" fontId="14" fillId="0" borderId="28" xfId="1" applyFont="1" applyFill="1" applyBorder="1" applyAlignment="1" applyProtection="1">
      <alignment horizontal="center" vertical="center"/>
      <protection locked="0"/>
    </xf>
    <xf numFmtId="9" fontId="14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1" applyFont="1" applyFill="1" applyBorder="1" applyAlignment="1" applyProtection="1">
      <alignment horizontal="center" vertical="center" wrapText="1"/>
      <protection locked="0"/>
    </xf>
    <xf numFmtId="0" fontId="14" fillId="0" borderId="29" xfId="1" applyFont="1" applyFill="1" applyBorder="1" applyAlignment="1" applyProtection="1">
      <alignment horizontal="center" vertical="center" wrapText="1"/>
      <protection locked="0"/>
    </xf>
    <xf numFmtId="0" fontId="14" fillId="0" borderId="28" xfId="1" applyFont="1" applyFill="1" applyBorder="1" applyAlignment="1" applyProtection="1">
      <alignment horizontal="center" vertical="center" wrapText="1"/>
      <protection locked="0"/>
    </xf>
    <xf numFmtId="0" fontId="14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8" fillId="0" borderId="3" xfId="1" applyFont="1" applyFill="1" applyBorder="1" applyAlignment="1" applyProtection="1">
      <alignment horizontal="left" vertical="top" wrapText="1"/>
      <protection locked="0"/>
    </xf>
    <xf numFmtId="0" fontId="14" fillId="0" borderId="23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9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1" fontId="8" fillId="0" borderId="5" xfId="0" applyNumberFormat="1" applyFont="1" applyFill="1" applyBorder="1" applyAlignment="1" applyProtection="1">
      <alignment horizontal="center" vertical="top" wrapText="1"/>
      <protection locked="0"/>
    </xf>
    <xf numFmtId="1" fontId="8" fillId="0" borderId="12" xfId="0" applyNumberFormat="1" applyFont="1" applyFill="1" applyBorder="1" applyAlignment="1" applyProtection="1">
      <alignment horizontal="center" vertical="top" wrapText="1"/>
      <protection locked="0"/>
    </xf>
    <xf numFmtId="1" fontId="8" fillId="0" borderId="6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4" fillId="0" borderId="26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165" fontId="7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14" fontId="8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14" fontId="11" fillId="0" borderId="5" xfId="1" applyNumberFormat="1" applyFont="1" applyFill="1" applyBorder="1" applyAlignment="1" applyProtection="1">
      <alignment horizontal="left" vertical="top" wrapText="1"/>
      <protection locked="0"/>
    </xf>
    <xf numFmtId="0" fontId="11" fillId="0" borderId="6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14" fillId="0" borderId="36" xfId="1" applyFont="1" applyFill="1" applyBorder="1" applyAlignment="1" applyProtection="1">
      <alignment horizontal="left" vertical="top" wrapText="1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0" fontId="14" fillId="0" borderId="37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4" fontId="13" fillId="0" borderId="1" xfId="1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left"/>
      <protection locked="0"/>
    </xf>
    <xf numFmtId="14" fontId="8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NumberFormat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1" fontId="11" fillId="0" borderId="5" xfId="0" applyNumberFormat="1" applyFont="1" applyFill="1" applyBorder="1" applyAlignment="1" applyProtection="1">
      <alignment horizontal="center" vertical="top" wrapText="1"/>
      <protection locked="0"/>
    </xf>
    <xf numFmtId="1" fontId="11" fillId="0" borderId="12" xfId="0" applyNumberFormat="1" applyFont="1" applyFill="1" applyBorder="1" applyAlignment="1" applyProtection="1">
      <alignment horizontal="center" vertical="top" wrapText="1"/>
      <protection locked="0"/>
    </xf>
    <xf numFmtId="1" fontId="11" fillId="0" borderId="6" xfId="0" applyNumberFormat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2" applyFont="1" applyFill="1" applyBorder="1" applyAlignment="1" applyProtection="1">
      <alignment horizontal="left" vertical="top" wrapText="1"/>
      <protection locked="0"/>
    </xf>
    <xf numFmtId="0" fontId="14" fillId="3" borderId="30" xfId="1" applyFont="1" applyFill="1" applyBorder="1" applyAlignment="1" applyProtection="1">
      <alignment horizontal="center" vertical="center" wrapText="1"/>
      <protection locked="0"/>
    </xf>
    <xf numFmtId="0" fontId="14" fillId="3" borderId="31" xfId="1" applyFont="1" applyFill="1" applyBorder="1" applyAlignment="1" applyProtection="1">
      <alignment horizontal="center" vertical="center" wrapText="1"/>
      <protection locked="0"/>
    </xf>
    <xf numFmtId="9" fontId="14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1" applyFont="1" applyFill="1" applyBorder="1" applyAlignment="1" applyProtection="1">
      <alignment horizontal="center" vertical="center" wrapText="1"/>
      <protection locked="0"/>
    </xf>
    <xf numFmtId="9" fontId="14" fillId="3" borderId="33" xfId="1" applyNumberFormat="1" applyFont="1" applyFill="1" applyBorder="1" applyAlignment="1" applyProtection="1">
      <alignment horizontal="center" vertical="center" wrapText="1"/>
      <protection hidden="1"/>
    </xf>
    <xf numFmtId="9" fontId="14" fillId="3" borderId="34" xfId="1" applyNumberFormat="1" applyFont="1" applyFill="1" applyBorder="1" applyAlignment="1" applyProtection="1">
      <alignment horizontal="center" vertical="center" wrapText="1"/>
      <protection hidden="1"/>
    </xf>
    <xf numFmtId="9" fontId="14" fillId="3" borderId="35" xfId="1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4" applyFont="1" applyBorder="1" applyAlignment="1">
      <alignment horizontal="left"/>
    </xf>
  </cellXfs>
  <cellStyles count="8">
    <cellStyle name="Comma 2" xfId="5"/>
    <cellStyle name="Excel Built-in Normal" xfId="2"/>
    <cellStyle name="Excel Built-in Normal 2" xfId="6"/>
    <cellStyle name="Hyperlink" xfId="7" builtinId="8"/>
    <cellStyle name="Normal" xfId="0" builtinId="0"/>
    <cellStyle name="Normal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324974</xdr:colOff>
      <xdr:row>701</xdr:row>
      <xdr:rowOff>0</xdr:rowOff>
    </xdr:from>
    <xdr:to>
      <xdr:col>7</xdr:col>
      <xdr:colOff>428095</xdr:colOff>
      <xdr:row>719</xdr:row>
      <xdr:rowOff>113712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4" y="39366265"/>
          <a:ext cx="6120680" cy="37444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324974</xdr:colOff>
      <xdr:row>721</xdr:row>
      <xdr:rowOff>52699</xdr:rowOff>
    </xdr:from>
    <xdr:to>
      <xdr:col>7</xdr:col>
      <xdr:colOff>428095</xdr:colOff>
      <xdr:row>739</xdr:row>
      <xdr:rowOff>179770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4" y="138176405"/>
          <a:ext cx="6131886" cy="37577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48491</xdr:colOff>
      <xdr:row>657</xdr:row>
      <xdr:rowOff>91786</xdr:rowOff>
    </xdr:from>
    <xdr:ext cx="320409" cy="40543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7841673" y="124185218"/>
          <a:ext cx="320409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C</a:t>
          </a:r>
        </a:p>
      </xdr:txBody>
    </xdr:sp>
    <xdr:clientData/>
  </xdr:oneCellAnchor>
  <xdr:oneCellAnchor>
    <xdr:from>
      <xdr:col>13</xdr:col>
      <xdr:colOff>183042</xdr:colOff>
      <xdr:row>644</xdr:row>
      <xdr:rowOff>8659</xdr:rowOff>
    </xdr:from>
    <xdr:ext cx="346313" cy="405432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10634565" y="124301250"/>
          <a:ext cx="346313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D</a:t>
          </a:r>
        </a:p>
      </xdr:txBody>
    </xdr:sp>
    <xdr:clientData/>
  </xdr:oneCellAnchor>
  <xdr:oneCellAnchor>
    <xdr:from>
      <xdr:col>8</xdr:col>
      <xdr:colOff>1000899</xdr:colOff>
      <xdr:row>663</xdr:row>
      <xdr:rowOff>2197</xdr:rowOff>
    </xdr:from>
    <xdr:ext cx="302390" cy="40543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7425944" y="125281924"/>
          <a:ext cx="302390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</a:p>
      </xdr:txBody>
    </xdr:sp>
    <xdr:clientData/>
  </xdr:oneCellAnchor>
  <xdr:oneCellAnchor>
    <xdr:from>
      <xdr:col>11</xdr:col>
      <xdr:colOff>6698</xdr:colOff>
      <xdr:row>660</xdr:row>
      <xdr:rowOff>186347</xdr:rowOff>
    </xdr:from>
    <xdr:ext cx="309765" cy="40543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9094669" y="133088112"/>
          <a:ext cx="309765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E</a:t>
          </a:r>
        </a:p>
      </xdr:txBody>
    </xdr:sp>
    <xdr:clientData/>
  </xdr:oneCellAnchor>
  <xdr:oneCellAnchor>
    <xdr:from>
      <xdr:col>12</xdr:col>
      <xdr:colOff>566124</xdr:colOff>
      <xdr:row>655</xdr:row>
      <xdr:rowOff>136525</xdr:rowOff>
    </xdr:from>
    <xdr:ext cx="1008674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10424499" y="133210300"/>
          <a:ext cx="1008674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Part I : Wing H</a:t>
          </a:r>
        </a:p>
      </xdr:txBody>
    </xdr:sp>
    <xdr:clientData/>
  </xdr:oneCellAnchor>
  <xdr:twoCellAnchor>
    <xdr:from>
      <xdr:col>13</xdr:col>
      <xdr:colOff>361951</xdr:colOff>
      <xdr:row>657</xdr:row>
      <xdr:rowOff>4210</xdr:rowOff>
    </xdr:from>
    <xdr:to>
      <xdr:col>13</xdr:col>
      <xdr:colOff>441811</xdr:colOff>
      <xdr:row>660</xdr:row>
      <xdr:rowOff>50800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>
          <a:stCxn id="51" idx="2"/>
        </xdr:cNvCxnSpPr>
      </xdr:nvCxnSpPr>
      <xdr:spPr>
        <a:xfrm flipH="1">
          <a:off x="10829926" y="133478035"/>
          <a:ext cx="79860" cy="646665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496274</xdr:colOff>
      <xdr:row>655</xdr:row>
      <xdr:rowOff>69850</xdr:rowOff>
    </xdr:from>
    <xdr:ext cx="1135676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11573849" y="133143625"/>
          <a:ext cx="1135676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/>
            <a:t>Part II</a:t>
          </a:r>
          <a:r>
            <a:rPr lang="en-IN" sz="1100" baseline="0"/>
            <a:t> </a:t>
          </a:r>
          <a:r>
            <a:rPr lang="en-IN" sz="1100"/>
            <a:t>: Wing H</a:t>
          </a:r>
        </a:p>
      </xdr:txBody>
    </xdr:sp>
    <xdr:clientData/>
  </xdr:oneCellAnchor>
  <xdr:twoCellAnchor>
    <xdr:from>
      <xdr:col>14</xdr:col>
      <xdr:colOff>317502</xdr:colOff>
      <xdr:row>656</xdr:row>
      <xdr:rowOff>140735</xdr:rowOff>
    </xdr:from>
    <xdr:to>
      <xdr:col>15</xdr:col>
      <xdr:colOff>416412</xdr:colOff>
      <xdr:row>660</xdr:row>
      <xdr:rowOff>142875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CxnSpPr>
          <a:stCxn id="52" idx="2"/>
        </xdr:cNvCxnSpPr>
      </xdr:nvCxnSpPr>
      <xdr:spPr>
        <a:xfrm flipH="1">
          <a:off x="11395077" y="133414535"/>
          <a:ext cx="708510" cy="802240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630</xdr:row>
      <xdr:rowOff>146050</xdr:rowOff>
    </xdr:from>
    <xdr:to>
      <xdr:col>19</xdr:col>
      <xdr:colOff>557900</xdr:colOff>
      <xdr:row>644</xdr:row>
      <xdr:rowOff>125454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2450" y="126942850"/>
          <a:ext cx="7200000" cy="49740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1212850</xdr:colOff>
      <xdr:row>652</xdr:row>
      <xdr:rowOff>25400</xdr:rowOff>
    </xdr:from>
    <xdr:ext cx="583814" cy="264560"/>
    <xdr:sp macro="" textlink="">
      <xdr:nvSpPr>
        <xdr:cNvPr id="2" name="TextBox 1"/>
        <xdr:cNvSpPr txBox="1"/>
      </xdr:nvSpPr>
      <xdr:spPr>
        <a:xfrm>
          <a:off x="7950200" y="131165600"/>
          <a:ext cx="5838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 Wing</a:t>
          </a:r>
        </a:p>
      </xdr:txBody>
    </xdr:sp>
    <xdr:clientData/>
  </xdr:oneCellAnchor>
  <xdr:twoCellAnchor editAs="oneCell">
    <xdr:from>
      <xdr:col>3</xdr:col>
      <xdr:colOff>839880</xdr:colOff>
      <xdr:row>686</xdr:row>
      <xdr:rowOff>122704</xdr:rowOff>
    </xdr:from>
    <xdr:to>
      <xdr:col>7</xdr:col>
      <xdr:colOff>414617</xdr:colOff>
      <xdr:row>697</xdr:row>
      <xdr:rowOff>11772</xdr:rowOff>
    </xdr:to>
    <xdr:pic>
      <xdr:nvPicPr>
        <xdr:cNvPr id="58" name="Picture 57" descr="https://vsjcllp.vsjadon.com/upload/insp-246567-152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9145" y="138268822"/>
          <a:ext cx="2790825" cy="21078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375396</xdr:colOff>
      <xdr:row>686</xdr:row>
      <xdr:rowOff>122704</xdr:rowOff>
    </xdr:from>
    <xdr:to>
      <xdr:col>3</xdr:col>
      <xdr:colOff>755742</xdr:colOff>
      <xdr:row>697</xdr:row>
      <xdr:rowOff>11772</xdr:rowOff>
    </xdr:to>
    <xdr:pic>
      <xdr:nvPicPr>
        <xdr:cNvPr id="59" name="Picture 58" descr="https://vsjcllp.vsjadon.com/upload/insp-246567-84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396" y="138268822"/>
          <a:ext cx="2789611" cy="21078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4483</xdr:colOff>
      <xdr:row>672</xdr:row>
      <xdr:rowOff>114862</xdr:rowOff>
    </xdr:from>
    <xdr:to>
      <xdr:col>7</xdr:col>
      <xdr:colOff>490160</xdr:colOff>
      <xdr:row>686</xdr:row>
      <xdr:rowOff>33617</xdr:rowOff>
    </xdr:to>
    <xdr:pic>
      <xdr:nvPicPr>
        <xdr:cNvPr id="62" name="Picture 61" descr="https://vsjcllp.vsjadon.com/upload/insp-246567-844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1012" y="135437097"/>
          <a:ext cx="2054501" cy="274263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124146</xdr:colOff>
      <xdr:row>657</xdr:row>
      <xdr:rowOff>78441</xdr:rowOff>
    </xdr:from>
    <xdr:to>
      <xdr:col>7</xdr:col>
      <xdr:colOff>782491</xdr:colOff>
      <xdr:row>672</xdr:row>
      <xdr:rowOff>22412</xdr:rowOff>
    </xdr:to>
    <xdr:pic>
      <xdr:nvPicPr>
        <xdr:cNvPr id="64" name="Picture 63" descr="https://vsjcllp.vsjadon.com/upload/insp-246023-843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80675" y="132375088"/>
          <a:ext cx="2227169" cy="296955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310162</xdr:colOff>
      <xdr:row>657</xdr:row>
      <xdr:rowOff>73960</xdr:rowOff>
    </xdr:from>
    <xdr:to>
      <xdr:col>5</xdr:col>
      <xdr:colOff>38420</xdr:colOff>
      <xdr:row>672</xdr:row>
      <xdr:rowOff>17931</xdr:rowOff>
    </xdr:to>
    <xdr:pic>
      <xdr:nvPicPr>
        <xdr:cNvPr id="65" name="Picture 64" descr="https://vsjcllp.vsjadon.com/upload/insp-246023-8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7780" y="132370607"/>
          <a:ext cx="2227169" cy="296955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317676</xdr:colOff>
      <xdr:row>672</xdr:row>
      <xdr:rowOff>109326</xdr:rowOff>
    </xdr:from>
    <xdr:to>
      <xdr:col>4</xdr:col>
      <xdr:colOff>705094</xdr:colOff>
      <xdr:row>686</xdr:row>
      <xdr:rowOff>30095</xdr:rowOff>
    </xdr:to>
    <xdr:pic>
      <xdr:nvPicPr>
        <xdr:cNvPr id="66" name="Picture 65" descr="https://vsjcllp.vsjadon.com/upload/insp-246023-86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676" y="135431561"/>
          <a:ext cx="3659536" cy="274465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90528</xdr:colOff>
      <xdr:row>657</xdr:row>
      <xdr:rowOff>78443</xdr:rowOff>
    </xdr:from>
    <xdr:to>
      <xdr:col>2</xdr:col>
      <xdr:colOff>234804</xdr:colOff>
      <xdr:row>672</xdr:row>
      <xdr:rowOff>33619</xdr:rowOff>
    </xdr:to>
    <xdr:pic>
      <xdr:nvPicPr>
        <xdr:cNvPr id="71" name="Picture 70" descr="https://vsjcllp.vsjadon.com/upload/insp-246023-84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528" y="132375090"/>
          <a:ext cx="1701894" cy="298076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549969</xdr:colOff>
      <xdr:row>658</xdr:row>
      <xdr:rowOff>78443</xdr:rowOff>
    </xdr:from>
    <xdr:ext cx="309765" cy="405432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549969" y="132576796"/>
          <a:ext cx="309765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E</a:t>
          </a:r>
        </a:p>
      </xdr:txBody>
    </xdr:sp>
    <xdr:clientData/>
  </xdr:oneCellAnchor>
  <xdr:oneCellAnchor>
    <xdr:from>
      <xdr:col>1</xdr:col>
      <xdr:colOff>186899</xdr:colOff>
      <xdr:row>658</xdr:row>
      <xdr:rowOff>163609</xdr:rowOff>
    </xdr:from>
    <xdr:ext cx="309765" cy="405432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948899" y="132661962"/>
          <a:ext cx="309765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</a:p>
      </xdr:txBody>
    </xdr:sp>
    <xdr:clientData/>
  </xdr:oneCellAnchor>
  <xdr:oneCellAnchor>
    <xdr:from>
      <xdr:col>4</xdr:col>
      <xdr:colOff>231721</xdr:colOff>
      <xdr:row>657</xdr:row>
      <xdr:rowOff>62754</xdr:rowOff>
    </xdr:from>
    <xdr:ext cx="309765" cy="405432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3503839" y="132359401"/>
          <a:ext cx="309765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</a:p>
      </xdr:txBody>
    </xdr:sp>
    <xdr:clientData/>
  </xdr:oneCellAnchor>
  <xdr:oneCellAnchor>
    <xdr:from>
      <xdr:col>2</xdr:col>
      <xdr:colOff>507386</xdr:colOff>
      <xdr:row>673</xdr:row>
      <xdr:rowOff>103095</xdr:rowOff>
    </xdr:from>
    <xdr:ext cx="348109" cy="405432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2065004" y="135627036"/>
          <a:ext cx="348109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G</a:t>
          </a:r>
        </a:p>
      </xdr:txBody>
    </xdr:sp>
    <xdr:clientData/>
  </xdr:oneCellAnchor>
  <xdr:oneCellAnchor>
    <xdr:from>
      <xdr:col>6</xdr:col>
      <xdr:colOff>446875</xdr:colOff>
      <xdr:row>657</xdr:row>
      <xdr:rowOff>154642</xdr:rowOff>
    </xdr:from>
    <xdr:ext cx="346441" cy="405432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5287816" y="132451289"/>
          <a:ext cx="346441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H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11</xdr:row>
      <xdr:rowOff>0</xdr:rowOff>
    </xdr:from>
    <xdr:to>
      <xdr:col>7</xdr:col>
      <xdr:colOff>326176</xdr:colOff>
      <xdr:row>29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2733675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31</xdr:row>
      <xdr:rowOff>0</xdr:rowOff>
    </xdr:from>
    <xdr:to>
      <xdr:col>7</xdr:col>
      <xdr:colOff>326176</xdr:colOff>
      <xdr:row>49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6543675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51</xdr:row>
      <xdr:rowOff>0</xdr:rowOff>
    </xdr:from>
    <xdr:to>
      <xdr:col>7</xdr:col>
      <xdr:colOff>326176</xdr:colOff>
      <xdr:row>69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10353675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GyEbsQjgjhaDGC27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0"/>
  <sheetViews>
    <sheetView tabSelected="1" view="pageBreakPreview" zoomScaleNormal="100" zoomScaleSheetLayoutView="100" zoomScalePageLayoutView="85" workbookViewId="0">
      <selection activeCell="E8" sqref="E8:H8"/>
    </sheetView>
  </sheetViews>
  <sheetFormatPr defaultColWidth="9.140625" defaultRowHeight="15.75" x14ac:dyDescent="0.25"/>
  <cols>
    <col min="1" max="1" width="11.42578125" style="53" customWidth="1"/>
    <col min="2" max="2" width="11.85546875" style="53" customWidth="1"/>
    <col min="3" max="3" width="12.7109375" style="53" customWidth="1"/>
    <col min="4" max="4" width="12.85546875" style="53" customWidth="1"/>
    <col min="5" max="7" width="11.7109375" style="53" customWidth="1"/>
    <col min="8" max="8" width="12.42578125" style="53" customWidth="1"/>
    <col min="9" max="9" width="20.5703125" style="25" customWidth="1"/>
    <col min="10" max="10" width="9.85546875" style="25" bestFit="1" customWidth="1"/>
    <col min="11" max="11" width="9.140625" style="25"/>
    <col min="12" max="12" width="11.85546875" style="25" bestFit="1" customWidth="1"/>
    <col min="13" max="252" width="9.140625" style="25"/>
    <col min="253" max="253" width="8.7109375" style="25" customWidth="1"/>
    <col min="254" max="254" width="9.85546875" style="25" customWidth="1"/>
    <col min="255" max="255" width="14.42578125" style="25" customWidth="1"/>
    <col min="256" max="256" width="7.28515625" style="25" customWidth="1"/>
    <col min="257" max="257" width="5.5703125" style="25" customWidth="1"/>
    <col min="258" max="258" width="9" style="25" customWidth="1"/>
    <col min="259" max="260" width="9.85546875" style="25" customWidth="1"/>
    <col min="261" max="261" width="11.140625" style="25" customWidth="1"/>
    <col min="262" max="262" width="2.85546875" style="25" customWidth="1"/>
    <col min="263" max="263" width="3.5703125" style="25" customWidth="1"/>
    <col min="264" max="508" width="9.140625" style="25"/>
    <col min="509" max="509" width="8.7109375" style="25" customWidth="1"/>
    <col min="510" max="510" width="9.85546875" style="25" customWidth="1"/>
    <col min="511" max="511" width="14.42578125" style="25" customWidth="1"/>
    <col min="512" max="512" width="7.28515625" style="25" customWidth="1"/>
    <col min="513" max="513" width="5.5703125" style="25" customWidth="1"/>
    <col min="514" max="514" width="9" style="25" customWidth="1"/>
    <col min="515" max="516" width="9.85546875" style="25" customWidth="1"/>
    <col min="517" max="517" width="11.140625" style="25" customWidth="1"/>
    <col min="518" max="518" width="2.85546875" style="25" customWidth="1"/>
    <col min="519" max="519" width="3.5703125" style="25" customWidth="1"/>
    <col min="520" max="764" width="9.140625" style="25"/>
    <col min="765" max="765" width="8.7109375" style="25" customWidth="1"/>
    <col min="766" max="766" width="9.85546875" style="25" customWidth="1"/>
    <col min="767" max="767" width="14.42578125" style="25" customWidth="1"/>
    <col min="768" max="768" width="7.28515625" style="25" customWidth="1"/>
    <col min="769" max="769" width="5.5703125" style="25" customWidth="1"/>
    <col min="770" max="770" width="9" style="25" customWidth="1"/>
    <col min="771" max="772" width="9.85546875" style="25" customWidth="1"/>
    <col min="773" max="773" width="11.140625" style="25" customWidth="1"/>
    <col min="774" max="774" width="2.85546875" style="25" customWidth="1"/>
    <col min="775" max="775" width="3.5703125" style="25" customWidth="1"/>
    <col min="776" max="1020" width="9.140625" style="25"/>
    <col min="1021" max="1021" width="8.7109375" style="25" customWidth="1"/>
    <col min="1022" max="1022" width="9.85546875" style="25" customWidth="1"/>
    <col min="1023" max="1023" width="14.42578125" style="25" customWidth="1"/>
    <col min="1024" max="1024" width="7.28515625" style="25" customWidth="1"/>
    <col min="1025" max="1025" width="5.5703125" style="25" customWidth="1"/>
    <col min="1026" max="1026" width="9" style="25" customWidth="1"/>
    <col min="1027" max="1028" width="9.85546875" style="25" customWidth="1"/>
    <col min="1029" max="1029" width="11.140625" style="25" customWidth="1"/>
    <col min="1030" max="1030" width="2.85546875" style="25" customWidth="1"/>
    <col min="1031" max="1031" width="3.5703125" style="25" customWidth="1"/>
    <col min="1032" max="1276" width="9.140625" style="25"/>
    <col min="1277" max="1277" width="8.7109375" style="25" customWidth="1"/>
    <col min="1278" max="1278" width="9.85546875" style="25" customWidth="1"/>
    <col min="1279" max="1279" width="14.42578125" style="25" customWidth="1"/>
    <col min="1280" max="1280" width="7.28515625" style="25" customWidth="1"/>
    <col min="1281" max="1281" width="5.5703125" style="25" customWidth="1"/>
    <col min="1282" max="1282" width="9" style="25" customWidth="1"/>
    <col min="1283" max="1284" width="9.85546875" style="25" customWidth="1"/>
    <col min="1285" max="1285" width="11.140625" style="25" customWidth="1"/>
    <col min="1286" max="1286" width="2.85546875" style="25" customWidth="1"/>
    <col min="1287" max="1287" width="3.5703125" style="25" customWidth="1"/>
    <col min="1288" max="1532" width="9.140625" style="25"/>
    <col min="1533" max="1533" width="8.7109375" style="25" customWidth="1"/>
    <col min="1534" max="1534" width="9.85546875" style="25" customWidth="1"/>
    <col min="1535" max="1535" width="14.42578125" style="25" customWidth="1"/>
    <col min="1536" max="1536" width="7.28515625" style="25" customWidth="1"/>
    <col min="1537" max="1537" width="5.5703125" style="25" customWidth="1"/>
    <col min="1538" max="1538" width="9" style="25" customWidth="1"/>
    <col min="1539" max="1540" width="9.85546875" style="25" customWidth="1"/>
    <col min="1541" max="1541" width="11.140625" style="25" customWidth="1"/>
    <col min="1542" max="1542" width="2.85546875" style="25" customWidth="1"/>
    <col min="1543" max="1543" width="3.5703125" style="25" customWidth="1"/>
    <col min="1544" max="1788" width="9.140625" style="25"/>
    <col min="1789" max="1789" width="8.7109375" style="25" customWidth="1"/>
    <col min="1790" max="1790" width="9.85546875" style="25" customWidth="1"/>
    <col min="1791" max="1791" width="14.42578125" style="25" customWidth="1"/>
    <col min="1792" max="1792" width="7.28515625" style="25" customWidth="1"/>
    <col min="1793" max="1793" width="5.5703125" style="25" customWidth="1"/>
    <col min="1794" max="1794" width="9" style="25" customWidth="1"/>
    <col min="1795" max="1796" width="9.85546875" style="25" customWidth="1"/>
    <col min="1797" max="1797" width="11.140625" style="25" customWidth="1"/>
    <col min="1798" max="1798" width="2.85546875" style="25" customWidth="1"/>
    <col min="1799" max="1799" width="3.5703125" style="25" customWidth="1"/>
    <col min="1800" max="2044" width="9.140625" style="25"/>
    <col min="2045" max="2045" width="8.7109375" style="25" customWidth="1"/>
    <col min="2046" max="2046" width="9.85546875" style="25" customWidth="1"/>
    <col min="2047" max="2047" width="14.42578125" style="25" customWidth="1"/>
    <col min="2048" max="2048" width="7.28515625" style="25" customWidth="1"/>
    <col min="2049" max="2049" width="5.5703125" style="25" customWidth="1"/>
    <col min="2050" max="2050" width="9" style="25" customWidth="1"/>
    <col min="2051" max="2052" width="9.85546875" style="25" customWidth="1"/>
    <col min="2053" max="2053" width="11.140625" style="25" customWidth="1"/>
    <col min="2054" max="2054" width="2.85546875" style="25" customWidth="1"/>
    <col min="2055" max="2055" width="3.5703125" style="25" customWidth="1"/>
    <col min="2056" max="2300" width="9.140625" style="25"/>
    <col min="2301" max="2301" width="8.7109375" style="25" customWidth="1"/>
    <col min="2302" max="2302" width="9.85546875" style="25" customWidth="1"/>
    <col min="2303" max="2303" width="14.42578125" style="25" customWidth="1"/>
    <col min="2304" max="2304" width="7.28515625" style="25" customWidth="1"/>
    <col min="2305" max="2305" width="5.5703125" style="25" customWidth="1"/>
    <col min="2306" max="2306" width="9" style="25" customWidth="1"/>
    <col min="2307" max="2308" width="9.85546875" style="25" customWidth="1"/>
    <col min="2309" max="2309" width="11.140625" style="25" customWidth="1"/>
    <col min="2310" max="2310" width="2.85546875" style="25" customWidth="1"/>
    <col min="2311" max="2311" width="3.5703125" style="25" customWidth="1"/>
    <col min="2312" max="2556" width="9.140625" style="25"/>
    <col min="2557" max="2557" width="8.7109375" style="25" customWidth="1"/>
    <col min="2558" max="2558" width="9.85546875" style="25" customWidth="1"/>
    <col min="2559" max="2559" width="14.42578125" style="25" customWidth="1"/>
    <col min="2560" max="2560" width="7.28515625" style="25" customWidth="1"/>
    <col min="2561" max="2561" width="5.5703125" style="25" customWidth="1"/>
    <col min="2562" max="2562" width="9" style="25" customWidth="1"/>
    <col min="2563" max="2564" width="9.85546875" style="25" customWidth="1"/>
    <col min="2565" max="2565" width="11.140625" style="25" customWidth="1"/>
    <col min="2566" max="2566" width="2.85546875" style="25" customWidth="1"/>
    <col min="2567" max="2567" width="3.5703125" style="25" customWidth="1"/>
    <col min="2568" max="2812" width="9.140625" style="25"/>
    <col min="2813" max="2813" width="8.7109375" style="25" customWidth="1"/>
    <col min="2814" max="2814" width="9.85546875" style="25" customWidth="1"/>
    <col min="2815" max="2815" width="14.42578125" style="25" customWidth="1"/>
    <col min="2816" max="2816" width="7.28515625" style="25" customWidth="1"/>
    <col min="2817" max="2817" width="5.5703125" style="25" customWidth="1"/>
    <col min="2818" max="2818" width="9" style="25" customWidth="1"/>
    <col min="2819" max="2820" width="9.85546875" style="25" customWidth="1"/>
    <col min="2821" max="2821" width="11.140625" style="25" customWidth="1"/>
    <col min="2822" max="2822" width="2.85546875" style="25" customWidth="1"/>
    <col min="2823" max="2823" width="3.5703125" style="25" customWidth="1"/>
    <col min="2824" max="3068" width="9.140625" style="25"/>
    <col min="3069" max="3069" width="8.7109375" style="25" customWidth="1"/>
    <col min="3070" max="3070" width="9.85546875" style="25" customWidth="1"/>
    <col min="3071" max="3071" width="14.42578125" style="25" customWidth="1"/>
    <col min="3072" max="3072" width="7.28515625" style="25" customWidth="1"/>
    <col min="3073" max="3073" width="5.5703125" style="25" customWidth="1"/>
    <col min="3074" max="3074" width="9" style="25" customWidth="1"/>
    <col min="3075" max="3076" width="9.85546875" style="25" customWidth="1"/>
    <col min="3077" max="3077" width="11.140625" style="25" customWidth="1"/>
    <col min="3078" max="3078" width="2.85546875" style="25" customWidth="1"/>
    <col min="3079" max="3079" width="3.5703125" style="25" customWidth="1"/>
    <col min="3080" max="3324" width="9.140625" style="25"/>
    <col min="3325" max="3325" width="8.7109375" style="25" customWidth="1"/>
    <col min="3326" max="3326" width="9.85546875" style="25" customWidth="1"/>
    <col min="3327" max="3327" width="14.42578125" style="25" customWidth="1"/>
    <col min="3328" max="3328" width="7.28515625" style="25" customWidth="1"/>
    <col min="3329" max="3329" width="5.5703125" style="25" customWidth="1"/>
    <col min="3330" max="3330" width="9" style="25" customWidth="1"/>
    <col min="3331" max="3332" width="9.85546875" style="25" customWidth="1"/>
    <col min="3333" max="3333" width="11.140625" style="25" customWidth="1"/>
    <col min="3334" max="3334" width="2.85546875" style="25" customWidth="1"/>
    <col min="3335" max="3335" width="3.5703125" style="25" customWidth="1"/>
    <col min="3336" max="3580" width="9.140625" style="25"/>
    <col min="3581" max="3581" width="8.7109375" style="25" customWidth="1"/>
    <col min="3582" max="3582" width="9.85546875" style="25" customWidth="1"/>
    <col min="3583" max="3583" width="14.42578125" style="25" customWidth="1"/>
    <col min="3584" max="3584" width="7.28515625" style="25" customWidth="1"/>
    <col min="3585" max="3585" width="5.5703125" style="25" customWidth="1"/>
    <col min="3586" max="3586" width="9" style="25" customWidth="1"/>
    <col min="3587" max="3588" width="9.85546875" style="25" customWidth="1"/>
    <col min="3589" max="3589" width="11.140625" style="25" customWidth="1"/>
    <col min="3590" max="3590" width="2.85546875" style="25" customWidth="1"/>
    <col min="3591" max="3591" width="3.5703125" style="25" customWidth="1"/>
    <col min="3592" max="3836" width="9.140625" style="25"/>
    <col min="3837" max="3837" width="8.7109375" style="25" customWidth="1"/>
    <col min="3838" max="3838" width="9.85546875" style="25" customWidth="1"/>
    <col min="3839" max="3839" width="14.42578125" style="25" customWidth="1"/>
    <col min="3840" max="3840" width="7.28515625" style="25" customWidth="1"/>
    <col min="3841" max="3841" width="5.5703125" style="25" customWidth="1"/>
    <col min="3842" max="3842" width="9" style="25" customWidth="1"/>
    <col min="3843" max="3844" width="9.85546875" style="25" customWidth="1"/>
    <col min="3845" max="3845" width="11.140625" style="25" customWidth="1"/>
    <col min="3846" max="3846" width="2.85546875" style="25" customWidth="1"/>
    <col min="3847" max="3847" width="3.5703125" style="25" customWidth="1"/>
    <col min="3848" max="4092" width="9.140625" style="25"/>
    <col min="4093" max="4093" width="8.7109375" style="25" customWidth="1"/>
    <col min="4094" max="4094" width="9.85546875" style="25" customWidth="1"/>
    <col min="4095" max="4095" width="14.42578125" style="25" customWidth="1"/>
    <col min="4096" max="4096" width="7.28515625" style="25" customWidth="1"/>
    <col min="4097" max="4097" width="5.5703125" style="25" customWidth="1"/>
    <col min="4098" max="4098" width="9" style="25" customWidth="1"/>
    <col min="4099" max="4100" width="9.85546875" style="25" customWidth="1"/>
    <col min="4101" max="4101" width="11.140625" style="25" customWidth="1"/>
    <col min="4102" max="4102" width="2.85546875" style="25" customWidth="1"/>
    <col min="4103" max="4103" width="3.5703125" style="25" customWidth="1"/>
    <col min="4104" max="4348" width="9.140625" style="25"/>
    <col min="4349" max="4349" width="8.7109375" style="25" customWidth="1"/>
    <col min="4350" max="4350" width="9.85546875" style="25" customWidth="1"/>
    <col min="4351" max="4351" width="14.42578125" style="25" customWidth="1"/>
    <col min="4352" max="4352" width="7.28515625" style="25" customWidth="1"/>
    <col min="4353" max="4353" width="5.5703125" style="25" customWidth="1"/>
    <col min="4354" max="4354" width="9" style="25" customWidth="1"/>
    <col min="4355" max="4356" width="9.85546875" style="25" customWidth="1"/>
    <col min="4357" max="4357" width="11.140625" style="25" customWidth="1"/>
    <col min="4358" max="4358" width="2.85546875" style="25" customWidth="1"/>
    <col min="4359" max="4359" width="3.5703125" style="25" customWidth="1"/>
    <col min="4360" max="4604" width="9.140625" style="25"/>
    <col min="4605" max="4605" width="8.7109375" style="25" customWidth="1"/>
    <col min="4606" max="4606" width="9.85546875" style="25" customWidth="1"/>
    <col min="4607" max="4607" width="14.42578125" style="25" customWidth="1"/>
    <col min="4608" max="4608" width="7.28515625" style="25" customWidth="1"/>
    <col min="4609" max="4609" width="5.5703125" style="25" customWidth="1"/>
    <col min="4610" max="4610" width="9" style="25" customWidth="1"/>
    <col min="4611" max="4612" width="9.85546875" style="25" customWidth="1"/>
    <col min="4613" max="4613" width="11.140625" style="25" customWidth="1"/>
    <col min="4614" max="4614" width="2.85546875" style="25" customWidth="1"/>
    <col min="4615" max="4615" width="3.5703125" style="25" customWidth="1"/>
    <col min="4616" max="4860" width="9.140625" style="25"/>
    <col min="4861" max="4861" width="8.7109375" style="25" customWidth="1"/>
    <col min="4862" max="4862" width="9.85546875" style="25" customWidth="1"/>
    <col min="4863" max="4863" width="14.42578125" style="25" customWidth="1"/>
    <col min="4864" max="4864" width="7.28515625" style="25" customWidth="1"/>
    <col min="4865" max="4865" width="5.5703125" style="25" customWidth="1"/>
    <col min="4866" max="4866" width="9" style="25" customWidth="1"/>
    <col min="4867" max="4868" width="9.85546875" style="25" customWidth="1"/>
    <col min="4869" max="4869" width="11.140625" style="25" customWidth="1"/>
    <col min="4870" max="4870" width="2.85546875" style="25" customWidth="1"/>
    <col min="4871" max="4871" width="3.5703125" style="25" customWidth="1"/>
    <col min="4872" max="5116" width="9.140625" style="25"/>
    <col min="5117" max="5117" width="8.7109375" style="25" customWidth="1"/>
    <col min="5118" max="5118" width="9.85546875" style="25" customWidth="1"/>
    <col min="5119" max="5119" width="14.42578125" style="25" customWidth="1"/>
    <col min="5120" max="5120" width="7.28515625" style="25" customWidth="1"/>
    <col min="5121" max="5121" width="5.5703125" style="25" customWidth="1"/>
    <col min="5122" max="5122" width="9" style="25" customWidth="1"/>
    <col min="5123" max="5124" width="9.85546875" style="25" customWidth="1"/>
    <col min="5125" max="5125" width="11.140625" style="25" customWidth="1"/>
    <col min="5126" max="5126" width="2.85546875" style="25" customWidth="1"/>
    <col min="5127" max="5127" width="3.5703125" style="25" customWidth="1"/>
    <col min="5128" max="5372" width="9.140625" style="25"/>
    <col min="5373" max="5373" width="8.7109375" style="25" customWidth="1"/>
    <col min="5374" max="5374" width="9.85546875" style="25" customWidth="1"/>
    <col min="5375" max="5375" width="14.42578125" style="25" customWidth="1"/>
    <col min="5376" max="5376" width="7.28515625" style="25" customWidth="1"/>
    <col min="5377" max="5377" width="5.5703125" style="25" customWidth="1"/>
    <col min="5378" max="5378" width="9" style="25" customWidth="1"/>
    <col min="5379" max="5380" width="9.85546875" style="25" customWidth="1"/>
    <col min="5381" max="5381" width="11.140625" style="25" customWidth="1"/>
    <col min="5382" max="5382" width="2.85546875" style="25" customWidth="1"/>
    <col min="5383" max="5383" width="3.5703125" style="25" customWidth="1"/>
    <col min="5384" max="5628" width="9.140625" style="25"/>
    <col min="5629" max="5629" width="8.7109375" style="25" customWidth="1"/>
    <col min="5630" max="5630" width="9.85546875" style="25" customWidth="1"/>
    <col min="5631" max="5631" width="14.42578125" style="25" customWidth="1"/>
    <col min="5632" max="5632" width="7.28515625" style="25" customWidth="1"/>
    <col min="5633" max="5633" width="5.5703125" style="25" customWidth="1"/>
    <col min="5634" max="5634" width="9" style="25" customWidth="1"/>
    <col min="5635" max="5636" width="9.85546875" style="25" customWidth="1"/>
    <col min="5637" max="5637" width="11.140625" style="25" customWidth="1"/>
    <col min="5638" max="5638" width="2.85546875" style="25" customWidth="1"/>
    <col min="5639" max="5639" width="3.5703125" style="25" customWidth="1"/>
    <col min="5640" max="5884" width="9.140625" style="25"/>
    <col min="5885" max="5885" width="8.7109375" style="25" customWidth="1"/>
    <col min="5886" max="5886" width="9.85546875" style="25" customWidth="1"/>
    <col min="5887" max="5887" width="14.42578125" style="25" customWidth="1"/>
    <col min="5888" max="5888" width="7.28515625" style="25" customWidth="1"/>
    <col min="5889" max="5889" width="5.5703125" style="25" customWidth="1"/>
    <col min="5890" max="5890" width="9" style="25" customWidth="1"/>
    <col min="5891" max="5892" width="9.85546875" style="25" customWidth="1"/>
    <col min="5893" max="5893" width="11.140625" style="25" customWidth="1"/>
    <col min="5894" max="5894" width="2.85546875" style="25" customWidth="1"/>
    <col min="5895" max="5895" width="3.5703125" style="25" customWidth="1"/>
    <col min="5896" max="6140" width="9.140625" style="25"/>
    <col min="6141" max="6141" width="8.7109375" style="25" customWidth="1"/>
    <col min="6142" max="6142" width="9.85546875" style="25" customWidth="1"/>
    <col min="6143" max="6143" width="14.42578125" style="25" customWidth="1"/>
    <col min="6144" max="6144" width="7.28515625" style="25" customWidth="1"/>
    <col min="6145" max="6145" width="5.5703125" style="25" customWidth="1"/>
    <col min="6146" max="6146" width="9" style="25" customWidth="1"/>
    <col min="6147" max="6148" width="9.85546875" style="25" customWidth="1"/>
    <col min="6149" max="6149" width="11.140625" style="25" customWidth="1"/>
    <col min="6150" max="6150" width="2.85546875" style="25" customWidth="1"/>
    <col min="6151" max="6151" width="3.5703125" style="25" customWidth="1"/>
    <col min="6152" max="6396" width="9.140625" style="25"/>
    <col min="6397" max="6397" width="8.7109375" style="25" customWidth="1"/>
    <col min="6398" max="6398" width="9.85546875" style="25" customWidth="1"/>
    <col min="6399" max="6399" width="14.42578125" style="25" customWidth="1"/>
    <col min="6400" max="6400" width="7.28515625" style="25" customWidth="1"/>
    <col min="6401" max="6401" width="5.5703125" style="25" customWidth="1"/>
    <col min="6402" max="6402" width="9" style="25" customWidth="1"/>
    <col min="6403" max="6404" width="9.85546875" style="25" customWidth="1"/>
    <col min="6405" max="6405" width="11.140625" style="25" customWidth="1"/>
    <col min="6406" max="6406" width="2.85546875" style="25" customWidth="1"/>
    <col min="6407" max="6407" width="3.5703125" style="25" customWidth="1"/>
    <col min="6408" max="6652" width="9.140625" style="25"/>
    <col min="6653" max="6653" width="8.7109375" style="25" customWidth="1"/>
    <col min="6654" max="6654" width="9.85546875" style="25" customWidth="1"/>
    <col min="6655" max="6655" width="14.42578125" style="25" customWidth="1"/>
    <col min="6656" max="6656" width="7.28515625" style="25" customWidth="1"/>
    <col min="6657" max="6657" width="5.5703125" style="25" customWidth="1"/>
    <col min="6658" max="6658" width="9" style="25" customWidth="1"/>
    <col min="6659" max="6660" width="9.85546875" style="25" customWidth="1"/>
    <col min="6661" max="6661" width="11.140625" style="25" customWidth="1"/>
    <col min="6662" max="6662" width="2.85546875" style="25" customWidth="1"/>
    <col min="6663" max="6663" width="3.5703125" style="25" customWidth="1"/>
    <col min="6664" max="6908" width="9.140625" style="25"/>
    <col min="6909" max="6909" width="8.7109375" style="25" customWidth="1"/>
    <col min="6910" max="6910" width="9.85546875" style="25" customWidth="1"/>
    <col min="6911" max="6911" width="14.42578125" style="25" customWidth="1"/>
    <col min="6912" max="6912" width="7.28515625" style="25" customWidth="1"/>
    <col min="6913" max="6913" width="5.5703125" style="25" customWidth="1"/>
    <col min="6914" max="6914" width="9" style="25" customWidth="1"/>
    <col min="6915" max="6916" width="9.85546875" style="25" customWidth="1"/>
    <col min="6917" max="6917" width="11.140625" style="25" customWidth="1"/>
    <col min="6918" max="6918" width="2.85546875" style="25" customWidth="1"/>
    <col min="6919" max="6919" width="3.5703125" style="25" customWidth="1"/>
    <col min="6920" max="7164" width="9.140625" style="25"/>
    <col min="7165" max="7165" width="8.7109375" style="25" customWidth="1"/>
    <col min="7166" max="7166" width="9.85546875" style="25" customWidth="1"/>
    <col min="7167" max="7167" width="14.42578125" style="25" customWidth="1"/>
    <col min="7168" max="7168" width="7.28515625" style="25" customWidth="1"/>
    <col min="7169" max="7169" width="5.5703125" style="25" customWidth="1"/>
    <col min="7170" max="7170" width="9" style="25" customWidth="1"/>
    <col min="7171" max="7172" width="9.85546875" style="25" customWidth="1"/>
    <col min="7173" max="7173" width="11.140625" style="25" customWidth="1"/>
    <col min="7174" max="7174" width="2.85546875" style="25" customWidth="1"/>
    <col min="7175" max="7175" width="3.5703125" style="25" customWidth="1"/>
    <col min="7176" max="7420" width="9.140625" style="25"/>
    <col min="7421" max="7421" width="8.7109375" style="25" customWidth="1"/>
    <col min="7422" max="7422" width="9.85546875" style="25" customWidth="1"/>
    <col min="7423" max="7423" width="14.42578125" style="25" customWidth="1"/>
    <col min="7424" max="7424" width="7.28515625" style="25" customWidth="1"/>
    <col min="7425" max="7425" width="5.5703125" style="25" customWidth="1"/>
    <col min="7426" max="7426" width="9" style="25" customWidth="1"/>
    <col min="7427" max="7428" width="9.85546875" style="25" customWidth="1"/>
    <col min="7429" max="7429" width="11.140625" style="25" customWidth="1"/>
    <col min="7430" max="7430" width="2.85546875" style="25" customWidth="1"/>
    <col min="7431" max="7431" width="3.5703125" style="25" customWidth="1"/>
    <col min="7432" max="7676" width="9.140625" style="25"/>
    <col min="7677" max="7677" width="8.7109375" style="25" customWidth="1"/>
    <col min="7678" max="7678" width="9.85546875" style="25" customWidth="1"/>
    <col min="7679" max="7679" width="14.42578125" style="25" customWidth="1"/>
    <col min="7680" max="7680" width="7.28515625" style="25" customWidth="1"/>
    <col min="7681" max="7681" width="5.5703125" style="25" customWidth="1"/>
    <col min="7682" max="7682" width="9" style="25" customWidth="1"/>
    <col min="7683" max="7684" width="9.85546875" style="25" customWidth="1"/>
    <col min="7685" max="7685" width="11.140625" style="25" customWidth="1"/>
    <col min="7686" max="7686" width="2.85546875" style="25" customWidth="1"/>
    <col min="7687" max="7687" width="3.5703125" style="25" customWidth="1"/>
    <col min="7688" max="7932" width="9.140625" style="25"/>
    <col min="7933" max="7933" width="8.7109375" style="25" customWidth="1"/>
    <col min="7934" max="7934" width="9.85546875" style="25" customWidth="1"/>
    <col min="7935" max="7935" width="14.42578125" style="25" customWidth="1"/>
    <col min="7936" max="7936" width="7.28515625" style="25" customWidth="1"/>
    <col min="7937" max="7937" width="5.5703125" style="25" customWidth="1"/>
    <col min="7938" max="7938" width="9" style="25" customWidth="1"/>
    <col min="7939" max="7940" width="9.85546875" style="25" customWidth="1"/>
    <col min="7941" max="7941" width="11.140625" style="25" customWidth="1"/>
    <col min="7942" max="7942" width="2.85546875" style="25" customWidth="1"/>
    <col min="7943" max="7943" width="3.5703125" style="25" customWidth="1"/>
    <col min="7944" max="8188" width="9.140625" style="25"/>
    <col min="8189" max="8189" width="8.7109375" style="25" customWidth="1"/>
    <col min="8190" max="8190" width="9.85546875" style="25" customWidth="1"/>
    <col min="8191" max="8191" width="14.42578125" style="25" customWidth="1"/>
    <col min="8192" max="8192" width="7.28515625" style="25" customWidth="1"/>
    <col min="8193" max="8193" width="5.5703125" style="25" customWidth="1"/>
    <col min="8194" max="8194" width="9" style="25" customWidth="1"/>
    <col min="8195" max="8196" width="9.85546875" style="25" customWidth="1"/>
    <col min="8197" max="8197" width="11.140625" style="25" customWidth="1"/>
    <col min="8198" max="8198" width="2.85546875" style="25" customWidth="1"/>
    <col min="8199" max="8199" width="3.5703125" style="25" customWidth="1"/>
    <col min="8200" max="8444" width="9.140625" style="25"/>
    <col min="8445" max="8445" width="8.7109375" style="25" customWidth="1"/>
    <col min="8446" max="8446" width="9.85546875" style="25" customWidth="1"/>
    <col min="8447" max="8447" width="14.42578125" style="25" customWidth="1"/>
    <col min="8448" max="8448" width="7.28515625" style="25" customWidth="1"/>
    <col min="8449" max="8449" width="5.5703125" style="25" customWidth="1"/>
    <col min="8450" max="8450" width="9" style="25" customWidth="1"/>
    <col min="8451" max="8452" width="9.85546875" style="25" customWidth="1"/>
    <col min="8453" max="8453" width="11.140625" style="25" customWidth="1"/>
    <col min="8454" max="8454" width="2.85546875" style="25" customWidth="1"/>
    <col min="8455" max="8455" width="3.5703125" style="25" customWidth="1"/>
    <col min="8456" max="8700" width="9.140625" style="25"/>
    <col min="8701" max="8701" width="8.7109375" style="25" customWidth="1"/>
    <col min="8702" max="8702" width="9.85546875" style="25" customWidth="1"/>
    <col min="8703" max="8703" width="14.42578125" style="25" customWidth="1"/>
    <col min="8704" max="8704" width="7.28515625" style="25" customWidth="1"/>
    <col min="8705" max="8705" width="5.5703125" style="25" customWidth="1"/>
    <col min="8706" max="8706" width="9" style="25" customWidth="1"/>
    <col min="8707" max="8708" width="9.85546875" style="25" customWidth="1"/>
    <col min="8709" max="8709" width="11.140625" style="25" customWidth="1"/>
    <col min="8710" max="8710" width="2.85546875" style="25" customWidth="1"/>
    <col min="8711" max="8711" width="3.5703125" style="25" customWidth="1"/>
    <col min="8712" max="8956" width="9.140625" style="25"/>
    <col min="8957" max="8957" width="8.7109375" style="25" customWidth="1"/>
    <col min="8958" max="8958" width="9.85546875" style="25" customWidth="1"/>
    <col min="8959" max="8959" width="14.42578125" style="25" customWidth="1"/>
    <col min="8960" max="8960" width="7.28515625" style="25" customWidth="1"/>
    <col min="8961" max="8961" width="5.5703125" style="25" customWidth="1"/>
    <col min="8962" max="8962" width="9" style="25" customWidth="1"/>
    <col min="8963" max="8964" width="9.85546875" style="25" customWidth="1"/>
    <col min="8965" max="8965" width="11.140625" style="25" customWidth="1"/>
    <col min="8966" max="8966" width="2.85546875" style="25" customWidth="1"/>
    <col min="8967" max="8967" width="3.5703125" style="25" customWidth="1"/>
    <col min="8968" max="9212" width="9.140625" style="25"/>
    <col min="9213" max="9213" width="8.7109375" style="25" customWidth="1"/>
    <col min="9214" max="9214" width="9.85546875" style="25" customWidth="1"/>
    <col min="9215" max="9215" width="14.42578125" style="25" customWidth="1"/>
    <col min="9216" max="9216" width="7.28515625" style="25" customWidth="1"/>
    <col min="9217" max="9217" width="5.5703125" style="25" customWidth="1"/>
    <col min="9218" max="9218" width="9" style="25" customWidth="1"/>
    <col min="9219" max="9220" width="9.85546875" style="25" customWidth="1"/>
    <col min="9221" max="9221" width="11.140625" style="25" customWidth="1"/>
    <col min="9222" max="9222" width="2.85546875" style="25" customWidth="1"/>
    <col min="9223" max="9223" width="3.5703125" style="25" customWidth="1"/>
    <col min="9224" max="9468" width="9.140625" style="25"/>
    <col min="9469" max="9469" width="8.7109375" style="25" customWidth="1"/>
    <col min="9470" max="9470" width="9.85546875" style="25" customWidth="1"/>
    <col min="9471" max="9471" width="14.42578125" style="25" customWidth="1"/>
    <col min="9472" max="9472" width="7.28515625" style="25" customWidth="1"/>
    <col min="9473" max="9473" width="5.5703125" style="25" customWidth="1"/>
    <col min="9474" max="9474" width="9" style="25" customWidth="1"/>
    <col min="9475" max="9476" width="9.85546875" style="25" customWidth="1"/>
    <col min="9477" max="9477" width="11.140625" style="25" customWidth="1"/>
    <col min="9478" max="9478" width="2.85546875" style="25" customWidth="1"/>
    <col min="9479" max="9479" width="3.5703125" style="25" customWidth="1"/>
    <col min="9480" max="9724" width="9.140625" style="25"/>
    <col min="9725" max="9725" width="8.7109375" style="25" customWidth="1"/>
    <col min="9726" max="9726" width="9.85546875" style="25" customWidth="1"/>
    <col min="9727" max="9727" width="14.42578125" style="25" customWidth="1"/>
    <col min="9728" max="9728" width="7.28515625" style="25" customWidth="1"/>
    <col min="9729" max="9729" width="5.5703125" style="25" customWidth="1"/>
    <col min="9730" max="9730" width="9" style="25" customWidth="1"/>
    <col min="9731" max="9732" width="9.85546875" style="25" customWidth="1"/>
    <col min="9733" max="9733" width="11.140625" style="25" customWidth="1"/>
    <col min="9734" max="9734" width="2.85546875" style="25" customWidth="1"/>
    <col min="9735" max="9735" width="3.5703125" style="25" customWidth="1"/>
    <col min="9736" max="9980" width="9.140625" style="25"/>
    <col min="9981" max="9981" width="8.7109375" style="25" customWidth="1"/>
    <col min="9982" max="9982" width="9.85546875" style="25" customWidth="1"/>
    <col min="9983" max="9983" width="14.42578125" style="25" customWidth="1"/>
    <col min="9984" max="9984" width="7.28515625" style="25" customWidth="1"/>
    <col min="9985" max="9985" width="5.5703125" style="25" customWidth="1"/>
    <col min="9986" max="9986" width="9" style="25" customWidth="1"/>
    <col min="9987" max="9988" width="9.85546875" style="25" customWidth="1"/>
    <col min="9989" max="9989" width="11.140625" style="25" customWidth="1"/>
    <col min="9990" max="9990" width="2.85546875" style="25" customWidth="1"/>
    <col min="9991" max="9991" width="3.5703125" style="25" customWidth="1"/>
    <col min="9992" max="10236" width="9.140625" style="25"/>
    <col min="10237" max="10237" width="8.7109375" style="25" customWidth="1"/>
    <col min="10238" max="10238" width="9.85546875" style="25" customWidth="1"/>
    <col min="10239" max="10239" width="14.42578125" style="25" customWidth="1"/>
    <col min="10240" max="10240" width="7.28515625" style="25" customWidth="1"/>
    <col min="10241" max="10241" width="5.5703125" style="25" customWidth="1"/>
    <col min="10242" max="10242" width="9" style="25" customWidth="1"/>
    <col min="10243" max="10244" width="9.85546875" style="25" customWidth="1"/>
    <col min="10245" max="10245" width="11.140625" style="25" customWidth="1"/>
    <col min="10246" max="10246" width="2.85546875" style="25" customWidth="1"/>
    <col min="10247" max="10247" width="3.5703125" style="25" customWidth="1"/>
    <col min="10248" max="10492" width="9.140625" style="25"/>
    <col min="10493" max="10493" width="8.7109375" style="25" customWidth="1"/>
    <col min="10494" max="10494" width="9.85546875" style="25" customWidth="1"/>
    <col min="10495" max="10495" width="14.42578125" style="25" customWidth="1"/>
    <col min="10496" max="10496" width="7.28515625" style="25" customWidth="1"/>
    <col min="10497" max="10497" width="5.5703125" style="25" customWidth="1"/>
    <col min="10498" max="10498" width="9" style="25" customWidth="1"/>
    <col min="10499" max="10500" width="9.85546875" style="25" customWidth="1"/>
    <col min="10501" max="10501" width="11.140625" style="25" customWidth="1"/>
    <col min="10502" max="10502" width="2.85546875" style="25" customWidth="1"/>
    <col min="10503" max="10503" width="3.5703125" style="25" customWidth="1"/>
    <col min="10504" max="10748" width="9.140625" style="25"/>
    <col min="10749" max="10749" width="8.7109375" style="25" customWidth="1"/>
    <col min="10750" max="10750" width="9.85546875" style="25" customWidth="1"/>
    <col min="10751" max="10751" width="14.42578125" style="25" customWidth="1"/>
    <col min="10752" max="10752" width="7.28515625" style="25" customWidth="1"/>
    <col min="10753" max="10753" width="5.5703125" style="25" customWidth="1"/>
    <col min="10754" max="10754" width="9" style="25" customWidth="1"/>
    <col min="10755" max="10756" width="9.85546875" style="25" customWidth="1"/>
    <col min="10757" max="10757" width="11.140625" style="25" customWidth="1"/>
    <col min="10758" max="10758" width="2.85546875" style="25" customWidth="1"/>
    <col min="10759" max="10759" width="3.5703125" style="25" customWidth="1"/>
    <col min="10760" max="11004" width="9.140625" style="25"/>
    <col min="11005" max="11005" width="8.7109375" style="25" customWidth="1"/>
    <col min="11006" max="11006" width="9.85546875" style="25" customWidth="1"/>
    <col min="11007" max="11007" width="14.42578125" style="25" customWidth="1"/>
    <col min="11008" max="11008" width="7.28515625" style="25" customWidth="1"/>
    <col min="11009" max="11009" width="5.5703125" style="25" customWidth="1"/>
    <col min="11010" max="11010" width="9" style="25" customWidth="1"/>
    <col min="11011" max="11012" width="9.85546875" style="25" customWidth="1"/>
    <col min="11013" max="11013" width="11.140625" style="25" customWidth="1"/>
    <col min="11014" max="11014" width="2.85546875" style="25" customWidth="1"/>
    <col min="11015" max="11015" width="3.5703125" style="25" customWidth="1"/>
    <col min="11016" max="11260" width="9.140625" style="25"/>
    <col min="11261" max="11261" width="8.7109375" style="25" customWidth="1"/>
    <col min="11262" max="11262" width="9.85546875" style="25" customWidth="1"/>
    <col min="11263" max="11263" width="14.42578125" style="25" customWidth="1"/>
    <col min="11264" max="11264" width="7.28515625" style="25" customWidth="1"/>
    <col min="11265" max="11265" width="5.5703125" style="25" customWidth="1"/>
    <col min="11266" max="11266" width="9" style="25" customWidth="1"/>
    <col min="11267" max="11268" width="9.85546875" style="25" customWidth="1"/>
    <col min="11269" max="11269" width="11.140625" style="25" customWidth="1"/>
    <col min="11270" max="11270" width="2.85546875" style="25" customWidth="1"/>
    <col min="11271" max="11271" width="3.5703125" style="25" customWidth="1"/>
    <col min="11272" max="11516" width="9.140625" style="25"/>
    <col min="11517" max="11517" width="8.7109375" style="25" customWidth="1"/>
    <col min="11518" max="11518" width="9.85546875" style="25" customWidth="1"/>
    <col min="11519" max="11519" width="14.42578125" style="25" customWidth="1"/>
    <col min="11520" max="11520" width="7.28515625" style="25" customWidth="1"/>
    <col min="11521" max="11521" width="5.5703125" style="25" customWidth="1"/>
    <col min="11522" max="11522" width="9" style="25" customWidth="1"/>
    <col min="11523" max="11524" width="9.85546875" style="25" customWidth="1"/>
    <col min="11525" max="11525" width="11.140625" style="25" customWidth="1"/>
    <col min="11526" max="11526" width="2.85546875" style="25" customWidth="1"/>
    <col min="11527" max="11527" width="3.5703125" style="25" customWidth="1"/>
    <col min="11528" max="11772" width="9.140625" style="25"/>
    <col min="11773" max="11773" width="8.7109375" style="25" customWidth="1"/>
    <col min="11774" max="11774" width="9.85546875" style="25" customWidth="1"/>
    <col min="11775" max="11775" width="14.42578125" style="25" customWidth="1"/>
    <col min="11776" max="11776" width="7.28515625" style="25" customWidth="1"/>
    <col min="11777" max="11777" width="5.5703125" style="25" customWidth="1"/>
    <col min="11778" max="11778" width="9" style="25" customWidth="1"/>
    <col min="11779" max="11780" width="9.85546875" style="25" customWidth="1"/>
    <col min="11781" max="11781" width="11.140625" style="25" customWidth="1"/>
    <col min="11782" max="11782" width="2.85546875" style="25" customWidth="1"/>
    <col min="11783" max="11783" width="3.5703125" style="25" customWidth="1"/>
    <col min="11784" max="12028" width="9.140625" style="25"/>
    <col min="12029" max="12029" width="8.7109375" style="25" customWidth="1"/>
    <col min="12030" max="12030" width="9.85546875" style="25" customWidth="1"/>
    <col min="12031" max="12031" width="14.42578125" style="25" customWidth="1"/>
    <col min="12032" max="12032" width="7.28515625" style="25" customWidth="1"/>
    <col min="12033" max="12033" width="5.5703125" style="25" customWidth="1"/>
    <col min="12034" max="12034" width="9" style="25" customWidth="1"/>
    <col min="12035" max="12036" width="9.85546875" style="25" customWidth="1"/>
    <col min="12037" max="12037" width="11.140625" style="25" customWidth="1"/>
    <col min="12038" max="12038" width="2.85546875" style="25" customWidth="1"/>
    <col min="12039" max="12039" width="3.5703125" style="25" customWidth="1"/>
    <col min="12040" max="12284" width="9.140625" style="25"/>
    <col min="12285" max="12285" width="8.7109375" style="25" customWidth="1"/>
    <col min="12286" max="12286" width="9.85546875" style="25" customWidth="1"/>
    <col min="12287" max="12287" width="14.42578125" style="25" customWidth="1"/>
    <col min="12288" max="12288" width="7.28515625" style="25" customWidth="1"/>
    <col min="12289" max="12289" width="5.5703125" style="25" customWidth="1"/>
    <col min="12290" max="12290" width="9" style="25" customWidth="1"/>
    <col min="12291" max="12292" width="9.85546875" style="25" customWidth="1"/>
    <col min="12293" max="12293" width="11.140625" style="25" customWidth="1"/>
    <col min="12294" max="12294" width="2.85546875" style="25" customWidth="1"/>
    <col min="12295" max="12295" width="3.5703125" style="25" customWidth="1"/>
    <col min="12296" max="12540" width="9.140625" style="25"/>
    <col min="12541" max="12541" width="8.7109375" style="25" customWidth="1"/>
    <col min="12542" max="12542" width="9.85546875" style="25" customWidth="1"/>
    <col min="12543" max="12543" width="14.42578125" style="25" customWidth="1"/>
    <col min="12544" max="12544" width="7.28515625" style="25" customWidth="1"/>
    <col min="12545" max="12545" width="5.5703125" style="25" customWidth="1"/>
    <col min="12546" max="12546" width="9" style="25" customWidth="1"/>
    <col min="12547" max="12548" width="9.85546875" style="25" customWidth="1"/>
    <col min="12549" max="12549" width="11.140625" style="25" customWidth="1"/>
    <col min="12550" max="12550" width="2.85546875" style="25" customWidth="1"/>
    <col min="12551" max="12551" width="3.5703125" style="25" customWidth="1"/>
    <col min="12552" max="12796" width="9.140625" style="25"/>
    <col min="12797" max="12797" width="8.7109375" style="25" customWidth="1"/>
    <col min="12798" max="12798" width="9.85546875" style="25" customWidth="1"/>
    <col min="12799" max="12799" width="14.42578125" style="25" customWidth="1"/>
    <col min="12800" max="12800" width="7.28515625" style="25" customWidth="1"/>
    <col min="12801" max="12801" width="5.5703125" style="25" customWidth="1"/>
    <col min="12802" max="12802" width="9" style="25" customWidth="1"/>
    <col min="12803" max="12804" width="9.85546875" style="25" customWidth="1"/>
    <col min="12805" max="12805" width="11.140625" style="25" customWidth="1"/>
    <col min="12806" max="12806" width="2.85546875" style="25" customWidth="1"/>
    <col min="12807" max="12807" width="3.5703125" style="25" customWidth="1"/>
    <col min="12808" max="13052" width="9.140625" style="25"/>
    <col min="13053" max="13053" width="8.7109375" style="25" customWidth="1"/>
    <col min="13054" max="13054" width="9.85546875" style="25" customWidth="1"/>
    <col min="13055" max="13055" width="14.42578125" style="25" customWidth="1"/>
    <col min="13056" max="13056" width="7.28515625" style="25" customWidth="1"/>
    <col min="13057" max="13057" width="5.5703125" style="25" customWidth="1"/>
    <col min="13058" max="13058" width="9" style="25" customWidth="1"/>
    <col min="13059" max="13060" width="9.85546875" style="25" customWidth="1"/>
    <col min="13061" max="13061" width="11.140625" style="25" customWidth="1"/>
    <col min="13062" max="13062" width="2.85546875" style="25" customWidth="1"/>
    <col min="13063" max="13063" width="3.5703125" style="25" customWidth="1"/>
    <col min="13064" max="13308" width="9.140625" style="25"/>
    <col min="13309" max="13309" width="8.7109375" style="25" customWidth="1"/>
    <col min="13310" max="13310" width="9.85546875" style="25" customWidth="1"/>
    <col min="13311" max="13311" width="14.42578125" style="25" customWidth="1"/>
    <col min="13312" max="13312" width="7.28515625" style="25" customWidth="1"/>
    <col min="13313" max="13313" width="5.5703125" style="25" customWidth="1"/>
    <col min="13314" max="13314" width="9" style="25" customWidth="1"/>
    <col min="13315" max="13316" width="9.85546875" style="25" customWidth="1"/>
    <col min="13317" max="13317" width="11.140625" style="25" customWidth="1"/>
    <col min="13318" max="13318" width="2.85546875" style="25" customWidth="1"/>
    <col min="13319" max="13319" width="3.5703125" style="25" customWidth="1"/>
    <col min="13320" max="13564" width="9.140625" style="25"/>
    <col min="13565" max="13565" width="8.7109375" style="25" customWidth="1"/>
    <col min="13566" max="13566" width="9.85546875" style="25" customWidth="1"/>
    <col min="13567" max="13567" width="14.42578125" style="25" customWidth="1"/>
    <col min="13568" max="13568" width="7.28515625" style="25" customWidth="1"/>
    <col min="13569" max="13569" width="5.5703125" style="25" customWidth="1"/>
    <col min="13570" max="13570" width="9" style="25" customWidth="1"/>
    <col min="13571" max="13572" width="9.85546875" style="25" customWidth="1"/>
    <col min="13573" max="13573" width="11.140625" style="25" customWidth="1"/>
    <col min="13574" max="13574" width="2.85546875" style="25" customWidth="1"/>
    <col min="13575" max="13575" width="3.5703125" style="25" customWidth="1"/>
    <col min="13576" max="13820" width="9.140625" style="25"/>
    <col min="13821" max="13821" width="8.7109375" style="25" customWidth="1"/>
    <col min="13822" max="13822" width="9.85546875" style="25" customWidth="1"/>
    <col min="13823" max="13823" width="14.42578125" style="25" customWidth="1"/>
    <col min="13824" max="13824" width="7.28515625" style="25" customWidth="1"/>
    <col min="13825" max="13825" width="5.5703125" style="25" customWidth="1"/>
    <col min="13826" max="13826" width="9" style="25" customWidth="1"/>
    <col min="13827" max="13828" width="9.85546875" style="25" customWidth="1"/>
    <col min="13829" max="13829" width="11.140625" style="25" customWidth="1"/>
    <col min="13830" max="13830" width="2.85546875" style="25" customWidth="1"/>
    <col min="13831" max="13831" width="3.5703125" style="25" customWidth="1"/>
    <col min="13832" max="14076" width="9.140625" style="25"/>
    <col min="14077" max="14077" width="8.7109375" style="25" customWidth="1"/>
    <col min="14078" max="14078" width="9.85546875" style="25" customWidth="1"/>
    <col min="14079" max="14079" width="14.42578125" style="25" customWidth="1"/>
    <col min="14080" max="14080" width="7.28515625" style="25" customWidth="1"/>
    <col min="14081" max="14081" width="5.5703125" style="25" customWidth="1"/>
    <col min="14082" max="14082" width="9" style="25" customWidth="1"/>
    <col min="14083" max="14084" width="9.85546875" style="25" customWidth="1"/>
    <col min="14085" max="14085" width="11.140625" style="25" customWidth="1"/>
    <col min="14086" max="14086" width="2.85546875" style="25" customWidth="1"/>
    <col min="14087" max="14087" width="3.5703125" style="25" customWidth="1"/>
    <col min="14088" max="14332" width="9.140625" style="25"/>
    <col min="14333" max="14333" width="8.7109375" style="25" customWidth="1"/>
    <col min="14334" max="14334" width="9.85546875" style="25" customWidth="1"/>
    <col min="14335" max="14335" width="14.42578125" style="25" customWidth="1"/>
    <col min="14336" max="14336" width="7.28515625" style="25" customWidth="1"/>
    <col min="14337" max="14337" width="5.5703125" style="25" customWidth="1"/>
    <col min="14338" max="14338" width="9" style="25" customWidth="1"/>
    <col min="14339" max="14340" width="9.85546875" style="25" customWidth="1"/>
    <col min="14341" max="14341" width="11.140625" style="25" customWidth="1"/>
    <col min="14342" max="14342" width="2.85546875" style="25" customWidth="1"/>
    <col min="14343" max="14343" width="3.5703125" style="25" customWidth="1"/>
    <col min="14344" max="14588" width="9.140625" style="25"/>
    <col min="14589" max="14589" width="8.7109375" style="25" customWidth="1"/>
    <col min="14590" max="14590" width="9.85546875" style="25" customWidth="1"/>
    <col min="14591" max="14591" width="14.42578125" style="25" customWidth="1"/>
    <col min="14592" max="14592" width="7.28515625" style="25" customWidth="1"/>
    <col min="14593" max="14593" width="5.5703125" style="25" customWidth="1"/>
    <col min="14594" max="14594" width="9" style="25" customWidth="1"/>
    <col min="14595" max="14596" width="9.85546875" style="25" customWidth="1"/>
    <col min="14597" max="14597" width="11.140625" style="25" customWidth="1"/>
    <col min="14598" max="14598" width="2.85546875" style="25" customWidth="1"/>
    <col min="14599" max="14599" width="3.5703125" style="25" customWidth="1"/>
    <col min="14600" max="14844" width="9.140625" style="25"/>
    <col min="14845" max="14845" width="8.7109375" style="25" customWidth="1"/>
    <col min="14846" max="14846" width="9.85546875" style="25" customWidth="1"/>
    <col min="14847" max="14847" width="14.42578125" style="25" customWidth="1"/>
    <col min="14848" max="14848" width="7.28515625" style="25" customWidth="1"/>
    <col min="14849" max="14849" width="5.5703125" style="25" customWidth="1"/>
    <col min="14850" max="14850" width="9" style="25" customWidth="1"/>
    <col min="14851" max="14852" width="9.85546875" style="25" customWidth="1"/>
    <col min="14853" max="14853" width="11.140625" style="25" customWidth="1"/>
    <col min="14854" max="14854" width="2.85546875" style="25" customWidth="1"/>
    <col min="14855" max="14855" width="3.5703125" style="25" customWidth="1"/>
    <col min="14856" max="15100" width="9.140625" style="25"/>
    <col min="15101" max="15101" width="8.7109375" style="25" customWidth="1"/>
    <col min="15102" max="15102" width="9.85546875" style="25" customWidth="1"/>
    <col min="15103" max="15103" width="14.42578125" style="25" customWidth="1"/>
    <col min="15104" max="15104" width="7.28515625" style="25" customWidth="1"/>
    <col min="15105" max="15105" width="5.5703125" style="25" customWidth="1"/>
    <col min="15106" max="15106" width="9" style="25" customWidth="1"/>
    <col min="15107" max="15108" width="9.85546875" style="25" customWidth="1"/>
    <col min="15109" max="15109" width="11.140625" style="25" customWidth="1"/>
    <col min="15110" max="15110" width="2.85546875" style="25" customWidth="1"/>
    <col min="15111" max="15111" width="3.5703125" style="25" customWidth="1"/>
    <col min="15112" max="15356" width="9.140625" style="25"/>
    <col min="15357" max="15357" width="8.7109375" style="25" customWidth="1"/>
    <col min="15358" max="15358" width="9.85546875" style="25" customWidth="1"/>
    <col min="15359" max="15359" width="14.42578125" style="25" customWidth="1"/>
    <col min="15360" max="15360" width="7.28515625" style="25" customWidth="1"/>
    <col min="15361" max="15361" width="5.5703125" style="25" customWidth="1"/>
    <col min="15362" max="15362" width="9" style="25" customWidth="1"/>
    <col min="15363" max="15364" width="9.85546875" style="25" customWidth="1"/>
    <col min="15365" max="15365" width="11.140625" style="25" customWidth="1"/>
    <col min="15366" max="15366" width="2.85546875" style="25" customWidth="1"/>
    <col min="15367" max="15367" width="3.5703125" style="25" customWidth="1"/>
    <col min="15368" max="15612" width="9.140625" style="25"/>
    <col min="15613" max="15613" width="8.7109375" style="25" customWidth="1"/>
    <col min="15614" max="15614" width="9.85546875" style="25" customWidth="1"/>
    <col min="15615" max="15615" width="14.42578125" style="25" customWidth="1"/>
    <col min="15616" max="15616" width="7.28515625" style="25" customWidth="1"/>
    <col min="15617" max="15617" width="5.5703125" style="25" customWidth="1"/>
    <col min="15618" max="15618" width="9" style="25" customWidth="1"/>
    <col min="15619" max="15620" width="9.85546875" style="25" customWidth="1"/>
    <col min="15621" max="15621" width="11.140625" style="25" customWidth="1"/>
    <col min="15622" max="15622" width="2.85546875" style="25" customWidth="1"/>
    <col min="15623" max="15623" width="3.5703125" style="25" customWidth="1"/>
    <col min="15624" max="15868" width="9.140625" style="25"/>
    <col min="15869" max="15869" width="8.7109375" style="25" customWidth="1"/>
    <col min="15870" max="15870" width="9.85546875" style="25" customWidth="1"/>
    <col min="15871" max="15871" width="14.42578125" style="25" customWidth="1"/>
    <col min="15872" max="15872" width="7.28515625" style="25" customWidth="1"/>
    <col min="15873" max="15873" width="5.5703125" style="25" customWidth="1"/>
    <col min="15874" max="15874" width="9" style="25" customWidth="1"/>
    <col min="15875" max="15876" width="9.85546875" style="25" customWidth="1"/>
    <col min="15877" max="15877" width="11.140625" style="25" customWidth="1"/>
    <col min="15878" max="15878" width="2.85546875" style="25" customWidth="1"/>
    <col min="15879" max="15879" width="3.5703125" style="25" customWidth="1"/>
    <col min="15880" max="16124" width="9.140625" style="25"/>
    <col min="16125" max="16125" width="8.7109375" style="25" customWidth="1"/>
    <col min="16126" max="16126" width="9.85546875" style="25" customWidth="1"/>
    <col min="16127" max="16127" width="14.42578125" style="25" customWidth="1"/>
    <col min="16128" max="16128" width="7.28515625" style="25" customWidth="1"/>
    <col min="16129" max="16129" width="5.5703125" style="25" customWidth="1"/>
    <col min="16130" max="16130" width="9" style="25" customWidth="1"/>
    <col min="16131" max="16132" width="9.85546875" style="25" customWidth="1"/>
    <col min="16133" max="16133" width="11.140625" style="25" customWidth="1"/>
    <col min="16134" max="16134" width="2.85546875" style="25" customWidth="1"/>
    <col min="16135" max="16135" width="3.5703125" style="25" customWidth="1"/>
    <col min="16136" max="16384" width="9.140625" style="25"/>
  </cols>
  <sheetData>
    <row r="1" spans="1:12" ht="46.5" customHeight="1" x14ac:dyDescent="0.25">
      <c r="A1" s="177" t="s">
        <v>274</v>
      </c>
      <c r="B1" s="177"/>
      <c r="C1" s="177"/>
      <c r="D1" s="177"/>
      <c r="E1" s="177"/>
      <c r="F1" s="177"/>
      <c r="G1" s="177"/>
      <c r="H1" s="177"/>
    </row>
    <row r="2" spans="1:12" ht="16.5" customHeight="1" x14ac:dyDescent="0.25">
      <c r="A2" s="105" t="s">
        <v>0</v>
      </c>
      <c r="B2" s="105"/>
      <c r="C2" s="105"/>
      <c r="D2" s="105"/>
      <c r="E2" s="105"/>
      <c r="F2" s="105"/>
      <c r="G2" s="105"/>
      <c r="H2" s="105"/>
    </row>
    <row r="3" spans="1:12" x14ac:dyDescent="0.25">
      <c r="A3" s="126" t="s">
        <v>1</v>
      </c>
      <c r="B3" s="126"/>
      <c r="C3" s="126"/>
      <c r="D3" s="126"/>
      <c r="E3" s="178" t="str">
        <f ca="1">TEXT(TODAY(),"DD/MM/YYYY")</f>
        <v>19/09/2025</v>
      </c>
      <c r="F3" s="178"/>
      <c r="G3" s="178"/>
      <c r="H3" s="178"/>
    </row>
    <row r="4" spans="1:12" ht="15" customHeight="1" x14ac:dyDescent="0.25">
      <c r="A4" s="126" t="s">
        <v>2</v>
      </c>
      <c r="B4" s="126"/>
      <c r="C4" s="126"/>
      <c r="D4" s="126"/>
      <c r="E4" s="180" t="s">
        <v>185</v>
      </c>
      <c r="F4" s="180"/>
      <c r="G4" s="180"/>
      <c r="H4" s="180"/>
    </row>
    <row r="5" spans="1:12" x14ac:dyDescent="0.25">
      <c r="A5" s="126" t="s">
        <v>3</v>
      </c>
      <c r="B5" s="126"/>
      <c r="C5" s="126"/>
      <c r="D5" s="126"/>
      <c r="E5" s="178">
        <v>45905</v>
      </c>
      <c r="F5" s="178"/>
      <c r="G5" s="178"/>
      <c r="H5" s="178"/>
    </row>
    <row r="6" spans="1:12" ht="16.5" customHeight="1" x14ac:dyDescent="0.25">
      <c r="A6" s="126" t="s">
        <v>4</v>
      </c>
      <c r="B6" s="126"/>
      <c r="C6" s="126"/>
      <c r="D6" s="126"/>
      <c r="E6" s="162" t="s">
        <v>149</v>
      </c>
      <c r="F6" s="162"/>
      <c r="G6" s="162"/>
      <c r="H6" s="162"/>
    </row>
    <row r="7" spans="1:12" ht="15" customHeight="1" x14ac:dyDescent="0.25">
      <c r="A7" s="126" t="s">
        <v>5</v>
      </c>
      <c r="B7" s="126"/>
      <c r="C7" s="126"/>
      <c r="D7" s="126"/>
      <c r="E7" s="162" t="str">
        <f>E6</f>
        <v>M/s. Spenta Enclave Private Limited</v>
      </c>
      <c r="F7" s="162"/>
      <c r="G7" s="162"/>
      <c r="H7" s="162"/>
    </row>
    <row r="8" spans="1:12" x14ac:dyDescent="0.25">
      <c r="A8" s="126" t="s">
        <v>6</v>
      </c>
      <c r="B8" s="126"/>
      <c r="C8" s="126"/>
      <c r="D8" s="126"/>
      <c r="E8" s="179" t="s">
        <v>178</v>
      </c>
      <c r="F8" s="129"/>
      <c r="G8" s="129"/>
      <c r="H8" s="129"/>
    </row>
    <row r="9" spans="1:12" x14ac:dyDescent="0.25">
      <c r="A9" s="126" t="s">
        <v>279</v>
      </c>
      <c r="B9" s="126"/>
      <c r="C9" s="126"/>
      <c r="D9" s="126"/>
      <c r="E9" s="126">
        <v>7045780901</v>
      </c>
      <c r="F9" s="126"/>
      <c r="G9" s="126"/>
      <c r="H9" s="126"/>
    </row>
    <row r="10" spans="1:12" x14ac:dyDescent="0.25">
      <c r="A10" s="126" t="s">
        <v>265</v>
      </c>
      <c r="B10" s="126"/>
      <c r="C10" s="126"/>
      <c r="D10" s="126"/>
      <c r="E10" s="104" t="s">
        <v>293</v>
      </c>
      <c r="F10" s="104"/>
      <c r="G10" s="104"/>
      <c r="H10" s="104"/>
      <c r="I10" s="104" t="s">
        <v>278</v>
      </c>
      <c r="J10" s="104"/>
      <c r="K10" s="104"/>
      <c r="L10" s="104"/>
    </row>
    <row r="11" spans="1:12" x14ac:dyDescent="0.25">
      <c r="A11" s="150" t="s">
        <v>7</v>
      </c>
      <c r="B11" s="150"/>
      <c r="C11" s="150"/>
      <c r="D11" s="150"/>
      <c r="E11" s="150" t="s">
        <v>223</v>
      </c>
      <c r="F11" s="150"/>
      <c r="G11" s="150"/>
      <c r="H11" s="150"/>
    </row>
    <row r="12" spans="1:12" x14ac:dyDescent="0.25">
      <c r="A12" s="150" t="s">
        <v>8</v>
      </c>
      <c r="B12" s="150"/>
      <c r="C12" s="150"/>
      <c r="D12" s="150"/>
      <c r="E12" s="149" t="s">
        <v>148</v>
      </c>
      <c r="F12" s="149"/>
      <c r="G12" s="149"/>
      <c r="H12" s="149"/>
    </row>
    <row r="13" spans="1:12" ht="111" customHeight="1" x14ac:dyDescent="0.25">
      <c r="A13" s="150" t="s">
        <v>9</v>
      </c>
      <c r="B13" s="150"/>
      <c r="C13" s="150"/>
      <c r="D13" s="150"/>
      <c r="E13" s="149" t="s">
        <v>224</v>
      </c>
      <c r="F13" s="150"/>
      <c r="G13" s="150"/>
      <c r="H13" s="150"/>
    </row>
    <row r="14" spans="1:12" ht="32.25" customHeight="1" x14ac:dyDescent="0.25">
      <c r="A14" s="149" t="s">
        <v>10</v>
      </c>
      <c r="B14" s="149"/>
      <c r="C14" s="149" t="str">
        <f>CONCATENATE((IF(OR(E8="",E8="NA"),"",E8)),", ",(IF(OR(A15="",A15="NA"),"",A15)),".",(IF(OR(C15="",C15="NA"),"",C15)),", ",(IF(OR(C16="",C16="NA"),"",C16)),", ",(IF(OR(G16="",G16="NA"),"",G16)),", ",(IF(OR(C17="",C17="NA"),"",C17)),", ",(IF(OR(C18="",C18="NA"),"",C18)),", ",(IF(OR(G17="",G17="NA"),"",G17)),".")</f>
        <v>Altavista, CTS No.343(Pt.), Sion Trombay Road, Lal Dongar, Chembur, Kurla, Mumbai .</v>
      </c>
      <c r="D14" s="149"/>
      <c r="E14" s="149"/>
      <c r="F14" s="149"/>
      <c r="G14" s="149"/>
      <c r="H14" s="149"/>
    </row>
    <row r="15" spans="1:12" ht="15.75" customHeight="1" x14ac:dyDescent="0.25">
      <c r="A15" s="149" t="s">
        <v>163</v>
      </c>
      <c r="B15" s="149"/>
      <c r="C15" s="127" t="s">
        <v>150</v>
      </c>
      <c r="D15" s="127"/>
      <c r="E15" s="127"/>
      <c r="F15" s="127"/>
      <c r="G15" s="127"/>
      <c r="H15" s="127"/>
    </row>
    <row r="16" spans="1:12" ht="15.75" customHeight="1" x14ac:dyDescent="0.25">
      <c r="A16" s="162" t="s">
        <v>11</v>
      </c>
      <c r="B16" s="162"/>
      <c r="C16" s="104" t="s">
        <v>153</v>
      </c>
      <c r="D16" s="104"/>
      <c r="E16" s="162" t="s">
        <v>106</v>
      </c>
      <c r="F16" s="162"/>
      <c r="G16" s="127" t="s">
        <v>151</v>
      </c>
      <c r="H16" s="127"/>
    </row>
    <row r="17" spans="1:8" x14ac:dyDescent="0.25">
      <c r="A17" s="126" t="s">
        <v>13</v>
      </c>
      <c r="B17" s="126"/>
      <c r="C17" s="127" t="s">
        <v>154</v>
      </c>
      <c r="D17" s="127"/>
      <c r="E17" s="162" t="s">
        <v>12</v>
      </c>
      <c r="F17" s="162"/>
      <c r="G17" s="181" t="s">
        <v>152</v>
      </c>
      <c r="H17" s="181"/>
    </row>
    <row r="18" spans="1:8" x14ac:dyDescent="0.25">
      <c r="A18" s="126" t="s">
        <v>107</v>
      </c>
      <c r="B18" s="126"/>
      <c r="C18" s="127" t="s">
        <v>155</v>
      </c>
      <c r="D18" s="127"/>
      <c r="E18" s="162" t="s">
        <v>14</v>
      </c>
      <c r="F18" s="162"/>
      <c r="G18" s="127">
        <v>400071</v>
      </c>
      <c r="H18" s="127"/>
    </row>
    <row r="19" spans="1:8" ht="32.25" customHeight="1" x14ac:dyDescent="0.25">
      <c r="A19" s="126" t="s">
        <v>15</v>
      </c>
      <c r="B19" s="126"/>
      <c r="C19" s="162" t="s">
        <v>159</v>
      </c>
      <c r="D19" s="162"/>
      <c r="E19" s="162" t="s">
        <v>16</v>
      </c>
      <c r="F19" s="162"/>
      <c r="G19" s="149" t="s">
        <v>160</v>
      </c>
      <c r="H19" s="149"/>
    </row>
    <row r="20" spans="1:8" ht="15" customHeight="1" x14ac:dyDescent="0.25">
      <c r="A20" s="162" t="s">
        <v>113</v>
      </c>
      <c r="B20" s="162"/>
      <c r="C20" s="162"/>
      <c r="D20" s="162"/>
      <c r="E20" s="150" t="s">
        <v>17</v>
      </c>
      <c r="F20" s="150"/>
      <c r="G20" s="150"/>
      <c r="H20" s="150"/>
    </row>
    <row r="21" spans="1:8" ht="18.75" customHeight="1" x14ac:dyDescent="0.25">
      <c r="A21" s="162"/>
      <c r="B21" s="162"/>
      <c r="C21" s="162"/>
      <c r="D21" s="162"/>
      <c r="E21" s="150"/>
      <c r="F21" s="150"/>
      <c r="G21" s="150"/>
      <c r="H21" s="150"/>
    </row>
    <row r="22" spans="1:8" ht="15" customHeight="1" x14ac:dyDescent="0.25">
      <c r="A22" s="162" t="s">
        <v>18</v>
      </c>
      <c r="B22" s="162"/>
      <c r="C22" s="162"/>
      <c r="D22" s="162"/>
      <c r="E22" s="149" t="s">
        <v>19</v>
      </c>
      <c r="F22" s="149"/>
      <c r="G22" s="149"/>
      <c r="H22" s="149"/>
    </row>
    <row r="23" spans="1:8" ht="15" customHeight="1" x14ac:dyDescent="0.25">
      <c r="A23" s="126" t="s">
        <v>20</v>
      </c>
      <c r="B23" s="126"/>
      <c r="C23" s="126"/>
      <c r="D23" s="126"/>
      <c r="E23" s="149" t="s">
        <v>156</v>
      </c>
      <c r="F23" s="149"/>
      <c r="G23" s="149"/>
      <c r="H23" s="149"/>
    </row>
    <row r="24" spans="1:8" x14ac:dyDescent="0.25">
      <c r="A24" s="126" t="s">
        <v>21</v>
      </c>
      <c r="B24" s="126"/>
      <c r="C24" s="126"/>
      <c r="D24" s="126"/>
      <c r="E24" s="149" t="s">
        <v>22</v>
      </c>
      <c r="F24" s="149"/>
      <c r="G24" s="149"/>
      <c r="H24" s="149"/>
    </row>
    <row r="25" spans="1:8" x14ac:dyDescent="0.25">
      <c r="A25" s="126" t="s">
        <v>23</v>
      </c>
      <c r="B25" s="126"/>
      <c r="C25" s="126"/>
      <c r="D25" s="126"/>
      <c r="E25" s="149" t="s">
        <v>157</v>
      </c>
      <c r="F25" s="149"/>
      <c r="G25" s="149"/>
      <c r="H25" s="149"/>
    </row>
    <row r="26" spans="1:8" x14ac:dyDescent="0.25">
      <c r="A26" s="126" t="s">
        <v>24</v>
      </c>
      <c r="B26" s="126"/>
      <c r="C26" s="126"/>
      <c r="D26" s="126"/>
      <c r="E26" s="149" t="s">
        <v>25</v>
      </c>
      <c r="F26" s="149"/>
      <c r="G26" s="149"/>
      <c r="H26" s="149"/>
    </row>
    <row r="27" spans="1:8" x14ac:dyDescent="0.25">
      <c r="A27" s="126" t="s">
        <v>121</v>
      </c>
      <c r="B27" s="126"/>
      <c r="C27" s="126"/>
      <c r="D27" s="126"/>
      <c r="E27" s="149" t="s">
        <v>122</v>
      </c>
      <c r="F27" s="149"/>
      <c r="G27" s="149"/>
      <c r="H27" s="149"/>
    </row>
    <row r="28" spans="1:8" ht="15" customHeight="1" x14ac:dyDescent="0.25">
      <c r="A28" s="162" t="s">
        <v>34</v>
      </c>
      <c r="B28" s="162"/>
      <c r="C28" s="162"/>
      <c r="D28" s="162"/>
      <c r="E28" s="174" t="s">
        <v>117</v>
      </c>
      <c r="F28" s="174"/>
      <c r="G28" s="174"/>
      <c r="H28" s="174"/>
    </row>
    <row r="29" spans="1:8" x14ac:dyDescent="0.25">
      <c r="A29" s="162" t="s">
        <v>134</v>
      </c>
      <c r="B29" s="162"/>
      <c r="C29" s="162"/>
      <c r="D29" s="162"/>
      <c r="E29" s="149" t="s">
        <v>35</v>
      </c>
      <c r="F29" s="149"/>
      <c r="G29" s="149"/>
      <c r="H29" s="149"/>
    </row>
    <row r="30" spans="1:8" s="26" customFormat="1" x14ac:dyDescent="0.25">
      <c r="A30" s="176" t="s">
        <v>135</v>
      </c>
      <c r="B30" s="176"/>
      <c r="C30" s="128" t="s">
        <v>30</v>
      </c>
      <c r="D30" s="128"/>
      <c r="E30" s="128"/>
      <c r="F30" s="128" t="s">
        <v>32</v>
      </c>
      <c r="G30" s="128"/>
      <c r="H30" s="128"/>
    </row>
    <row r="31" spans="1:8" s="26" customFormat="1" x14ac:dyDescent="0.25">
      <c r="A31" s="153" t="s">
        <v>26</v>
      </c>
      <c r="B31" s="153" t="s">
        <v>31</v>
      </c>
      <c r="C31" s="101" t="s">
        <v>31</v>
      </c>
      <c r="D31" s="101"/>
      <c r="E31" s="101"/>
      <c r="F31" s="101" t="s">
        <v>158</v>
      </c>
      <c r="G31" s="101"/>
      <c r="H31" s="101"/>
    </row>
    <row r="32" spans="1:8" x14ac:dyDescent="0.25">
      <c r="A32" s="153" t="s">
        <v>27</v>
      </c>
      <c r="B32" s="153" t="s">
        <v>31</v>
      </c>
      <c r="C32" s="101" t="s">
        <v>31</v>
      </c>
      <c r="D32" s="101"/>
      <c r="E32" s="101"/>
      <c r="F32" s="101" t="s">
        <v>11</v>
      </c>
      <c r="G32" s="101"/>
      <c r="H32" s="101"/>
    </row>
    <row r="33" spans="1:9" s="26" customFormat="1" x14ac:dyDescent="0.25">
      <c r="A33" s="153" t="s">
        <v>29</v>
      </c>
      <c r="B33" s="153" t="s">
        <v>31</v>
      </c>
      <c r="C33" s="101" t="s">
        <v>31</v>
      </c>
      <c r="D33" s="101"/>
      <c r="E33" s="101"/>
      <c r="F33" s="101" t="s">
        <v>158</v>
      </c>
      <c r="G33" s="101"/>
      <c r="H33" s="101"/>
    </row>
    <row r="34" spans="1:9" x14ac:dyDescent="0.25">
      <c r="A34" s="153" t="s">
        <v>28</v>
      </c>
      <c r="B34" s="153" t="s">
        <v>31</v>
      </c>
      <c r="C34" s="101" t="s">
        <v>31</v>
      </c>
      <c r="D34" s="101"/>
      <c r="E34" s="101"/>
      <c r="F34" s="101" t="s">
        <v>158</v>
      </c>
      <c r="G34" s="101"/>
      <c r="H34" s="101"/>
    </row>
    <row r="35" spans="1:9" x14ac:dyDescent="0.25">
      <c r="A35" s="126" t="s">
        <v>33</v>
      </c>
      <c r="B35" s="126"/>
      <c r="C35" s="126"/>
      <c r="D35" s="126"/>
      <c r="E35" s="126"/>
      <c r="F35" s="126"/>
      <c r="G35" s="126"/>
      <c r="H35" s="126"/>
    </row>
    <row r="36" spans="1:9" ht="15.75" customHeight="1" x14ac:dyDescent="0.25">
      <c r="A36" s="105" t="s">
        <v>266</v>
      </c>
      <c r="B36" s="105"/>
      <c r="C36" s="107" t="s">
        <v>269</v>
      </c>
      <c r="D36" s="107"/>
      <c r="E36" s="107"/>
      <c r="F36" s="107"/>
      <c r="G36" s="107"/>
      <c r="H36" s="107"/>
      <c r="I36" s="25">
        <v>0</v>
      </c>
    </row>
    <row r="37" spans="1:9" ht="15.75" customHeight="1" x14ac:dyDescent="0.25">
      <c r="A37" s="105" t="s">
        <v>267</v>
      </c>
      <c r="B37" s="105"/>
      <c r="C37" s="106" t="s">
        <v>268</v>
      </c>
      <c r="D37" s="107"/>
      <c r="E37" s="107"/>
      <c r="F37" s="107"/>
      <c r="G37" s="107"/>
      <c r="H37" s="107"/>
      <c r="I37" s="25">
        <v>0</v>
      </c>
    </row>
    <row r="38" spans="1:9" x14ac:dyDescent="0.25">
      <c r="A38" s="129" t="s">
        <v>36</v>
      </c>
      <c r="B38" s="129"/>
      <c r="C38" s="129"/>
      <c r="D38" s="129"/>
      <c r="E38" s="129"/>
      <c r="F38" s="129"/>
      <c r="G38" s="129"/>
      <c r="H38" s="129"/>
    </row>
    <row r="39" spans="1:9" x14ac:dyDescent="0.25">
      <c r="A39" s="126" t="s">
        <v>37</v>
      </c>
      <c r="B39" s="126"/>
      <c r="C39" s="126"/>
      <c r="D39" s="126"/>
      <c r="E39" s="175">
        <v>30856.5</v>
      </c>
      <c r="F39" s="175"/>
      <c r="G39" s="175"/>
      <c r="H39" s="175"/>
    </row>
    <row r="40" spans="1:9" x14ac:dyDescent="0.25">
      <c r="A40" s="126" t="s">
        <v>38</v>
      </c>
      <c r="B40" s="126"/>
      <c r="C40" s="126"/>
      <c r="D40" s="126"/>
      <c r="E40" s="154">
        <v>4</v>
      </c>
      <c r="F40" s="154"/>
      <c r="G40" s="154"/>
      <c r="H40" s="154"/>
    </row>
    <row r="41" spans="1:9" x14ac:dyDescent="0.25">
      <c r="A41" s="126" t="s">
        <v>39</v>
      </c>
      <c r="B41" s="126"/>
      <c r="C41" s="126"/>
      <c r="D41" s="126"/>
      <c r="E41" s="154">
        <f>E43/E39-E40</f>
        <v>0</v>
      </c>
      <c r="F41" s="154"/>
      <c r="G41" s="154"/>
      <c r="H41" s="154"/>
    </row>
    <row r="42" spans="1:9" x14ac:dyDescent="0.25">
      <c r="A42" s="126" t="s">
        <v>40</v>
      </c>
      <c r="B42" s="126"/>
      <c r="C42" s="126"/>
      <c r="D42" s="126"/>
      <c r="E42" s="154">
        <f>E40+E41</f>
        <v>4</v>
      </c>
      <c r="F42" s="154"/>
      <c r="G42" s="154"/>
      <c r="H42" s="154"/>
    </row>
    <row r="43" spans="1:9" x14ac:dyDescent="0.25">
      <c r="A43" s="126" t="s">
        <v>133</v>
      </c>
      <c r="B43" s="126"/>
      <c r="C43" s="126"/>
      <c r="D43" s="126"/>
      <c r="E43" s="158">
        <v>123426</v>
      </c>
      <c r="F43" s="158"/>
      <c r="G43" s="158"/>
      <c r="H43" s="158"/>
    </row>
    <row r="44" spans="1:9" x14ac:dyDescent="0.25">
      <c r="A44" s="150" t="s">
        <v>41</v>
      </c>
      <c r="B44" s="150"/>
      <c r="C44" s="150"/>
      <c r="D44" s="150"/>
      <c r="E44" s="150" t="s">
        <v>225</v>
      </c>
      <c r="F44" s="150"/>
      <c r="G44" s="150"/>
      <c r="H44" s="150"/>
    </row>
    <row r="45" spans="1:9" x14ac:dyDescent="0.25">
      <c r="A45" s="159" t="s">
        <v>42</v>
      </c>
      <c r="B45" s="159"/>
      <c r="C45" s="159"/>
      <c r="D45" s="159"/>
      <c r="E45" s="159"/>
      <c r="F45" s="159"/>
      <c r="G45" s="159"/>
      <c r="H45" s="159"/>
    </row>
    <row r="46" spans="1:9" x14ac:dyDescent="0.25">
      <c r="A46" s="149" t="s">
        <v>43</v>
      </c>
      <c r="B46" s="149"/>
      <c r="C46" s="149" t="s">
        <v>161</v>
      </c>
      <c r="D46" s="149"/>
      <c r="E46" s="149"/>
      <c r="F46" s="23" t="s">
        <v>44</v>
      </c>
      <c r="G46" s="160">
        <v>44259</v>
      </c>
      <c r="H46" s="149"/>
    </row>
    <row r="47" spans="1:9" x14ac:dyDescent="0.25">
      <c r="A47" s="149" t="s">
        <v>45</v>
      </c>
      <c r="B47" s="149"/>
      <c r="C47" s="149" t="str">
        <f>C46</f>
        <v>SRA/ENG/3104/MW/STGL/AP</v>
      </c>
      <c r="D47" s="149"/>
      <c r="E47" s="149"/>
      <c r="F47" s="23" t="s">
        <v>44</v>
      </c>
      <c r="G47" s="160">
        <f>G46</f>
        <v>44259</v>
      </c>
      <c r="H47" s="160"/>
    </row>
    <row r="48" spans="1:9" s="28" customFormat="1" x14ac:dyDescent="0.25">
      <c r="A48" s="149" t="s">
        <v>46</v>
      </c>
      <c r="B48" s="149"/>
      <c r="C48" s="149" t="str">
        <f>C47</f>
        <v>SRA/ENG/3104/MW/STGL/AP</v>
      </c>
      <c r="D48" s="150"/>
      <c r="E48" s="150"/>
      <c r="F48" s="27" t="s">
        <v>44</v>
      </c>
      <c r="G48" s="182">
        <v>44301</v>
      </c>
      <c r="H48" s="183"/>
    </row>
    <row r="49" spans="1:11" s="28" customFormat="1" ht="63.6" customHeight="1" x14ac:dyDescent="0.25">
      <c r="A49" s="149"/>
      <c r="B49" s="149"/>
      <c r="C49" s="155" t="s">
        <v>272</v>
      </c>
      <c r="D49" s="156"/>
      <c r="E49" s="156"/>
      <c r="F49" s="156"/>
      <c r="G49" s="156"/>
      <c r="H49" s="157"/>
    </row>
    <row r="50" spans="1:11" s="28" customFormat="1" x14ac:dyDescent="0.25">
      <c r="A50" s="149" t="s">
        <v>46</v>
      </c>
      <c r="B50" s="149"/>
      <c r="C50" s="149" t="s">
        <v>161</v>
      </c>
      <c r="D50" s="150"/>
      <c r="E50" s="150"/>
      <c r="F50" s="27" t="s">
        <v>44</v>
      </c>
      <c r="G50" s="182">
        <v>45392</v>
      </c>
      <c r="H50" s="183"/>
    </row>
    <row r="51" spans="1:11" s="28" customFormat="1" ht="50.45" customHeight="1" x14ac:dyDescent="0.25">
      <c r="A51" s="149"/>
      <c r="B51" s="149"/>
      <c r="C51" s="155" t="s">
        <v>287</v>
      </c>
      <c r="D51" s="156"/>
      <c r="E51" s="156"/>
      <c r="F51" s="156"/>
      <c r="G51" s="156"/>
      <c r="H51" s="157"/>
    </row>
    <row r="52" spans="1:11" ht="48.75" customHeight="1" x14ac:dyDescent="0.25">
      <c r="A52" s="165" t="s">
        <v>47</v>
      </c>
      <c r="B52" s="165"/>
      <c r="C52" s="165" t="s">
        <v>270</v>
      </c>
      <c r="D52" s="159"/>
      <c r="E52" s="159" t="s">
        <v>48</v>
      </c>
      <c r="F52" s="24" t="s">
        <v>44</v>
      </c>
      <c r="G52" s="163">
        <v>43782</v>
      </c>
      <c r="H52" s="164"/>
    </row>
    <row r="53" spans="1:11" ht="48.75" customHeight="1" x14ac:dyDescent="0.25">
      <c r="A53" s="165"/>
      <c r="B53" s="165"/>
      <c r="C53" s="165" t="s">
        <v>271</v>
      </c>
      <c r="D53" s="159"/>
      <c r="E53" s="159" t="s">
        <v>48</v>
      </c>
      <c r="F53" s="68" t="s">
        <v>44</v>
      </c>
      <c r="G53" s="163">
        <v>44176</v>
      </c>
      <c r="H53" s="164"/>
    </row>
    <row r="54" spans="1:11" x14ac:dyDescent="0.25">
      <c r="A54" s="161" t="s">
        <v>50</v>
      </c>
      <c r="B54" s="161"/>
      <c r="C54" s="161"/>
      <c r="D54" s="161"/>
      <c r="E54" s="161"/>
      <c r="F54" s="161"/>
      <c r="G54" s="161"/>
      <c r="H54" s="161"/>
    </row>
    <row r="55" spans="1:11" x14ac:dyDescent="0.25">
      <c r="A55" s="162" t="s">
        <v>132</v>
      </c>
      <c r="B55" s="162"/>
      <c r="C55" s="162"/>
      <c r="D55" s="126">
        <f>E43</f>
        <v>123426</v>
      </c>
      <c r="E55" s="126"/>
      <c r="F55" s="126"/>
      <c r="G55" s="126"/>
      <c r="H55" s="126"/>
    </row>
    <row r="56" spans="1:11" x14ac:dyDescent="0.25">
      <c r="A56" s="127" t="s">
        <v>51</v>
      </c>
      <c r="B56" s="104"/>
      <c r="C56" s="104"/>
      <c r="D56" s="150" t="s">
        <v>226</v>
      </c>
      <c r="E56" s="150"/>
      <c r="F56" s="150"/>
      <c r="G56" s="150"/>
      <c r="H56" s="150"/>
    </row>
    <row r="57" spans="1:11" ht="47.45" customHeight="1" x14ac:dyDescent="0.25">
      <c r="A57" s="127" t="s">
        <v>52</v>
      </c>
      <c r="B57" s="104"/>
      <c r="C57" s="104"/>
      <c r="D57" s="149" t="s">
        <v>259</v>
      </c>
      <c r="E57" s="150"/>
      <c r="F57" s="150"/>
      <c r="G57" s="150"/>
      <c r="H57" s="150"/>
    </row>
    <row r="58" spans="1:11" ht="35.1" customHeight="1" x14ac:dyDescent="0.25">
      <c r="A58" s="127" t="s">
        <v>130</v>
      </c>
      <c r="B58" s="104"/>
      <c r="C58" s="104"/>
      <c r="D58" s="149" t="s">
        <v>273</v>
      </c>
      <c r="E58" s="150"/>
      <c r="F58" s="150"/>
      <c r="G58" s="150"/>
      <c r="H58" s="150"/>
    </row>
    <row r="59" spans="1:11" ht="114.75" customHeight="1" x14ac:dyDescent="0.25">
      <c r="A59" s="126" t="s">
        <v>49</v>
      </c>
      <c r="B59" s="126"/>
      <c r="C59" s="126"/>
      <c r="D59" s="162" t="s">
        <v>288</v>
      </c>
      <c r="E59" s="162"/>
      <c r="F59" s="162"/>
      <c r="G59" s="162"/>
      <c r="H59" s="162"/>
    </row>
    <row r="60" spans="1:11" ht="15.75" customHeight="1" x14ac:dyDescent="0.25">
      <c r="A60" s="126" t="s">
        <v>127</v>
      </c>
      <c r="B60" s="126"/>
      <c r="C60" s="126"/>
      <c r="D60" s="162" t="s">
        <v>128</v>
      </c>
      <c r="E60" s="162"/>
      <c r="F60" s="162"/>
      <c r="G60" s="162"/>
      <c r="H60" s="162"/>
    </row>
    <row r="61" spans="1:11" ht="15.75" customHeight="1" x14ac:dyDescent="0.25">
      <c r="A61" s="126" t="s">
        <v>129</v>
      </c>
      <c r="B61" s="126"/>
      <c r="C61" s="126"/>
      <c r="D61" s="162" t="s">
        <v>25</v>
      </c>
      <c r="E61" s="162"/>
      <c r="F61" s="162"/>
      <c r="G61" s="162"/>
      <c r="H61" s="162"/>
      <c r="J61" s="29"/>
      <c r="K61" s="29"/>
    </row>
    <row r="62" spans="1:11" ht="15.75" customHeight="1" thickBot="1" x14ac:dyDescent="0.3">
      <c r="A62" s="120" t="s">
        <v>126</v>
      </c>
      <c r="B62" s="120"/>
      <c r="C62" s="120"/>
      <c r="D62" s="121" t="s">
        <v>162</v>
      </c>
      <c r="E62" s="121"/>
      <c r="F62" s="121"/>
      <c r="G62" s="121"/>
      <c r="H62" s="121"/>
      <c r="J62" s="29"/>
      <c r="K62" s="29"/>
    </row>
    <row r="63" spans="1:11" x14ac:dyDescent="0.25">
      <c r="A63" s="108" t="s">
        <v>241</v>
      </c>
      <c r="B63" s="109"/>
      <c r="C63" s="109" t="s">
        <v>260</v>
      </c>
      <c r="D63" s="109"/>
      <c r="E63" s="109"/>
      <c r="F63" s="109"/>
      <c r="G63" s="109"/>
      <c r="H63" s="110"/>
      <c r="I63" s="17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completed","0")))))))))))&amp;(IF(C71=(D64+F64+H64),", RCC Slab",IF(C71&gt;0,", RCC upto "&amp;C71&amp;" Slab",""))&amp;(IF(C72=H64,", Brickwork",IF(C72&gt;0,", Brickwork upto "&amp;C72&amp;" Floor",""))&amp;(IF(C73=H64,", Internal Plaster",IF(C73&gt;0,", Internal Plaster upto "&amp;C73&amp;" Floor",""))&amp;(IF(C74=H64,", External Plaster",IF(C74&gt;0,", External Plaster upto "&amp;C74&amp;" Floor",""))&amp;(IF(C75=H64,", Flooring",IF(C75&gt;0,", Flooring upto "&amp;C75&amp;" Floor",""))&amp;(IF(C76=H64,", Painting",IF(C76&gt;0,", Painting upto "&amp;C76&amp;" Floor",""))&amp;(IF(C77&gt;0,", Finishing upto "&amp;C77&amp;" Floor","")&amp;(IF(C71&gt;0.5," Completed",""))))))))))))))</f>
        <v>All work completed. Please provide OC.</v>
      </c>
      <c r="J63" s="30"/>
      <c r="K63" s="30"/>
    </row>
    <row r="64" spans="1:11" x14ac:dyDescent="0.25">
      <c r="A64" s="62" t="s">
        <v>103</v>
      </c>
      <c r="B64" s="57">
        <v>4</v>
      </c>
      <c r="C64" s="57" t="s">
        <v>105</v>
      </c>
      <c r="D64" s="57">
        <v>1</v>
      </c>
      <c r="E64" s="57" t="s">
        <v>104</v>
      </c>
      <c r="F64" s="57">
        <v>0</v>
      </c>
      <c r="G64" s="57" t="s">
        <v>120</v>
      </c>
      <c r="H64" s="63">
        <f ca="1">--TRIM(RIGHT(SUBSTITUTE(LEFT(C63,_xlfn.AGGREGATE(16,6,FIND({0,1,2,3,4,5,6,7,8,9},C63,ROW(INDIRECT("1:"&amp;LEN(C63)))),1))," ",REPT(" ",LEN(C63))),LEN(C63)))</f>
        <v>23</v>
      </c>
      <c r="I64" s="18"/>
      <c r="J64" s="31"/>
      <c r="K64" s="31"/>
    </row>
    <row r="65" spans="1:11" ht="15.75" customHeight="1" x14ac:dyDescent="0.25">
      <c r="A65" s="122" t="s">
        <v>131</v>
      </c>
      <c r="B65" s="123"/>
      <c r="C65" s="90" t="str">
        <f>I65</f>
        <v>All work Completed. OC Received.</v>
      </c>
      <c r="D65" s="90"/>
      <c r="E65" s="90"/>
      <c r="F65" s="90"/>
      <c r="G65" s="90"/>
      <c r="H65" s="91"/>
      <c r="I65" s="18" t="s">
        <v>146</v>
      </c>
      <c r="J65" s="31"/>
      <c r="K65" s="31"/>
    </row>
    <row r="66" spans="1:11" s="60" customFormat="1" ht="15.75" customHeight="1" x14ac:dyDescent="0.25">
      <c r="A66" s="111" t="s">
        <v>125</v>
      </c>
      <c r="B66" s="112"/>
      <c r="C66" s="115">
        <v>1</v>
      </c>
      <c r="D66" s="116"/>
      <c r="E66" s="119" t="s">
        <v>124</v>
      </c>
      <c r="F66" s="116"/>
      <c r="G66" s="115">
        <v>1</v>
      </c>
      <c r="H66" s="151"/>
      <c r="I66" s="58"/>
      <c r="J66" s="59"/>
      <c r="K66" s="59"/>
    </row>
    <row r="67" spans="1:11" s="60" customFormat="1" ht="15.75" customHeight="1" thickBot="1" x14ac:dyDescent="0.3">
      <c r="A67" s="113"/>
      <c r="B67" s="114"/>
      <c r="C67" s="117"/>
      <c r="D67" s="118"/>
      <c r="E67" s="117"/>
      <c r="F67" s="118"/>
      <c r="G67" s="117"/>
      <c r="H67" s="152"/>
      <c r="I67" s="58"/>
      <c r="J67" s="59"/>
      <c r="K67" s="59"/>
    </row>
    <row r="68" spans="1:11" hidden="1" x14ac:dyDescent="0.25">
      <c r="A68" s="124" t="s">
        <v>53</v>
      </c>
      <c r="B68" s="124"/>
      <c r="C68" s="61" t="s">
        <v>242</v>
      </c>
      <c r="D68" s="61" t="s">
        <v>123</v>
      </c>
      <c r="E68" s="124" t="s">
        <v>125</v>
      </c>
      <c r="F68" s="124"/>
      <c r="G68" s="124" t="s">
        <v>124</v>
      </c>
      <c r="H68" s="124"/>
      <c r="I68" s="19" t="s">
        <v>243</v>
      </c>
      <c r="J68" s="32">
        <f ca="1">H64*25%</f>
        <v>5.75</v>
      </c>
      <c r="K68" s="32"/>
    </row>
    <row r="69" spans="1:11" hidden="1" x14ac:dyDescent="0.25">
      <c r="A69" s="93" t="s">
        <v>244</v>
      </c>
      <c r="B69" s="93"/>
      <c r="C69" s="33">
        <f ca="1">J70</f>
        <v>23</v>
      </c>
      <c r="D69" s="34">
        <f ca="1">((100/H64)*C69)/100</f>
        <v>1</v>
      </c>
      <c r="E69" s="96">
        <f ca="1">(((C70/H64*10)+(40/(D64+F64+H64)*C71)+(7.5/(H64)*C72)+(7.5/(H64)*C73)+(10/H64*C74)+(10/H64*C75)+(5/H64*C76)+(5/H64*C77)+(5/H64*C78))/100)</f>
        <v>1</v>
      </c>
      <c r="F69" s="96"/>
      <c r="G69" s="96">
        <f ca="1">((((C69/H64)*20)+((C70/H64)*25)+(30/(H64+F64+D64)*C71)+(5/H64*C72)+(5/H64*C73)+(5/H64*C74)+(5/H64*C75)+(0/H64*C76)+(0/H64*C77)+(5/H64*C78))/100)</f>
        <v>1</v>
      </c>
      <c r="H69" s="96"/>
      <c r="I69" s="19" t="s">
        <v>140</v>
      </c>
      <c r="J69" s="35">
        <f ca="1">H64*50%</f>
        <v>11.5</v>
      </c>
      <c r="K69" s="32"/>
    </row>
    <row r="70" spans="1:11" hidden="1" x14ac:dyDescent="0.25">
      <c r="A70" s="93" t="s">
        <v>54</v>
      </c>
      <c r="B70" s="93"/>
      <c r="C70" s="36">
        <f ca="1">J78</f>
        <v>23</v>
      </c>
      <c r="D70" s="34">
        <f ca="1">((100/H64)*C70)/100</f>
        <v>1</v>
      </c>
      <c r="E70" s="96"/>
      <c r="F70" s="96"/>
      <c r="G70" s="96"/>
      <c r="H70" s="96"/>
      <c r="I70" s="19" t="s">
        <v>141</v>
      </c>
      <c r="J70" s="35">
        <f ca="1">H64</f>
        <v>23</v>
      </c>
      <c r="K70" s="37"/>
    </row>
    <row r="71" spans="1:11" hidden="1" x14ac:dyDescent="0.25">
      <c r="A71" s="101" t="s">
        <v>245</v>
      </c>
      <c r="B71" s="101"/>
      <c r="C71" s="36">
        <f ca="1">D64+H64</f>
        <v>24</v>
      </c>
      <c r="D71" s="34">
        <f ca="1">((100/(D64+F64+H64))*C71)/100</f>
        <v>1</v>
      </c>
      <c r="E71" s="96"/>
      <c r="F71" s="96"/>
      <c r="G71" s="96"/>
      <c r="H71" s="96"/>
      <c r="I71" s="19" t="s">
        <v>142</v>
      </c>
      <c r="J71" s="38">
        <f ca="1">(IF(B64&gt;1,(H64/(B64+2)),H64/4))</f>
        <v>3.8333333333333335</v>
      </c>
      <c r="K71" s="37"/>
    </row>
    <row r="72" spans="1:11" hidden="1" x14ac:dyDescent="0.25">
      <c r="A72" s="93" t="s">
        <v>246</v>
      </c>
      <c r="B72" s="93" t="s">
        <v>247</v>
      </c>
      <c r="C72" s="33">
        <v>23</v>
      </c>
      <c r="D72" s="34">
        <f ca="1">((100/H64)*C72)/100</f>
        <v>1</v>
      </c>
      <c r="E72" s="96"/>
      <c r="F72" s="96"/>
      <c r="G72" s="96"/>
      <c r="H72" s="96"/>
      <c r="I72" s="19" t="s">
        <v>143</v>
      </c>
      <c r="J72" s="38">
        <f ca="1">(IF(B64&gt;1,(H64/(B64+2)+J71),H64/4+J71))</f>
        <v>7.666666666666667</v>
      </c>
      <c r="K72" s="37"/>
    </row>
    <row r="73" spans="1:11" hidden="1" x14ac:dyDescent="0.25">
      <c r="A73" s="93" t="s">
        <v>248</v>
      </c>
      <c r="B73" s="93" t="s">
        <v>247</v>
      </c>
      <c r="C73" s="33">
        <v>23</v>
      </c>
      <c r="D73" s="34">
        <f ca="1">((100/H64)*C73)/100</f>
        <v>1</v>
      </c>
      <c r="E73" s="96"/>
      <c r="F73" s="96"/>
      <c r="G73" s="96"/>
      <c r="H73" s="96"/>
      <c r="I73" s="19" t="s">
        <v>249</v>
      </c>
      <c r="J73" s="38">
        <f ca="1">(IF(B64&gt;1,(H64/(B64+2)+J72),0))</f>
        <v>11.5</v>
      </c>
      <c r="K73" s="37"/>
    </row>
    <row r="74" spans="1:11" hidden="1" x14ac:dyDescent="0.25">
      <c r="A74" s="93" t="s">
        <v>250</v>
      </c>
      <c r="B74" s="93" t="s">
        <v>251</v>
      </c>
      <c r="C74" s="33">
        <v>23</v>
      </c>
      <c r="D74" s="34">
        <f ca="1">((100/(H64))*C74)/100</f>
        <v>1</v>
      </c>
      <c r="E74" s="96"/>
      <c r="F74" s="96"/>
      <c r="G74" s="96"/>
      <c r="H74" s="96"/>
      <c r="I74" s="19" t="s">
        <v>252</v>
      </c>
      <c r="J74" s="38">
        <f ca="1">(IF(B64&gt;2,(H64/(B64+2)+J73),0))</f>
        <v>15.333333333333334</v>
      </c>
      <c r="K74" s="37"/>
    </row>
    <row r="75" spans="1:11" hidden="1" x14ac:dyDescent="0.25">
      <c r="A75" s="93" t="s">
        <v>253</v>
      </c>
      <c r="B75" s="93" t="s">
        <v>253</v>
      </c>
      <c r="C75" s="33">
        <v>23</v>
      </c>
      <c r="D75" s="34">
        <f ca="1">((100/H64)*C75)/100</f>
        <v>1</v>
      </c>
      <c r="E75" s="96"/>
      <c r="F75" s="96"/>
      <c r="G75" s="96"/>
      <c r="H75" s="96"/>
      <c r="I75" s="19" t="s">
        <v>254</v>
      </c>
      <c r="J75" s="39">
        <f ca="1">(IF(B64&gt;3,(H64/(B64+2)+J74),0))</f>
        <v>19.166666666666668</v>
      </c>
      <c r="K75" s="37"/>
    </row>
    <row r="76" spans="1:11" hidden="1" x14ac:dyDescent="0.25">
      <c r="A76" s="93" t="s">
        <v>255</v>
      </c>
      <c r="B76" s="93"/>
      <c r="C76" s="33">
        <v>23</v>
      </c>
      <c r="D76" s="34">
        <f ca="1">((100/H64)*C76)/100</f>
        <v>1</v>
      </c>
      <c r="E76" s="96"/>
      <c r="F76" s="96"/>
      <c r="G76" s="96"/>
      <c r="H76" s="96"/>
      <c r="I76" s="19" t="s">
        <v>256</v>
      </c>
      <c r="J76" s="38">
        <f>(IF(B64&gt;4,(H64/(B64+2)+J75),0))</f>
        <v>0</v>
      </c>
      <c r="K76" s="37"/>
    </row>
    <row r="77" spans="1:11" hidden="1" x14ac:dyDescent="0.25">
      <c r="A77" s="93" t="s">
        <v>257</v>
      </c>
      <c r="B77" s="93" t="s">
        <v>257</v>
      </c>
      <c r="C77" s="33">
        <v>23</v>
      </c>
      <c r="D77" s="34">
        <f ca="1">((100/(H64))*C77)/100</f>
        <v>1</v>
      </c>
      <c r="E77" s="96"/>
      <c r="F77" s="96"/>
      <c r="G77" s="96"/>
      <c r="H77" s="96"/>
      <c r="I77" s="19" t="s">
        <v>144</v>
      </c>
      <c r="J77" s="38">
        <f>(IF(B64=1,(H64/(B64+3)+J72),IF(B64=0,(H64/4+J72),IF(B64&gt;1,0))))</f>
        <v>0</v>
      </c>
      <c r="K77" s="37"/>
    </row>
    <row r="78" spans="1:11" ht="16.5" hidden="1" thickBot="1" x14ac:dyDescent="0.3">
      <c r="A78" s="95" t="s">
        <v>258</v>
      </c>
      <c r="B78" s="95"/>
      <c r="C78" s="64">
        <v>23</v>
      </c>
      <c r="D78" s="65">
        <f ca="1">((100/(H64))*C78)/100</f>
        <v>1</v>
      </c>
      <c r="E78" s="125"/>
      <c r="F78" s="125"/>
      <c r="G78" s="125"/>
      <c r="H78" s="125"/>
      <c r="I78" s="20" t="s">
        <v>145</v>
      </c>
      <c r="J78" s="40">
        <f ca="1">(IF(B64&gt;1.5,(H64/(B64+2)+J72+MAX(0,J73-J72)+MAX(0,J74-J73)+MAX(0,J75-J74)+MAX(0,J76-J75)+MAX(0,J77-J76)),IF(B64=1,(H64/(B64+3)+J77),IF(B64=0,H64/4+J77))))</f>
        <v>23</v>
      </c>
      <c r="K78" s="41"/>
    </row>
    <row r="79" spans="1:11" x14ac:dyDescent="0.25">
      <c r="A79" s="108" t="s">
        <v>241</v>
      </c>
      <c r="B79" s="109"/>
      <c r="C79" s="109" t="s">
        <v>280</v>
      </c>
      <c r="D79" s="109"/>
      <c r="E79" s="109"/>
      <c r="F79" s="109"/>
      <c r="G79" s="109"/>
      <c r="H79" s="110"/>
      <c r="I79" s="17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Slab",IF(C85&gt;0,", RCC upto "&amp;C85&amp;" Slab",""))&amp;(IF(C86=H80,", Brickwork",IF(C86&gt;0,", Brickwork upto "&amp;C86&amp;" Floor",""))&amp;(IF(C87=H80,", Internal Plaster",IF(C87&gt;0,", Internal Plaster upto "&amp;C87&amp;" Floor",""))&amp;(IF(C88=H80,", External Plaster",IF(C88&gt;0,", External Plaster upto "&amp;C88&amp;" Floor",""))&amp;(IF(C89=H80,", Flooring",IF(C89&gt;0,", Flooring upto "&amp;C89&amp;" Floor",""))&amp;(IF(C90=H80,", Painting",IF(C90&gt;0,", Painting upto "&amp;C90&amp;" Floor",""))&amp;(IF(C91&gt;0,", Finishing upto "&amp;C91&amp;" Floor","")&amp;(IF(C85&gt;0.5," Completed",""))))))))))))))</f>
        <v>Excavation work Completed. Plinth work completed, RCC Slab, Brickwork, Internal Plaster, External Plaster upto 20 Floor, Flooring upto 4 Floor Completed</v>
      </c>
      <c r="J79" s="30"/>
      <c r="K79" s="30"/>
    </row>
    <row r="80" spans="1:11" x14ac:dyDescent="0.25">
      <c r="A80" s="62" t="s">
        <v>103</v>
      </c>
      <c r="B80" s="57">
        <v>4</v>
      </c>
      <c r="C80" s="57" t="s">
        <v>105</v>
      </c>
      <c r="D80" s="57">
        <v>1</v>
      </c>
      <c r="E80" s="57" t="s">
        <v>104</v>
      </c>
      <c r="F80" s="57">
        <v>0</v>
      </c>
      <c r="G80" s="57" t="s">
        <v>120</v>
      </c>
      <c r="H80" s="63">
        <f ca="1">--TRIM(RIGHT(SUBSTITUTE(LEFT(C79,_xlfn.AGGREGATE(16,6,FIND({0,1,2,3,4,5,6,7,8,9},C79,ROW(INDIRECT("1:"&amp;LEN(C79)))),1))," ",REPT(" ",LEN(C79))),LEN(C79)))</f>
        <v>23</v>
      </c>
      <c r="I80" s="18"/>
      <c r="J80" s="31"/>
      <c r="K80" s="31"/>
    </row>
    <row r="81" spans="1:12" ht="50.25" customHeight="1" x14ac:dyDescent="0.25">
      <c r="A81" s="122" t="s">
        <v>131</v>
      </c>
      <c r="B81" s="123"/>
      <c r="C81" s="90" t="str">
        <f ca="1">I79</f>
        <v>Excavation work Completed. Plinth work completed, RCC Slab, Brickwork, Internal Plaster, External Plaster upto 20 Floor, Flooring upto 4 Floor Completed</v>
      </c>
      <c r="D81" s="90"/>
      <c r="E81" s="90"/>
      <c r="F81" s="90"/>
      <c r="G81" s="90"/>
      <c r="H81" s="91"/>
      <c r="I81" s="18" t="s">
        <v>146</v>
      </c>
      <c r="J81" s="31"/>
      <c r="K81" s="31"/>
    </row>
    <row r="82" spans="1:12" x14ac:dyDescent="0.25">
      <c r="A82" s="92" t="s">
        <v>53</v>
      </c>
      <c r="B82" s="93"/>
      <c r="C82" s="55" t="s">
        <v>242</v>
      </c>
      <c r="D82" s="55" t="s">
        <v>123</v>
      </c>
      <c r="E82" s="93" t="s">
        <v>125</v>
      </c>
      <c r="F82" s="93"/>
      <c r="G82" s="93" t="s">
        <v>124</v>
      </c>
      <c r="H82" s="94"/>
      <c r="I82" s="19" t="s">
        <v>243</v>
      </c>
      <c r="J82" s="32">
        <f ca="1">H80*25%</f>
        <v>5.75</v>
      </c>
      <c r="K82" s="32"/>
    </row>
    <row r="83" spans="1:12" x14ac:dyDescent="0.25">
      <c r="A83" s="93" t="s">
        <v>244</v>
      </c>
      <c r="B83" s="93"/>
      <c r="C83" s="33">
        <f ca="1">J84</f>
        <v>23</v>
      </c>
      <c r="D83" s="88">
        <f ca="1">((100/H80)*C83)/100</f>
        <v>1</v>
      </c>
      <c r="E83" s="96">
        <f ca="1">(((C84/H80*10)+(40/(D80+F80+H80)*C85)+(7.5/(H80)*C86)+(7.5/(H80)*C87)+(10/H80*C88)+(10/H80*C89)+(5/H80*C90)+(5/H80*C91)+(5/H80*C92))/100)</f>
        <v>0.75434782608695661</v>
      </c>
      <c r="F83" s="96"/>
      <c r="G83" s="96">
        <f ca="1">((((C83/H80)*20)+((C84/H80)*25)+(30/(H80+F80+D80)*C85)+(5/H80*C86)+(5/H80*C87)+(5/H80*C88)+(5/H80*C89)+(0/H80*C90)+(0/H80*C91)+(5/H80*C92))/100)</f>
        <v>0.90217391304347816</v>
      </c>
      <c r="H83" s="96"/>
      <c r="I83" s="19" t="s">
        <v>140</v>
      </c>
      <c r="J83" s="35">
        <f ca="1">H80*50%</f>
        <v>11.5</v>
      </c>
      <c r="K83" s="32"/>
    </row>
    <row r="84" spans="1:12" x14ac:dyDescent="0.25">
      <c r="A84" s="93" t="s">
        <v>54</v>
      </c>
      <c r="B84" s="93"/>
      <c r="C84" s="36">
        <f ca="1">J92</f>
        <v>23</v>
      </c>
      <c r="D84" s="88">
        <f ca="1">((100/H80)*C84)/100</f>
        <v>1</v>
      </c>
      <c r="E84" s="96"/>
      <c r="F84" s="96"/>
      <c r="G84" s="96"/>
      <c r="H84" s="96"/>
      <c r="I84" s="19" t="s">
        <v>141</v>
      </c>
      <c r="J84" s="35">
        <f ca="1">H80</f>
        <v>23</v>
      </c>
      <c r="K84" s="37"/>
    </row>
    <row r="85" spans="1:12" x14ac:dyDescent="0.25">
      <c r="A85" s="101" t="s">
        <v>245</v>
      </c>
      <c r="B85" s="101"/>
      <c r="C85" s="36">
        <v>24</v>
      </c>
      <c r="D85" s="88">
        <f ca="1">((100/(D80+F80+H80))*C85)/100</f>
        <v>1</v>
      </c>
      <c r="E85" s="96"/>
      <c r="F85" s="96"/>
      <c r="G85" s="96"/>
      <c r="H85" s="96"/>
      <c r="I85" s="19" t="s">
        <v>142</v>
      </c>
      <c r="J85" s="38">
        <f ca="1">(IF(B80&gt;1,(H80/(B80+2)),H80/4))</f>
        <v>3.8333333333333335</v>
      </c>
      <c r="K85" s="37"/>
    </row>
    <row r="86" spans="1:12" x14ac:dyDescent="0.25">
      <c r="A86" s="93" t="s">
        <v>246</v>
      </c>
      <c r="B86" s="93" t="s">
        <v>247</v>
      </c>
      <c r="C86" s="36">
        <v>23</v>
      </c>
      <c r="D86" s="88">
        <f ca="1">((100/H80)*C86)/100</f>
        <v>1</v>
      </c>
      <c r="E86" s="96"/>
      <c r="F86" s="96"/>
      <c r="G86" s="96"/>
      <c r="H86" s="96"/>
      <c r="I86" s="19" t="s">
        <v>143</v>
      </c>
      <c r="J86" s="38">
        <f ca="1">(IF(B80&gt;1,(H80/(B80+2)+J85),H80/4+J85))</f>
        <v>7.666666666666667</v>
      </c>
      <c r="K86" s="37"/>
    </row>
    <row r="87" spans="1:12" x14ac:dyDescent="0.25">
      <c r="A87" s="93" t="s">
        <v>248</v>
      </c>
      <c r="B87" s="93" t="s">
        <v>247</v>
      </c>
      <c r="C87" s="36">
        <v>23</v>
      </c>
      <c r="D87" s="88">
        <f ca="1">((100/H80)*C87)/100</f>
        <v>1</v>
      </c>
      <c r="E87" s="96"/>
      <c r="F87" s="96"/>
      <c r="G87" s="96"/>
      <c r="H87" s="96"/>
      <c r="I87" s="19" t="s">
        <v>249</v>
      </c>
      <c r="J87" s="38">
        <f ca="1">(IF(B80&gt;1,(H80/(B80+2)+J86),0))</f>
        <v>11.5</v>
      </c>
      <c r="K87" s="37"/>
    </row>
    <row r="88" spans="1:12" x14ac:dyDescent="0.25">
      <c r="A88" s="93" t="s">
        <v>250</v>
      </c>
      <c r="B88" s="93" t="s">
        <v>251</v>
      </c>
      <c r="C88" s="36">
        <v>20</v>
      </c>
      <c r="D88" s="88">
        <f ca="1">((100/(H80))*C88)/100</f>
        <v>0.86956521739130432</v>
      </c>
      <c r="E88" s="96"/>
      <c r="F88" s="96"/>
      <c r="G88" s="96"/>
      <c r="H88" s="96"/>
      <c r="I88" s="19" t="s">
        <v>252</v>
      </c>
      <c r="J88" s="38">
        <f ca="1">(IF(B80&gt;2,(H80/(B80+2)+J87),0))</f>
        <v>15.333333333333334</v>
      </c>
      <c r="K88" s="37"/>
    </row>
    <row r="89" spans="1:12" x14ac:dyDescent="0.25">
      <c r="A89" s="93" t="s">
        <v>253</v>
      </c>
      <c r="B89" s="93" t="s">
        <v>253</v>
      </c>
      <c r="C89" s="33">
        <v>4</v>
      </c>
      <c r="D89" s="88">
        <f ca="1">((100/H80)*C89)/100</f>
        <v>0.17391304347826086</v>
      </c>
      <c r="E89" s="96"/>
      <c r="F89" s="96"/>
      <c r="G89" s="96"/>
      <c r="H89" s="96"/>
      <c r="I89" s="19" t="s">
        <v>254</v>
      </c>
      <c r="J89" s="39">
        <f ca="1">(IF(B80&gt;3,(H80/(B80+2)+J88),0))</f>
        <v>19.166666666666668</v>
      </c>
      <c r="K89" s="37"/>
    </row>
    <row r="90" spans="1:12" x14ac:dyDescent="0.25">
      <c r="A90" s="93" t="s">
        <v>255</v>
      </c>
      <c r="B90" s="93"/>
      <c r="C90" s="33">
        <v>0</v>
      </c>
      <c r="D90" s="88">
        <f ca="1">((100/H80)*C90)/100</f>
        <v>0</v>
      </c>
      <c r="E90" s="96"/>
      <c r="F90" s="96"/>
      <c r="G90" s="96"/>
      <c r="H90" s="96"/>
      <c r="I90" s="19" t="s">
        <v>256</v>
      </c>
      <c r="J90" s="38">
        <f>(IF(B80&gt;4,(H80/(B80+2)+J89),0))</f>
        <v>0</v>
      </c>
      <c r="K90" s="37"/>
    </row>
    <row r="91" spans="1:12" x14ac:dyDescent="0.25">
      <c r="A91" s="93" t="s">
        <v>257</v>
      </c>
      <c r="B91" s="93" t="s">
        <v>257</v>
      </c>
      <c r="C91" s="33">
        <v>0</v>
      </c>
      <c r="D91" s="88">
        <f ca="1">((100/(H80))*C91)/100</f>
        <v>0</v>
      </c>
      <c r="E91" s="96"/>
      <c r="F91" s="96"/>
      <c r="G91" s="96"/>
      <c r="H91" s="96"/>
      <c r="I91" s="19" t="s">
        <v>144</v>
      </c>
      <c r="J91" s="38">
        <f>(IF(B80=1,(H80/(B80+3)+J86),IF(B80=0,(H80/4+J86),IF(B80&gt;1,0))))</f>
        <v>0</v>
      </c>
      <c r="K91" s="37"/>
    </row>
    <row r="92" spans="1:12" ht="16.5" thickBot="1" x14ac:dyDescent="0.3">
      <c r="A92" s="93" t="s">
        <v>258</v>
      </c>
      <c r="B92" s="93"/>
      <c r="C92" s="33">
        <v>0</v>
      </c>
      <c r="D92" s="88">
        <f ca="1">((100/(H80))*C92)/100</f>
        <v>0</v>
      </c>
      <c r="E92" s="96"/>
      <c r="F92" s="96"/>
      <c r="G92" s="96"/>
      <c r="H92" s="96"/>
      <c r="I92" s="20" t="s">
        <v>145</v>
      </c>
      <c r="J92" s="40">
        <f ca="1">(IF(B80&gt;1.5,(H80/(B80+2)+J86+MAX(0,J87-J86)+MAX(0,J88-J87)+MAX(0,J89-J88)+MAX(0,J90-J89)+MAX(0,J91-J90)),IF(B80=1,(H80/(B80+3)+J91),IF(B80=0,H80/4+J91))))</f>
        <v>23</v>
      </c>
      <c r="K92" s="41"/>
    </row>
    <row r="93" spans="1:12" x14ac:dyDescent="0.25">
      <c r="A93" s="90" t="s">
        <v>241</v>
      </c>
      <c r="B93" s="90"/>
      <c r="C93" s="90" t="s">
        <v>281</v>
      </c>
      <c r="D93" s="90"/>
      <c r="E93" s="90"/>
      <c r="F93" s="90"/>
      <c r="G93" s="90"/>
      <c r="H93" s="90"/>
      <c r="I93" s="17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Slab",IF(C99&gt;0,", RCC upto "&amp;C99&amp;" Slab",""))&amp;(IF(C100=H94,", Brickwork",IF(C100&gt;0,", Brickwork upto "&amp;C100&amp;" Floor",""))&amp;(IF(C101=H94,", Internal Plaster",IF(C101&gt;0,", Internal Plaster upto "&amp;C101&amp;" Floor",""))&amp;(IF(C102=H94,", External Plaster",IF(C102&gt;0,", External Plaster upto "&amp;C102&amp;" Floor",""))&amp;(IF(C103=H94,", Flooring",IF(C103&gt;0,", Flooring upto "&amp;C103&amp;" Floor",""))&amp;(IF(C104=H94,", Painting",IF(C104&gt;0,", Painting upto "&amp;C104&amp;" Floor",""))&amp;(IF(C105&gt;0,", Finishing upto "&amp;C105&amp;" Floor","")&amp;(IF(C99&gt;0.5," Completed",""))))))))))))))</f>
        <v>Excavation work Completed. Plinth work completed, RCC upto 23 Slab, Brickwork upto 21 Floor, Internal Plaster upto 20 Floor, External Plaster upto 17 Floor Completed</v>
      </c>
      <c r="J93" s="30"/>
      <c r="K93" s="30"/>
    </row>
    <row r="94" spans="1:12" x14ac:dyDescent="0.25">
      <c r="A94" s="89" t="s">
        <v>103</v>
      </c>
      <c r="B94" s="89">
        <v>4</v>
      </c>
      <c r="C94" s="89" t="s">
        <v>105</v>
      </c>
      <c r="D94" s="89">
        <v>1</v>
      </c>
      <c r="E94" s="89" t="s">
        <v>104</v>
      </c>
      <c r="F94" s="89">
        <v>0</v>
      </c>
      <c r="G94" s="89" t="s">
        <v>120</v>
      </c>
      <c r="H94" s="89">
        <f ca="1">--TRIM(RIGHT(SUBSTITUTE(LEFT(C93,_xlfn.AGGREGATE(16,6,FIND({0,1,2,3,4,5,6,7,8,9},C93,ROW(INDIRECT("1:"&amp;LEN(C93)))),1))," ",REPT(" ",LEN(C93))),LEN(C93)))</f>
        <v>23</v>
      </c>
      <c r="I94" s="18"/>
      <c r="J94" s="31"/>
      <c r="K94" s="31"/>
    </row>
    <row r="95" spans="1:12" ht="46.5" customHeight="1" x14ac:dyDescent="0.25">
      <c r="A95" s="123" t="s">
        <v>131</v>
      </c>
      <c r="B95" s="123"/>
      <c r="C95" s="90" t="str">
        <f ca="1">I93</f>
        <v>Excavation work Completed. Plinth work completed, RCC upto 23 Slab, Brickwork upto 21 Floor, Internal Plaster upto 20 Floor, External Plaster upto 17 Floor Completed</v>
      </c>
      <c r="D95" s="90"/>
      <c r="E95" s="90"/>
      <c r="F95" s="90"/>
      <c r="G95" s="90"/>
      <c r="H95" s="90"/>
      <c r="I95" s="18" t="s">
        <v>146</v>
      </c>
      <c r="J95" s="31"/>
      <c r="K95" s="31"/>
    </row>
    <row r="96" spans="1:12" x14ac:dyDescent="0.25">
      <c r="A96" s="93" t="s">
        <v>53</v>
      </c>
      <c r="B96" s="93"/>
      <c r="C96" s="87" t="s">
        <v>242</v>
      </c>
      <c r="D96" s="87" t="s">
        <v>123</v>
      </c>
      <c r="E96" s="93" t="s">
        <v>125</v>
      </c>
      <c r="F96" s="93"/>
      <c r="G96" s="93" t="s">
        <v>124</v>
      </c>
      <c r="H96" s="93"/>
      <c r="I96" s="19" t="s">
        <v>243</v>
      </c>
      <c r="J96" s="32">
        <f ca="1">H94*25%</f>
        <v>5.75</v>
      </c>
      <c r="K96" s="32"/>
      <c r="L96" s="26"/>
    </row>
    <row r="97" spans="1:11" x14ac:dyDescent="0.25">
      <c r="A97" s="93" t="s">
        <v>244</v>
      </c>
      <c r="B97" s="93"/>
      <c r="C97" s="33">
        <f ca="1">J98</f>
        <v>23</v>
      </c>
      <c r="D97" s="88">
        <f ca="1">((100/H94)*C97)/100</f>
        <v>1</v>
      </c>
      <c r="E97" s="96">
        <f ca="1">(((C98/H94*10)+(40/(D94+F94+H94)*C99)+(7.5/(H94)*C100)+(7.5/(H94)*C101)+(10/H94*C102)+(10/H94*C103)+(5/H94*C104)+(5/H94*C105)+(5/H94*C106))/100)</f>
        <v>0.69094202898550738</v>
      </c>
      <c r="F97" s="96"/>
      <c r="G97" s="96">
        <f ca="1">((((C97/H94)*20)+((C98/H94)*25)+(30/(H94+F94+D94)*C99)+(5/H94*C100)+(5/H94*C101)+(5/H94*C102)+(5/H94*C103)+(0/H94*C104)+(0/H94*C105)+(5/H94*C106))/100)</f>
        <v>0.86358695652173911</v>
      </c>
      <c r="H97" s="96"/>
      <c r="I97" s="19" t="s">
        <v>140</v>
      </c>
      <c r="J97" s="35">
        <f ca="1">H94*50%</f>
        <v>11.5</v>
      </c>
      <c r="K97" s="32"/>
    </row>
    <row r="98" spans="1:11" x14ac:dyDescent="0.25">
      <c r="A98" s="93" t="s">
        <v>54</v>
      </c>
      <c r="B98" s="93"/>
      <c r="C98" s="36">
        <f ca="1">J106</f>
        <v>23</v>
      </c>
      <c r="D98" s="88">
        <f ca="1">((100/H94)*C98)/100</f>
        <v>1</v>
      </c>
      <c r="E98" s="96"/>
      <c r="F98" s="96"/>
      <c r="G98" s="96"/>
      <c r="H98" s="96"/>
      <c r="I98" s="19" t="s">
        <v>141</v>
      </c>
      <c r="J98" s="35">
        <f ca="1">H94</f>
        <v>23</v>
      </c>
      <c r="K98" s="37"/>
    </row>
    <row r="99" spans="1:11" x14ac:dyDescent="0.25">
      <c r="A99" s="101" t="s">
        <v>245</v>
      </c>
      <c r="B99" s="101"/>
      <c r="C99" s="36">
        <v>23</v>
      </c>
      <c r="D99" s="88">
        <f ca="1">((100/(D94+F94+H94))*C99)/100</f>
        <v>0.95833333333333348</v>
      </c>
      <c r="E99" s="96"/>
      <c r="F99" s="96"/>
      <c r="G99" s="96"/>
      <c r="H99" s="96"/>
      <c r="I99" s="19" t="s">
        <v>142</v>
      </c>
      <c r="J99" s="38">
        <f ca="1">(IF(B94&gt;1,(H94/(B94+2)),H94/4))</f>
        <v>3.8333333333333335</v>
      </c>
      <c r="K99" s="37"/>
    </row>
    <row r="100" spans="1:11" x14ac:dyDescent="0.25">
      <c r="A100" s="93" t="s">
        <v>246</v>
      </c>
      <c r="B100" s="93" t="s">
        <v>247</v>
      </c>
      <c r="C100" s="36">
        <v>21</v>
      </c>
      <c r="D100" s="88">
        <f ca="1">((100/H94)*C100)/100</f>
        <v>0.91304347826086951</v>
      </c>
      <c r="E100" s="96"/>
      <c r="F100" s="96"/>
      <c r="G100" s="96"/>
      <c r="H100" s="96"/>
      <c r="I100" s="19" t="s">
        <v>143</v>
      </c>
      <c r="J100" s="38">
        <f ca="1">(IF(B94&gt;1,(H94/(B94+2)+J99),H94/4+J99))</f>
        <v>7.666666666666667</v>
      </c>
      <c r="K100" s="37"/>
    </row>
    <row r="101" spans="1:11" x14ac:dyDescent="0.25">
      <c r="A101" s="93" t="s">
        <v>248</v>
      </c>
      <c r="B101" s="93" t="s">
        <v>247</v>
      </c>
      <c r="C101" s="36">
        <v>20</v>
      </c>
      <c r="D101" s="88">
        <f ca="1">((100/H94)*C101)/100</f>
        <v>0.86956521739130432</v>
      </c>
      <c r="E101" s="96"/>
      <c r="F101" s="96"/>
      <c r="G101" s="96"/>
      <c r="H101" s="96"/>
      <c r="I101" s="19" t="s">
        <v>249</v>
      </c>
      <c r="J101" s="38">
        <f ca="1">(IF(B94&gt;1,(H94/(B94+2)+J100),0))</f>
        <v>11.5</v>
      </c>
      <c r="K101" s="37"/>
    </row>
    <row r="102" spans="1:11" x14ac:dyDescent="0.25">
      <c r="A102" s="93" t="s">
        <v>250</v>
      </c>
      <c r="B102" s="93" t="s">
        <v>251</v>
      </c>
      <c r="C102" s="36">
        <v>17</v>
      </c>
      <c r="D102" s="88">
        <f ca="1">((100/(H94))*C102)/100</f>
        <v>0.73913043478260865</v>
      </c>
      <c r="E102" s="96"/>
      <c r="F102" s="96"/>
      <c r="G102" s="96"/>
      <c r="H102" s="96"/>
      <c r="I102" s="19" t="s">
        <v>252</v>
      </c>
      <c r="J102" s="38">
        <f ca="1">(IF(B94&gt;2,(H94/(B94+2)+J101),0))</f>
        <v>15.333333333333334</v>
      </c>
      <c r="K102" s="37"/>
    </row>
    <row r="103" spans="1:11" x14ac:dyDescent="0.25">
      <c r="A103" s="93" t="s">
        <v>253</v>
      </c>
      <c r="B103" s="93" t="s">
        <v>253</v>
      </c>
      <c r="C103" s="33">
        <v>0</v>
      </c>
      <c r="D103" s="88">
        <f ca="1">((100/H94)*C103)/100</f>
        <v>0</v>
      </c>
      <c r="E103" s="96"/>
      <c r="F103" s="96"/>
      <c r="G103" s="96"/>
      <c r="H103" s="96"/>
      <c r="I103" s="19" t="s">
        <v>254</v>
      </c>
      <c r="J103" s="39">
        <f ca="1">(IF(B94&gt;3,(H94/(B94+2)+J102),0))</f>
        <v>19.166666666666668</v>
      </c>
      <c r="K103" s="37"/>
    </row>
    <row r="104" spans="1:11" x14ac:dyDescent="0.25">
      <c r="A104" s="93" t="s">
        <v>255</v>
      </c>
      <c r="B104" s="93"/>
      <c r="C104" s="33">
        <v>0</v>
      </c>
      <c r="D104" s="88">
        <f ca="1">((100/H94)*C104)/100</f>
        <v>0</v>
      </c>
      <c r="E104" s="96"/>
      <c r="F104" s="96"/>
      <c r="G104" s="96"/>
      <c r="H104" s="96"/>
      <c r="I104" s="19" t="s">
        <v>256</v>
      </c>
      <c r="J104" s="38">
        <f>(IF(B94&gt;4,(H94/(B94+2)+J103),0))</f>
        <v>0</v>
      </c>
      <c r="K104" s="37"/>
    </row>
    <row r="105" spans="1:11" x14ac:dyDescent="0.25">
      <c r="A105" s="93" t="s">
        <v>257</v>
      </c>
      <c r="B105" s="93" t="s">
        <v>257</v>
      </c>
      <c r="C105" s="33">
        <v>0</v>
      </c>
      <c r="D105" s="88">
        <f ca="1">((100/(H94))*C105)/100</f>
        <v>0</v>
      </c>
      <c r="E105" s="96"/>
      <c r="F105" s="96"/>
      <c r="G105" s="96"/>
      <c r="H105" s="96"/>
      <c r="I105" s="19" t="s">
        <v>144</v>
      </c>
      <c r="J105" s="38">
        <f>(IF(B94=1,(H94/(B94+3)+J100),IF(B94=0,(H94/4+J100),IF(B94&gt;1,0))))</f>
        <v>0</v>
      </c>
      <c r="K105" s="37"/>
    </row>
    <row r="106" spans="1:11" ht="16.5" thickBot="1" x14ac:dyDescent="0.3">
      <c r="A106" s="93" t="s">
        <v>258</v>
      </c>
      <c r="B106" s="93"/>
      <c r="C106" s="33">
        <v>0</v>
      </c>
      <c r="D106" s="88">
        <f ca="1">((100/(H94))*C106)/100</f>
        <v>0</v>
      </c>
      <c r="E106" s="96"/>
      <c r="F106" s="96"/>
      <c r="G106" s="96"/>
      <c r="H106" s="96"/>
      <c r="I106" s="20" t="s">
        <v>145</v>
      </c>
      <c r="J106" s="40">
        <f ca="1">(IF(B94&gt;1.5,(H94/(B94+2)+J100+MAX(0,J101-J100)+MAX(0,J102-J101)+MAX(0,J103-J102)+MAX(0,J104-J103)+MAX(0,J105-J104)),IF(B94=1,(H94/(B94+3)+J105),IF(B94=0,H94/4+J105))))</f>
        <v>23</v>
      </c>
      <c r="K106" s="41"/>
    </row>
    <row r="107" spans="1:11" x14ac:dyDescent="0.25">
      <c r="A107" s="166" t="s">
        <v>241</v>
      </c>
      <c r="B107" s="167"/>
      <c r="C107" s="167" t="s">
        <v>289</v>
      </c>
      <c r="D107" s="167"/>
      <c r="E107" s="167"/>
      <c r="F107" s="167"/>
      <c r="G107" s="167"/>
      <c r="H107" s="168"/>
      <c r="I107" s="17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Slab",IF(C113&gt;0,", RCC upto "&amp;C113&amp;" Slab",""))&amp;(IF(C114=H108,", Brickwork",IF(C114&gt;0,", Brickwork upto "&amp;C114&amp;" Floor",""))&amp;(IF(C115=H108,", Internal Plaster",IF(C115&gt;0,", Internal Plaster upto "&amp;C115&amp;" Floor",""))&amp;(IF(C116=H108,", External Plaster",IF(C116&gt;0,", External Plaster upto "&amp;C116&amp;" Floor",""))&amp;(IF(C117=H108,", Flooring",IF(C117&gt;0,", Flooring upto "&amp;C117&amp;" Floor",""))&amp;(IF(C118=H108,", Painting",IF(C118&gt;0,", Painting upto "&amp;C118&amp;" Floor",""))&amp;(IF(C119&gt;0,", Finishing upto "&amp;C119&amp;" Floor","")&amp;(IF(C113&gt;0.5," Completed",""))))))))))))))</f>
        <v>Excavation work Completed. Plinth work completed, RCC upto 3 Slab Completed</v>
      </c>
      <c r="J107" s="30"/>
      <c r="K107" s="30"/>
    </row>
    <row r="108" spans="1:11" x14ac:dyDescent="0.25">
      <c r="A108" s="62" t="s">
        <v>103</v>
      </c>
      <c r="B108" s="57">
        <v>4</v>
      </c>
      <c r="C108" s="57" t="s">
        <v>105</v>
      </c>
      <c r="D108" s="57">
        <v>1</v>
      </c>
      <c r="E108" s="57" t="s">
        <v>104</v>
      </c>
      <c r="F108" s="57">
        <v>0</v>
      </c>
      <c r="G108" s="57" t="s">
        <v>120</v>
      </c>
      <c r="H108" s="63">
        <f ca="1">--TRIM(RIGHT(SUBSTITUTE(LEFT(C107,_xlfn.AGGREGATE(16,6,FIND({0,1,2,3,4,5,6,7,8,9},C107,ROW(INDIRECT("1:"&amp;LEN(C107)))),1))," ",REPT(" ",LEN(C107))),LEN(C107)))</f>
        <v>23</v>
      </c>
      <c r="I108" s="18"/>
      <c r="J108" s="31"/>
      <c r="K108" s="31"/>
    </row>
    <row r="109" spans="1:11" ht="32.25" customHeight="1" x14ac:dyDescent="0.25">
      <c r="A109" s="122" t="s">
        <v>131</v>
      </c>
      <c r="B109" s="123"/>
      <c r="C109" s="90" t="str">
        <f ca="1">I107</f>
        <v>Excavation work Completed. Plinth work completed, RCC upto 3 Slab Completed</v>
      </c>
      <c r="D109" s="90"/>
      <c r="E109" s="90"/>
      <c r="F109" s="90"/>
      <c r="G109" s="90"/>
      <c r="H109" s="91"/>
      <c r="I109" s="18" t="s">
        <v>146</v>
      </c>
      <c r="J109" s="31"/>
      <c r="K109" s="31"/>
    </row>
    <row r="110" spans="1:11" x14ac:dyDescent="0.25">
      <c r="A110" s="92" t="s">
        <v>53</v>
      </c>
      <c r="B110" s="93"/>
      <c r="C110" s="55" t="s">
        <v>242</v>
      </c>
      <c r="D110" s="55" t="s">
        <v>123</v>
      </c>
      <c r="E110" s="93" t="s">
        <v>125</v>
      </c>
      <c r="F110" s="93"/>
      <c r="G110" s="93" t="s">
        <v>124</v>
      </c>
      <c r="H110" s="94"/>
      <c r="I110" s="19" t="s">
        <v>243</v>
      </c>
      <c r="J110" s="32">
        <f ca="1">H108*25%</f>
        <v>5.75</v>
      </c>
      <c r="K110" s="32"/>
    </row>
    <row r="111" spans="1:11" x14ac:dyDescent="0.25">
      <c r="A111" s="92" t="s">
        <v>244</v>
      </c>
      <c r="B111" s="93"/>
      <c r="C111" s="33">
        <v>23</v>
      </c>
      <c r="D111" s="56">
        <f ca="1">((100/H108)*C111)/100</f>
        <v>1</v>
      </c>
      <c r="E111" s="96">
        <f ca="1">(((C112/H108*10)+(40/(D108+F108+H108)*C113)+(7.5/(H108)*C114)+(7.5/(H108)*C115)+(10/H108*C116)+(10/H108*C117)+(5/H108*C118)+(5/H108*C119)+(5/H108*C120))/100)</f>
        <v>0.15</v>
      </c>
      <c r="F111" s="96"/>
      <c r="G111" s="96">
        <f ca="1">((((C111/H108)*20)+((C112/H108)*25)+(30/(H108+F108+D108)*C113)+(5/H108*C114)+(5/H108*C115)+(5/H108*C116)+(5/H108*C117)+(0/H108*C118)+(0/H108*C119)+(5/H108*C120))/100)</f>
        <v>0.48749999999999999</v>
      </c>
      <c r="H111" s="97"/>
      <c r="I111" s="19" t="s">
        <v>140</v>
      </c>
      <c r="J111" s="35">
        <f ca="1">H108*50%</f>
        <v>11.5</v>
      </c>
      <c r="K111" s="32"/>
    </row>
    <row r="112" spans="1:11" x14ac:dyDescent="0.25">
      <c r="A112" s="92" t="s">
        <v>54</v>
      </c>
      <c r="B112" s="93"/>
      <c r="C112" s="36">
        <f ca="1">J120</f>
        <v>23</v>
      </c>
      <c r="D112" s="56">
        <f ca="1">((100/H108)*C112)/100</f>
        <v>1</v>
      </c>
      <c r="E112" s="96"/>
      <c r="F112" s="96"/>
      <c r="G112" s="96"/>
      <c r="H112" s="97"/>
      <c r="I112" s="19" t="s">
        <v>141</v>
      </c>
      <c r="J112" s="35">
        <f ca="1">H108</f>
        <v>23</v>
      </c>
      <c r="K112" s="37"/>
    </row>
    <row r="113" spans="1:11" x14ac:dyDescent="0.25">
      <c r="A113" s="100" t="s">
        <v>245</v>
      </c>
      <c r="B113" s="101"/>
      <c r="C113" s="36">
        <v>3</v>
      </c>
      <c r="D113" s="56">
        <f ca="1">((100/(D108+F108+H108))*C113)/100</f>
        <v>0.125</v>
      </c>
      <c r="E113" s="96"/>
      <c r="F113" s="96"/>
      <c r="G113" s="96"/>
      <c r="H113" s="97"/>
      <c r="I113" s="19" t="s">
        <v>142</v>
      </c>
      <c r="J113" s="38">
        <f ca="1">(IF(B108&gt;1,(H108/(B108+2)),H108/4))</f>
        <v>3.8333333333333335</v>
      </c>
      <c r="K113" s="37"/>
    </row>
    <row r="114" spans="1:11" x14ac:dyDescent="0.25">
      <c r="A114" s="92" t="s">
        <v>246</v>
      </c>
      <c r="B114" s="93" t="s">
        <v>247</v>
      </c>
      <c r="C114" s="33">
        <v>0</v>
      </c>
      <c r="D114" s="56">
        <f ca="1">((100/H108)*C114)/100</f>
        <v>0</v>
      </c>
      <c r="E114" s="96"/>
      <c r="F114" s="96"/>
      <c r="G114" s="96"/>
      <c r="H114" s="97"/>
      <c r="I114" s="19" t="s">
        <v>143</v>
      </c>
      <c r="J114" s="38">
        <f ca="1">(IF(B108&gt;1,(H108/(B108+2)+J113),H108/4+J113))</f>
        <v>7.666666666666667</v>
      </c>
      <c r="K114" s="37"/>
    </row>
    <row r="115" spans="1:11" x14ac:dyDescent="0.25">
      <c r="A115" s="92" t="s">
        <v>248</v>
      </c>
      <c r="B115" s="93" t="s">
        <v>247</v>
      </c>
      <c r="C115" s="33">
        <v>0</v>
      </c>
      <c r="D115" s="56">
        <f ca="1">((100/H108)*C115)/100</f>
        <v>0</v>
      </c>
      <c r="E115" s="96"/>
      <c r="F115" s="96"/>
      <c r="G115" s="96"/>
      <c r="H115" s="97"/>
      <c r="I115" s="19" t="s">
        <v>249</v>
      </c>
      <c r="J115" s="38">
        <f ca="1">(IF(B108&gt;1,(H108/(B108+2)+J114),0))</f>
        <v>11.5</v>
      </c>
      <c r="K115" s="37"/>
    </row>
    <row r="116" spans="1:11" x14ac:dyDescent="0.25">
      <c r="A116" s="92" t="s">
        <v>250</v>
      </c>
      <c r="B116" s="93" t="s">
        <v>251</v>
      </c>
      <c r="C116" s="33">
        <v>0</v>
      </c>
      <c r="D116" s="56">
        <f ca="1">((100/(H108))*C116)/100</f>
        <v>0</v>
      </c>
      <c r="E116" s="96"/>
      <c r="F116" s="96"/>
      <c r="G116" s="96"/>
      <c r="H116" s="97"/>
      <c r="I116" s="19" t="s">
        <v>252</v>
      </c>
      <c r="J116" s="38">
        <f ca="1">(IF(B108&gt;2,(H108/(B108+2)+J115),0))</f>
        <v>15.333333333333334</v>
      </c>
      <c r="K116" s="37"/>
    </row>
    <row r="117" spans="1:11" x14ac:dyDescent="0.25">
      <c r="A117" s="92" t="s">
        <v>253</v>
      </c>
      <c r="B117" s="93" t="s">
        <v>253</v>
      </c>
      <c r="C117" s="33">
        <v>0</v>
      </c>
      <c r="D117" s="56">
        <f ca="1">((100/H108)*C117)/100</f>
        <v>0</v>
      </c>
      <c r="E117" s="96"/>
      <c r="F117" s="96"/>
      <c r="G117" s="96"/>
      <c r="H117" s="97"/>
      <c r="I117" s="19" t="s">
        <v>254</v>
      </c>
      <c r="J117" s="39">
        <f ca="1">(IF(B108&gt;3,(H108/(B108+2)+J116),0))</f>
        <v>19.166666666666668</v>
      </c>
      <c r="K117" s="37"/>
    </row>
    <row r="118" spans="1:11" x14ac:dyDescent="0.25">
      <c r="A118" s="92" t="s">
        <v>255</v>
      </c>
      <c r="B118" s="93"/>
      <c r="C118" s="33">
        <v>0</v>
      </c>
      <c r="D118" s="56">
        <f ca="1">((100/H108)*C118)/100</f>
        <v>0</v>
      </c>
      <c r="E118" s="96"/>
      <c r="F118" s="96"/>
      <c r="G118" s="96"/>
      <c r="H118" s="97"/>
      <c r="I118" s="19" t="s">
        <v>256</v>
      </c>
      <c r="J118" s="38">
        <f>(IF(B108&gt;4,(H108/(B108+2)+J117),0))</f>
        <v>0</v>
      </c>
      <c r="K118" s="37"/>
    </row>
    <row r="119" spans="1:11" x14ac:dyDescent="0.25">
      <c r="A119" s="92" t="s">
        <v>257</v>
      </c>
      <c r="B119" s="93" t="s">
        <v>257</v>
      </c>
      <c r="C119" s="33">
        <v>0</v>
      </c>
      <c r="D119" s="56">
        <f ca="1">((100/(H108))*C119)/100</f>
        <v>0</v>
      </c>
      <c r="E119" s="96"/>
      <c r="F119" s="96"/>
      <c r="G119" s="96"/>
      <c r="H119" s="97"/>
      <c r="I119" s="19" t="s">
        <v>144</v>
      </c>
      <c r="J119" s="38">
        <f>(IF(B108=1,(H108/(B108+3)+J114),IF(B108=0,(H108/4+J114),IF(B108&gt;1,0))))</f>
        <v>0</v>
      </c>
      <c r="K119" s="37"/>
    </row>
    <row r="120" spans="1:11" ht="16.5" thickBot="1" x14ac:dyDescent="0.3">
      <c r="A120" s="102" t="s">
        <v>258</v>
      </c>
      <c r="B120" s="103"/>
      <c r="C120" s="66">
        <v>0</v>
      </c>
      <c r="D120" s="67">
        <f ca="1">((100/(H108))*C120)/100</f>
        <v>0</v>
      </c>
      <c r="E120" s="98"/>
      <c r="F120" s="98"/>
      <c r="G120" s="98"/>
      <c r="H120" s="99"/>
      <c r="I120" s="20" t="s">
        <v>145</v>
      </c>
      <c r="J120" s="40">
        <f ca="1">(IF(B108&gt;1.5,(H108/(B108+2)+J114+MAX(0,J115-J114)+MAX(0,J116-J115)+MAX(0,J117-J116)+MAX(0,J118-J117)+MAX(0,J119-J118)),IF(B108=1,(H108/(B108+3)+J119),IF(B108=0,H108/4+J119))))</f>
        <v>23</v>
      </c>
      <c r="K120" s="41"/>
    </row>
    <row r="121" spans="1:11" hidden="1" x14ac:dyDescent="0.25">
      <c r="A121" s="108" t="s">
        <v>241</v>
      </c>
      <c r="B121" s="109"/>
      <c r="C121" s="109" t="s">
        <v>283</v>
      </c>
      <c r="D121" s="109"/>
      <c r="E121" s="109"/>
      <c r="F121" s="109"/>
      <c r="G121" s="109"/>
      <c r="H121" s="110"/>
      <c r="I121" s="17" t="str">
        <f ca="1"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","0")))&amp;(IF(C126=0%,"",IF(C126=J127,"Footing work is process",IF(C126=J128,"Footing work Completed",IF(C126=J129,"1st Basement Completed",IF(C126=J130,"1st &amp; 2nd Basement Completed",IF(C126=J131,"1st to 3rd Basement Completed",IF(C126=J132,"1st to 4th Basement Completed",IF(C126=J133,"Plinth work is process",IF(C126=J134,"Plinth work completed","0")))))))))))&amp;(IF(C127=(D122+F122+H122),", RCC Slab",IF(C127&gt;0,", RCC upto "&amp;C127&amp;" Slab",""))&amp;(IF(C128=H122,", Brickwork",IF(C128&gt;0,", Brickwork upto "&amp;C128&amp;" Floor",""))&amp;(IF(C129=H122,", Internal Plaster",IF(C129&gt;0,", Internal Plaster upto "&amp;C129&amp;" Floor",""))&amp;(IF(C130=H122,", External Plaster",IF(C130&gt;0,", External Plaster upto "&amp;C130&amp;" Floor",""))&amp;(IF(C131=H122,", Flooring",IF(C131&gt;0,", Flooring upto "&amp;C131&amp;" Floor",""))&amp;(IF(C132=H122,", Painting",IF(C132&gt;0,", Painting upto "&amp;C132&amp;" Floor",""))&amp;(IF(C133&gt;0,", Finishing upto "&amp;C133&amp;" Floor","")&amp;(IF(C127&gt;0.5," Completed",""))))))))))))))</f>
        <v>Excavation work Completed. 1st &amp; 2nd Basement Completed</v>
      </c>
      <c r="J121" s="30"/>
      <c r="K121" s="30"/>
    </row>
    <row r="122" spans="1:11" hidden="1" x14ac:dyDescent="0.25">
      <c r="A122" s="80" t="s">
        <v>103</v>
      </c>
      <c r="B122" s="81">
        <v>4</v>
      </c>
      <c r="C122" s="81" t="s">
        <v>105</v>
      </c>
      <c r="D122" s="81">
        <v>1</v>
      </c>
      <c r="E122" s="81" t="s">
        <v>104</v>
      </c>
      <c r="F122" s="81">
        <v>0</v>
      </c>
      <c r="G122" s="81" t="s">
        <v>120</v>
      </c>
      <c r="H122" s="63">
        <f ca="1">--TRIM(RIGHT(SUBSTITUTE(LEFT(C121,_xlfn.AGGREGATE(16,6,FIND({0,1,2,3,4,5,6,7,8,9},C121,ROW(INDIRECT("1:"&amp;LEN(C121)))),1))," ",REPT(" ",LEN(C121))),LEN(C121)))</f>
        <v>23</v>
      </c>
      <c r="I122" s="18"/>
      <c r="J122" s="31"/>
      <c r="K122" s="31"/>
    </row>
    <row r="123" spans="1:11" hidden="1" x14ac:dyDescent="0.25">
      <c r="A123" s="122" t="s">
        <v>131</v>
      </c>
      <c r="B123" s="123"/>
      <c r="C123" s="90" t="str">
        <f ca="1">I121</f>
        <v>Excavation work Completed. 1st &amp; 2nd Basement Completed</v>
      </c>
      <c r="D123" s="90"/>
      <c r="E123" s="90"/>
      <c r="F123" s="90"/>
      <c r="G123" s="90"/>
      <c r="H123" s="91"/>
      <c r="I123" s="18" t="s">
        <v>146</v>
      </c>
      <c r="J123" s="31"/>
      <c r="K123" s="31"/>
    </row>
    <row r="124" spans="1:11" hidden="1" x14ac:dyDescent="0.25">
      <c r="A124" s="92" t="s">
        <v>53</v>
      </c>
      <c r="B124" s="93"/>
      <c r="C124" s="79" t="s">
        <v>242</v>
      </c>
      <c r="D124" s="79" t="s">
        <v>123</v>
      </c>
      <c r="E124" s="93" t="s">
        <v>125</v>
      </c>
      <c r="F124" s="93"/>
      <c r="G124" s="93" t="s">
        <v>124</v>
      </c>
      <c r="H124" s="94"/>
      <c r="I124" s="19" t="s">
        <v>243</v>
      </c>
      <c r="J124" s="32">
        <f ca="1">H122*25%</f>
        <v>5.75</v>
      </c>
      <c r="K124" s="32"/>
    </row>
    <row r="125" spans="1:11" hidden="1" x14ac:dyDescent="0.25">
      <c r="A125" s="92" t="s">
        <v>244</v>
      </c>
      <c r="B125" s="93"/>
      <c r="C125" s="33">
        <v>23</v>
      </c>
      <c r="D125" s="77">
        <f ca="1">((100/H122)*C125)/100</f>
        <v>1</v>
      </c>
      <c r="E125" s="96">
        <f ca="1">(((C126/H122*10)+(40/(D122+F122+H122)*C127)+(7.5/(H122)*C128)+(7.5/(H122)*C129)+(10/H122*C130)+(10/H122*C131)+(5/H122*C132)+(5/H122*C133)+(5/H122*C134))/100)</f>
        <v>6.666666666666668E-2</v>
      </c>
      <c r="F125" s="96"/>
      <c r="G125" s="96">
        <f ca="1">((((C125/H122)*20)+((C126/H122)*25)+(30/(H122+F122+D122)*C127)+(5/H122*C128)+(5/H122*C129)+(5/H122*C130)+(5/H122*C131)+(0/H122*C132)+(0/H122*C133)+(5/H122*C134))/100)</f>
        <v>0.3666666666666667</v>
      </c>
      <c r="H125" s="97"/>
      <c r="I125" s="19" t="s">
        <v>140</v>
      </c>
      <c r="J125" s="35">
        <f ca="1">H122*50%</f>
        <v>11.5</v>
      </c>
      <c r="K125" s="32"/>
    </row>
    <row r="126" spans="1:11" hidden="1" x14ac:dyDescent="0.25">
      <c r="A126" s="92" t="s">
        <v>54</v>
      </c>
      <c r="B126" s="93"/>
      <c r="C126" s="36">
        <f ca="1">J130</f>
        <v>15.333333333333334</v>
      </c>
      <c r="D126" s="77">
        <f ca="1">((100/H122)*C126)/100</f>
        <v>0.66666666666666674</v>
      </c>
      <c r="E126" s="96"/>
      <c r="F126" s="96"/>
      <c r="G126" s="96"/>
      <c r="H126" s="97"/>
      <c r="I126" s="19" t="s">
        <v>141</v>
      </c>
      <c r="J126" s="35">
        <f ca="1">H122</f>
        <v>23</v>
      </c>
      <c r="K126" s="37"/>
    </row>
    <row r="127" spans="1:11" hidden="1" x14ac:dyDescent="0.25">
      <c r="A127" s="100" t="s">
        <v>245</v>
      </c>
      <c r="B127" s="101"/>
      <c r="C127" s="36">
        <v>0</v>
      </c>
      <c r="D127" s="77">
        <f ca="1">((100/(D122+F122+H122))*C127)/100</f>
        <v>0</v>
      </c>
      <c r="E127" s="96"/>
      <c r="F127" s="96"/>
      <c r="G127" s="96"/>
      <c r="H127" s="97"/>
      <c r="I127" s="19" t="s">
        <v>142</v>
      </c>
      <c r="J127" s="38">
        <f ca="1">(IF(B122&gt;1,(H122/(B122+2)),H122/4))</f>
        <v>3.8333333333333335</v>
      </c>
      <c r="K127" s="37"/>
    </row>
    <row r="128" spans="1:11" hidden="1" x14ac:dyDescent="0.25">
      <c r="A128" s="92" t="s">
        <v>246</v>
      </c>
      <c r="B128" s="93" t="s">
        <v>247</v>
      </c>
      <c r="C128" s="33">
        <v>0</v>
      </c>
      <c r="D128" s="77">
        <f ca="1">((100/H122)*C128)/100</f>
        <v>0</v>
      </c>
      <c r="E128" s="96"/>
      <c r="F128" s="96"/>
      <c r="G128" s="96"/>
      <c r="H128" s="97"/>
      <c r="I128" s="19" t="s">
        <v>143</v>
      </c>
      <c r="J128" s="38">
        <f ca="1">(IF(B122&gt;1,(H122/(B122+2)+J127),H122/4+J127))</f>
        <v>7.666666666666667</v>
      </c>
      <c r="K128" s="37"/>
    </row>
    <row r="129" spans="1:11" hidden="1" x14ac:dyDescent="0.25">
      <c r="A129" s="92" t="s">
        <v>248</v>
      </c>
      <c r="B129" s="93" t="s">
        <v>247</v>
      </c>
      <c r="C129" s="33">
        <v>0</v>
      </c>
      <c r="D129" s="77">
        <f ca="1">((100/H122)*C129)/100</f>
        <v>0</v>
      </c>
      <c r="E129" s="96"/>
      <c r="F129" s="96"/>
      <c r="G129" s="96"/>
      <c r="H129" s="97"/>
      <c r="I129" s="19" t="s">
        <v>249</v>
      </c>
      <c r="J129" s="38">
        <f ca="1">(IF(B122&gt;1,(H122/(B122+2)+J128),0))</f>
        <v>11.5</v>
      </c>
      <c r="K129" s="37"/>
    </row>
    <row r="130" spans="1:11" hidden="1" x14ac:dyDescent="0.25">
      <c r="A130" s="92" t="s">
        <v>250</v>
      </c>
      <c r="B130" s="93" t="s">
        <v>251</v>
      </c>
      <c r="C130" s="33">
        <v>0</v>
      </c>
      <c r="D130" s="77">
        <f ca="1">((100/(H122))*C130)/100</f>
        <v>0</v>
      </c>
      <c r="E130" s="96"/>
      <c r="F130" s="96"/>
      <c r="G130" s="96"/>
      <c r="H130" s="97"/>
      <c r="I130" s="19" t="s">
        <v>252</v>
      </c>
      <c r="J130" s="38">
        <f ca="1">(IF(B122&gt;2,(H122/(B122+2)+J129),0))</f>
        <v>15.333333333333334</v>
      </c>
      <c r="K130" s="37"/>
    </row>
    <row r="131" spans="1:11" hidden="1" x14ac:dyDescent="0.25">
      <c r="A131" s="92" t="s">
        <v>253</v>
      </c>
      <c r="B131" s="93" t="s">
        <v>253</v>
      </c>
      <c r="C131" s="33">
        <v>0</v>
      </c>
      <c r="D131" s="77">
        <f ca="1">((100/H122)*C131)/100</f>
        <v>0</v>
      </c>
      <c r="E131" s="96"/>
      <c r="F131" s="96"/>
      <c r="G131" s="96"/>
      <c r="H131" s="97"/>
      <c r="I131" s="19" t="s">
        <v>254</v>
      </c>
      <c r="J131" s="39">
        <f ca="1">(IF(B122&gt;3,(H122/(B122+2)+J130),0))</f>
        <v>19.166666666666668</v>
      </c>
      <c r="K131" s="37"/>
    </row>
    <row r="132" spans="1:11" hidden="1" x14ac:dyDescent="0.25">
      <c r="A132" s="92" t="s">
        <v>255</v>
      </c>
      <c r="B132" s="93"/>
      <c r="C132" s="33">
        <v>0</v>
      </c>
      <c r="D132" s="77">
        <f ca="1">((100/H122)*C132)/100</f>
        <v>0</v>
      </c>
      <c r="E132" s="96"/>
      <c r="F132" s="96"/>
      <c r="G132" s="96"/>
      <c r="H132" s="97"/>
      <c r="I132" s="19" t="s">
        <v>256</v>
      </c>
      <c r="J132" s="38">
        <f>(IF(B122&gt;4,(H122/(B122+2)+J131),0))</f>
        <v>0</v>
      </c>
      <c r="K132" s="37"/>
    </row>
    <row r="133" spans="1:11" hidden="1" x14ac:dyDescent="0.25">
      <c r="A133" s="92" t="s">
        <v>257</v>
      </c>
      <c r="B133" s="93" t="s">
        <v>257</v>
      </c>
      <c r="C133" s="33">
        <v>0</v>
      </c>
      <c r="D133" s="77">
        <f ca="1">((100/(H122))*C133)/100</f>
        <v>0</v>
      </c>
      <c r="E133" s="96"/>
      <c r="F133" s="96"/>
      <c r="G133" s="96"/>
      <c r="H133" s="97"/>
      <c r="I133" s="19" t="s">
        <v>144</v>
      </c>
      <c r="J133" s="38">
        <f>(IF(B122=1,(H122/(B122+3)+J128),IF(B122=0,(H122/4+J128),IF(B122&gt;1,0))))</f>
        <v>0</v>
      </c>
      <c r="K133" s="37"/>
    </row>
    <row r="134" spans="1:11" ht="16.5" hidden="1" thickBot="1" x14ac:dyDescent="0.3">
      <c r="A134" s="102" t="s">
        <v>258</v>
      </c>
      <c r="B134" s="103"/>
      <c r="C134" s="66">
        <v>0</v>
      </c>
      <c r="D134" s="78">
        <f ca="1">((100/(H122))*C134)/100</f>
        <v>0</v>
      </c>
      <c r="E134" s="98"/>
      <c r="F134" s="98"/>
      <c r="G134" s="98"/>
      <c r="H134" s="99"/>
      <c r="I134" s="20" t="s">
        <v>145</v>
      </c>
      <c r="J134" s="40">
        <f ca="1">(IF(B122&gt;1.5,(H122/(B122+2)+J128+MAX(0,J129-J128)+MAX(0,J130-J129)+MAX(0,J131-J130)+MAX(0,J132-J131)+MAX(0,J133-J132)),IF(B122=1,(H122/(B122+3)+J133),IF(B122=0,H122/4+J133))))</f>
        <v>23</v>
      </c>
      <c r="K134" s="41"/>
    </row>
    <row r="135" spans="1:11" ht="32.1" hidden="1" customHeight="1" thickBot="1" x14ac:dyDescent="0.3">
      <c r="A135" s="194" t="s">
        <v>284</v>
      </c>
      <c r="B135" s="195"/>
      <c r="C135" s="196">
        <f ca="1">AVERAGE(E111,E125)</f>
        <v>0.10833333333333334</v>
      </c>
      <c r="D135" s="197"/>
      <c r="E135" s="198" t="s">
        <v>285</v>
      </c>
      <c r="F135" s="199"/>
      <c r="G135" s="198">
        <f ca="1">AVERAGE(G111,G125)</f>
        <v>0.42708333333333337</v>
      </c>
      <c r="H135" s="200"/>
      <c r="I135" s="20" t="s">
        <v>145</v>
      </c>
      <c r="J135" s="40">
        <f ca="1">(IF(B123&gt;1.5,(H123/(B123+2)+J129+MAX(0,J130-J129)+MAX(0,J131-J130)+MAX(0,J132-J131)+MAX(0,J133-J132)+MAX(0,J134-J133)),IF(B123=1,(H123/(B123+3)+J134),IF(B123=0,H123/4+J134))))</f>
        <v>23</v>
      </c>
      <c r="K135" s="41"/>
    </row>
    <row r="136" spans="1:11" x14ac:dyDescent="0.25">
      <c r="A136" s="108" t="s">
        <v>241</v>
      </c>
      <c r="B136" s="109"/>
      <c r="C136" s="109" t="s">
        <v>282</v>
      </c>
      <c r="D136" s="109"/>
      <c r="E136" s="109"/>
      <c r="F136" s="109"/>
      <c r="G136" s="109"/>
      <c r="H136" s="110"/>
      <c r="I136" s="17" t="str">
        <f ca="1">(IF(E140&gt;99%,"All work completed. Please provide OC.",IF(E140&gt;89.8%,"Plinth, RCC, Brick, Plaster, Flooring, Painting work Completed. Finishing work is in process.",IF(E140&lt;94%,(IF(C140=0,"Work not yet Started.",IF(D140=25%,"Piling work in process",IF(D140=50%,"Excavation work in process",IF(D140=100%,"Excavation work Completed. ","0")))&amp;(IF(C141=0%,"",IF(C141=J142,"Footing work is process",IF(C141=J143,"Footing work Completed",IF(C141=J144,"1st Basement Completed",IF(C141=J145,"1st &amp; 2nd Basement Completed",IF(C141=J146,"1st to 3rd Basement Completed",IF(C141=J147,"1st to 4th Basement Completed",IF(C141=J148,"Plinth work is process",IF(C141=J149,"Plinth work completed","0")))))))))))&amp;(IF(C142=(D137+F137+H137),", RCC Slab",IF(C142&gt;0,", RCC upto "&amp;C142&amp;" Slab",""))&amp;(IF(C143=H137,", Brickwork",IF(C143&gt;0,", Brickwork upto "&amp;C143&amp;" Floor",""))&amp;(IF(C144=H137,", Internal Plaster",IF(C144&gt;0,", Internal Plaster upto "&amp;C144&amp;" Floor",""))&amp;(IF(C145=H137,", External Plaster",IF(C145&gt;0,", External Plaster upto "&amp;C145&amp;" Floor",""))&amp;(IF(C146=H137,", Flooring",IF(C146&gt;0,", Flooring upto "&amp;C146&amp;" Floor",""))&amp;(IF(C147=H137,", Painting",IF(C147&gt;0,", Painting upto "&amp;C147&amp;" Floor",""))&amp;(IF(C148&gt;0,", Finishing upto "&amp;C148&amp;" Floor","")&amp;(IF(C142&gt;0.5," Completed",""))))))))))))))</f>
        <v>Excavation work Completed. 1st Basement Completed</v>
      </c>
      <c r="J136" s="30"/>
      <c r="K136" s="30"/>
    </row>
    <row r="137" spans="1:11" x14ac:dyDescent="0.25">
      <c r="A137" s="80" t="s">
        <v>103</v>
      </c>
      <c r="B137" s="81">
        <v>4</v>
      </c>
      <c r="C137" s="81" t="s">
        <v>105</v>
      </c>
      <c r="D137" s="81">
        <v>1</v>
      </c>
      <c r="E137" s="81" t="s">
        <v>104</v>
      </c>
      <c r="F137" s="81">
        <v>0</v>
      </c>
      <c r="G137" s="81" t="s">
        <v>120</v>
      </c>
      <c r="H137" s="63">
        <f ca="1">--TRIM(RIGHT(SUBSTITUTE(LEFT(C136,_xlfn.AGGREGATE(16,6,FIND({0,1,2,3,4,5,6,7,8,9},C136,ROW(INDIRECT("1:"&amp;LEN(C136)))),1))," ",REPT(" ",LEN(C136))),LEN(C136)))</f>
        <v>23</v>
      </c>
      <c r="I137" s="18"/>
      <c r="J137" s="31"/>
      <c r="K137" s="31"/>
    </row>
    <row r="138" spans="1:11" x14ac:dyDescent="0.25">
      <c r="A138" s="122" t="s">
        <v>131</v>
      </c>
      <c r="B138" s="123"/>
      <c r="C138" s="90" t="str">
        <f ca="1">I136</f>
        <v>Excavation work Completed. 1st Basement Completed</v>
      </c>
      <c r="D138" s="90"/>
      <c r="E138" s="90"/>
      <c r="F138" s="90"/>
      <c r="G138" s="90"/>
      <c r="H138" s="91"/>
      <c r="I138" s="18" t="s">
        <v>146</v>
      </c>
      <c r="J138" s="31"/>
      <c r="K138" s="31"/>
    </row>
    <row r="139" spans="1:11" x14ac:dyDescent="0.25">
      <c r="A139" s="92" t="s">
        <v>53</v>
      </c>
      <c r="B139" s="93"/>
      <c r="C139" s="79" t="s">
        <v>242</v>
      </c>
      <c r="D139" s="79" t="s">
        <v>123</v>
      </c>
      <c r="E139" s="93" t="s">
        <v>125</v>
      </c>
      <c r="F139" s="93"/>
      <c r="G139" s="93" t="s">
        <v>124</v>
      </c>
      <c r="H139" s="94"/>
      <c r="I139" s="19" t="s">
        <v>243</v>
      </c>
      <c r="J139" s="32">
        <f ca="1">H137*25%</f>
        <v>5.75</v>
      </c>
      <c r="K139" s="32"/>
    </row>
    <row r="140" spans="1:11" x14ac:dyDescent="0.25">
      <c r="A140" s="92" t="s">
        <v>244</v>
      </c>
      <c r="B140" s="93"/>
      <c r="C140" s="33">
        <v>23</v>
      </c>
      <c r="D140" s="77">
        <f ca="1">((100/H137)*C140)/100</f>
        <v>1</v>
      </c>
      <c r="E140" s="96">
        <f ca="1">(((C141/H137*10)+(40/(D137+F137+H137)*C142)+(7.5/(H137)*C143)+(7.5/(H137)*C144)+(10/H137*C145)+(10/H137*C146)+(5/H137*C147)+(5/H137*C148)+(5/H137*C149))/100)</f>
        <v>0.05</v>
      </c>
      <c r="F140" s="96"/>
      <c r="G140" s="96">
        <f ca="1">((((C140/H137)*20)+((C141/H137)*25)+(30/(H137+F137+D137)*C142)+(5/H137*C143)+(5/H137*C144)+(5/H137*C145)+(5/H137*C146)+(0/H137*C147)+(0/H137*C148)+(5/H137*C149))/100)</f>
        <v>0.32500000000000001</v>
      </c>
      <c r="H140" s="97"/>
      <c r="I140" s="19" t="s">
        <v>140</v>
      </c>
      <c r="J140" s="35">
        <f ca="1">H137*50%</f>
        <v>11.5</v>
      </c>
      <c r="K140" s="32"/>
    </row>
    <row r="141" spans="1:11" x14ac:dyDescent="0.25">
      <c r="A141" s="92" t="s">
        <v>54</v>
      </c>
      <c r="B141" s="93"/>
      <c r="C141" s="36">
        <f ca="1">J144</f>
        <v>11.5</v>
      </c>
      <c r="D141" s="77">
        <f ca="1">((100/H137)*C141)/100</f>
        <v>0.5</v>
      </c>
      <c r="E141" s="96"/>
      <c r="F141" s="96"/>
      <c r="G141" s="96"/>
      <c r="H141" s="97"/>
      <c r="I141" s="19" t="s">
        <v>141</v>
      </c>
      <c r="J141" s="35">
        <f ca="1">H137</f>
        <v>23</v>
      </c>
      <c r="K141" s="37"/>
    </row>
    <row r="142" spans="1:11" x14ac:dyDescent="0.25">
      <c r="A142" s="100" t="s">
        <v>245</v>
      </c>
      <c r="B142" s="101"/>
      <c r="C142" s="36">
        <v>0</v>
      </c>
      <c r="D142" s="77">
        <f ca="1">((100/(D137+F137+H137))*C142)/100</f>
        <v>0</v>
      </c>
      <c r="E142" s="96"/>
      <c r="F142" s="96"/>
      <c r="G142" s="96"/>
      <c r="H142" s="97"/>
      <c r="I142" s="19" t="s">
        <v>142</v>
      </c>
      <c r="J142" s="38">
        <f ca="1">(IF(B137&gt;1,(H137/(B137+2)),H137/4))</f>
        <v>3.8333333333333335</v>
      </c>
      <c r="K142" s="37"/>
    </row>
    <row r="143" spans="1:11" x14ac:dyDescent="0.25">
      <c r="A143" s="92" t="s">
        <v>246</v>
      </c>
      <c r="B143" s="93" t="s">
        <v>247</v>
      </c>
      <c r="C143" s="33">
        <v>0</v>
      </c>
      <c r="D143" s="77">
        <f ca="1">((100/H137)*C143)/100</f>
        <v>0</v>
      </c>
      <c r="E143" s="96"/>
      <c r="F143" s="96"/>
      <c r="G143" s="96"/>
      <c r="H143" s="97"/>
      <c r="I143" s="19" t="s">
        <v>143</v>
      </c>
      <c r="J143" s="38">
        <f ca="1">(IF(B137&gt;1,(H137/(B137+2)+J142),H137/4+J142))</f>
        <v>7.666666666666667</v>
      </c>
      <c r="K143" s="37"/>
    </row>
    <row r="144" spans="1:11" x14ac:dyDescent="0.25">
      <c r="A144" s="92" t="s">
        <v>248</v>
      </c>
      <c r="B144" s="93" t="s">
        <v>247</v>
      </c>
      <c r="C144" s="33">
        <v>0</v>
      </c>
      <c r="D144" s="77">
        <f ca="1">((100/H137)*C144)/100</f>
        <v>0</v>
      </c>
      <c r="E144" s="96"/>
      <c r="F144" s="96"/>
      <c r="G144" s="96"/>
      <c r="H144" s="97"/>
      <c r="I144" s="19" t="s">
        <v>249</v>
      </c>
      <c r="J144" s="38">
        <f ca="1">(IF(B137&gt;1,(H137/(B137+2)+J143),0))</f>
        <v>11.5</v>
      </c>
      <c r="K144" s="37"/>
    </row>
    <row r="145" spans="1:11" x14ac:dyDescent="0.25">
      <c r="A145" s="92" t="s">
        <v>250</v>
      </c>
      <c r="B145" s="93" t="s">
        <v>251</v>
      </c>
      <c r="C145" s="33">
        <v>0</v>
      </c>
      <c r="D145" s="77">
        <f ca="1">((100/(H137))*C145)/100</f>
        <v>0</v>
      </c>
      <c r="E145" s="96"/>
      <c r="F145" s="96"/>
      <c r="G145" s="96"/>
      <c r="H145" s="97"/>
      <c r="I145" s="19" t="s">
        <v>252</v>
      </c>
      <c r="J145" s="38">
        <f ca="1">(IF(B137&gt;2,(H137/(B137+2)+J144),0))</f>
        <v>15.333333333333334</v>
      </c>
      <c r="K145" s="37"/>
    </row>
    <row r="146" spans="1:11" x14ac:dyDescent="0.25">
      <c r="A146" s="92" t="s">
        <v>253</v>
      </c>
      <c r="B146" s="93" t="s">
        <v>253</v>
      </c>
      <c r="C146" s="33">
        <v>0</v>
      </c>
      <c r="D146" s="77">
        <f ca="1">((100/H137)*C146)/100</f>
        <v>0</v>
      </c>
      <c r="E146" s="96"/>
      <c r="F146" s="96"/>
      <c r="G146" s="96"/>
      <c r="H146" s="97"/>
      <c r="I146" s="19" t="s">
        <v>254</v>
      </c>
      <c r="J146" s="39">
        <f ca="1">(IF(B137&gt;3,(H137/(B137+2)+J145),0))</f>
        <v>19.166666666666668</v>
      </c>
      <c r="K146" s="37"/>
    </row>
    <row r="147" spans="1:11" x14ac:dyDescent="0.25">
      <c r="A147" s="92" t="s">
        <v>255</v>
      </c>
      <c r="B147" s="93"/>
      <c r="C147" s="33">
        <v>0</v>
      </c>
      <c r="D147" s="77">
        <f ca="1">((100/H137)*C147)/100</f>
        <v>0</v>
      </c>
      <c r="E147" s="96"/>
      <c r="F147" s="96"/>
      <c r="G147" s="96"/>
      <c r="H147" s="97"/>
      <c r="I147" s="19" t="s">
        <v>256</v>
      </c>
      <c r="J147" s="38">
        <f>(IF(B137&gt;4,(H137/(B137+2)+J146),0))</f>
        <v>0</v>
      </c>
      <c r="K147" s="37"/>
    </row>
    <row r="148" spans="1:11" x14ac:dyDescent="0.25">
      <c r="A148" s="92" t="s">
        <v>257</v>
      </c>
      <c r="B148" s="93" t="s">
        <v>257</v>
      </c>
      <c r="C148" s="33">
        <v>0</v>
      </c>
      <c r="D148" s="77">
        <f ca="1">((100/(H137))*C148)/100</f>
        <v>0</v>
      </c>
      <c r="E148" s="96"/>
      <c r="F148" s="96"/>
      <c r="G148" s="96"/>
      <c r="H148" s="97"/>
      <c r="I148" s="19" t="s">
        <v>144</v>
      </c>
      <c r="J148" s="38">
        <f>(IF(B137=1,(H137/(B137+3)+J143),IF(B137=0,(H137/4+J143),IF(B137&gt;1,0))))</f>
        <v>0</v>
      </c>
      <c r="K148" s="37"/>
    </row>
    <row r="149" spans="1:11" ht="16.5" thickBot="1" x14ac:dyDescent="0.3">
      <c r="A149" s="102" t="s">
        <v>258</v>
      </c>
      <c r="B149" s="103"/>
      <c r="C149" s="66">
        <v>0</v>
      </c>
      <c r="D149" s="78">
        <f ca="1">((100/(H137))*C149)/100</f>
        <v>0</v>
      </c>
      <c r="E149" s="98"/>
      <c r="F149" s="98"/>
      <c r="G149" s="98"/>
      <c r="H149" s="99"/>
      <c r="I149" s="20" t="s">
        <v>145</v>
      </c>
      <c r="J149" s="40">
        <f ca="1">(IF(B137&gt;1.5,(H137/(B137+2)+J143+MAX(0,J144-J143)+MAX(0,J145-J144)+MAX(0,J146-J145)+MAX(0,J147-J146)+MAX(0,J148-J147)),IF(B137=1,(H137/(B137+3)+J148),IF(B137=0,H137/4+J148))))</f>
        <v>23</v>
      </c>
      <c r="K149" s="41"/>
    </row>
    <row r="150" spans="1:11" x14ac:dyDescent="0.25">
      <c r="A150" s="108" t="s">
        <v>241</v>
      </c>
      <c r="B150" s="109"/>
      <c r="C150" s="109" t="s">
        <v>264</v>
      </c>
      <c r="D150" s="109"/>
      <c r="E150" s="109"/>
      <c r="F150" s="109"/>
      <c r="G150" s="109"/>
      <c r="H150" s="110"/>
      <c r="I150" s="17" t="str">
        <f ca="1">(IF(E154&gt;99%,"All work completed. Please provide OC.",IF(E154&gt;89.8%,"Plinth, RCC, Brick, Plaster, Flooring, Painting work Completed. Finishing work is in process.",IF(E154&lt;94%,(IF(C154=0,"Work not yet Started.",IF(D154=25%,"Piling work in process",IF(D154=50%,"Excavation work in process",IF(D154=100%,"Excavation work Completed. ","0")))&amp;(IF(C155=0%,"",IF(C155=J156,"Footing work is process",IF(C155=J157,"Footing work Completed",IF(C155=J158,"1st Basement Completed",IF(C155=J159,"1st &amp; 2nd Basement Completed",IF(C155=J160,"1st to 3rd Basement Completed",IF(C155=J161,"1st to 4th Basement Completed",IF(C155=J162,"Plinth work is process",IF(C155=J163,"Plinth work completed","0")))))))))))&amp;(IF(C156=(D151+F151+H151),", RCC Slab",IF(C156&gt;0,", RCC upto "&amp;C156&amp;" Slab",""))&amp;(IF(C157=H151,", Brickwork",IF(C157&gt;0,", Brickwork upto "&amp;C157&amp;" Floor",""))&amp;(IF(C158=H151,", Internal Plaster",IF(C158&gt;0,", Internal Plaster upto "&amp;C158&amp;" Floor",""))&amp;(IF(C159=H151,", External Plaster",IF(C159&gt;0,", External Plaster upto "&amp;C159&amp;" Floor",""))&amp;(IF(C160=H151,", Flooring",IF(C160&gt;0,", Flooring upto "&amp;C160&amp;" Floor",""))&amp;(IF(C161=H151,", Painting",IF(C161&gt;0,", Painting upto "&amp;C161&amp;" Floor",""))&amp;(IF(C162&gt;0,", Finishing upto "&amp;C162&amp;" Floor","")&amp;(IF(C156&gt;0.5," Completed",""))))))))))))))</f>
        <v>Excavation work in process</v>
      </c>
      <c r="J150" s="30"/>
      <c r="K150" s="30"/>
    </row>
    <row r="151" spans="1:11" x14ac:dyDescent="0.25">
      <c r="A151" s="62" t="s">
        <v>103</v>
      </c>
      <c r="B151" s="57">
        <v>4</v>
      </c>
      <c r="C151" s="57" t="s">
        <v>105</v>
      </c>
      <c r="D151" s="57">
        <v>1</v>
      </c>
      <c r="E151" s="57" t="s">
        <v>104</v>
      </c>
      <c r="F151" s="57">
        <v>0</v>
      </c>
      <c r="G151" s="57" t="s">
        <v>120</v>
      </c>
      <c r="H151" s="63">
        <f ca="1">--TRIM(RIGHT(SUBSTITUTE(LEFT(C150,_xlfn.AGGREGATE(16,6,FIND({0,1,2,3,4,5,6,7,8,9},C150,ROW(INDIRECT("1:"&amp;LEN(C150)))),1))," ",REPT(" ",LEN(C150))),LEN(C150)))</f>
        <v>26</v>
      </c>
      <c r="I151" s="18"/>
      <c r="J151" s="31"/>
      <c r="K151" s="31"/>
    </row>
    <row r="152" spans="1:11" x14ac:dyDescent="0.25">
      <c r="A152" s="122" t="s">
        <v>131</v>
      </c>
      <c r="B152" s="123"/>
      <c r="C152" s="90" t="str">
        <f ca="1">I150</f>
        <v>Excavation work in process</v>
      </c>
      <c r="D152" s="90"/>
      <c r="E152" s="90"/>
      <c r="F152" s="90"/>
      <c r="G152" s="90"/>
      <c r="H152" s="91"/>
      <c r="I152" s="18" t="s">
        <v>146</v>
      </c>
      <c r="J152" s="31"/>
      <c r="K152" s="31"/>
    </row>
    <row r="153" spans="1:11" x14ac:dyDescent="0.25">
      <c r="A153" s="92" t="s">
        <v>53</v>
      </c>
      <c r="B153" s="93"/>
      <c r="C153" s="55" t="s">
        <v>242</v>
      </c>
      <c r="D153" s="55" t="s">
        <v>123</v>
      </c>
      <c r="E153" s="93" t="s">
        <v>125</v>
      </c>
      <c r="F153" s="93"/>
      <c r="G153" s="93" t="s">
        <v>124</v>
      </c>
      <c r="H153" s="94"/>
      <c r="I153" s="19" t="s">
        <v>243</v>
      </c>
      <c r="J153" s="32">
        <f ca="1">H151*25%</f>
        <v>6.5</v>
      </c>
      <c r="K153" s="32"/>
    </row>
    <row r="154" spans="1:11" x14ac:dyDescent="0.25">
      <c r="A154" s="92" t="s">
        <v>244</v>
      </c>
      <c r="B154" s="93"/>
      <c r="C154" s="33">
        <f ca="1">J154</f>
        <v>13</v>
      </c>
      <c r="D154" s="56">
        <f ca="1">((100/H151)*C154)/100</f>
        <v>0.5</v>
      </c>
      <c r="E154" s="96">
        <f ca="1">(((C155/H151*10)+(40/(D151+F151+H151)*C156)+(7.5/(H151)*C157)+(7.5/(H151)*C158)+(10/H151*C159)+(10/H151*C160)+(5/H151*C161)+(5/H151*C162)+(5/H151*C163))/100)</f>
        <v>0</v>
      </c>
      <c r="F154" s="96"/>
      <c r="G154" s="96">
        <f ca="1">((((C154/H151)*20)+((C155/H151)*25)+(30/(H151+F151+D151)*C156)+(5/H151*C157)+(5/H151*C158)+(5/H151*C159)+(5/H151*C160)+(0/H151*C161)+(0/H151*C162)+(5/H151*C163))/100)</f>
        <v>0.1</v>
      </c>
      <c r="H154" s="97"/>
      <c r="I154" s="19" t="s">
        <v>140</v>
      </c>
      <c r="J154" s="35">
        <f ca="1">H151*50%</f>
        <v>13</v>
      </c>
      <c r="K154" s="32"/>
    </row>
    <row r="155" spans="1:11" x14ac:dyDescent="0.25">
      <c r="A155" s="92" t="s">
        <v>54</v>
      </c>
      <c r="B155" s="93"/>
      <c r="C155" s="36">
        <v>0</v>
      </c>
      <c r="D155" s="56">
        <f ca="1">((100/H151)*C155)/100</f>
        <v>0</v>
      </c>
      <c r="E155" s="96"/>
      <c r="F155" s="96"/>
      <c r="G155" s="96"/>
      <c r="H155" s="97"/>
      <c r="I155" s="19" t="s">
        <v>141</v>
      </c>
      <c r="J155" s="35">
        <f ca="1">H151</f>
        <v>26</v>
      </c>
      <c r="K155" s="37"/>
    </row>
    <row r="156" spans="1:11" x14ac:dyDescent="0.25">
      <c r="A156" s="100" t="s">
        <v>245</v>
      </c>
      <c r="B156" s="101"/>
      <c r="C156" s="36">
        <v>0</v>
      </c>
      <c r="D156" s="56">
        <f ca="1">((100/(D151+F151+H151))*C156)/100</f>
        <v>0</v>
      </c>
      <c r="E156" s="96"/>
      <c r="F156" s="96"/>
      <c r="G156" s="96"/>
      <c r="H156" s="97"/>
      <c r="I156" s="19" t="s">
        <v>142</v>
      </c>
      <c r="J156" s="38">
        <f ca="1">(IF(B151&gt;1,(H151/(B151+2)),H151/4))</f>
        <v>4.333333333333333</v>
      </c>
      <c r="K156" s="37"/>
    </row>
    <row r="157" spans="1:11" x14ac:dyDescent="0.25">
      <c r="A157" s="92" t="s">
        <v>246</v>
      </c>
      <c r="B157" s="93" t="s">
        <v>247</v>
      </c>
      <c r="C157" s="33">
        <v>0</v>
      </c>
      <c r="D157" s="56">
        <f ca="1">((100/H151)*C157)/100</f>
        <v>0</v>
      </c>
      <c r="E157" s="96"/>
      <c r="F157" s="96"/>
      <c r="G157" s="96"/>
      <c r="H157" s="97"/>
      <c r="I157" s="19" t="s">
        <v>143</v>
      </c>
      <c r="J157" s="38">
        <f ca="1">(IF(B151&gt;1,(H151/(B151+2)+J156),H151/4+J156))</f>
        <v>8.6666666666666661</v>
      </c>
      <c r="K157" s="37"/>
    </row>
    <row r="158" spans="1:11" x14ac:dyDescent="0.25">
      <c r="A158" s="92" t="s">
        <v>248</v>
      </c>
      <c r="B158" s="93" t="s">
        <v>247</v>
      </c>
      <c r="C158" s="33">
        <v>0</v>
      </c>
      <c r="D158" s="56">
        <f ca="1">((100/H151)*C158)/100</f>
        <v>0</v>
      </c>
      <c r="E158" s="96"/>
      <c r="F158" s="96"/>
      <c r="G158" s="96"/>
      <c r="H158" s="97"/>
      <c r="I158" s="19" t="s">
        <v>249</v>
      </c>
      <c r="J158" s="38">
        <f ca="1">(IF(B151&gt;1,(H151/(B151+2)+J157),0))</f>
        <v>13</v>
      </c>
      <c r="K158" s="37"/>
    </row>
    <row r="159" spans="1:11" x14ac:dyDescent="0.25">
      <c r="A159" s="92" t="s">
        <v>250</v>
      </c>
      <c r="B159" s="93" t="s">
        <v>251</v>
      </c>
      <c r="C159" s="33">
        <v>0</v>
      </c>
      <c r="D159" s="56">
        <f ca="1">((100/(H151))*C159)/100</f>
        <v>0</v>
      </c>
      <c r="E159" s="96"/>
      <c r="F159" s="96"/>
      <c r="G159" s="96"/>
      <c r="H159" s="97"/>
      <c r="I159" s="19" t="s">
        <v>252</v>
      </c>
      <c r="J159" s="38">
        <f ca="1">(IF(B151&gt;2,(H151/(B151+2)+J158),0))</f>
        <v>17.333333333333332</v>
      </c>
      <c r="K159" s="37"/>
    </row>
    <row r="160" spans="1:11" x14ac:dyDescent="0.25">
      <c r="A160" s="92" t="s">
        <v>253</v>
      </c>
      <c r="B160" s="93" t="s">
        <v>253</v>
      </c>
      <c r="C160" s="33">
        <v>0</v>
      </c>
      <c r="D160" s="56">
        <f ca="1">((100/H151)*C160)/100</f>
        <v>0</v>
      </c>
      <c r="E160" s="96"/>
      <c r="F160" s="96"/>
      <c r="G160" s="96"/>
      <c r="H160" s="97"/>
      <c r="I160" s="19" t="s">
        <v>254</v>
      </c>
      <c r="J160" s="39">
        <f ca="1">(IF(B151&gt;3,(H151/(B151+2)+J159),0))</f>
        <v>21.666666666666664</v>
      </c>
      <c r="K160" s="37"/>
    </row>
    <row r="161" spans="1:11" x14ac:dyDescent="0.25">
      <c r="A161" s="92" t="s">
        <v>255</v>
      </c>
      <c r="B161" s="93"/>
      <c r="C161" s="33">
        <v>0</v>
      </c>
      <c r="D161" s="56">
        <f ca="1">((100/H151)*C161)/100</f>
        <v>0</v>
      </c>
      <c r="E161" s="96"/>
      <c r="F161" s="96"/>
      <c r="G161" s="96"/>
      <c r="H161" s="97"/>
      <c r="I161" s="19" t="s">
        <v>256</v>
      </c>
      <c r="J161" s="38">
        <f>(IF(B151&gt;4,(H151/(B151+2)+J160),0))</f>
        <v>0</v>
      </c>
      <c r="K161" s="37"/>
    </row>
    <row r="162" spans="1:11" x14ac:dyDescent="0.25">
      <c r="A162" s="92" t="s">
        <v>257</v>
      </c>
      <c r="B162" s="93" t="s">
        <v>257</v>
      </c>
      <c r="C162" s="33">
        <v>0</v>
      </c>
      <c r="D162" s="56">
        <f ca="1">((100/(H151))*C162)/100</f>
        <v>0</v>
      </c>
      <c r="E162" s="96"/>
      <c r="F162" s="96"/>
      <c r="G162" s="96"/>
      <c r="H162" s="97"/>
      <c r="I162" s="19" t="s">
        <v>144</v>
      </c>
      <c r="J162" s="38">
        <f>(IF(B151=1,(H151/(B151+3)+J157),IF(B151=0,(H151/4+J157),IF(B151&gt;1,0))))</f>
        <v>0</v>
      </c>
      <c r="K162" s="37"/>
    </row>
    <row r="163" spans="1:11" ht="16.5" thickBot="1" x14ac:dyDescent="0.3">
      <c r="A163" s="102" t="s">
        <v>258</v>
      </c>
      <c r="B163" s="103"/>
      <c r="C163" s="66">
        <v>0</v>
      </c>
      <c r="D163" s="67">
        <f ca="1">((100/(H151))*C163)/100</f>
        <v>0</v>
      </c>
      <c r="E163" s="98"/>
      <c r="F163" s="98"/>
      <c r="G163" s="98"/>
      <c r="H163" s="99"/>
      <c r="I163" s="20" t="s">
        <v>145</v>
      </c>
      <c r="J163" s="40">
        <f ca="1">(IF(B151&gt;1.5,(H151/(B151+2)+J157+MAX(0,J158-J157)+MAX(0,J159-J158)+MAX(0,J160-J159)+MAX(0,J161-J160)+MAX(0,J162-J161)),IF(B151=1,(H151/(B151+3)+J162),IF(B151=0,H151/4+J162))))</f>
        <v>26</v>
      </c>
      <c r="K163" s="41"/>
    </row>
    <row r="164" spans="1:11" hidden="1" x14ac:dyDescent="0.25">
      <c r="A164" s="108" t="s">
        <v>241</v>
      </c>
      <c r="B164" s="109"/>
      <c r="C164" s="109" t="s">
        <v>286</v>
      </c>
      <c r="D164" s="109"/>
      <c r="E164" s="109"/>
      <c r="F164" s="109"/>
      <c r="G164" s="109"/>
      <c r="H164" s="110"/>
      <c r="I164" s="17" t="str">
        <f ca="1">(IF(E168&gt;99%,"All work completed. Please provide OC.",IF(E168&gt;89.8%,"Plinth, RCC, Brick, Plaster, Flooring, Painting work Completed. Finishing work is in process.",IF(E168&lt;94%,(IF(C168=0,"Work not yet Started.",IF(D168=25%,"Piling work in process",IF(D168=50%,"Excavation work in process",IF(D168=100%,"Excavation work Completed. ","0")))&amp;(IF(C169=0%,"",IF(C169=J170,"Footing work is process",IF(C169=J171,"Footing work Completed",IF(C169=J172,"1st Basement Completed",IF(C169=J173,"1st &amp; 2nd Basement Completed",IF(C169=J174,"1st to 3rd Basement Completed",IF(C169=J175,"1st to 4th Basement Completed",IF(C169=J176,"Plinth work is process",IF(C169=J177,"Plinth work completed","0")))))))))))&amp;(IF(C170=(D165+F165+H165),", RCC Slab",IF(C170&gt;0,", RCC upto "&amp;C170&amp;" Slab",""))&amp;(IF(C171=H165,", Brickwork",IF(C171&gt;0,", Brickwork upto "&amp;C171&amp;" Floor",""))&amp;(IF(C172=H165,", Internal Plaster",IF(C172&gt;0,", Internal Plaster upto "&amp;C172&amp;" Floor",""))&amp;(IF(C173=H165,", External Plaster",IF(C173&gt;0,", External Plaster upto "&amp;C173&amp;" Floor",""))&amp;(IF(C174=H165,", Flooring",IF(C174&gt;0,", Flooring upto "&amp;C174&amp;" Floor",""))&amp;(IF(C175=H165,", Painting",IF(C175&gt;0,", Painting upto "&amp;C175&amp;" Floor",""))&amp;(IF(C176&gt;0,", Finishing upto "&amp;C176&amp;" Floor","")&amp;(IF(C170&gt;0.5," Completed",""))))))))))))))</f>
        <v xml:space="preserve">Excavation work Completed. </v>
      </c>
      <c r="J164" s="30"/>
      <c r="K164" s="30"/>
    </row>
    <row r="165" spans="1:11" hidden="1" x14ac:dyDescent="0.25">
      <c r="A165" s="85" t="s">
        <v>103</v>
      </c>
      <c r="B165" s="86">
        <v>4</v>
      </c>
      <c r="C165" s="86" t="s">
        <v>105</v>
      </c>
      <c r="D165" s="86">
        <v>1</v>
      </c>
      <c r="E165" s="86" t="s">
        <v>104</v>
      </c>
      <c r="F165" s="86">
        <v>0</v>
      </c>
      <c r="G165" s="86" t="s">
        <v>120</v>
      </c>
      <c r="H165" s="63">
        <f ca="1">--TRIM(RIGHT(SUBSTITUTE(LEFT(C164,_xlfn.AGGREGATE(16,6,FIND({0,1,2,3,4,5,6,7,8,9},C164,ROW(INDIRECT("1:"&amp;LEN(C164)))),1))," ",REPT(" ",LEN(C164))),LEN(C164)))</f>
        <v>26</v>
      </c>
      <c r="I165" s="18"/>
      <c r="J165" s="31"/>
      <c r="K165" s="31"/>
    </row>
    <row r="166" spans="1:11" hidden="1" x14ac:dyDescent="0.25">
      <c r="A166" s="122" t="s">
        <v>131</v>
      </c>
      <c r="B166" s="123"/>
      <c r="C166" s="90" t="str">
        <f ca="1">I164</f>
        <v xml:space="preserve">Excavation work Completed. </v>
      </c>
      <c r="D166" s="90"/>
      <c r="E166" s="90"/>
      <c r="F166" s="90"/>
      <c r="G166" s="90"/>
      <c r="H166" s="91"/>
      <c r="I166" s="18" t="s">
        <v>146</v>
      </c>
      <c r="J166" s="31"/>
      <c r="K166" s="31"/>
    </row>
    <row r="167" spans="1:11" hidden="1" x14ac:dyDescent="0.25">
      <c r="A167" s="92" t="s">
        <v>53</v>
      </c>
      <c r="B167" s="93"/>
      <c r="C167" s="82" t="s">
        <v>242</v>
      </c>
      <c r="D167" s="82" t="s">
        <v>123</v>
      </c>
      <c r="E167" s="93" t="s">
        <v>125</v>
      </c>
      <c r="F167" s="93"/>
      <c r="G167" s="93" t="s">
        <v>124</v>
      </c>
      <c r="H167" s="94"/>
      <c r="I167" s="19" t="s">
        <v>243</v>
      </c>
      <c r="J167" s="32">
        <f ca="1">H165*25%</f>
        <v>6.5</v>
      </c>
      <c r="K167" s="32"/>
    </row>
    <row r="168" spans="1:11" hidden="1" x14ac:dyDescent="0.25">
      <c r="A168" s="92" t="s">
        <v>244</v>
      </c>
      <c r="B168" s="93"/>
      <c r="C168" s="33">
        <f ca="1">J169</f>
        <v>26</v>
      </c>
      <c r="D168" s="83">
        <f ca="1">((100/H165)*C168)/100</f>
        <v>1</v>
      </c>
      <c r="E168" s="96">
        <f ca="1">(((C169/H165*10)+(40/(D165+F165+H165)*C170)+(7.5/(H165)*C171)+(7.5/(H165)*C172)+(10/H165*C173)+(10/H165*C174)+(5/H165*C175)+(5/H165*C176)+(5/H165*C177))/100)</f>
        <v>0</v>
      </c>
      <c r="F168" s="96"/>
      <c r="G168" s="96">
        <f ca="1">((((C168/H165)*20)+((C169/H165)*25)+(30/(H165+F165+D165)*C170)+(5/H165*C171)+(5/H165*C172)+(5/H165*C173)+(5/H165*C174)+(0/H165*C175)+(0/H165*C176)+(5/H165*C177))/100)</f>
        <v>0.2</v>
      </c>
      <c r="H168" s="97"/>
      <c r="I168" s="19" t="s">
        <v>140</v>
      </c>
      <c r="J168" s="35">
        <f ca="1">H165*50%</f>
        <v>13</v>
      </c>
      <c r="K168" s="32"/>
    </row>
    <row r="169" spans="1:11" hidden="1" x14ac:dyDescent="0.25">
      <c r="A169" s="92" t="s">
        <v>54</v>
      </c>
      <c r="B169" s="93"/>
      <c r="C169" s="36">
        <v>0</v>
      </c>
      <c r="D169" s="83">
        <f ca="1">((100/H165)*C169)/100</f>
        <v>0</v>
      </c>
      <c r="E169" s="96"/>
      <c r="F169" s="96"/>
      <c r="G169" s="96"/>
      <c r="H169" s="97"/>
      <c r="I169" s="19" t="s">
        <v>141</v>
      </c>
      <c r="J169" s="35">
        <f ca="1">H165</f>
        <v>26</v>
      </c>
      <c r="K169" s="37"/>
    </row>
    <row r="170" spans="1:11" hidden="1" x14ac:dyDescent="0.25">
      <c r="A170" s="100" t="s">
        <v>245</v>
      </c>
      <c r="B170" s="101"/>
      <c r="C170" s="36">
        <v>0</v>
      </c>
      <c r="D170" s="83">
        <f ca="1">((100/(D165+F165+H165))*C170)/100</f>
        <v>0</v>
      </c>
      <c r="E170" s="96"/>
      <c r="F170" s="96"/>
      <c r="G170" s="96"/>
      <c r="H170" s="97"/>
      <c r="I170" s="19" t="s">
        <v>142</v>
      </c>
      <c r="J170" s="38">
        <f ca="1">(IF(B165&gt;1,(H165/(B165+2)),H165/4))</f>
        <v>4.333333333333333</v>
      </c>
      <c r="K170" s="37"/>
    </row>
    <row r="171" spans="1:11" hidden="1" x14ac:dyDescent="0.25">
      <c r="A171" s="92" t="s">
        <v>246</v>
      </c>
      <c r="B171" s="93" t="s">
        <v>247</v>
      </c>
      <c r="C171" s="33">
        <v>0</v>
      </c>
      <c r="D171" s="83">
        <f ca="1">((100/H165)*C171)/100</f>
        <v>0</v>
      </c>
      <c r="E171" s="96"/>
      <c r="F171" s="96"/>
      <c r="G171" s="96"/>
      <c r="H171" s="97"/>
      <c r="I171" s="19" t="s">
        <v>143</v>
      </c>
      <c r="J171" s="38">
        <f ca="1">(IF(B165&gt;1,(H165/(B165+2)+J170),H165/4+J170))</f>
        <v>8.6666666666666661</v>
      </c>
      <c r="K171" s="37"/>
    </row>
    <row r="172" spans="1:11" hidden="1" x14ac:dyDescent="0.25">
      <c r="A172" s="92" t="s">
        <v>248</v>
      </c>
      <c r="B172" s="93" t="s">
        <v>247</v>
      </c>
      <c r="C172" s="33">
        <v>0</v>
      </c>
      <c r="D172" s="83">
        <f ca="1">((100/H165)*C172)/100</f>
        <v>0</v>
      </c>
      <c r="E172" s="96"/>
      <c r="F172" s="96"/>
      <c r="G172" s="96"/>
      <c r="H172" s="97"/>
      <c r="I172" s="19" t="s">
        <v>249</v>
      </c>
      <c r="J172" s="38">
        <f ca="1">(IF(B165&gt;1,(H165/(B165+2)+J171),0))</f>
        <v>13</v>
      </c>
      <c r="K172" s="37"/>
    </row>
    <row r="173" spans="1:11" hidden="1" x14ac:dyDescent="0.25">
      <c r="A173" s="92" t="s">
        <v>250</v>
      </c>
      <c r="B173" s="93" t="s">
        <v>251</v>
      </c>
      <c r="C173" s="33">
        <v>0</v>
      </c>
      <c r="D173" s="83">
        <f ca="1">((100/(H165))*C173)/100</f>
        <v>0</v>
      </c>
      <c r="E173" s="96"/>
      <c r="F173" s="96"/>
      <c r="G173" s="96"/>
      <c r="H173" s="97"/>
      <c r="I173" s="19" t="s">
        <v>252</v>
      </c>
      <c r="J173" s="38">
        <f ca="1">(IF(B165&gt;2,(H165/(B165+2)+J172),0))</f>
        <v>17.333333333333332</v>
      </c>
      <c r="K173" s="37"/>
    </row>
    <row r="174" spans="1:11" hidden="1" x14ac:dyDescent="0.25">
      <c r="A174" s="92" t="s">
        <v>253</v>
      </c>
      <c r="B174" s="93" t="s">
        <v>253</v>
      </c>
      <c r="C174" s="33">
        <v>0</v>
      </c>
      <c r="D174" s="83">
        <f ca="1">((100/H165)*C174)/100</f>
        <v>0</v>
      </c>
      <c r="E174" s="96"/>
      <c r="F174" s="96"/>
      <c r="G174" s="96"/>
      <c r="H174" s="97"/>
      <c r="I174" s="19" t="s">
        <v>254</v>
      </c>
      <c r="J174" s="39">
        <f ca="1">(IF(B165&gt;3,(H165/(B165+2)+J173),0))</f>
        <v>21.666666666666664</v>
      </c>
      <c r="K174" s="37"/>
    </row>
    <row r="175" spans="1:11" hidden="1" x14ac:dyDescent="0.25">
      <c r="A175" s="92" t="s">
        <v>255</v>
      </c>
      <c r="B175" s="93"/>
      <c r="C175" s="33">
        <v>0</v>
      </c>
      <c r="D175" s="83">
        <f ca="1">((100/H165)*C175)/100</f>
        <v>0</v>
      </c>
      <c r="E175" s="96"/>
      <c r="F175" s="96"/>
      <c r="G175" s="96"/>
      <c r="H175" s="97"/>
      <c r="I175" s="19" t="s">
        <v>256</v>
      </c>
      <c r="J175" s="38">
        <f>(IF(B165&gt;4,(H165/(B165+2)+J174),0))</f>
        <v>0</v>
      </c>
      <c r="K175" s="37"/>
    </row>
    <row r="176" spans="1:11" hidden="1" x14ac:dyDescent="0.25">
      <c r="A176" s="92" t="s">
        <v>257</v>
      </c>
      <c r="B176" s="93" t="s">
        <v>257</v>
      </c>
      <c r="C176" s="33">
        <v>0</v>
      </c>
      <c r="D176" s="83">
        <f ca="1">((100/(H165))*C176)/100</f>
        <v>0</v>
      </c>
      <c r="E176" s="96"/>
      <c r="F176" s="96"/>
      <c r="G176" s="96"/>
      <c r="H176" s="97"/>
      <c r="I176" s="19" t="s">
        <v>144</v>
      </c>
      <c r="J176" s="38">
        <f>(IF(B165=1,(H165/(B165+3)+J171),IF(B165=0,(H165/4+J171),IF(B165&gt;1,0))))</f>
        <v>0</v>
      </c>
      <c r="K176" s="37"/>
    </row>
    <row r="177" spans="1:11" ht="16.5" hidden="1" thickBot="1" x14ac:dyDescent="0.3">
      <c r="A177" s="102" t="s">
        <v>258</v>
      </c>
      <c r="B177" s="103"/>
      <c r="C177" s="66">
        <v>0</v>
      </c>
      <c r="D177" s="84">
        <f ca="1">((100/(H165))*C177)/100</f>
        <v>0</v>
      </c>
      <c r="E177" s="98"/>
      <c r="F177" s="98"/>
      <c r="G177" s="98"/>
      <c r="H177" s="99"/>
      <c r="I177" s="20" t="s">
        <v>145</v>
      </c>
      <c r="J177" s="40">
        <f ca="1">(IF(B165&gt;1.5,(H165/(B165+2)+J171+MAX(0,J172-J171)+MAX(0,J173-J172)+MAX(0,J174-J173)+MAX(0,J175-J174)+MAX(0,J176-J175)),IF(B165=1,(H165/(B165+3)+J176),IF(B165=0,H165/4+J176))))</f>
        <v>26</v>
      </c>
      <c r="K177" s="41"/>
    </row>
    <row r="178" spans="1:11" x14ac:dyDescent="0.25">
      <c r="A178" s="108" t="s">
        <v>241</v>
      </c>
      <c r="B178" s="109"/>
      <c r="C178" s="109" t="s">
        <v>261</v>
      </c>
      <c r="D178" s="109"/>
      <c r="E178" s="109"/>
      <c r="F178" s="109"/>
      <c r="G178" s="109"/>
      <c r="H178" s="110"/>
      <c r="I178" s="17" t="str">
        <f ca="1">(IF(E182&gt;99%,"All work completed. Please provide OC.",IF(E182&gt;89.8%,"Plinth, RCC, Brick, Plaster, Flooring, Painting work Completed. Finishing work is in process.",IF(E182&lt;94%,(IF(C182=0,"Work not yet Started.",IF(D182=25%,"Piling work in process",IF(D182=50%,"Excavation work in process",IF(D182=100%,"Excavation work Completed. ","0")))&amp;(IF(C183=0%,"",IF(C183=J184,"Footing work is process",IF(C183=J185,"Footing work Completed",IF(C183=J186,"1st Basement Completed",IF(C183=J187,"1st &amp; 2nd Basement Completed",IF(C183=J188,"1st to 3rd Basement Completed",IF(C183=J189,"1st to 4th Basement Completed",IF(C183=J190,"Plinth work is process",IF(C183=J191,"Plinth work completed","0")))))))))))&amp;(IF(C184=(D179+F179+H179),", RCC Slab",IF(C184&gt;0,", RCC upto "&amp;C184&amp;" Slab",""))&amp;(IF(C185=H179,", Brickwork",IF(C185&gt;0,", Brickwork upto "&amp;C185&amp;" Floor",""))&amp;(IF(C186=H179,", Internal Plaster",IF(C186&gt;0,", Internal Plaster upto "&amp;C186&amp;" Floor",""))&amp;(IF(C187=H179,", External Plaster",IF(C187&gt;0,", External Plaster upto "&amp;C187&amp;" Floor",""))&amp;(IF(C188=H179,", Flooring",IF(C188&gt;0,", Flooring upto "&amp;C188&amp;" Floor",""))&amp;(IF(C189=H179,", Painting",IF(C189&gt;0,", Painting upto "&amp;C189&amp;" Floor",""))&amp;(IF(C190&gt;0,", Finishing upto "&amp;C190&amp;" Floor","")&amp;(IF(C184&gt;0.5," Completed",""))))))))))))))</f>
        <v>Excavation work Completed. 1st Basement Completed</v>
      </c>
      <c r="J178" s="30"/>
      <c r="K178" s="30"/>
    </row>
    <row r="179" spans="1:11" x14ac:dyDescent="0.25">
      <c r="A179" s="75" t="s">
        <v>103</v>
      </c>
      <c r="B179" s="76">
        <v>4</v>
      </c>
      <c r="C179" s="76" t="s">
        <v>105</v>
      </c>
      <c r="D179" s="76">
        <v>1</v>
      </c>
      <c r="E179" s="76" t="s">
        <v>104</v>
      </c>
      <c r="F179" s="76">
        <v>0</v>
      </c>
      <c r="G179" s="76" t="s">
        <v>120</v>
      </c>
      <c r="H179" s="63">
        <f ca="1">--TRIM(RIGHT(SUBSTITUTE(LEFT(C178,_xlfn.AGGREGATE(16,6,FIND({0,1,2,3,4,5,6,7,8,9},C178,ROW(INDIRECT("1:"&amp;LEN(C178)))),1))," ",REPT(" ",LEN(C178))),LEN(C178)))</f>
        <v>23</v>
      </c>
      <c r="I179" s="18"/>
      <c r="J179" s="31"/>
      <c r="K179" s="31"/>
    </row>
    <row r="180" spans="1:11" ht="15" customHeight="1" x14ac:dyDescent="0.25">
      <c r="A180" s="122" t="s">
        <v>131</v>
      </c>
      <c r="B180" s="123"/>
      <c r="C180" s="90" t="str">
        <f ca="1">I178</f>
        <v>Excavation work Completed. 1st Basement Completed</v>
      </c>
      <c r="D180" s="90"/>
      <c r="E180" s="90"/>
      <c r="F180" s="90"/>
      <c r="G180" s="90"/>
      <c r="H180" s="91"/>
      <c r="I180" s="18" t="s">
        <v>146</v>
      </c>
      <c r="J180" s="31"/>
      <c r="K180" s="31"/>
    </row>
    <row r="181" spans="1:11" x14ac:dyDescent="0.25">
      <c r="A181" s="92" t="s">
        <v>53</v>
      </c>
      <c r="B181" s="93"/>
      <c r="C181" s="72" t="s">
        <v>242</v>
      </c>
      <c r="D181" s="72" t="s">
        <v>123</v>
      </c>
      <c r="E181" s="93" t="s">
        <v>125</v>
      </c>
      <c r="F181" s="93"/>
      <c r="G181" s="93" t="s">
        <v>124</v>
      </c>
      <c r="H181" s="94"/>
      <c r="I181" s="19" t="s">
        <v>243</v>
      </c>
      <c r="J181" s="32">
        <f ca="1">H179*25%</f>
        <v>5.75</v>
      </c>
      <c r="K181" s="32"/>
    </row>
    <row r="182" spans="1:11" x14ac:dyDescent="0.25">
      <c r="A182" s="92" t="s">
        <v>244</v>
      </c>
      <c r="B182" s="93"/>
      <c r="C182" s="33">
        <f ca="1">J183</f>
        <v>23</v>
      </c>
      <c r="D182" s="73">
        <f ca="1">((100/H179)*C182)/100</f>
        <v>1</v>
      </c>
      <c r="E182" s="96">
        <f ca="1">(((C183/H179*10)+(40/(D179+F179+H179)*C184)+(7.5/(H179)*C185)+(7.5/(H179)*C186)+(10/H179*C187)+(10/H179*C188)+(5/H179*C189)+(5/H179*C190)+(5/H179*C191))/100)</f>
        <v>0.05</v>
      </c>
      <c r="F182" s="96"/>
      <c r="G182" s="96">
        <f ca="1">((((C182/H179)*20)+((C183/H179)*25)+(30/(H179+F179+D179)*C184)+(5/H179*C185)+(5/H179*C186)+(5/H179*C187)+(5/H179*C188)+(0/H179*C189)+(0/H179*C190)+(5/H179*C191))/100)</f>
        <v>0.32500000000000001</v>
      </c>
      <c r="H182" s="97"/>
      <c r="I182" s="19" t="s">
        <v>140</v>
      </c>
      <c r="J182" s="35">
        <f ca="1">H179*50%</f>
        <v>11.5</v>
      </c>
      <c r="K182" s="32"/>
    </row>
    <row r="183" spans="1:11" x14ac:dyDescent="0.25">
      <c r="A183" s="92" t="s">
        <v>54</v>
      </c>
      <c r="B183" s="93"/>
      <c r="C183" s="36">
        <f ca="1">J186</f>
        <v>11.5</v>
      </c>
      <c r="D183" s="73">
        <f ca="1">((100/H179)*C183)/100</f>
        <v>0.5</v>
      </c>
      <c r="E183" s="96"/>
      <c r="F183" s="96"/>
      <c r="G183" s="96"/>
      <c r="H183" s="97"/>
      <c r="I183" s="19" t="s">
        <v>141</v>
      </c>
      <c r="J183" s="35">
        <f ca="1">H179</f>
        <v>23</v>
      </c>
      <c r="K183" s="37"/>
    </row>
    <row r="184" spans="1:11" x14ac:dyDescent="0.25">
      <c r="A184" s="100" t="s">
        <v>245</v>
      </c>
      <c r="B184" s="101"/>
      <c r="C184" s="36">
        <v>0</v>
      </c>
      <c r="D184" s="73">
        <f ca="1">((100/(D179+F179+H179))*C184)/100</f>
        <v>0</v>
      </c>
      <c r="E184" s="96"/>
      <c r="F184" s="96"/>
      <c r="G184" s="96"/>
      <c r="H184" s="97"/>
      <c r="I184" s="19" t="s">
        <v>142</v>
      </c>
      <c r="J184" s="38">
        <f ca="1">(IF(B179&gt;1,(H179/(B179+2)),H179/4))</f>
        <v>3.8333333333333335</v>
      </c>
      <c r="K184" s="37"/>
    </row>
    <row r="185" spans="1:11" s="42" customFormat="1" x14ac:dyDescent="0.25">
      <c r="A185" s="92" t="s">
        <v>246</v>
      </c>
      <c r="B185" s="93" t="s">
        <v>247</v>
      </c>
      <c r="C185" s="33">
        <v>0</v>
      </c>
      <c r="D185" s="73">
        <f ca="1">((100/H179)*C185)/100</f>
        <v>0</v>
      </c>
      <c r="E185" s="96"/>
      <c r="F185" s="96"/>
      <c r="G185" s="96"/>
      <c r="H185" s="97"/>
      <c r="I185" s="19" t="s">
        <v>143</v>
      </c>
      <c r="J185" s="38">
        <f ca="1">(IF(B179&gt;1,(H179/(B179+2)+J184),H179/4+J184))</f>
        <v>7.666666666666667</v>
      </c>
      <c r="K185" s="37"/>
    </row>
    <row r="186" spans="1:11" s="42" customFormat="1" x14ac:dyDescent="0.25">
      <c r="A186" s="92" t="s">
        <v>248</v>
      </c>
      <c r="B186" s="93" t="s">
        <v>247</v>
      </c>
      <c r="C186" s="33">
        <v>0</v>
      </c>
      <c r="D186" s="73">
        <f ca="1">((100/H179)*C186)/100</f>
        <v>0</v>
      </c>
      <c r="E186" s="96"/>
      <c r="F186" s="96"/>
      <c r="G186" s="96"/>
      <c r="H186" s="97"/>
      <c r="I186" s="19" t="s">
        <v>249</v>
      </c>
      <c r="J186" s="38">
        <f ca="1">(IF(B179&gt;1,(H179/(B179+2)+J185),0))</f>
        <v>11.5</v>
      </c>
      <c r="K186" s="37"/>
    </row>
    <row r="187" spans="1:11" s="42" customFormat="1" x14ac:dyDescent="0.25">
      <c r="A187" s="92" t="s">
        <v>250</v>
      </c>
      <c r="B187" s="93" t="s">
        <v>251</v>
      </c>
      <c r="C187" s="33">
        <v>0</v>
      </c>
      <c r="D187" s="73">
        <f ca="1">((100/(H179))*C187)/100</f>
        <v>0</v>
      </c>
      <c r="E187" s="96"/>
      <c r="F187" s="96"/>
      <c r="G187" s="96"/>
      <c r="H187" s="97"/>
      <c r="I187" s="19" t="s">
        <v>252</v>
      </c>
      <c r="J187" s="38">
        <f ca="1">(IF(B179&gt;2,(H179/(B179+2)+J186),0))</f>
        <v>15.333333333333334</v>
      </c>
      <c r="K187" s="37"/>
    </row>
    <row r="188" spans="1:11" s="42" customFormat="1" x14ac:dyDescent="0.25">
      <c r="A188" s="92" t="s">
        <v>253</v>
      </c>
      <c r="B188" s="93" t="s">
        <v>253</v>
      </c>
      <c r="C188" s="33">
        <v>0</v>
      </c>
      <c r="D188" s="73">
        <f ca="1">((100/H179)*C188)/100</f>
        <v>0</v>
      </c>
      <c r="E188" s="96"/>
      <c r="F188" s="96"/>
      <c r="G188" s="96"/>
      <c r="H188" s="97"/>
      <c r="I188" s="19" t="s">
        <v>254</v>
      </c>
      <c r="J188" s="39">
        <f ca="1">(IF(B179&gt;3,(H179/(B179+2)+J187),0))</f>
        <v>19.166666666666668</v>
      </c>
      <c r="K188" s="37"/>
    </row>
    <row r="189" spans="1:11" s="42" customFormat="1" x14ac:dyDescent="0.25">
      <c r="A189" s="92" t="s">
        <v>255</v>
      </c>
      <c r="B189" s="93"/>
      <c r="C189" s="33">
        <v>0</v>
      </c>
      <c r="D189" s="73">
        <f ca="1">((100/H179)*C189)/100</f>
        <v>0</v>
      </c>
      <c r="E189" s="96"/>
      <c r="F189" s="96"/>
      <c r="G189" s="96"/>
      <c r="H189" s="97"/>
      <c r="I189" s="19" t="s">
        <v>256</v>
      </c>
      <c r="J189" s="38">
        <f>(IF(B179&gt;4,(H179/(B179+2)+J188),0))</f>
        <v>0</v>
      </c>
      <c r="K189" s="37"/>
    </row>
    <row r="190" spans="1:11" s="42" customFormat="1" x14ac:dyDescent="0.25">
      <c r="A190" s="92" t="s">
        <v>257</v>
      </c>
      <c r="B190" s="93" t="s">
        <v>257</v>
      </c>
      <c r="C190" s="33">
        <v>0</v>
      </c>
      <c r="D190" s="73">
        <f ca="1">((100/(H179))*C190)/100</f>
        <v>0</v>
      </c>
      <c r="E190" s="96"/>
      <c r="F190" s="96"/>
      <c r="G190" s="96"/>
      <c r="H190" s="97"/>
      <c r="I190" s="19" t="s">
        <v>144</v>
      </c>
      <c r="J190" s="38">
        <f>(IF(B179=1,(H179/(B179+3)+J185),IF(B179=0,(H179/4+J185),IF(B179&gt;1,0))))</f>
        <v>0</v>
      </c>
      <c r="K190" s="37"/>
    </row>
    <row r="191" spans="1:11" s="42" customFormat="1" ht="16.5" thickBot="1" x14ac:dyDescent="0.3">
      <c r="A191" s="102" t="s">
        <v>258</v>
      </c>
      <c r="B191" s="103"/>
      <c r="C191" s="66">
        <v>0</v>
      </c>
      <c r="D191" s="74">
        <f ca="1">((100/(H179))*C191)/100</f>
        <v>0</v>
      </c>
      <c r="E191" s="98"/>
      <c r="F191" s="98"/>
      <c r="G191" s="98"/>
      <c r="H191" s="99"/>
      <c r="I191" s="20" t="s">
        <v>145</v>
      </c>
      <c r="J191" s="40">
        <f ca="1">(IF(B179&gt;1.5,(H179/(B179+2)+J185+MAX(0,J186-J185)+MAX(0,J187-J186)+MAX(0,J188-J187)+MAX(0,J189-J188)+MAX(0,J190-J189)),IF(B179=1,(H179/(B179+3)+J190),IF(B179=0,H179/4+J190))))</f>
        <v>23</v>
      </c>
      <c r="K191" s="41"/>
    </row>
    <row r="192" spans="1:11" s="42" customFormat="1" x14ac:dyDescent="0.25">
      <c r="A192" s="185" t="s">
        <v>168</v>
      </c>
      <c r="B192" s="185"/>
      <c r="C192" s="185"/>
      <c r="D192" s="185"/>
      <c r="E192" s="185"/>
      <c r="F192" s="185"/>
      <c r="G192" s="185"/>
      <c r="H192" s="185"/>
      <c r="I192" s="25"/>
      <c r="J192" s="25"/>
      <c r="K192" s="25"/>
    </row>
    <row r="193" spans="1:12" x14ac:dyDescent="0.25">
      <c r="A193" s="126" t="s">
        <v>55</v>
      </c>
      <c r="B193" s="126"/>
      <c r="C193" s="126"/>
      <c r="D193" s="126"/>
      <c r="E193" s="126"/>
      <c r="F193" s="126"/>
      <c r="G193" s="126"/>
      <c r="H193" s="126"/>
    </row>
    <row r="194" spans="1:12" s="43" customFormat="1" ht="16.5" customHeight="1" x14ac:dyDescent="0.25">
      <c r="A194" s="123" t="s">
        <v>108</v>
      </c>
      <c r="B194" s="123"/>
      <c r="C194" s="90" t="s">
        <v>109</v>
      </c>
      <c r="D194" s="90"/>
      <c r="E194" s="90"/>
      <c r="F194" s="90"/>
      <c r="G194" s="90"/>
      <c r="H194" s="90"/>
      <c r="I194" s="25"/>
      <c r="J194" s="25"/>
      <c r="K194" s="25"/>
    </row>
    <row r="195" spans="1:12" s="43" customFormat="1" ht="16.5" customHeight="1" x14ac:dyDescent="0.25">
      <c r="A195" s="129" t="s">
        <v>228</v>
      </c>
      <c r="B195" s="129"/>
      <c r="C195" s="129"/>
      <c r="D195" s="129"/>
      <c r="E195" s="129"/>
      <c r="F195" s="129"/>
      <c r="G195" s="129"/>
      <c r="H195" s="129"/>
      <c r="I195" s="25"/>
      <c r="J195" s="25"/>
      <c r="K195" s="25"/>
    </row>
    <row r="196" spans="1:12" x14ac:dyDescent="0.25">
      <c r="A196" s="104" t="s">
        <v>110</v>
      </c>
      <c r="B196" s="104"/>
      <c r="C196" s="104"/>
      <c r="D196" s="104"/>
      <c r="E196" s="104"/>
      <c r="F196" s="104">
        <v>16300</v>
      </c>
      <c r="G196" s="104"/>
      <c r="H196" s="104"/>
      <c r="I196" s="25">
        <f>18000*1.45</f>
        <v>26100</v>
      </c>
      <c r="J196" s="25">
        <f>I196/1.6</f>
        <v>16312.5</v>
      </c>
    </row>
    <row r="197" spans="1:12" x14ac:dyDescent="0.25">
      <c r="A197" s="104" t="s">
        <v>118</v>
      </c>
      <c r="B197" s="104"/>
      <c r="C197" s="104"/>
      <c r="D197" s="104"/>
      <c r="E197" s="104"/>
      <c r="F197" s="104" t="s">
        <v>229</v>
      </c>
      <c r="G197" s="104"/>
      <c r="H197" s="104"/>
      <c r="I197" s="25">
        <f>45000/1.6</f>
        <v>28125</v>
      </c>
      <c r="L197" s="71">
        <v>45332</v>
      </c>
    </row>
    <row r="198" spans="1:12" hidden="1" x14ac:dyDescent="0.25">
      <c r="A198" s="104" t="s">
        <v>119</v>
      </c>
      <c r="B198" s="104"/>
      <c r="C198" s="104"/>
      <c r="D198" s="104"/>
      <c r="E198" s="104"/>
      <c r="F198" s="104"/>
      <c r="G198" s="104"/>
      <c r="H198" s="104"/>
    </row>
    <row r="199" spans="1:12" x14ac:dyDescent="0.25">
      <c r="A199" s="104" t="s">
        <v>136</v>
      </c>
      <c r="B199" s="104"/>
      <c r="C199" s="104"/>
      <c r="D199" s="104"/>
      <c r="E199" s="104"/>
      <c r="F199" s="104" t="s">
        <v>238</v>
      </c>
      <c r="G199" s="104"/>
      <c r="H199" s="104"/>
      <c r="I199" s="42">
        <f>80*1.45</f>
        <v>116</v>
      </c>
      <c r="J199" s="42">
        <f>I199/1.6</f>
        <v>72.5</v>
      </c>
      <c r="K199" s="42"/>
    </row>
    <row r="200" spans="1:12" s="42" customFormat="1" x14ac:dyDescent="0.25">
      <c r="A200" s="104" t="s">
        <v>239</v>
      </c>
      <c r="B200" s="104"/>
      <c r="C200" s="104"/>
      <c r="D200" s="104"/>
      <c r="E200" s="104"/>
      <c r="F200" s="104" t="s">
        <v>231</v>
      </c>
      <c r="G200" s="104"/>
      <c r="H200" s="104"/>
      <c r="I200" s="42">
        <f>358*1.45</f>
        <v>519.1</v>
      </c>
    </row>
    <row r="201" spans="1:12" s="42" customFormat="1" x14ac:dyDescent="0.25">
      <c r="A201" s="104" t="s">
        <v>137</v>
      </c>
      <c r="B201" s="104"/>
      <c r="C201" s="104"/>
      <c r="D201" s="104"/>
      <c r="E201" s="104"/>
      <c r="F201" s="104" t="s">
        <v>240</v>
      </c>
      <c r="G201" s="104"/>
      <c r="H201" s="104"/>
      <c r="I201" s="42">
        <f>I200/1.6</f>
        <v>324.4375</v>
      </c>
    </row>
    <row r="202" spans="1:12" s="42" customFormat="1" hidden="1" x14ac:dyDescent="0.25">
      <c r="A202" s="104" t="s">
        <v>138</v>
      </c>
      <c r="B202" s="104"/>
      <c r="C202" s="104"/>
      <c r="D202" s="104"/>
      <c r="E202" s="104"/>
      <c r="F202" s="104" t="s">
        <v>31</v>
      </c>
      <c r="G202" s="104"/>
      <c r="H202" s="104"/>
    </row>
    <row r="203" spans="1:12" s="42" customFormat="1" x14ac:dyDescent="0.25">
      <c r="A203" s="104" t="s">
        <v>187</v>
      </c>
      <c r="B203" s="104"/>
      <c r="C203" s="104"/>
      <c r="D203" s="104"/>
      <c r="E203" s="104"/>
      <c r="F203" s="104" t="s">
        <v>237</v>
      </c>
      <c r="G203" s="104"/>
      <c r="H203" s="104"/>
    </row>
    <row r="204" spans="1:12" s="42" customFormat="1" x14ac:dyDescent="0.25">
      <c r="A204" s="104" t="s">
        <v>233</v>
      </c>
      <c r="B204" s="104"/>
      <c r="C204" s="104"/>
      <c r="D204" s="104"/>
      <c r="E204" s="104"/>
      <c r="F204" s="104" t="s">
        <v>232</v>
      </c>
      <c r="G204" s="104"/>
      <c r="H204" s="104"/>
    </row>
    <row r="205" spans="1:12" s="42" customFormat="1" x14ac:dyDescent="0.25">
      <c r="A205" s="104" t="s">
        <v>139</v>
      </c>
      <c r="B205" s="104"/>
      <c r="C205" s="104"/>
      <c r="D205" s="104"/>
      <c r="E205" s="104"/>
      <c r="F205" s="104" t="s">
        <v>186</v>
      </c>
      <c r="G205" s="104"/>
      <c r="H205" s="104"/>
    </row>
    <row r="206" spans="1:12" s="42" customFormat="1" x14ac:dyDescent="0.25">
      <c r="A206" s="104" t="s">
        <v>263</v>
      </c>
      <c r="B206" s="104"/>
      <c r="C206" s="104"/>
      <c r="D206" s="104"/>
      <c r="E206" s="104"/>
      <c r="F206" s="104" t="s">
        <v>262</v>
      </c>
      <c r="G206" s="104"/>
      <c r="H206" s="104"/>
    </row>
    <row r="207" spans="1:12" s="42" customFormat="1" x14ac:dyDescent="0.25">
      <c r="A207" s="104" t="s">
        <v>56</v>
      </c>
      <c r="B207" s="104"/>
      <c r="C207" s="104"/>
      <c r="D207" s="104"/>
      <c r="E207" s="104"/>
      <c r="F207" s="127" t="s">
        <v>167</v>
      </c>
      <c r="G207" s="127"/>
      <c r="H207" s="127"/>
      <c r="I207" s="25"/>
      <c r="J207" s="25"/>
      <c r="K207" s="25"/>
    </row>
    <row r="208" spans="1:12" x14ac:dyDescent="0.25">
      <c r="A208" s="123" t="s">
        <v>57</v>
      </c>
      <c r="B208" s="123"/>
      <c r="C208" s="123"/>
      <c r="D208" s="123"/>
      <c r="E208" s="123"/>
      <c r="F208" s="104">
        <f>F196*0.8</f>
        <v>13040</v>
      </c>
      <c r="G208" s="104"/>
      <c r="H208" s="104"/>
      <c r="I208" s="43"/>
      <c r="J208" s="43"/>
      <c r="K208" s="43"/>
    </row>
    <row r="209" spans="1:11" s="43" customFormat="1" ht="16.5" customHeight="1" x14ac:dyDescent="0.25">
      <c r="A209" s="128"/>
      <c r="B209" s="128"/>
      <c r="C209" s="128"/>
      <c r="D209" s="128"/>
      <c r="E209" s="128"/>
      <c r="F209" s="128"/>
      <c r="G209" s="128"/>
      <c r="H209" s="128"/>
    </row>
    <row r="210" spans="1:11" s="44" customFormat="1" ht="15.75" customHeight="1" x14ac:dyDescent="0.25">
      <c r="A210" s="129" t="s">
        <v>230</v>
      </c>
      <c r="B210" s="129"/>
      <c r="C210" s="129"/>
      <c r="D210" s="129"/>
      <c r="E210" s="129"/>
      <c r="F210" s="129"/>
      <c r="G210" s="129"/>
      <c r="H210" s="129"/>
      <c r="I210" s="25"/>
      <c r="J210" s="25"/>
      <c r="K210" s="25"/>
    </row>
    <row r="211" spans="1:11" s="44" customFormat="1" ht="15.75" customHeight="1" x14ac:dyDescent="0.25">
      <c r="A211" s="104" t="s">
        <v>110</v>
      </c>
      <c r="B211" s="104"/>
      <c r="C211" s="104"/>
      <c r="D211" s="104"/>
      <c r="E211" s="104"/>
      <c r="F211" s="104">
        <v>15000</v>
      </c>
      <c r="G211" s="104"/>
      <c r="H211" s="104"/>
      <c r="I211" s="70" t="s">
        <v>275</v>
      </c>
      <c r="J211" s="70" t="s">
        <v>276</v>
      </c>
      <c r="K211" s="70" t="s">
        <v>277</v>
      </c>
    </row>
    <row r="212" spans="1:11" s="44" customFormat="1" x14ac:dyDescent="0.25">
      <c r="A212" s="104" t="s">
        <v>118</v>
      </c>
      <c r="B212" s="104"/>
      <c r="C212" s="104"/>
      <c r="D212" s="104"/>
      <c r="E212" s="104"/>
      <c r="F212" s="104" t="s">
        <v>232</v>
      </c>
      <c r="G212" s="104"/>
      <c r="H212" s="104"/>
      <c r="I212" s="25">
        <f>45000/1.6</f>
        <v>28125</v>
      </c>
      <c r="J212" s="25"/>
      <c r="K212" s="25"/>
    </row>
    <row r="213" spans="1:11" s="44" customFormat="1" hidden="1" x14ac:dyDescent="0.25">
      <c r="A213" s="104" t="s">
        <v>119</v>
      </c>
      <c r="B213" s="104"/>
      <c r="C213" s="104"/>
      <c r="D213" s="104"/>
      <c r="E213" s="104"/>
      <c r="F213" s="104"/>
      <c r="G213" s="104"/>
      <c r="H213" s="104"/>
      <c r="I213" s="25"/>
      <c r="J213" s="25"/>
      <c r="K213" s="25"/>
    </row>
    <row r="214" spans="1:11" s="44" customFormat="1" x14ac:dyDescent="0.25">
      <c r="A214" s="104" t="s">
        <v>136</v>
      </c>
      <c r="B214" s="104"/>
      <c r="C214" s="104"/>
      <c r="D214" s="104"/>
      <c r="E214" s="104"/>
      <c r="F214" s="104" t="s">
        <v>188</v>
      </c>
      <c r="G214" s="104"/>
      <c r="H214" s="104"/>
      <c r="I214" s="42"/>
      <c r="J214" s="42"/>
      <c r="K214" s="42"/>
    </row>
    <row r="215" spans="1:11" s="44" customFormat="1" x14ac:dyDescent="0.25">
      <c r="A215" s="104" t="s">
        <v>235</v>
      </c>
      <c r="B215" s="104"/>
      <c r="C215" s="104"/>
      <c r="D215" s="104"/>
      <c r="E215" s="104"/>
      <c r="F215" s="104" t="s">
        <v>236</v>
      </c>
      <c r="G215" s="104"/>
      <c r="H215" s="104"/>
      <c r="I215" s="42"/>
      <c r="J215" s="42"/>
      <c r="K215" s="42"/>
    </row>
    <row r="216" spans="1:11" s="44" customFormat="1" x14ac:dyDescent="0.25">
      <c r="A216" s="104" t="s">
        <v>137</v>
      </c>
      <c r="B216" s="104"/>
      <c r="C216" s="104"/>
      <c r="D216" s="104"/>
      <c r="E216" s="104"/>
      <c r="F216" s="104" t="s">
        <v>231</v>
      </c>
      <c r="G216" s="104"/>
      <c r="H216" s="104"/>
      <c r="I216" s="42"/>
      <c r="J216" s="42"/>
      <c r="K216" s="42"/>
    </row>
    <row r="217" spans="1:11" s="44" customFormat="1" hidden="1" x14ac:dyDescent="0.25">
      <c r="A217" s="104" t="s">
        <v>138</v>
      </c>
      <c r="B217" s="104"/>
      <c r="C217" s="104"/>
      <c r="D217" s="104"/>
      <c r="E217" s="104"/>
      <c r="F217" s="104" t="s">
        <v>31</v>
      </c>
      <c r="G217" s="104"/>
      <c r="H217" s="104"/>
      <c r="I217" s="42"/>
      <c r="J217" s="42"/>
      <c r="K217" s="42"/>
    </row>
    <row r="218" spans="1:11" s="44" customFormat="1" x14ac:dyDescent="0.25">
      <c r="A218" s="104" t="s">
        <v>234</v>
      </c>
      <c r="B218" s="104"/>
      <c r="C218" s="104"/>
      <c r="D218" s="104"/>
      <c r="E218" s="104"/>
      <c r="F218" s="104" t="s">
        <v>237</v>
      </c>
      <c r="G218" s="104"/>
      <c r="H218" s="104"/>
      <c r="I218" s="42"/>
      <c r="J218" s="42"/>
      <c r="K218" s="42"/>
    </row>
    <row r="219" spans="1:11" s="44" customFormat="1" x14ac:dyDescent="0.25">
      <c r="A219" s="104" t="s">
        <v>233</v>
      </c>
      <c r="B219" s="104"/>
      <c r="C219" s="104"/>
      <c r="D219" s="104"/>
      <c r="E219" s="104"/>
      <c r="F219" s="104" t="s">
        <v>232</v>
      </c>
      <c r="G219" s="104"/>
      <c r="H219" s="104"/>
      <c r="I219" s="42"/>
      <c r="J219" s="42"/>
      <c r="K219" s="42"/>
    </row>
    <row r="220" spans="1:11" s="44" customFormat="1" x14ac:dyDescent="0.25">
      <c r="A220" s="104" t="s">
        <v>139</v>
      </c>
      <c r="B220" s="104"/>
      <c r="C220" s="104"/>
      <c r="D220" s="104"/>
      <c r="E220" s="104"/>
      <c r="F220" s="104" t="s">
        <v>232</v>
      </c>
      <c r="G220" s="104"/>
      <c r="H220" s="104"/>
      <c r="I220" s="42"/>
      <c r="J220" s="42"/>
      <c r="K220" s="42"/>
    </row>
    <row r="221" spans="1:11" s="44" customFormat="1" x14ac:dyDescent="0.25">
      <c r="A221" s="104" t="s">
        <v>263</v>
      </c>
      <c r="B221" s="104"/>
      <c r="C221" s="104"/>
      <c r="D221" s="104"/>
      <c r="E221" s="104"/>
      <c r="F221" s="104" t="s">
        <v>262</v>
      </c>
      <c r="G221" s="104"/>
      <c r="H221" s="104"/>
      <c r="I221" s="42">
        <f>10/1.6</f>
        <v>6.25</v>
      </c>
      <c r="J221" s="42"/>
      <c r="K221" s="42"/>
    </row>
    <row r="222" spans="1:11" s="44" customFormat="1" x14ac:dyDescent="0.25">
      <c r="A222" s="104" t="s">
        <v>56</v>
      </c>
      <c r="B222" s="104"/>
      <c r="C222" s="104"/>
      <c r="D222" s="104"/>
      <c r="E222" s="104"/>
      <c r="F222" s="127" t="s">
        <v>167</v>
      </c>
      <c r="G222" s="127"/>
      <c r="H222" s="127"/>
      <c r="I222" s="25"/>
      <c r="J222" s="25"/>
      <c r="K222" s="25"/>
    </row>
    <row r="223" spans="1:11" s="44" customFormat="1" x14ac:dyDescent="0.25">
      <c r="A223" s="123" t="s">
        <v>57</v>
      </c>
      <c r="B223" s="123"/>
      <c r="C223" s="123"/>
      <c r="D223" s="123"/>
      <c r="E223" s="123"/>
      <c r="F223" s="104">
        <f>F211*0.8</f>
        <v>12000</v>
      </c>
      <c r="G223" s="104"/>
      <c r="H223" s="104"/>
      <c r="I223" s="43"/>
      <c r="J223" s="43"/>
      <c r="K223" s="43"/>
    </row>
    <row r="224" spans="1:11" s="44" customFormat="1" x14ac:dyDescent="0.25">
      <c r="A224" s="171" t="s">
        <v>111</v>
      </c>
      <c r="B224" s="171"/>
      <c r="C224" s="171"/>
      <c r="D224" s="171"/>
      <c r="E224" s="171"/>
      <c r="F224" s="171"/>
      <c r="G224" s="171"/>
      <c r="H224" s="171"/>
    </row>
    <row r="225" spans="1:11" s="44" customFormat="1" x14ac:dyDescent="0.25">
      <c r="A225" s="189" t="s">
        <v>58</v>
      </c>
      <c r="B225" s="189"/>
      <c r="C225" s="45" t="s">
        <v>115</v>
      </c>
      <c r="D225" s="190" t="s">
        <v>59</v>
      </c>
      <c r="E225" s="190"/>
      <c r="F225" s="189" t="s">
        <v>60</v>
      </c>
      <c r="G225" s="189"/>
      <c r="H225" s="189"/>
    </row>
    <row r="226" spans="1:11" s="48" customFormat="1" x14ac:dyDescent="0.25">
      <c r="A226" s="133" t="s">
        <v>181</v>
      </c>
      <c r="B226" s="133"/>
      <c r="C226" s="46">
        <v>4</v>
      </c>
      <c r="D226" s="134">
        <f>SUM(D593:D596)</f>
        <v>1007.9947799999999</v>
      </c>
      <c r="E226" s="134"/>
      <c r="F226" s="191">
        <f>SUM(F593:F596)</f>
        <v>1612.7916480000001</v>
      </c>
      <c r="G226" s="191"/>
      <c r="H226" s="191"/>
      <c r="I226" s="44"/>
      <c r="J226" s="69">
        <f>F226+F240</f>
        <v>1104303.9563712003</v>
      </c>
      <c r="K226" s="44"/>
    </row>
    <row r="227" spans="1:11" s="43" customFormat="1" x14ac:dyDescent="0.25">
      <c r="A227" s="171" t="s">
        <v>102</v>
      </c>
      <c r="B227" s="171"/>
      <c r="C227" s="171"/>
      <c r="D227" s="171"/>
      <c r="E227" s="171"/>
      <c r="F227" s="171"/>
      <c r="G227" s="171"/>
      <c r="H227" s="171"/>
      <c r="I227" s="44"/>
      <c r="J227" s="44"/>
      <c r="K227" s="44"/>
    </row>
    <row r="228" spans="1:11" x14ac:dyDescent="0.25">
      <c r="A228" s="189" t="s">
        <v>58</v>
      </c>
      <c r="B228" s="189"/>
      <c r="C228" s="45" t="s">
        <v>115</v>
      </c>
      <c r="D228" s="190" t="s">
        <v>59</v>
      </c>
      <c r="E228" s="190"/>
      <c r="F228" s="189" t="s">
        <v>60</v>
      </c>
      <c r="G228" s="189"/>
      <c r="H228" s="189"/>
      <c r="I228" s="44"/>
      <c r="J228" s="44"/>
      <c r="K228" s="44"/>
    </row>
    <row r="229" spans="1:11" x14ac:dyDescent="0.25">
      <c r="A229" s="133" t="s">
        <v>196</v>
      </c>
      <c r="B229" s="133"/>
      <c r="C229" s="46">
        <f>COUNT(D248:D249)+COUNT(D253:D256)*3+COUNT(D258:D261)+COUNT(D263:D266)*9+COUNT(D268:D271)+COUNT(D273:D276)*7+COUNT(D278:D281)</f>
        <v>90</v>
      </c>
      <c r="D229" s="134">
        <f>SUM(D248:D249)+SUM(D253:D256)*3+SUM(D258:D261)+SUM(D263:D266)*9+SUM(D268:D271)+SUM(D273:D276)*7+SUM(D278:D281)</f>
        <v>58142.585591999996</v>
      </c>
      <c r="E229" s="134"/>
      <c r="F229" s="130">
        <f>SUM(F248:F249)+SUM(F253:F256)*3+SUM(F258:G261)+SUM(F263:F266)*9+SUM(F268:F271)+SUM(F273:F276)*7+SUM(F278:F281)</f>
        <v>93028.136947199979</v>
      </c>
      <c r="G229" s="131"/>
      <c r="H229" s="132"/>
      <c r="I229" s="44"/>
      <c r="J229" s="44"/>
      <c r="K229" s="44"/>
    </row>
    <row r="230" spans="1:11" s="49" customFormat="1" x14ac:dyDescent="0.25">
      <c r="A230" s="133" t="s">
        <v>221</v>
      </c>
      <c r="B230" s="133"/>
      <c r="C230" s="46">
        <f>COUNT(D288:D289)+COUNT(D291:D294)*3+COUNT(D296:D299)+COUNT(D301:D304)*9+COUNT(D306:D309)+COUNT(D311:D314)*7+COUNT(D316:D319)</f>
        <v>90</v>
      </c>
      <c r="D230" s="134">
        <f>SUM(D288:D289)+SUM(D291:D294)*3+SUM(D296:D299)+SUM(D301:D304)*9+SUM(D306:D309)+SUM(D311:D314)*7+SUM(D316:D319)</f>
        <v>46659.033720000007</v>
      </c>
      <c r="E230" s="134"/>
      <c r="F230" s="130">
        <f>SUM(F288:F289)+SUM(F291:F294)*3+SUM(F296:F299)+SUM(F301:F304)*9+SUM(F306:F309)+SUM(F311:F314)*7+SUM(F316:F319)</f>
        <v>74654.453951999996</v>
      </c>
      <c r="G230" s="131"/>
      <c r="H230" s="132"/>
      <c r="I230" s="44"/>
      <c r="J230" s="44"/>
      <c r="K230" s="44"/>
    </row>
    <row r="231" spans="1:11" s="49" customFormat="1" x14ac:dyDescent="0.25">
      <c r="A231" s="133" t="s">
        <v>199</v>
      </c>
      <c r="B231" s="133"/>
      <c r="C231" s="46">
        <f>COUNT(D324:D325)+COUNT(D328:D329)+COUNT(D333:D340)*3+COUNT(D342:D349)+COUNT(D351:D358)*9+COUNT(D360:D361)+COUNT(D364:D367)+COUNT(D369:D376)*7+COUNT(D378:D379)+COUNT(D382:D385)</f>
        <v>176</v>
      </c>
      <c r="D231" s="134">
        <f>SUM(D324:D325)+SUM(D328:D329)+SUM(D333:D340)*3+SUM(D342:D349)+SUM(D351:D358)*9+SUM(D360:D361)+SUM(D364:D367)+SUM(D369:D376)*7+SUM(D378:D379)+SUM(D382:D385)</f>
        <v>82770.100919999983</v>
      </c>
      <c r="E231" s="134"/>
      <c r="F231" s="130">
        <f>SUM(F324:F325)+SUM(F328:F329)+SUM(F333:F340)*3+SUM(F342:F349)+SUM(F351:F358)*9+SUM(F360:F361)+SUM(F364:F367)+SUM(F369:F376)*7+SUM(F378:F379)+SUM(F382:F385)</f>
        <v>132432.16147200001</v>
      </c>
      <c r="G231" s="131"/>
      <c r="H231" s="132"/>
      <c r="I231" s="44"/>
      <c r="J231" s="44"/>
      <c r="K231" s="44"/>
    </row>
    <row r="232" spans="1:11" s="49" customFormat="1" x14ac:dyDescent="0.25">
      <c r="A232" s="133" t="s">
        <v>202</v>
      </c>
      <c r="B232" s="133"/>
      <c r="C232" s="46">
        <f>COUNT(D390)+COUNT(D395:D398)*3+COUNT(D400:D403)+COUNT(D405:D408)*9+COUNT(D410:D413)+COUNT(D415:D418)*7+COUNT(D420:D423)</f>
        <v>89</v>
      </c>
      <c r="D232" s="130">
        <f>SUM(D390)+SUM(D395:D398)*3+SUM(D400:D403)+SUM(D405:D408)*9+SUM(D410:D413)+SUM(D415:D418)*7+SUM(D420:D423)</f>
        <v>82911.346128000005</v>
      </c>
      <c r="E232" s="132"/>
      <c r="F232" s="130">
        <f>SUM(F390)+SUM(F395:F398)*3+SUM(F400:F403)+SUM(F405:F408)*9+SUM(F410:F413)+SUM(F415:F418)*7+SUM(F420:F423)</f>
        <v>132658.15380480001</v>
      </c>
      <c r="G232" s="131"/>
      <c r="H232" s="132"/>
      <c r="I232" s="44"/>
      <c r="J232" s="44"/>
      <c r="K232" s="44"/>
    </row>
    <row r="233" spans="1:11" s="49" customFormat="1" x14ac:dyDescent="0.25">
      <c r="A233" s="133" t="s">
        <v>206</v>
      </c>
      <c r="B233" s="133"/>
      <c r="C233" s="46">
        <f>COUNT(D428)+COUNT(D431:D432)*3+COUNT(D434:D435)*10+COUNT(D437:D438)+COUNT(D440:D441)+COUNT(D443:D444)*7</f>
        <v>45</v>
      </c>
      <c r="D233" s="130">
        <f>SUM(D428)+SUM(D431:D432)*3+SUM(D434:D435)*10+SUM(D437:D438)+SUM(D440:D441)+SUM(D443:D444)*7</f>
        <v>39199.904639999993</v>
      </c>
      <c r="E233" s="132"/>
      <c r="F233" s="130">
        <f>SUM(F428)+SUM(F431:F432)*3+SUM(F434:F435)*10+SUM(F437:F438)+SUM(F440:F441)+SUM(F443:F444)*7</f>
        <v>62719.847424000007</v>
      </c>
      <c r="G233" s="131"/>
      <c r="H233" s="132"/>
      <c r="I233" s="44"/>
      <c r="J233" s="44"/>
      <c r="K233" s="44"/>
    </row>
    <row r="234" spans="1:11" s="49" customFormat="1" x14ac:dyDescent="0.25">
      <c r="A234" s="133" t="s">
        <v>207</v>
      </c>
      <c r="B234" s="133"/>
      <c r="C234" s="46">
        <f>COUNT(D450)+COUNT(D454:D457)*3+COUNT(D459:D464)*10+COUNT(D466:D468)+COUNT(D470:D471)+COUNT(D473:D475)+COUNT(D478)+COUNT(D480:D485)*7</f>
        <v>124</v>
      </c>
      <c r="D234" s="130">
        <f>SUM(D450)+SUM(D454:D457)*3+SUM(D459:D464)*10+SUM(D466:D468)+SUM(D470:D471)+SUM(D473:D475)+SUM(D478)+SUM(D480:D485)*7</f>
        <v>93775.419036000007</v>
      </c>
      <c r="E234" s="132"/>
      <c r="F234" s="130">
        <f>SUM(F450)+SUM(F454:F457)*3+SUM(F459:F464)*10+SUM(F466:F468)+SUM(F470:F471)+SUM(F473:F475)+SUM(F477:F478)+SUM(F480:F485)*7</f>
        <v>150040.6704576</v>
      </c>
      <c r="G234" s="131"/>
      <c r="H234" s="132"/>
      <c r="I234" s="44"/>
      <c r="J234" s="44"/>
      <c r="K234" s="44"/>
    </row>
    <row r="235" spans="1:11" s="49" customFormat="1" x14ac:dyDescent="0.25">
      <c r="A235" s="133" t="s">
        <v>208</v>
      </c>
      <c r="B235" s="133"/>
      <c r="C235" s="46">
        <f>COUNT(D493:D494)</f>
        <v>2</v>
      </c>
      <c r="D235" s="130">
        <f>SUM(D493:D494)</f>
        <v>1598.6477519999999</v>
      </c>
      <c r="E235" s="132"/>
      <c r="F235" s="130">
        <f>SUM(F493:F494)</f>
        <v>2557.8364031999999</v>
      </c>
      <c r="G235" s="131"/>
      <c r="H235" s="132"/>
      <c r="I235" s="44"/>
      <c r="J235" s="44"/>
      <c r="K235" s="44"/>
    </row>
    <row r="236" spans="1:11" s="49" customFormat="1" x14ac:dyDescent="0.25">
      <c r="A236" s="133" t="s">
        <v>210</v>
      </c>
      <c r="B236" s="133"/>
      <c r="C236" s="46">
        <f>COUNT(D500)+COUNT(D503:D504)*3+COUNT(D506:D508)*10+COUNT(D510:D512)+COUNT(D514:D516)+COUNT(D518:D520)*7</f>
        <v>64</v>
      </c>
      <c r="D236" s="130">
        <f>SUM(D500)+SUM(D503:D504)*3+SUM(D506:D508)*10+SUM(D510:D512)+SUM(D514:D516)+SUM(D518:D520)*7</f>
        <v>47108.452247999994</v>
      </c>
      <c r="E236" s="132"/>
      <c r="F236" s="130">
        <f>SUM(F500)+SUM(F503:F504)*3+SUM(F506:F508)*10+SUM(F510:F512)+SUM(F514:F516)+SUM(F518:F520)*7</f>
        <v>75373.523596800005</v>
      </c>
      <c r="G236" s="131"/>
      <c r="H236" s="132"/>
      <c r="I236" s="44"/>
      <c r="J236" s="44"/>
      <c r="K236" s="44"/>
    </row>
    <row r="237" spans="1:11" s="49" customFormat="1" x14ac:dyDescent="0.25">
      <c r="A237" s="133" t="s">
        <v>211</v>
      </c>
      <c r="B237" s="133"/>
      <c r="C237" s="46">
        <f>COUNT(D527:D529)+COUNT(D531:D535)*3+COUNT(D537:D541)*10+COUNT(D543:D547)+COUNT(D549:D553)+COUNT(D555:D559)*7</f>
        <v>113</v>
      </c>
      <c r="D237" s="130">
        <f>SUM(D527:D529)+SUM(D531:D535)*3+SUM(D537:D541)*10+SUM(D543:D547)+SUM(D549:D553)+SUM(D555:D559)*7</f>
        <v>71087.748732000007</v>
      </c>
      <c r="E237" s="132"/>
      <c r="F237" s="130">
        <f>SUM(F527:F529)+SUM(F531:F535)*3+SUM(F537:F541)*10+SUM(F543:F547)+SUM(F549:F553)+SUM(F555:F559)*7</f>
        <v>113740.39797119997</v>
      </c>
      <c r="G237" s="131"/>
      <c r="H237" s="132"/>
      <c r="I237" s="44"/>
      <c r="J237" s="44"/>
      <c r="K237" s="44"/>
    </row>
    <row r="238" spans="1:11" s="49" customFormat="1" x14ac:dyDescent="0.25">
      <c r="A238" s="133" t="s">
        <v>189</v>
      </c>
      <c r="B238" s="133"/>
      <c r="C238" s="46">
        <f>COUNT(D564:D571)*20+COUNT(D573:D578)*2+COUNT(D582:D587)</f>
        <v>178</v>
      </c>
      <c r="D238" s="134">
        <f>SUM(D564:D571)*20+SUM(D573:D578)*2+SUM(D582:D587)</f>
        <v>77739.104196</v>
      </c>
      <c r="E238" s="134"/>
      <c r="F238" s="130">
        <f>SUM(F564:F571)*20+SUM(F573:F578)*2+SUM(F582:F587)</f>
        <v>124382.56671360003</v>
      </c>
      <c r="G238" s="131"/>
      <c r="H238" s="132"/>
      <c r="I238" s="44"/>
      <c r="J238" s="44"/>
      <c r="K238" s="44"/>
    </row>
    <row r="239" spans="1:11" s="49" customFormat="1" x14ac:dyDescent="0.25">
      <c r="A239" s="133" t="s">
        <v>181</v>
      </c>
      <c r="B239" s="133"/>
      <c r="C239" s="46">
        <f>COUNT(D598:D605)*20+COUNT(D607:D612)*2+COUNT(D616:D621)+COUNT(D625:D632)+COUNT(D634:D641)*2</f>
        <v>202</v>
      </c>
      <c r="D239" s="134">
        <f>SUM(D598:D605)*20+SUM(D607:D612)*2+SUM(D616:D621)+SUM(D625:D632)+SUM(D634:D641)*2</f>
        <v>88189.634987999991</v>
      </c>
      <c r="E239" s="134"/>
      <c r="F239" s="130">
        <f>SUM(F598:F605)*20+SUM(F607:F612)*2+SUM(F616:F621)+SUM(F625:F632)+SUM(F634:F641)*2</f>
        <v>141103.41598080003</v>
      </c>
      <c r="G239" s="131"/>
      <c r="H239" s="132"/>
      <c r="I239" s="44"/>
      <c r="J239" s="44"/>
      <c r="K239" s="44"/>
    </row>
    <row r="240" spans="1:11" s="49" customFormat="1" x14ac:dyDescent="0.25">
      <c r="A240" s="171" t="s">
        <v>62</v>
      </c>
      <c r="B240" s="171"/>
      <c r="C240" s="47">
        <f>SUM(C229:C239)</f>
        <v>1173</v>
      </c>
      <c r="D240" s="192">
        <f>SUM(D229:D239)</f>
        <v>689181.9779520001</v>
      </c>
      <c r="E240" s="192"/>
      <c r="F240" s="186">
        <f>SUM(F229:F239)</f>
        <v>1102691.1647232003</v>
      </c>
      <c r="G240" s="187"/>
      <c r="H240" s="188"/>
      <c r="I240" s="48"/>
      <c r="J240" s="48"/>
      <c r="K240" s="48"/>
    </row>
    <row r="241" spans="1:11" s="49" customFormat="1" ht="15.6" customHeight="1" x14ac:dyDescent="0.25">
      <c r="A241" s="105" t="s">
        <v>63</v>
      </c>
      <c r="B241" s="105"/>
      <c r="C241" s="105"/>
      <c r="D241" s="105"/>
      <c r="E241" s="105"/>
      <c r="F241" s="105"/>
      <c r="G241" s="105"/>
      <c r="H241" s="105"/>
      <c r="I241" s="43"/>
      <c r="J241" s="43"/>
      <c r="K241" s="43"/>
    </row>
    <row r="242" spans="1:11" s="49" customFormat="1" x14ac:dyDescent="0.25">
      <c r="A242" s="105" t="s">
        <v>64</v>
      </c>
      <c r="B242" s="105"/>
      <c r="C242" s="105"/>
      <c r="D242" s="105"/>
      <c r="E242" s="105"/>
      <c r="F242" s="105"/>
      <c r="G242" s="105"/>
      <c r="H242" s="105"/>
      <c r="I242" s="25"/>
      <c r="J242" s="25"/>
      <c r="K242" s="25"/>
    </row>
    <row r="243" spans="1:11" s="49" customFormat="1" ht="42.75" x14ac:dyDescent="0.25">
      <c r="A243" s="172" t="s">
        <v>112</v>
      </c>
      <c r="B243" s="172"/>
      <c r="C243" s="22" t="s">
        <v>65</v>
      </c>
      <c r="D243" s="22" t="s">
        <v>66</v>
      </c>
      <c r="E243" s="6" t="s">
        <v>67</v>
      </c>
      <c r="F243" s="22" t="s">
        <v>68</v>
      </c>
      <c r="G243" s="172" t="s">
        <v>69</v>
      </c>
      <c r="H243" s="172"/>
      <c r="I243" s="25"/>
      <c r="J243" s="25"/>
      <c r="K243" s="25"/>
    </row>
    <row r="244" spans="1:11" s="49" customFormat="1" x14ac:dyDescent="0.25">
      <c r="A244" s="135" t="s">
        <v>196</v>
      </c>
      <c r="B244" s="135"/>
      <c r="C244" s="135"/>
      <c r="D244" s="135"/>
      <c r="E244" s="135"/>
      <c r="F244" s="135"/>
      <c r="G244" s="135"/>
      <c r="H244" s="135"/>
    </row>
    <row r="245" spans="1:11" s="49" customFormat="1" x14ac:dyDescent="0.25">
      <c r="A245" s="135" t="s">
        <v>194</v>
      </c>
      <c r="B245" s="135"/>
      <c r="C245" s="135"/>
      <c r="D245" s="135"/>
      <c r="E245" s="135"/>
      <c r="F245" s="135"/>
      <c r="G245" s="135"/>
      <c r="H245" s="135"/>
    </row>
    <row r="246" spans="1:11" s="49" customFormat="1" ht="15.6" customHeight="1" x14ac:dyDescent="0.25">
      <c r="A246" s="135" t="s">
        <v>164</v>
      </c>
      <c r="B246" s="135"/>
      <c r="C246" s="135"/>
      <c r="D246" s="135"/>
      <c r="E246" s="135"/>
      <c r="F246" s="135"/>
      <c r="G246" s="135"/>
      <c r="H246" s="135"/>
    </row>
    <row r="247" spans="1:11" s="49" customFormat="1" x14ac:dyDescent="0.25">
      <c r="A247" s="135" t="s">
        <v>201</v>
      </c>
      <c r="B247" s="135"/>
      <c r="C247" s="135"/>
      <c r="D247" s="135"/>
      <c r="E247" s="135"/>
      <c r="F247" s="135"/>
      <c r="G247" s="135"/>
      <c r="H247" s="135"/>
    </row>
    <row r="248" spans="1:11" s="49" customFormat="1" x14ac:dyDescent="0.25">
      <c r="A248" s="136">
        <v>1</v>
      </c>
      <c r="B248" s="136"/>
      <c r="C248" s="21" t="s">
        <v>165</v>
      </c>
      <c r="D248" s="21">
        <f>58.435*10.764</f>
        <v>628.99433999999997</v>
      </c>
      <c r="E248" s="21">
        <v>0</v>
      </c>
      <c r="F248" s="21">
        <f>D248*1.6</f>
        <v>1006.390944</v>
      </c>
      <c r="G248" s="137" t="str">
        <f>A247</f>
        <v>1st Floor for Residential</v>
      </c>
      <c r="H248" s="138"/>
    </row>
    <row r="249" spans="1:11" s="49" customFormat="1" x14ac:dyDescent="0.25">
      <c r="A249" s="136">
        <v>2</v>
      </c>
      <c r="B249" s="136"/>
      <c r="C249" s="21" t="s">
        <v>165</v>
      </c>
      <c r="D249" s="21">
        <f>58.435*10.764</f>
        <v>628.99433999999997</v>
      </c>
      <c r="E249" s="21">
        <v>0</v>
      </c>
      <c r="F249" s="21">
        <f>D249*1.6</f>
        <v>1006.390944</v>
      </c>
      <c r="G249" s="139"/>
      <c r="H249" s="140"/>
    </row>
    <row r="250" spans="1:11" s="49" customFormat="1" x14ac:dyDescent="0.25">
      <c r="A250" s="136">
        <v>3</v>
      </c>
      <c r="B250" s="136"/>
      <c r="C250" s="137" t="s">
        <v>200</v>
      </c>
      <c r="D250" s="143"/>
      <c r="E250" s="143"/>
      <c r="F250" s="138"/>
      <c r="G250" s="139"/>
      <c r="H250" s="140"/>
    </row>
    <row r="251" spans="1:11" s="49" customFormat="1" ht="15.6" customHeight="1" x14ac:dyDescent="0.25">
      <c r="A251" s="136">
        <v>4</v>
      </c>
      <c r="B251" s="136"/>
      <c r="C251" s="141"/>
      <c r="D251" s="144"/>
      <c r="E251" s="144"/>
      <c r="F251" s="142"/>
      <c r="G251" s="141"/>
      <c r="H251" s="142"/>
    </row>
    <row r="252" spans="1:11" s="49" customFormat="1" x14ac:dyDescent="0.25">
      <c r="A252" s="135" t="s">
        <v>204</v>
      </c>
      <c r="B252" s="135"/>
      <c r="C252" s="135"/>
      <c r="D252" s="135"/>
      <c r="E252" s="135"/>
      <c r="F252" s="135"/>
      <c r="G252" s="135"/>
      <c r="H252" s="135"/>
    </row>
    <row r="253" spans="1:11" s="49" customFormat="1" x14ac:dyDescent="0.25">
      <c r="A253" s="136">
        <v>1</v>
      </c>
      <c r="B253" s="136"/>
      <c r="C253" s="21" t="s">
        <v>165</v>
      </c>
      <c r="D253" s="21">
        <f>58.435*10.764</f>
        <v>628.99433999999997</v>
      </c>
      <c r="E253" s="21">
        <v>0</v>
      </c>
      <c r="F253" s="21">
        <f>D253*1.6</f>
        <v>1006.390944</v>
      </c>
      <c r="G253" s="137" t="str">
        <f>A252</f>
        <v>2nd to 4th Floor</v>
      </c>
      <c r="H253" s="138"/>
    </row>
    <row r="254" spans="1:11" s="49" customFormat="1" x14ac:dyDescent="0.25">
      <c r="A254" s="136">
        <v>2</v>
      </c>
      <c r="B254" s="136"/>
      <c r="C254" s="21" t="s">
        <v>165</v>
      </c>
      <c r="D254" s="21">
        <f>58.435*10.764</f>
        <v>628.99433999999997</v>
      </c>
      <c r="E254" s="21">
        <v>0</v>
      </c>
      <c r="F254" s="21">
        <f>D254*1.6</f>
        <v>1006.390944</v>
      </c>
      <c r="G254" s="139"/>
      <c r="H254" s="140"/>
    </row>
    <row r="255" spans="1:11" s="49" customFormat="1" x14ac:dyDescent="0.25">
      <c r="A255" s="136">
        <v>3</v>
      </c>
      <c r="B255" s="136"/>
      <c r="C255" s="21" t="s">
        <v>165</v>
      </c>
      <c r="D255" s="21">
        <f>61.672*10.764</f>
        <v>663.83740799999998</v>
      </c>
      <c r="E255" s="21">
        <v>0</v>
      </c>
      <c r="F255" s="21">
        <f>D255*1.6</f>
        <v>1062.1398528</v>
      </c>
      <c r="G255" s="139"/>
      <c r="H255" s="140"/>
    </row>
    <row r="256" spans="1:11" s="49" customFormat="1" ht="15.6" customHeight="1" x14ac:dyDescent="0.25">
      <c r="A256" s="136">
        <v>4</v>
      </c>
      <c r="B256" s="136"/>
      <c r="C256" s="21" t="s">
        <v>165</v>
      </c>
      <c r="D256" s="21">
        <f>61.672*10.764</f>
        <v>663.83740799999998</v>
      </c>
      <c r="E256" s="21">
        <v>0</v>
      </c>
      <c r="F256" s="21">
        <f>D256*1.6</f>
        <v>1062.1398528</v>
      </c>
      <c r="G256" s="141"/>
      <c r="H256" s="142"/>
    </row>
    <row r="257" spans="1:9" s="49" customFormat="1" x14ac:dyDescent="0.25">
      <c r="A257" s="135" t="s">
        <v>213</v>
      </c>
      <c r="B257" s="135"/>
      <c r="C257" s="135"/>
      <c r="D257" s="135"/>
      <c r="E257" s="135"/>
      <c r="F257" s="135"/>
      <c r="G257" s="135"/>
      <c r="H257" s="135"/>
    </row>
    <row r="258" spans="1:9" s="49" customFormat="1" x14ac:dyDescent="0.25">
      <c r="A258" s="136">
        <v>1</v>
      </c>
      <c r="B258" s="136"/>
      <c r="C258" s="21" t="s">
        <v>165</v>
      </c>
      <c r="D258" s="21">
        <f>58.435*10.764</f>
        <v>628.99433999999997</v>
      </c>
      <c r="E258" s="21">
        <v>0</v>
      </c>
      <c r="F258" s="21">
        <f>D258*1.6</f>
        <v>1006.390944</v>
      </c>
      <c r="G258" s="137" t="str">
        <f>A257</f>
        <v>5th Floor</v>
      </c>
      <c r="H258" s="138"/>
    </row>
    <row r="259" spans="1:9" s="49" customFormat="1" x14ac:dyDescent="0.25">
      <c r="A259" s="136">
        <v>2</v>
      </c>
      <c r="B259" s="136"/>
      <c r="C259" s="21" t="s">
        <v>165</v>
      </c>
      <c r="D259" s="21">
        <f>58.435*10.764</f>
        <v>628.99433999999997</v>
      </c>
      <c r="E259" s="21">
        <v>0</v>
      </c>
      <c r="F259" s="21">
        <f>D259*1.6</f>
        <v>1006.390944</v>
      </c>
      <c r="G259" s="139"/>
      <c r="H259" s="140"/>
    </row>
    <row r="260" spans="1:9" s="49" customFormat="1" x14ac:dyDescent="0.25">
      <c r="A260" s="136">
        <v>3</v>
      </c>
      <c r="B260" s="136"/>
      <c r="C260" s="21" t="s">
        <v>165</v>
      </c>
      <c r="D260" s="21">
        <f>61.672*10.764</f>
        <v>663.83740799999998</v>
      </c>
      <c r="E260" s="21">
        <v>0</v>
      </c>
      <c r="F260" s="21">
        <f>D260*1.6</f>
        <v>1062.1398528</v>
      </c>
      <c r="G260" s="139"/>
      <c r="H260" s="140"/>
    </row>
    <row r="261" spans="1:9" s="49" customFormat="1" ht="15.6" customHeight="1" x14ac:dyDescent="0.25">
      <c r="A261" s="136">
        <v>4</v>
      </c>
      <c r="B261" s="136"/>
      <c r="C261" s="21" t="s">
        <v>165</v>
      </c>
      <c r="D261" s="21">
        <f>61.672*10.764</f>
        <v>663.83740799999998</v>
      </c>
      <c r="E261" s="21">
        <v>0</v>
      </c>
      <c r="F261" s="21">
        <f>D261*1.6</f>
        <v>1062.1398528</v>
      </c>
      <c r="G261" s="141"/>
      <c r="H261" s="142"/>
    </row>
    <row r="262" spans="1:9" s="49" customFormat="1" x14ac:dyDescent="0.25">
      <c r="A262" s="135" t="s">
        <v>214</v>
      </c>
      <c r="B262" s="135"/>
      <c r="C262" s="135"/>
      <c r="D262" s="135"/>
      <c r="E262" s="135"/>
      <c r="F262" s="135"/>
      <c r="G262" s="135"/>
      <c r="H262" s="135"/>
    </row>
    <row r="263" spans="1:9" s="49" customFormat="1" ht="15.6" customHeight="1" x14ac:dyDescent="0.25">
      <c r="A263" s="136">
        <v>1</v>
      </c>
      <c r="B263" s="136"/>
      <c r="C263" s="21" t="s">
        <v>165</v>
      </c>
      <c r="D263" s="21">
        <f>58.435*10.764</f>
        <v>628.99433999999997</v>
      </c>
      <c r="E263" s="21">
        <v>0</v>
      </c>
      <c r="F263" s="21">
        <f>D263*1.6</f>
        <v>1006.390944</v>
      </c>
      <c r="G263" s="137" t="str">
        <f>A262</f>
        <v>6th, 7th, 9th, 11th, 13th, 17th, 19th, 21st &amp; 23rd Floor</v>
      </c>
      <c r="H263" s="138"/>
    </row>
    <row r="264" spans="1:9" s="49" customFormat="1" x14ac:dyDescent="0.25">
      <c r="A264" s="136">
        <v>2</v>
      </c>
      <c r="B264" s="136"/>
      <c r="C264" s="21" t="s">
        <v>165</v>
      </c>
      <c r="D264" s="21">
        <f>58.435*10.764</f>
        <v>628.99433999999997</v>
      </c>
      <c r="E264" s="21">
        <v>0</v>
      </c>
      <c r="F264" s="21">
        <f>D264*1.6</f>
        <v>1006.390944</v>
      </c>
      <c r="G264" s="139"/>
      <c r="H264" s="140"/>
    </row>
    <row r="265" spans="1:9" s="49" customFormat="1" x14ac:dyDescent="0.25">
      <c r="A265" s="136">
        <v>3</v>
      </c>
      <c r="B265" s="136"/>
      <c r="C265" s="21" t="s">
        <v>165</v>
      </c>
      <c r="D265" s="21">
        <f>61.672*10.764</f>
        <v>663.83740799999998</v>
      </c>
      <c r="E265" s="21">
        <v>0</v>
      </c>
      <c r="F265" s="21">
        <f>D265*1.6</f>
        <v>1062.1398528</v>
      </c>
      <c r="G265" s="139"/>
      <c r="H265" s="140"/>
      <c r="I265" s="49">
        <f>16500000/F265</f>
        <v>15534.677431133859</v>
      </c>
    </row>
    <row r="266" spans="1:9" s="49" customFormat="1" ht="15.6" customHeight="1" x14ac:dyDescent="0.25">
      <c r="A266" s="136">
        <v>4</v>
      </c>
      <c r="B266" s="136"/>
      <c r="C266" s="21" t="s">
        <v>165</v>
      </c>
      <c r="D266" s="21">
        <f>61.672*10.764</f>
        <v>663.83740799999998</v>
      </c>
      <c r="E266" s="21">
        <v>0</v>
      </c>
      <c r="F266" s="21">
        <f>D266*1.6</f>
        <v>1062.1398528</v>
      </c>
      <c r="G266" s="141"/>
      <c r="H266" s="142"/>
    </row>
    <row r="267" spans="1:9" s="49" customFormat="1" x14ac:dyDescent="0.25">
      <c r="A267" s="135" t="s">
        <v>215</v>
      </c>
      <c r="B267" s="135"/>
      <c r="C267" s="135"/>
      <c r="D267" s="135"/>
      <c r="E267" s="135"/>
      <c r="F267" s="135"/>
      <c r="G267" s="135"/>
      <c r="H267" s="135"/>
    </row>
    <row r="268" spans="1:9" s="49" customFormat="1" x14ac:dyDescent="0.25">
      <c r="A268" s="136">
        <v>1</v>
      </c>
      <c r="B268" s="136"/>
      <c r="C268" s="21" t="s">
        <v>165</v>
      </c>
      <c r="D268" s="21">
        <f>58.435*10.764</f>
        <v>628.99433999999997</v>
      </c>
      <c r="E268" s="21">
        <v>0</v>
      </c>
      <c r="F268" s="21">
        <f>D268*1.6</f>
        <v>1006.390944</v>
      </c>
      <c r="G268" s="137" t="str">
        <f>A267</f>
        <v>8th Floor</v>
      </c>
      <c r="H268" s="138"/>
    </row>
    <row r="269" spans="1:9" s="49" customFormat="1" x14ac:dyDescent="0.25">
      <c r="A269" s="136">
        <v>2</v>
      </c>
      <c r="B269" s="136"/>
      <c r="C269" s="21" t="s">
        <v>165</v>
      </c>
      <c r="D269" s="21">
        <f>58.435*10.764</f>
        <v>628.99433999999997</v>
      </c>
      <c r="E269" s="21">
        <v>0</v>
      </c>
      <c r="F269" s="21">
        <f>D269*1.6</f>
        <v>1006.390944</v>
      </c>
      <c r="G269" s="139"/>
      <c r="H269" s="140"/>
    </row>
    <row r="270" spans="1:9" s="49" customFormat="1" x14ac:dyDescent="0.25">
      <c r="A270" s="136">
        <v>3</v>
      </c>
      <c r="B270" s="136"/>
      <c r="C270" s="21" t="s">
        <v>165</v>
      </c>
      <c r="D270" s="21">
        <f>61.672*10.764</f>
        <v>663.83740799999998</v>
      </c>
      <c r="E270" s="21">
        <v>0</v>
      </c>
      <c r="F270" s="21">
        <f>D270*1.6</f>
        <v>1062.1398528</v>
      </c>
      <c r="G270" s="139"/>
      <c r="H270" s="140"/>
    </row>
    <row r="271" spans="1:9" s="49" customFormat="1" x14ac:dyDescent="0.25">
      <c r="A271" s="136">
        <v>4</v>
      </c>
      <c r="B271" s="136"/>
      <c r="C271" s="21" t="s">
        <v>165</v>
      </c>
      <c r="D271" s="21">
        <f>61.672*10.764</f>
        <v>663.83740799999998</v>
      </c>
      <c r="E271" s="21">
        <v>0</v>
      </c>
      <c r="F271" s="21">
        <f>D271*1.6</f>
        <v>1062.1398528</v>
      </c>
      <c r="G271" s="141"/>
      <c r="H271" s="142"/>
    </row>
    <row r="272" spans="1:9" s="49" customFormat="1" x14ac:dyDescent="0.25">
      <c r="A272" s="135" t="s">
        <v>217</v>
      </c>
      <c r="B272" s="135"/>
      <c r="C272" s="135"/>
      <c r="D272" s="135"/>
      <c r="E272" s="135"/>
      <c r="F272" s="135"/>
      <c r="G272" s="135"/>
      <c r="H272" s="135"/>
    </row>
    <row r="273" spans="1:8" s="49" customFormat="1" x14ac:dyDescent="0.25">
      <c r="A273" s="136">
        <v>1</v>
      </c>
      <c r="B273" s="136"/>
      <c r="C273" s="21" t="s">
        <v>165</v>
      </c>
      <c r="D273" s="21">
        <f>58.435*10.764</f>
        <v>628.99433999999997</v>
      </c>
      <c r="E273" s="21">
        <v>0</v>
      </c>
      <c r="F273" s="21">
        <f>D273*1.6</f>
        <v>1006.390944</v>
      </c>
      <c r="G273" s="137" t="str">
        <f>A272</f>
        <v>10th, 12th, 14th, 16th, 18th, 20th &amp; 22nd Floor</v>
      </c>
      <c r="H273" s="138"/>
    </row>
    <row r="274" spans="1:8" s="49" customFormat="1" x14ac:dyDescent="0.25">
      <c r="A274" s="136">
        <v>2</v>
      </c>
      <c r="B274" s="136"/>
      <c r="C274" s="21" t="s">
        <v>165</v>
      </c>
      <c r="D274" s="21">
        <f>58.435*10.764</f>
        <v>628.99433999999997</v>
      </c>
      <c r="E274" s="21">
        <v>0</v>
      </c>
      <c r="F274" s="21">
        <f>D274*1.6</f>
        <v>1006.390944</v>
      </c>
      <c r="G274" s="139"/>
      <c r="H274" s="140"/>
    </row>
    <row r="275" spans="1:8" s="49" customFormat="1" x14ac:dyDescent="0.25">
      <c r="A275" s="136">
        <v>3</v>
      </c>
      <c r="B275" s="136"/>
      <c r="C275" s="21" t="s">
        <v>165</v>
      </c>
      <c r="D275" s="21">
        <f>61.672*10.764</f>
        <v>663.83740799999998</v>
      </c>
      <c r="E275" s="21">
        <v>0</v>
      </c>
      <c r="F275" s="21">
        <f>D275*1.6</f>
        <v>1062.1398528</v>
      </c>
      <c r="G275" s="139"/>
      <c r="H275" s="140"/>
    </row>
    <row r="276" spans="1:8" s="49" customFormat="1" ht="15.6" customHeight="1" x14ac:dyDescent="0.25">
      <c r="A276" s="136">
        <v>4</v>
      </c>
      <c r="B276" s="136"/>
      <c r="C276" s="21" t="s">
        <v>165</v>
      </c>
      <c r="D276" s="21">
        <f>61.672*10.764</f>
        <v>663.83740799999998</v>
      </c>
      <c r="E276" s="21">
        <v>0</v>
      </c>
      <c r="F276" s="21">
        <f>D276*1.6</f>
        <v>1062.1398528</v>
      </c>
      <c r="G276" s="141"/>
      <c r="H276" s="142"/>
    </row>
    <row r="277" spans="1:8" s="49" customFormat="1" ht="15.6" customHeight="1" x14ac:dyDescent="0.25">
      <c r="A277" s="135" t="s">
        <v>218</v>
      </c>
      <c r="B277" s="135"/>
      <c r="C277" s="135"/>
      <c r="D277" s="135"/>
      <c r="E277" s="135"/>
      <c r="F277" s="135"/>
      <c r="G277" s="135"/>
      <c r="H277" s="135"/>
    </row>
    <row r="278" spans="1:8" s="49" customFormat="1" x14ac:dyDescent="0.25">
      <c r="A278" s="136">
        <v>1</v>
      </c>
      <c r="B278" s="136"/>
      <c r="C278" s="21" t="s">
        <v>165</v>
      </c>
      <c r="D278" s="21">
        <f>58.435*10.764</f>
        <v>628.99433999999997</v>
      </c>
      <c r="E278" s="21">
        <v>0</v>
      </c>
      <c r="F278" s="21">
        <f>D278*1.6</f>
        <v>1006.390944</v>
      </c>
      <c r="G278" s="137" t="str">
        <f>A277</f>
        <v>15th Floor</v>
      </c>
      <c r="H278" s="138"/>
    </row>
    <row r="279" spans="1:8" s="49" customFormat="1" x14ac:dyDescent="0.25">
      <c r="A279" s="136">
        <v>2</v>
      </c>
      <c r="B279" s="136"/>
      <c r="C279" s="21" t="s">
        <v>165</v>
      </c>
      <c r="D279" s="21">
        <f>58.435*10.764</f>
        <v>628.99433999999997</v>
      </c>
      <c r="E279" s="21">
        <v>0</v>
      </c>
      <c r="F279" s="21">
        <f>D279*1.6</f>
        <v>1006.390944</v>
      </c>
      <c r="G279" s="139"/>
      <c r="H279" s="140"/>
    </row>
    <row r="280" spans="1:8" s="49" customFormat="1" x14ac:dyDescent="0.25">
      <c r="A280" s="136">
        <v>3</v>
      </c>
      <c r="B280" s="136"/>
      <c r="C280" s="21" t="s">
        <v>165</v>
      </c>
      <c r="D280" s="21">
        <f>61.672*10.764</f>
        <v>663.83740799999998</v>
      </c>
      <c r="E280" s="21">
        <v>0</v>
      </c>
      <c r="F280" s="21">
        <f>D280*1.6</f>
        <v>1062.1398528</v>
      </c>
      <c r="G280" s="139"/>
      <c r="H280" s="140"/>
    </row>
    <row r="281" spans="1:8" s="49" customFormat="1" ht="15.6" customHeight="1" x14ac:dyDescent="0.25">
      <c r="A281" s="136">
        <v>4</v>
      </c>
      <c r="B281" s="136"/>
      <c r="C281" s="21" t="s">
        <v>165</v>
      </c>
      <c r="D281" s="21">
        <f>61.672*10.764</f>
        <v>663.83740799999998</v>
      </c>
      <c r="E281" s="21">
        <v>0</v>
      </c>
      <c r="F281" s="21">
        <f>D281*1.6</f>
        <v>1062.1398528</v>
      </c>
      <c r="G281" s="141"/>
      <c r="H281" s="142"/>
    </row>
    <row r="282" spans="1:8" s="49" customFormat="1" ht="15.6" customHeight="1" x14ac:dyDescent="0.25">
      <c r="A282" s="135" t="s">
        <v>198</v>
      </c>
      <c r="B282" s="135"/>
      <c r="C282" s="135"/>
      <c r="D282" s="135"/>
      <c r="E282" s="135"/>
      <c r="F282" s="135"/>
      <c r="G282" s="135"/>
      <c r="H282" s="135"/>
    </row>
    <row r="283" spans="1:8" s="49" customFormat="1" x14ac:dyDescent="0.25">
      <c r="A283" s="135" t="s">
        <v>194</v>
      </c>
      <c r="B283" s="135"/>
      <c r="C283" s="135"/>
      <c r="D283" s="135"/>
      <c r="E283" s="135"/>
      <c r="F283" s="135"/>
      <c r="G283" s="135"/>
      <c r="H283" s="135"/>
    </row>
    <row r="284" spans="1:8" s="49" customFormat="1" x14ac:dyDescent="0.25">
      <c r="A284" s="135" t="s">
        <v>164</v>
      </c>
      <c r="B284" s="135"/>
      <c r="C284" s="135"/>
      <c r="D284" s="135"/>
      <c r="E284" s="135"/>
      <c r="F284" s="135"/>
      <c r="G284" s="135"/>
      <c r="H284" s="135"/>
    </row>
    <row r="285" spans="1:8" s="49" customFormat="1" x14ac:dyDescent="0.25">
      <c r="A285" s="135" t="s">
        <v>201</v>
      </c>
      <c r="B285" s="135"/>
      <c r="C285" s="135"/>
      <c r="D285" s="135"/>
      <c r="E285" s="135"/>
      <c r="F285" s="135"/>
      <c r="G285" s="135"/>
      <c r="H285" s="135"/>
    </row>
    <row r="286" spans="1:8" s="49" customFormat="1" ht="15.6" customHeight="1" x14ac:dyDescent="0.25">
      <c r="A286" s="136">
        <v>1</v>
      </c>
      <c r="B286" s="136"/>
      <c r="C286" s="137" t="s">
        <v>200</v>
      </c>
      <c r="D286" s="143"/>
      <c r="E286" s="143"/>
      <c r="F286" s="138"/>
      <c r="G286" s="137" t="str">
        <f>A285</f>
        <v>1st Floor for Residential</v>
      </c>
      <c r="H286" s="138"/>
    </row>
    <row r="287" spans="1:8" s="49" customFormat="1" ht="15.6" customHeight="1" x14ac:dyDescent="0.25">
      <c r="A287" s="136">
        <v>2</v>
      </c>
      <c r="B287" s="136"/>
      <c r="C287" s="141"/>
      <c r="D287" s="144"/>
      <c r="E287" s="144"/>
      <c r="F287" s="142"/>
      <c r="G287" s="139"/>
      <c r="H287" s="140"/>
    </row>
    <row r="288" spans="1:8" s="49" customFormat="1" x14ac:dyDescent="0.25">
      <c r="A288" s="136">
        <v>3</v>
      </c>
      <c r="B288" s="136"/>
      <c r="C288" s="21" t="s">
        <v>165</v>
      </c>
      <c r="D288" s="21">
        <f>55.673*10.764</f>
        <v>599.26417200000003</v>
      </c>
      <c r="E288" s="21">
        <v>0</v>
      </c>
      <c r="F288" s="21">
        <f>D288*1.6</f>
        <v>958.82267520000005</v>
      </c>
      <c r="G288" s="139"/>
      <c r="H288" s="140"/>
    </row>
    <row r="289" spans="1:9" s="49" customFormat="1" x14ac:dyDescent="0.25">
      <c r="A289" s="136">
        <v>4</v>
      </c>
      <c r="B289" s="136"/>
      <c r="C289" s="21" t="s">
        <v>165</v>
      </c>
      <c r="D289" s="21">
        <f>55.673*10.764</f>
        <v>599.26417200000003</v>
      </c>
      <c r="E289" s="21">
        <v>0</v>
      </c>
      <c r="F289" s="21">
        <f>D289*1.6</f>
        <v>958.82267520000005</v>
      </c>
      <c r="G289" s="141"/>
      <c r="H289" s="142"/>
    </row>
    <row r="290" spans="1:9" s="49" customFormat="1" x14ac:dyDescent="0.25">
      <c r="A290" s="135" t="s">
        <v>204</v>
      </c>
      <c r="B290" s="135"/>
      <c r="C290" s="135"/>
      <c r="D290" s="135"/>
      <c r="E290" s="135"/>
      <c r="F290" s="135"/>
      <c r="G290" s="135"/>
      <c r="H290" s="135"/>
    </row>
    <row r="291" spans="1:9" s="49" customFormat="1" ht="15.6" customHeight="1" x14ac:dyDescent="0.25">
      <c r="A291" s="136">
        <v>1</v>
      </c>
      <c r="B291" s="136"/>
      <c r="C291" s="21" t="s">
        <v>184</v>
      </c>
      <c r="D291" s="21">
        <f>39.149*10.764</f>
        <v>421.39983599999999</v>
      </c>
      <c r="E291" s="21">
        <v>0</v>
      </c>
      <c r="F291" s="21">
        <f>D291*1.6</f>
        <v>674.23973760000001</v>
      </c>
      <c r="G291" s="137" t="str">
        <f>A290</f>
        <v>2nd to 4th Floor</v>
      </c>
      <c r="H291" s="138"/>
    </row>
    <row r="292" spans="1:9" s="49" customFormat="1" ht="15.6" customHeight="1" x14ac:dyDescent="0.25">
      <c r="A292" s="136">
        <v>2</v>
      </c>
      <c r="B292" s="136"/>
      <c r="C292" s="21" t="s">
        <v>184</v>
      </c>
      <c r="D292" s="21">
        <f>41.477*10.764</f>
        <v>446.45842799999991</v>
      </c>
      <c r="E292" s="21">
        <v>0</v>
      </c>
      <c r="F292" s="21">
        <f>D292*1.6</f>
        <v>714.33348479999995</v>
      </c>
      <c r="G292" s="139"/>
      <c r="H292" s="140"/>
    </row>
    <row r="293" spans="1:9" s="49" customFormat="1" x14ac:dyDescent="0.25">
      <c r="A293" s="136">
        <v>3</v>
      </c>
      <c r="B293" s="136"/>
      <c r="C293" s="21" t="s">
        <v>165</v>
      </c>
      <c r="D293" s="21">
        <f>55.673*10.764</f>
        <v>599.26417200000003</v>
      </c>
      <c r="E293" s="21">
        <v>0</v>
      </c>
      <c r="F293" s="21">
        <f>D293*1.6</f>
        <v>958.82267520000005</v>
      </c>
      <c r="G293" s="139"/>
      <c r="H293" s="140"/>
    </row>
    <row r="294" spans="1:9" s="49" customFormat="1" x14ac:dyDescent="0.25">
      <c r="A294" s="136">
        <v>4</v>
      </c>
      <c r="B294" s="136"/>
      <c r="C294" s="21" t="s">
        <v>165</v>
      </c>
      <c r="D294" s="21">
        <f>55.673*10.764</f>
        <v>599.26417200000003</v>
      </c>
      <c r="E294" s="21">
        <v>0</v>
      </c>
      <c r="F294" s="21">
        <f>D294*1.6</f>
        <v>958.82267520000005</v>
      </c>
      <c r="G294" s="141"/>
      <c r="H294" s="142"/>
    </row>
    <row r="295" spans="1:9" s="49" customFormat="1" x14ac:dyDescent="0.25">
      <c r="A295" s="135" t="s">
        <v>213</v>
      </c>
      <c r="B295" s="135"/>
      <c r="C295" s="135"/>
      <c r="D295" s="135"/>
      <c r="E295" s="135"/>
      <c r="F295" s="135"/>
      <c r="G295" s="135"/>
      <c r="H295" s="135"/>
    </row>
    <row r="296" spans="1:9" s="49" customFormat="1" ht="15.6" customHeight="1" x14ac:dyDescent="0.25">
      <c r="A296" s="136">
        <v>1</v>
      </c>
      <c r="B296" s="136"/>
      <c r="C296" s="21" t="s">
        <v>184</v>
      </c>
      <c r="D296" s="21">
        <f>39.149*10.764</f>
        <v>421.39983599999999</v>
      </c>
      <c r="E296" s="21">
        <v>0</v>
      </c>
      <c r="F296" s="21">
        <f>D296*1.6</f>
        <v>674.23973760000001</v>
      </c>
      <c r="G296" s="137" t="str">
        <f>A295</f>
        <v>5th Floor</v>
      </c>
      <c r="H296" s="138"/>
    </row>
    <row r="297" spans="1:9" s="49" customFormat="1" ht="15.6" customHeight="1" x14ac:dyDescent="0.25">
      <c r="A297" s="136">
        <v>2</v>
      </c>
      <c r="B297" s="136"/>
      <c r="C297" s="21" t="s">
        <v>184</v>
      </c>
      <c r="D297" s="21">
        <f>41.477*10.764</f>
        <v>446.45842799999991</v>
      </c>
      <c r="E297" s="21">
        <v>0</v>
      </c>
      <c r="F297" s="21">
        <f>D297*1.6</f>
        <v>714.33348479999995</v>
      </c>
      <c r="G297" s="139"/>
      <c r="H297" s="140"/>
    </row>
    <row r="298" spans="1:9" s="49" customFormat="1" x14ac:dyDescent="0.25">
      <c r="A298" s="136">
        <v>3</v>
      </c>
      <c r="B298" s="136"/>
      <c r="C298" s="21" t="s">
        <v>165</v>
      </c>
      <c r="D298" s="21">
        <f>55.673*10.764</f>
        <v>599.26417200000003</v>
      </c>
      <c r="E298" s="21">
        <v>0</v>
      </c>
      <c r="F298" s="21">
        <f>D298*1.6</f>
        <v>958.82267520000005</v>
      </c>
      <c r="G298" s="139"/>
      <c r="H298" s="140"/>
    </row>
    <row r="299" spans="1:9" s="49" customFormat="1" x14ac:dyDescent="0.25">
      <c r="A299" s="136">
        <v>4</v>
      </c>
      <c r="B299" s="136"/>
      <c r="C299" s="21" t="s">
        <v>165</v>
      </c>
      <c r="D299" s="21">
        <f>55.673*10.764</f>
        <v>599.26417200000003</v>
      </c>
      <c r="E299" s="21">
        <v>0</v>
      </c>
      <c r="F299" s="21">
        <f>D299*1.6</f>
        <v>958.82267520000005</v>
      </c>
      <c r="G299" s="141"/>
      <c r="H299" s="142"/>
    </row>
    <row r="300" spans="1:9" s="49" customFormat="1" x14ac:dyDescent="0.25">
      <c r="A300" s="135" t="s">
        <v>214</v>
      </c>
      <c r="B300" s="135"/>
      <c r="C300" s="135"/>
      <c r="D300" s="135"/>
      <c r="E300" s="135"/>
      <c r="F300" s="135"/>
      <c r="G300" s="135"/>
      <c r="H300" s="135"/>
    </row>
    <row r="301" spans="1:9" s="49" customFormat="1" ht="15.6" customHeight="1" x14ac:dyDescent="0.25">
      <c r="A301" s="136">
        <v>1</v>
      </c>
      <c r="B301" s="136"/>
      <c r="C301" s="21" t="s">
        <v>184</v>
      </c>
      <c r="D301" s="21">
        <f>39.149*10.764</f>
        <v>421.39983599999999</v>
      </c>
      <c r="E301" s="21">
        <v>0</v>
      </c>
      <c r="F301" s="21">
        <f>D301*1.6</f>
        <v>674.23973760000001</v>
      </c>
      <c r="G301" s="137" t="str">
        <f>A300</f>
        <v>6th, 7th, 9th, 11th, 13th, 17th, 19th, 21st &amp; 23rd Floor</v>
      </c>
      <c r="H301" s="138"/>
    </row>
    <row r="302" spans="1:9" s="49" customFormat="1" ht="15.6" customHeight="1" x14ac:dyDescent="0.25">
      <c r="A302" s="136">
        <v>2</v>
      </c>
      <c r="B302" s="136"/>
      <c r="C302" s="21" t="s">
        <v>184</v>
      </c>
      <c r="D302" s="21">
        <f>41.477*10.764</f>
        <v>446.45842799999991</v>
      </c>
      <c r="E302" s="21">
        <v>0</v>
      </c>
      <c r="F302" s="21">
        <f>D302*1.6</f>
        <v>714.33348479999995</v>
      </c>
      <c r="G302" s="139"/>
      <c r="H302" s="140"/>
      <c r="I302" s="49">
        <f>12100000/F302</f>
        <v>16938.867150246744</v>
      </c>
    </row>
    <row r="303" spans="1:9" s="49" customFormat="1" x14ac:dyDescent="0.25">
      <c r="A303" s="136">
        <v>3</v>
      </c>
      <c r="B303" s="136"/>
      <c r="C303" s="21" t="s">
        <v>165</v>
      </c>
      <c r="D303" s="21">
        <f>55.673*10.764</f>
        <v>599.26417200000003</v>
      </c>
      <c r="E303" s="21">
        <v>0</v>
      </c>
      <c r="F303" s="21">
        <f>D303*1.6</f>
        <v>958.82267520000005</v>
      </c>
      <c r="G303" s="139"/>
      <c r="H303" s="140"/>
    </row>
    <row r="304" spans="1:9" s="49" customFormat="1" x14ac:dyDescent="0.25">
      <c r="A304" s="136">
        <v>4</v>
      </c>
      <c r="B304" s="136"/>
      <c r="C304" s="21" t="s">
        <v>165</v>
      </c>
      <c r="D304" s="21">
        <f>55.673*10.764</f>
        <v>599.26417200000003</v>
      </c>
      <c r="E304" s="21">
        <v>0</v>
      </c>
      <c r="F304" s="21">
        <f>D304*1.6</f>
        <v>958.82267520000005</v>
      </c>
      <c r="G304" s="141"/>
      <c r="H304" s="142"/>
    </row>
    <row r="305" spans="1:8" s="49" customFormat="1" x14ac:dyDescent="0.25">
      <c r="A305" s="135" t="s">
        <v>215</v>
      </c>
      <c r="B305" s="135"/>
      <c r="C305" s="135"/>
      <c r="D305" s="135"/>
      <c r="E305" s="135"/>
      <c r="F305" s="135"/>
      <c r="G305" s="135"/>
      <c r="H305" s="135"/>
    </row>
    <row r="306" spans="1:8" s="49" customFormat="1" x14ac:dyDescent="0.25">
      <c r="A306" s="136">
        <v>1</v>
      </c>
      <c r="B306" s="136"/>
      <c r="C306" s="21" t="s">
        <v>184</v>
      </c>
      <c r="D306" s="21">
        <f>39.149*10.764</f>
        <v>421.39983599999999</v>
      </c>
      <c r="E306" s="21">
        <v>0</v>
      </c>
      <c r="F306" s="21">
        <f>D306*1.6</f>
        <v>674.23973760000001</v>
      </c>
      <c r="G306" s="137" t="str">
        <f>A305</f>
        <v>8th Floor</v>
      </c>
      <c r="H306" s="138"/>
    </row>
    <row r="307" spans="1:8" s="49" customFormat="1" x14ac:dyDescent="0.25">
      <c r="A307" s="136">
        <v>2</v>
      </c>
      <c r="B307" s="136"/>
      <c r="C307" s="21" t="s">
        <v>184</v>
      </c>
      <c r="D307" s="21">
        <f>41.477*10.764</f>
        <v>446.45842799999991</v>
      </c>
      <c r="E307" s="21">
        <v>0</v>
      </c>
      <c r="F307" s="21">
        <f>D307*1.6</f>
        <v>714.33348479999995</v>
      </c>
      <c r="G307" s="139"/>
      <c r="H307" s="140"/>
    </row>
    <row r="308" spans="1:8" s="49" customFormat="1" x14ac:dyDescent="0.25">
      <c r="A308" s="136">
        <v>3</v>
      </c>
      <c r="B308" s="136"/>
      <c r="C308" s="21" t="s">
        <v>165</v>
      </c>
      <c r="D308" s="21">
        <f>55.673*10.764</f>
        <v>599.26417200000003</v>
      </c>
      <c r="E308" s="21">
        <v>0</v>
      </c>
      <c r="F308" s="21">
        <f>D308*1.6</f>
        <v>958.82267520000005</v>
      </c>
      <c r="G308" s="139"/>
      <c r="H308" s="140"/>
    </row>
    <row r="309" spans="1:8" s="49" customFormat="1" x14ac:dyDescent="0.25">
      <c r="A309" s="136">
        <v>4</v>
      </c>
      <c r="B309" s="136"/>
      <c r="C309" s="21" t="s">
        <v>165</v>
      </c>
      <c r="D309" s="21">
        <f>55.673*10.764</f>
        <v>599.26417200000003</v>
      </c>
      <c r="E309" s="21">
        <v>0</v>
      </c>
      <c r="F309" s="21">
        <f>D309*1.6</f>
        <v>958.82267520000005</v>
      </c>
      <c r="G309" s="141"/>
      <c r="H309" s="142"/>
    </row>
    <row r="310" spans="1:8" s="49" customFormat="1" ht="15.6" customHeight="1" x14ac:dyDescent="0.25">
      <c r="A310" s="135" t="s">
        <v>217</v>
      </c>
      <c r="B310" s="135"/>
      <c r="C310" s="135"/>
      <c r="D310" s="135"/>
      <c r="E310" s="135"/>
      <c r="F310" s="135"/>
      <c r="G310" s="135"/>
      <c r="H310" s="135"/>
    </row>
    <row r="311" spans="1:8" s="49" customFormat="1" x14ac:dyDescent="0.25">
      <c r="A311" s="136">
        <v>1</v>
      </c>
      <c r="B311" s="136"/>
      <c r="C311" s="21" t="s">
        <v>184</v>
      </c>
      <c r="D311" s="21">
        <f>39.149*10.764</f>
        <v>421.39983599999999</v>
      </c>
      <c r="E311" s="21">
        <v>0</v>
      </c>
      <c r="F311" s="21">
        <f>D311*1.6</f>
        <v>674.23973760000001</v>
      </c>
      <c r="G311" s="137" t="str">
        <f>A310</f>
        <v>10th, 12th, 14th, 16th, 18th, 20th &amp; 22nd Floor</v>
      </c>
      <c r="H311" s="138"/>
    </row>
    <row r="312" spans="1:8" s="49" customFormat="1" x14ac:dyDescent="0.25">
      <c r="A312" s="136">
        <v>2</v>
      </c>
      <c r="B312" s="136"/>
      <c r="C312" s="21" t="s">
        <v>184</v>
      </c>
      <c r="D312" s="21">
        <f>41.477*10.764</f>
        <v>446.45842799999991</v>
      </c>
      <c r="E312" s="21">
        <v>0</v>
      </c>
      <c r="F312" s="21">
        <f>D312*1.6</f>
        <v>714.33348479999995</v>
      </c>
      <c r="G312" s="139"/>
      <c r="H312" s="140"/>
    </row>
    <row r="313" spans="1:8" s="49" customFormat="1" x14ac:dyDescent="0.25">
      <c r="A313" s="136">
        <v>3</v>
      </c>
      <c r="B313" s="136"/>
      <c r="C313" s="21" t="s">
        <v>165</v>
      </c>
      <c r="D313" s="21">
        <f>55.673*10.764</f>
        <v>599.26417200000003</v>
      </c>
      <c r="E313" s="21">
        <v>0</v>
      </c>
      <c r="F313" s="21">
        <f>D313*1.6</f>
        <v>958.82267520000005</v>
      </c>
      <c r="G313" s="139"/>
      <c r="H313" s="140"/>
    </row>
    <row r="314" spans="1:8" s="49" customFormat="1" x14ac:dyDescent="0.25">
      <c r="A314" s="136">
        <v>4</v>
      </c>
      <c r="B314" s="136"/>
      <c r="C314" s="21" t="s">
        <v>165</v>
      </c>
      <c r="D314" s="21">
        <f>55.673*10.764</f>
        <v>599.26417200000003</v>
      </c>
      <c r="E314" s="21">
        <v>0</v>
      </c>
      <c r="F314" s="21">
        <f>D314*1.6</f>
        <v>958.82267520000005</v>
      </c>
      <c r="G314" s="141"/>
      <c r="H314" s="142"/>
    </row>
    <row r="315" spans="1:8" s="49" customFormat="1" x14ac:dyDescent="0.25">
      <c r="A315" s="135" t="s">
        <v>218</v>
      </c>
      <c r="B315" s="135"/>
      <c r="C315" s="135"/>
      <c r="D315" s="135"/>
      <c r="E315" s="135"/>
      <c r="F315" s="135"/>
      <c r="G315" s="135"/>
      <c r="H315" s="135"/>
    </row>
    <row r="316" spans="1:8" s="49" customFormat="1" x14ac:dyDescent="0.25">
      <c r="A316" s="136">
        <v>1</v>
      </c>
      <c r="B316" s="136"/>
      <c r="C316" s="21" t="s">
        <v>184</v>
      </c>
      <c r="D316" s="21">
        <f>39.149*10.764</f>
        <v>421.39983599999999</v>
      </c>
      <c r="E316" s="21">
        <v>0</v>
      </c>
      <c r="F316" s="21">
        <f>D316*1.6</f>
        <v>674.23973760000001</v>
      </c>
      <c r="G316" s="137" t="str">
        <f>A315</f>
        <v>15th Floor</v>
      </c>
      <c r="H316" s="138"/>
    </row>
    <row r="317" spans="1:8" s="49" customFormat="1" x14ac:dyDescent="0.25">
      <c r="A317" s="136">
        <v>2</v>
      </c>
      <c r="B317" s="136"/>
      <c r="C317" s="21" t="s">
        <v>184</v>
      </c>
      <c r="D317" s="21">
        <f>41.477*10.764</f>
        <v>446.45842799999991</v>
      </c>
      <c r="E317" s="21">
        <v>0</v>
      </c>
      <c r="F317" s="21">
        <f>D317*1.6</f>
        <v>714.33348479999995</v>
      </c>
      <c r="G317" s="139"/>
      <c r="H317" s="140"/>
    </row>
    <row r="318" spans="1:8" s="49" customFormat="1" ht="15.6" customHeight="1" x14ac:dyDescent="0.25">
      <c r="A318" s="136">
        <v>3</v>
      </c>
      <c r="B318" s="136"/>
      <c r="C318" s="21" t="s">
        <v>165</v>
      </c>
      <c r="D318" s="21">
        <f>55.673*10.764</f>
        <v>599.26417200000003</v>
      </c>
      <c r="E318" s="21">
        <v>0</v>
      </c>
      <c r="F318" s="21">
        <f>D318*1.6</f>
        <v>958.82267520000005</v>
      </c>
      <c r="G318" s="139"/>
      <c r="H318" s="140"/>
    </row>
    <row r="319" spans="1:8" s="49" customFormat="1" ht="15.6" customHeight="1" x14ac:dyDescent="0.25">
      <c r="A319" s="136">
        <v>4</v>
      </c>
      <c r="B319" s="136"/>
      <c r="C319" s="21" t="s">
        <v>165</v>
      </c>
      <c r="D319" s="21">
        <f>55.673*10.764</f>
        <v>599.26417200000003</v>
      </c>
      <c r="E319" s="21">
        <v>0</v>
      </c>
      <c r="F319" s="21">
        <f>D319*1.6</f>
        <v>958.82267520000005</v>
      </c>
      <c r="G319" s="141"/>
      <c r="H319" s="142"/>
    </row>
    <row r="320" spans="1:8" s="49" customFormat="1" x14ac:dyDescent="0.25">
      <c r="A320" s="135" t="s">
        <v>199</v>
      </c>
      <c r="B320" s="135"/>
      <c r="C320" s="135"/>
      <c r="D320" s="135"/>
      <c r="E320" s="135"/>
      <c r="F320" s="135"/>
      <c r="G320" s="135"/>
      <c r="H320" s="135"/>
    </row>
    <row r="321" spans="1:8" s="49" customFormat="1" ht="15.6" customHeight="1" x14ac:dyDescent="0.25">
      <c r="A321" s="135" t="s">
        <v>194</v>
      </c>
      <c r="B321" s="135"/>
      <c r="C321" s="135"/>
      <c r="D321" s="135"/>
      <c r="E321" s="135"/>
      <c r="F321" s="135"/>
      <c r="G321" s="135"/>
      <c r="H321" s="135"/>
    </row>
    <row r="322" spans="1:8" s="49" customFormat="1" x14ac:dyDescent="0.25">
      <c r="A322" s="135" t="s">
        <v>164</v>
      </c>
      <c r="B322" s="135"/>
      <c r="C322" s="135"/>
      <c r="D322" s="135"/>
      <c r="E322" s="135"/>
      <c r="F322" s="135"/>
      <c r="G322" s="135"/>
      <c r="H322" s="135"/>
    </row>
    <row r="323" spans="1:8" s="49" customFormat="1" x14ac:dyDescent="0.25">
      <c r="A323" s="135" t="s">
        <v>197</v>
      </c>
      <c r="B323" s="135"/>
      <c r="C323" s="135"/>
      <c r="D323" s="135"/>
      <c r="E323" s="135"/>
      <c r="F323" s="135"/>
      <c r="G323" s="135"/>
      <c r="H323" s="135"/>
    </row>
    <row r="324" spans="1:8" s="49" customFormat="1" x14ac:dyDescent="0.25">
      <c r="A324" s="136">
        <v>1</v>
      </c>
      <c r="B324" s="136"/>
      <c r="C324" s="21" t="s">
        <v>165</v>
      </c>
      <c r="D324" s="21">
        <f>58.435*10.764</f>
        <v>628.99433999999997</v>
      </c>
      <c r="E324" s="21">
        <v>0</v>
      </c>
      <c r="F324" s="21">
        <f>D324*1.6</f>
        <v>1006.390944</v>
      </c>
      <c r="G324" s="137" t="str">
        <f>A323</f>
        <v>1st Floor for residential</v>
      </c>
      <c r="H324" s="138"/>
    </row>
    <row r="325" spans="1:8" s="49" customFormat="1" x14ac:dyDescent="0.25">
      <c r="A325" s="136">
        <v>2</v>
      </c>
      <c r="B325" s="136"/>
      <c r="C325" s="21" t="s">
        <v>165</v>
      </c>
      <c r="D325" s="21">
        <f>58.435*10.764</f>
        <v>628.99433999999997</v>
      </c>
      <c r="E325" s="21">
        <v>0</v>
      </c>
      <c r="F325" s="21">
        <f>D325*1.6</f>
        <v>1006.390944</v>
      </c>
      <c r="G325" s="139"/>
      <c r="H325" s="140"/>
    </row>
    <row r="326" spans="1:8" s="49" customFormat="1" x14ac:dyDescent="0.25">
      <c r="A326" s="136">
        <v>3</v>
      </c>
      <c r="B326" s="136"/>
      <c r="C326" s="137" t="s">
        <v>200</v>
      </c>
      <c r="D326" s="143"/>
      <c r="E326" s="143"/>
      <c r="F326" s="138"/>
      <c r="G326" s="139"/>
      <c r="H326" s="140"/>
    </row>
    <row r="327" spans="1:8" s="49" customFormat="1" ht="15.6" customHeight="1" x14ac:dyDescent="0.25">
      <c r="A327" s="136">
        <v>4</v>
      </c>
      <c r="B327" s="136"/>
      <c r="C327" s="141"/>
      <c r="D327" s="144"/>
      <c r="E327" s="144"/>
      <c r="F327" s="142"/>
      <c r="G327" s="139"/>
      <c r="H327" s="140"/>
    </row>
    <row r="328" spans="1:8" s="49" customFormat="1" ht="15.6" customHeight="1" x14ac:dyDescent="0.25">
      <c r="A328" s="136">
        <v>5</v>
      </c>
      <c r="B328" s="136"/>
      <c r="C328" s="21" t="s">
        <v>184</v>
      </c>
      <c r="D328" s="21">
        <f>38.488*10.764</f>
        <v>414.28483199999999</v>
      </c>
      <c r="E328" s="21">
        <v>0</v>
      </c>
      <c r="F328" s="21">
        <f t="shared" ref="F328:F329" si="0">D328*1.6</f>
        <v>662.85573120000004</v>
      </c>
      <c r="G328" s="139"/>
      <c r="H328" s="140"/>
    </row>
    <row r="329" spans="1:8" s="49" customFormat="1" x14ac:dyDescent="0.25">
      <c r="A329" s="136">
        <v>6</v>
      </c>
      <c r="B329" s="136"/>
      <c r="C329" s="21" t="s">
        <v>184</v>
      </c>
      <c r="D329" s="21">
        <f>38.488*10.764</f>
        <v>414.28483199999999</v>
      </c>
      <c r="E329" s="21">
        <v>0</v>
      </c>
      <c r="F329" s="21">
        <f t="shared" si="0"/>
        <v>662.85573120000004</v>
      </c>
      <c r="G329" s="139"/>
      <c r="H329" s="140"/>
    </row>
    <row r="330" spans="1:8" s="49" customFormat="1" ht="15.6" customHeight="1" x14ac:dyDescent="0.25">
      <c r="A330" s="136">
        <v>7</v>
      </c>
      <c r="B330" s="136"/>
      <c r="C330" s="137" t="s">
        <v>205</v>
      </c>
      <c r="D330" s="143"/>
      <c r="E330" s="143"/>
      <c r="F330" s="138"/>
      <c r="G330" s="139"/>
      <c r="H330" s="140"/>
    </row>
    <row r="331" spans="1:8" s="49" customFormat="1" x14ac:dyDescent="0.25">
      <c r="A331" s="136">
        <v>8</v>
      </c>
      <c r="B331" s="136"/>
      <c r="C331" s="141"/>
      <c r="D331" s="144"/>
      <c r="E331" s="144"/>
      <c r="F331" s="142"/>
      <c r="G331" s="141"/>
      <c r="H331" s="142"/>
    </row>
    <row r="332" spans="1:8" s="49" customFormat="1" x14ac:dyDescent="0.25">
      <c r="A332" s="135" t="s">
        <v>204</v>
      </c>
      <c r="B332" s="135"/>
      <c r="C332" s="135"/>
      <c r="D332" s="135"/>
      <c r="E332" s="135"/>
      <c r="F332" s="135"/>
      <c r="G332" s="135"/>
      <c r="H332" s="135"/>
    </row>
    <row r="333" spans="1:8" s="49" customFormat="1" x14ac:dyDescent="0.25">
      <c r="A333" s="136">
        <v>1</v>
      </c>
      <c r="B333" s="136"/>
      <c r="C333" s="21" t="s">
        <v>165</v>
      </c>
      <c r="D333" s="21">
        <f>58.435*10.764</f>
        <v>628.99433999999997</v>
      </c>
      <c r="E333" s="21">
        <v>0</v>
      </c>
      <c r="F333" s="21">
        <f>D333*1.6</f>
        <v>1006.390944</v>
      </c>
      <c r="G333" s="137" t="str">
        <f>A332</f>
        <v>2nd to 4th Floor</v>
      </c>
      <c r="H333" s="138"/>
    </row>
    <row r="334" spans="1:8" s="49" customFormat="1" x14ac:dyDescent="0.25">
      <c r="A334" s="136">
        <v>2</v>
      </c>
      <c r="B334" s="136"/>
      <c r="C334" s="21" t="s">
        <v>165</v>
      </c>
      <c r="D334" s="21">
        <f>58.435*10.764</f>
        <v>628.99433999999997</v>
      </c>
      <c r="E334" s="21">
        <v>0</v>
      </c>
      <c r="F334" s="21">
        <f>D334*1.6</f>
        <v>1006.390944</v>
      </c>
      <c r="G334" s="139"/>
      <c r="H334" s="140"/>
    </row>
    <row r="335" spans="1:8" s="49" customFormat="1" x14ac:dyDescent="0.25">
      <c r="A335" s="136">
        <v>3</v>
      </c>
      <c r="B335" s="136"/>
      <c r="C335" s="21" t="s">
        <v>184</v>
      </c>
      <c r="D335" s="21">
        <f>38.44*10.764</f>
        <v>413.76815999999997</v>
      </c>
      <c r="E335" s="21">
        <v>0</v>
      </c>
      <c r="F335" s="21">
        <f t="shared" ref="F335:F336" si="1">D335*1.6</f>
        <v>662.02905599999997</v>
      </c>
      <c r="G335" s="139"/>
      <c r="H335" s="140"/>
    </row>
    <row r="336" spans="1:8" s="49" customFormat="1" ht="15.6" customHeight="1" x14ac:dyDescent="0.25">
      <c r="A336" s="136">
        <v>4</v>
      </c>
      <c r="B336" s="136"/>
      <c r="C336" s="21" t="s">
        <v>184</v>
      </c>
      <c r="D336" s="21">
        <f>38.44*10.764</f>
        <v>413.76815999999997</v>
      </c>
      <c r="E336" s="21">
        <v>0</v>
      </c>
      <c r="F336" s="21">
        <f t="shared" si="1"/>
        <v>662.02905599999997</v>
      </c>
      <c r="G336" s="139"/>
      <c r="H336" s="140"/>
    </row>
    <row r="337" spans="1:8" s="49" customFormat="1" ht="15.6" customHeight="1" x14ac:dyDescent="0.25">
      <c r="A337" s="136">
        <v>5</v>
      </c>
      <c r="B337" s="136"/>
      <c r="C337" s="21" t="s">
        <v>184</v>
      </c>
      <c r="D337" s="21">
        <f>38.488*10.764</f>
        <v>414.28483199999999</v>
      </c>
      <c r="E337" s="21">
        <v>0</v>
      </c>
      <c r="F337" s="21">
        <f t="shared" ref="F337:F338" si="2">D337*1.6</f>
        <v>662.85573120000004</v>
      </c>
      <c r="G337" s="139"/>
      <c r="H337" s="140"/>
    </row>
    <row r="338" spans="1:8" s="49" customFormat="1" x14ac:dyDescent="0.25">
      <c r="A338" s="136">
        <v>6</v>
      </c>
      <c r="B338" s="136"/>
      <c r="C338" s="21" t="s">
        <v>184</v>
      </c>
      <c r="D338" s="21">
        <f>38.488*10.764</f>
        <v>414.28483199999999</v>
      </c>
      <c r="E338" s="21">
        <v>0</v>
      </c>
      <c r="F338" s="21">
        <f t="shared" si="2"/>
        <v>662.85573120000004</v>
      </c>
      <c r="G338" s="139"/>
      <c r="H338" s="140"/>
    </row>
    <row r="339" spans="1:8" s="49" customFormat="1" ht="15.6" customHeight="1" x14ac:dyDescent="0.25">
      <c r="A339" s="136">
        <v>7</v>
      </c>
      <c r="B339" s="136"/>
      <c r="C339" s="21" t="s">
        <v>184</v>
      </c>
      <c r="D339" s="21">
        <f t="shared" ref="D339:D340" si="3">38.488*10.764</f>
        <v>414.28483199999999</v>
      </c>
      <c r="E339" s="21">
        <v>0</v>
      </c>
      <c r="F339" s="21">
        <f t="shared" ref="F339:F340" si="4">D339*1.6</f>
        <v>662.85573120000004</v>
      </c>
      <c r="G339" s="139"/>
      <c r="H339" s="140"/>
    </row>
    <row r="340" spans="1:8" s="49" customFormat="1" x14ac:dyDescent="0.25">
      <c r="A340" s="136">
        <v>8</v>
      </c>
      <c r="B340" s="136"/>
      <c r="C340" s="21" t="s">
        <v>184</v>
      </c>
      <c r="D340" s="21">
        <f t="shared" si="3"/>
        <v>414.28483199999999</v>
      </c>
      <c r="E340" s="21">
        <v>0</v>
      </c>
      <c r="F340" s="21">
        <f t="shared" si="4"/>
        <v>662.85573120000004</v>
      </c>
      <c r="G340" s="141"/>
      <c r="H340" s="142"/>
    </row>
    <row r="341" spans="1:8" s="49" customFormat="1" x14ac:dyDescent="0.25">
      <c r="A341" s="135" t="s">
        <v>213</v>
      </c>
      <c r="B341" s="135"/>
      <c r="C341" s="135"/>
      <c r="D341" s="135"/>
      <c r="E341" s="135"/>
      <c r="F341" s="135"/>
      <c r="G341" s="135"/>
      <c r="H341" s="135"/>
    </row>
    <row r="342" spans="1:8" s="49" customFormat="1" x14ac:dyDescent="0.25">
      <c r="A342" s="136">
        <v>1</v>
      </c>
      <c r="B342" s="136"/>
      <c r="C342" s="21" t="s">
        <v>165</v>
      </c>
      <c r="D342" s="21">
        <f>58.435*10.764</f>
        <v>628.99433999999997</v>
      </c>
      <c r="E342" s="21">
        <v>0</v>
      </c>
      <c r="F342" s="21">
        <f>D342*1.6</f>
        <v>1006.390944</v>
      </c>
      <c r="G342" s="137" t="str">
        <f>A341</f>
        <v>5th Floor</v>
      </c>
      <c r="H342" s="138"/>
    </row>
    <row r="343" spans="1:8" s="49" customFormat="1" x14ac:dyDescent="0.25">
      <c r="A343" s="136">
        <v>2</v>
      </c>
      <c r="B343" s="136"/>
      <c r="C343" s="21" t="s">
        <v>165</v>
      </c>
      <c r="D343" s="21">
        <f>58.435*10.764</f>
        <v>628.99433999999997</v>
      </c>
      <c r="E343" s="21">
        <v>0</v>
      </c>
      <c r="F343" s="21">
        <f>D343*1.6</f>
        <v>1006.390944</v>
      </c>
      <c r="G343" s="139"/>
      <c r="H343" s="140"/>
    </row>
    <row r="344" spans="1:8" s="49" customFormat="1" x14ac:dyDescent="0.25">
      <c r="A344" s="136">
        <v>3</v>
      </c>
      <c r="B344" s="136"/>
      <c r="C344" s="21" t="s">
        <v>184</v>
      </c>
      <c r="D344" s="21">
        <f>38.44*10.764</f>
        <v>413.76815999999997</v>
      </c>
      <c r="E344" s="21">
        <v>0</v>
      </c>
      <c r="F344" s="21">
        <f t="shared" ref="F344:F349" si="5">D344*1.6</f>
        <v>662.02905599999997</v>
      </c>
      <c r="G344" s="139"/>
      <c r="H344" s="140"/>
    </row>
    <row r="345" spans="1:8" s="49" customFormat="1" ht="15.6" customHeight="1" x14ac:dyDescent="0.25">
      <c r="A345" s="136">
        <v>4</v>
      </c>
      <c r="B345" s="136"/>
      <c r="C345" s="21" t="s">
        <v>184</v>
      </c>
      <c r="D345" s="21">
        <f>38.44*10.764</f>
        <v>413.76815999999997</v>
      </c>
      <c r="E345" s="21">
        <v>0</v>
      </c>
      <c r="F345" s="21">
        <f t="shared" si="5"/>
        <v>662.02905599999997</v>
      </c>
      <c r="G345" s="139"/>
      <c r="H345" s="140"/>
    </row>
    <row r="346" spans="1:8" s="49" customFormat="1" ht="15.6" customHeight="1" x14ac:dyDescent="0.25">
      <c r="A346" s="136">
        <v>5</v>
      </c>
      <c r="B346" s="136"/>
      <c r="C346" s="21" t="s">
        <v>184</v>
      </c>
      <c r="D346" s="21">
        <f>38.488*10.764</f>
        <v>414.28483199999999</v>
      </c>
      <c r="E346" s="21">
        <v>0</v>
      </c>
      <c r="F346" s="21">
        <f t="shared" si="5"/>
        <v>662.85573120000004</v>
      </c>
      <c r="G346" s="139"/>
      <c r="H346" s="140"/>
    </row>
    <row r="347" spans="1:8" s="49" customFormat="1" x14ac:dyDescent="0.25">
      <c r="A347" s="136">
        <v>6</v>
      </c>
      <c r="B347" s="136"/>
      <c r="C347" s="21" t="s">
        <v>184</v>
      </c>
      <c r="D347" s="21">
        <f>38.488*10.764</f>
        <v>414.28483199999999</v>
      </c>
      <c r="E347" s="21">
        <v>0</v>
      </c>
      <c r="F347" s="21">
        <f t="shared" si="5"/>
        <v>662.85573120000004</v>
      </c>
      <c r="G347" s="139"/>
      <c r="H347" s="140"/>
    </row>
    <row r="348" spans="1:8" s="49" customFormat="1" ht="15.6" customHeight="1" x14ac:dyDescent="0.25">
      <c r="A348" s="136">
        <v>7</v>
      </c>
      <c r="B348" s="136"/>
      <c r="C348" s="21" t="s">
        <v>184</v>
      </c>
      <c r="D348" s="21">
        <f t="shared" ref="D348:D349" si="6">38.488*10.764</f>
        <v>414.28483199999999</v>
      </c>
      <c r="E348" s="21">
        <v>0</v>
      </c>
      <c r="F348" s="21">
        <f t="shared" si="5"/>
        <v>662.85573120000004</v>
      </c>
      <c r="G348" s="139"/>
      <c r="H348" s="140"/>
    </row>
    <row r="349" spans="1:8" s="49" customFormat="1" x14ac:dyDescent="0.25">
      <c r="A349" s="136">
        <v>8</v>
      </c>
      <c r="B349" s="136"/>
      <c r="C349" s="21" t="s">
        <v>184</v>
      </c>
      <c r="D349" s="21">
        <f t="shared" si="6"/>
        <v>414.28483199999999</v>
      </c>
      <c r="E349" s="21">
        <v>0</v>
      </c>
      <c r="F349" s="21">
        <f t="shared" si="5"/>
        <v>662.85573120000004</v>
      </c>
      <c r="G349" s="141"/>
      <c r="H349" s="142"/>
    </row>
    <row r="350" spans="1:8" s="49" customFormat="1" x14ac:dyDescent="0.25">
      <c r="A350" s="135" t="s">
        <v>214</v>
      </c>
      <c r="B350" s="135"/>
      <c r="C350" s="135"/>
      <c r="D350" s="135"/>
      <c r="E350" s="135"/>
      <c r="F350" s="135"/>
      <c r="G350" s="135"/>
      <c r="H350" s="135"/>
    </row>
    <row r="351" spans="1:8" s="49" customFormat="1" x14ac:dyDescent="0.25">
      <c r="A351" s="136">
        <v>1</v>
      </c>
      <c r="B351" s="136"/>
      <c r="C351" s="21" t="s">
        <v>165</v>
      </c>
      <c r="D351" s="21">
        <f>58.435*10.764</f>
        <v>628.99433999999997</v>
      </c>
      <c r="E351" s="21">
        <v>0</v>
      </c>
      <c r="F351" s="21">
        <f>D351*1.6</f>
        <v>1006.390944</v>
      </c>
      <c r="G351" s="137" t="str">
        <f>A350</f>
        <v>6th, 7th, 9th, 11th, 13th, 17th, 19th, 21st &amp; 23rd Floor</v>
      </c>
      <c r="H351" s="138"/>
    </row>
    <row r="352" spans="1:8" s="49" customFormat="1" x14ac:dyDescent="0.25">
      <c r="A352" s="136">
        <v>2</v>
      </c>
      <c r="B352" s="136"/>
      <c r="C352" s="21" t="s">
        <v>165</v>
      </c>
      <c r="D352" s="21">
        <f>58.435*10.764</f>
        <v>628.99433999999997</v>
      </c>
      <c r="E352" s="21">
        <v>0</v>
      </c>
      <c r="F352" s="21">
        <f>D352*1.6</f>
        <v>1006.390944</v>
      </c>
      <c r="G352" s="139"/>
      <c r="H352" s="140"/>
    </row>
    <row r="353" spans="1:8" s="49" customFormat="1" x14ac:dyDescent="0.25">
      <c r="A353" s="136">
        <v>3</v>
      </c>
      <c r="B353" s="136"/>
      <c r="C353" s="21" t="s">
        <v>184</v>
      </c>
      <c r="D353" s="21">
        <f>38.44*10.764</f>
        <v>413.76815999999997</v>
      </c>
      <c r="E353" s="21">
        <v>0</v>
      </c>
      <c r="F353" s="21">
        <f t="shared" ref="F353:F358" si="7">D353*1.6</f>
        <v>662.02905599999997</v>
      </c>
      <c r="G353" s="139"/>
      <c r="H353" s="140"/>
    </row>
    <row r="354" spans="1:8" s="49" customFormat="1" ht="15.6" customHeight="1" x14ac:dyDescent="0.25">
      <c r="A354" s="136">
        <v>4</v>
      </c>
      <c r="B354" s="136"/>
      <c r="C354" s="21" t="s">
        <v>184</v>
      </c>
      <c r="D354" s="21">
        <f>38.44*10.764</f>
        <v>413.76815999999997</v>
      </c>
      <c r="E354" s="21">
        <v>0</v>
      </c>
      <c r="F354" s="21">
        <f t="shared" si="7"/>
        <v>662.02905599999997</v>
      </c>
      <c r="G354" s="139"/>
      <c r="H354" s="140"/>
    </row>
    <row r="355" spans="1:8" s="49" customFormat="1" ht="15.6" customHeight="1" x14ac:dyDescent="0.25">
      <c r="A355" s="136">
        <v>5</v>
      </c>
      <c r="B355" s="136"/>
      <c r="C355" s="21" t="s">
        <v>184</v>
      </c>
      <c r="D355" s="21">
        <f>38.488*10.764</f>
        <v>414.28483199999999</v>
      </c>
      <c r="E355" s="21">
        <v>0</v>
      </c>
      <c r="F355" s="21">
        <f t="shared" si="7"/>
        <v>662.85573120000004</v>
      </c>
      <c r="G355" s="139"/>
      <c r="H355" s="140"/>
    </row>
    <row r="356" spans="1:8" s="49" customFormat="1" x14ac:dyDescent="0.25">
      <c r="A356" s="136">
        <v>6</v>
      </c>
      <c r="B356" s="136"/>
      <c r="C356" s="21" t="s">
        <v>184</v>
      </c>
      <c r="D356" s="21">
        <f>38.488*10.764</f>
        <v>414.28483199999999</v>
      </c>
      <c r="E356" s="21">
        <v>0</v>
      </c>
      <c r="F356" s="21">
        <f t="shared" si="7"/>
        <v>662.85573120000004</v>
      </c>
      <c r="G356" s="139"/>
      <c r="H356" s="140"/>
    </row>
    <row r="357" spans="1:8" s="49" customFormat="1" ht="15.6" customHeight="1" x14ac:dyDescent="0.25">
      <c r="A357" s="136">
        <v>7</v>
      </c>
      <c r="B357" s="136"/>
      <c r="C357" s="21" t="s">
        <v>184</v>
      </c>
      <c r="D357" s="21">
        <f t="shared" ref="D357:D358" si="8">38.488*10.764</f>
        <v>414.28483199999999</v>
      </c>
      <c r="E357" s="21">
        <v>0</v>
      </c>
      <c r="F357" s="21">
        <f t="shared" si="7"/>
        <v>662.85573120000004</v>
      </c>
      <c r="G357" s="139"/>
      <c r="H357" s="140"/>
    </row>
    <row r="358" spans="1:8" s="49" customFormat="1" x14ac:dyDescent="0.25">
      <c r="A358" s="136">
        <v>8</v>
      </c>
      <c r="B358" s="136"/>
      <c r="C358" s="21" t="s">
        <v>184</v>
      </c>
      <c r="D358" s="21">
        <f t="shared" si="8"/>
        <v>414.28483199999999</v>
      </c>
      <c r="E358" s="21">
        <v>0</v>
      </c>
      <c r="F358" s="21">
        <f t="shared" si="7"/>
        <v>662.85573120000004</v>
      </c>
      <c r="G358" s="141"/>
      <c r="H358" s="142"/>
    </row>
    <row r="359" spans="1:8" s="49" customFormat="1" x14ac:dyDescent="0.25">
      <c r="A359" s="135" t="s">
        <v>216</v>
      </c>
      <c r="B359" s="135"/>
      <c r="C359" s="135"/>
      <c r="D359" s="135"/>
      <c r="E359" s="135"/>
      <c r="F359" s="135"/>
      <c r="G359" s="135"/>
      <c r="H359" s="135"/>
    </row>
    <row r="360" spans="1:8" s="49" customFormat="1" x14ac:dyDescent="0.25">
      <c r="A360" s="136">
        <v>1</v>
      </c>
      <c r="B360" s="136"/>
      <c r="C360" s="21" t="s">
        <v>165</v>
      </c>
      <c r="D360" s="21">
        <f>58.435*10.764</f>
        <v>628.99433999999997</v>
      </c>
      <c r="E360" s="21">
        <v>0</v>
      </c>
      <c r="F360" s="21">
        <f>D360*1.6</f>
        <v>1006.390944</v>
      </c>
      <c r="G360" s="137" t="str">
        <f>A359</f>
        <v>8th Floor (Part Refuge Floor)</v>
      </c>
      <c r="H360" s="138"/>
    </row>
    <row r="361" spans="1:8" s="49" customFormat="1" x14ac:dyDescent="0.25">
      <c r="A361" s="136">
        <v>2</v>
      </c>
      <c r="B361" s="136"/>
      <c r="C361" s="21" t="s">
        <v>165</v>
      </c>
      <c r="D361" s="21">
        <f>58.435*10.764</f>
        <v>628.99433999999997</v>
      </c>
      <c r="E361" s="21">
        <v>0</v>
      </c>
      <c r="F361" s="21">
        <f>D361*1.6</f>
        <v>1006.390944</v>
      </c>
      <c r="G361" s="139"/>
      <c r="H361" s="140"/>
    </row>
    <row r="362" spans="1:8" s="49" customFormat="1" x14ac:dyDescent="0.25">
      <c r="A362" s="136">
        <v>3</v>
      </c>
      <c r="B362" s="136"/>
      <c r="C362" s="137" t="s">
        <v>190</v>
      </c>
      <c r="D362" s="143"/>
      <c r="E362" s="143"/>
      <c r="F362" s="138"/>
      <c r="G362" s="139"/>
      <c r="H362" s="140"/>
    </row>
    <row r="363" spans="1:8" s="49" customFormat="1" ht="15.6" customHeight="1" x14ac:dyDescent="0.25">
      <c r="A363" s="136">
        <v>4</v>
      </c>
      <c r="B363" s="136"/>
      <c r="C363" s="141"/>
      <c r="D363" s="144"/>
      <c r="E363" s="144"/>
      <c r="F363" s="142"/>
      <c r="G363" s="139"/>
      <c r="H363" s="140"/>
    </row>
    <row r="364" spans="1:8" s="49" customFormat="1" ht="15.6" customHeight="1" x14ac:dyDescent="0.25">
      <c r="A364" s="136">
        <v>5</v>
      </c>
      <c r="B364" s="136"/>
      <c r="C364" s="21" t="s">
        <v>184</v>
      </c>
      <c r="D364" s="21">
        <f>38.488*10.764</f>
        <v>414.28483199999999</v>
      </c>
      <c r="E364" s="21">
        <v>0</v>
      </c>
      <c r="F364" s="21">
        <f t="shared" ref="F364:F367" si="9">D364*1.6</f>
        <v>662.85573120000004</v>
      </c>
      <c r="G364" s="139"/>
      <c r="H364" s="140"/>
    </row>
    <row r="365" spans="1:8" s="49" customFormat="1" x14ac:dyDescent="0.25">
      <c r="A365" s="136">
        <v>6</v>
      </c>
      <c r="B365" s="136"/>
      <c r="C365" s="21" t="s">
        <v>184</v>
      </c>
      <c r="D365" s="21">
        <f>38.488*10.764</f>
        <v>414.28483199999999</v>
      </c>
      <c r="E365" s="21">
        <v>0</v>
      </c>
      <c r="F365" s="21">
        <f t="shared" si="9"/>
        <v>662.85573120000004</v>
      </c>
      <c r="G365" s="139"/>
      <c r="H365" s="140"/>
    </row>
    <row r="366" spans="1:8" s="49" customFormat="1" ht="15.6" customHeight="1" x14ac:dyDescent="0.25">
      <c r="A366" s="136">
        <v>7</v>
      </c>
      <c r="B366" s="136"/>
      <c r="C366" s="21" t="s">
        <v>184</v>
      </c>
      <c r="D366" s="21">
        <f t="shared" ref="D366:D367" si="10">38.488*10.764</f>
        <v>414.28483199999999</v>
      </c>
      <c r="E366" s="21">
        <v>0</v>
      </c>
      <c r="F366" s="21">
        <f t="shared" si="9"/>
        <v>662.85573120000004</v>
      </c>
      <c r="G366" s="139"/>
      <c r="H366" s="140"/>
    </row>
    <row r="367" spans="1:8" s="49" customFormat="1" x14ac:dyDescent="0.25">
      <c r="A367" s="136">
        <v>8</v>
      </c>
      <c r="B367" s="136"/>
      <c r="C367" s="21" t="s">
        <v>184</v>
      </c>
      <c r="D367" s="21">
        <f t="shared" si="10"/>
        <v>414.28483199999999</v>
      </c>
      <c r="E367" s="21">
        <v>0</v>
      </c>
      <c r="F367" s="21">
        <f t="shared" si="9"/>
        <v>662.85573120000004</v>
      </c>
      <c r="G367" s="141"/>
      <c r="H367" s="142"/>
    </row>
    <row r="368" spans="1:8" s="49" customFormat="1" x14ac:dyDescent="0.25">
      <c r="A368" s="135" t="s">
        <v>217</v>
      </c>
      <c r="B368" s="135"/>
      <c r="C368" s="135"/>
      <c r="D368" s="135"/>
      <c r="E368" s="135"/>
      <c r="F368" s="135"/>
      <c r="G368" s="135"/>
      <c r="H368" s="135"/>
    </row>
    <row r="369" spans="1:8" s="49" customFormat="1" x14ac:dyDescent="0.25">
      <c r="A369" s="136">
        <v>1</v>
      </c>
      <c r="B369" s="136"/>
      <c r="C369" s="21" t="s">
        <v>165</v>
      </c>
      <c r="D369" s="21">
        <f>58.435*10.764</f>
        <v>628.99433999999997</v>
      </c>
      <c r="E369" s="21">
        <v>0</v>
      </c>
      <c r="F369" s="21">
        <f>D369*1.6</f>
        <v>1006.390944</v>
      </c>
      <c r="G369" s="137" t="str">
        <f>A368</f>
        <v>10th, 12th, 14th, 16th, 18th, 20th &amp; 22nd Floor</v>
      </c>
      <c r="H369" s="138"/>
    </row>
    <row r="370" spans="1:8" s="49" customFormat="1" x14ac:dyDescent="0.25">
      <c r="A370" s="136">
        <v>2</v>
      </c>
      <c r="B370" s="136"/>
      <c r="C370" s="21" t="s">
        <v>165</v>
      </c>
      <c r="D370" s="21">
        <f>58.435*10.764</f>
        <v>628.99433999999997</v>
      </c>
      <c r="E370" s="21">
        <v>0</v>
      </c>
      <c r="F370" s="21">
        <f>D370*1.6</f>
        <v>1006.390944</v>
      </c>
      <c r="G370" s="139"/>
      <c r="H370" s="140"/>
    </row>
    <row r="371" spans="1:8" s="49" customFormat="1" x14ac:dyDescent="0.25">
      <c r="A371" s="136">
        <v>3</v>
      </c>
      <c r="B371" s="136"/>
      <c r="C371" s="21" t="s">
        <v>184</v>
      </c>
      <c r="D371" s="21">
        <f>38.44*10.764</f>
        <v>413.76815999999997</v>
      </c>
      <c r="E371" s="21">
        <v>0</v>
      </c>
      <c r="F371" s="21">
        <f t="shared" ref="F371:F376" si="11">D371*1.6</f>
        <v>662.02905599999997</v>
      </c>
      <c r="G371" s="139"/>
      <c r="H371" s="140"/>
    </row>
    <row r="372" spans="1:8" s="49" customFormat="1" x14ac:dyDescent="0.25">
      <c r="A372" s="136">
        <v>4</v>
      </c>
      <c r="B372" s="136"/>
      <c r="C372" s="21" t="s">
        <v>184</v>
      </c>
      <c r="D372" s="21">
        <f>38.44*10.764</f>
        <v>413.76815999999997</v>
      </c>
      <c r="E372" s="21">
        <v>0</v>
      </c>
      <c r="F372" s="21">
        <f t="shared" si="11"/>
        <v>662.02905599999997</v>
      </c>
      <c r="G372" s="139"/>
      <c r="H372" s="140"/>
    </row>
    <row r="373" spans="1:8" s="49" customFormat="1" x14ac:dyDescent="0.25">
      <c r="A373" s="136">
        <v>5</v>
      </c>
      <c r="B373" s="136"/>
      <c r="C373" s="21" t="s">
        <v>184</v>
      </c>
      <c r="D373" s="21">
        <f>38.488*10.764</f>
        <v>414.28483199999999</v>
      </c>
      <c r="E373" s="21">
        <v>0</v>
      </c>
      <c r="F373" s="21">
        <f t="shared" si="11"/>
        <v>662.85573120000004</v>
      </c>
      <c r="G373" s="139"/>
      <c r="H373" s="140"/>
    </row>
    <row r="374" spans="1:8" s="49" customFormat="1" x14ac:dyDescent="0.25">
      <c r="A374" s="136">
        <v>6</v>
      </c>
      <c r="B374" s="136"/>
      <c r="C374" s="21" t="s">
        <v>184</v>
      </c>
      <c r="D374" s="21">
        <f>38.488*10.764</f>
        <v>414.28483199999999</v>
      </c>
      <c r="E374" s="21">
        <v>0</v>
      </c>
      <c r="F374" s="21">
        <f t="shared" si="11"/>
        <v>662.85573120000004</v>
      </c>
      <c r="G374" s="139"/>
      <c r="H374" s="140"/>
    </row>
    <row r="375" spans="1:8" s="49" customFormat="1" x14ac:dyDescent="0.25">
      <c r="A375" s="136">
        <v>7</v>
      </c>
      <c r="B375" s="136"/>
      <c r="C375" s="21" t="s">
        <v>184</v>
      </c>
      <c r="D375" s="21">
        <f t="shared" ref="D375:D376" si="12">38.488*10.764</f>
        <v>414.28483199999999</v>
      </c>
      <c r="E375" s="21">
        <v>0</v>
      </c>
      <c r="F375" s="21">
        <f t="shared" si="11"/>
        <v>662.85573120000004</v>
      </c>
      <c r="G375" s="139"/>
      <c r="H375" s="140"/>
    </row>
    <row r="376" spans="1:8" s="49" customFormat="1" x14ac:dyDescent="0.25">
      <c r="A376" s="136">
        <v>8</v>
      </c>
      <c r="B376" s="136"/>
      <c r="C376" s="21" t="s">
        <v>184</v>
      </c>
      <c r="D376" s="21">
        <f t="shared" si="12"/>
        <v>414.28483199999999</v>
      </c>
      <c r="E376" s="21">
        <v>0</v>
      </c>
      <c r="F376" s="21">
        <f t="shared" si="11"/>
        <v>662.85573120000004</v>
      </c>
      <c r="G376" s="141"/>
      <c r="H376" s="142"/>
    </row>
    <row r="377" spans="1:8" s="49" customFormat="1" x14ac:dyDescent="0.25">
      <c r="A377" s="135" t="s">
        <v>219</v>
      </c>
      <c r="B377" s="135"/>
      <c r="C377" s="135"/>
      <c r="D377" s="135"/>
      <c r="E377" s="135"/>
      <c r="F377" s="135"/>
      <c r="G377" s="135"/>
      <c r="H377" s="135"/>
    </row>
    <row r="378" spans="1:8" s="49" customFormat="1" ht="15.6" customHeight="1" x14ac:dyDescent="0.25">
      <c r="A378" s="136">
        <v>1</v>
      </c>
      <c r="B378" s="136"/>
      <c r="C378" s="21" t="s">
        <v>165</v>
      </c>
      <c r="D378" s="21">
        <f>58.435*10.764</f>
        <v>628.99433999999997</v>
      </c>
      <c r="E378" s="21">
        <v>0</v>
      </c>
      <c r="F378" s="21">
        <f>D378*1.6</f>
        <v>1006.390944</v>
      </c>
      <c r="G378" s="137" t="str">
        <f>A377</f>
        <v>15th Floor (Part Refuge Floor)</v>
      </c>
      <c r="H378" s="138"/>
    </row>
    <row r="379" spans="1:8" s="49" customFormat="1" x14ac:dyDescent="0.25">
      <c r="A379" s="136">
        <v>2</v>
      </c>
      <c r="B379" s="136"/>
      <c r="C379" s="21" t="s">
        <v>165</v>
      </c>
      <c r="D379" s="21">
        <f>58.435*10.764</f>
        <v>628.99433999999997</v>
      </c>
      <c r="E379" s="21">
        <v>0</v>
      </c>
      <c r="F379" s="21">
        <f>D379*1.6</f>
        <v>1006.390944</v>
      </c>
      <c r="G379" s="139"/>
      <c r="H379" s="140"/>
    </row>
    <row r="380" spans="1:8" s="49" customFormat="1" ht="15.6" customHeight="1" x14ac:dyDescent="0.25">
      <c r="A380" s="136">
        <v>3</v>
      </c>
      <c r="B380" s="136"/>
      <c r="C380" s="137" t="s">
        <v>190</v>
      </c>
      <c r="D380" s="143"/>
      <c r="E380" s="143"/>
      <c r="F380" s="138"/>
      <c r="G380" s="139"/>
      <c r="H380" s="140"/>
    </row>
    <row r="381" spans="1:8" s="49" customFormat="1" x14ac:dyDescent="0.25">
      <c r="A381" s="136">
        <v>4</v>
      </c>
      <c r="B381" s="136"/>
      <c r="C381" s="141"/>
      <c r="D381" s="144"/>
      <c r="E381" s="144"/>
      <c r="F381" s="142"/>
      <c r="G381" s="139"/>
      <c r="H381" s="140"/>
    </row>
    <row r="382" spans="1:8" s="49" customFormat="1" ht="15.6" customHeight="1" x14ac:dyDescent="0.25">
      <c r="A382" s="136">
        <v>5</v>
      </c>
      <c r="B382" s="136"/>
      <c r="C382" s="21" t="s">
        <v>184</v>
      </c>
      <c r="D382" s="21">
        <f>38.488*10.764</f>
        <v>414.28483199999999</v>
      </c>
      <c r="E382" s="21">
        <v>0</v>
      </c>
      <c r="F382" s="21">
        <f t="shared" ref="F382:F385" si="13">D382*1.6</f>
        <v>662.85573120000004</v>
      </c>
      <c r="G382" s="139"/>
      <c r="H382" s="140"/>
    </row>
    <row r="383" spans="1:8" s="49" customFormat="1" ht="15.6" customHeight="1" x14ac:dyDescent="0.25">
      <c r="A383" s="136">
        <v>6</v>
      </c>
      <c r="B383" s="136"/>
      <c r="C383" s="21" t="s">
        <v>184</v>
      </c>
      <c r="D383" s="21">
        <f>38.488*10.764</f>
        <v>414.28483199999999</v>
      </c>
      <c r="E383" s="21">
        <v>0</v>
      </c>
      <c r="F383" s="21">
        <f t="shared" si="13"/>
        <v>662.85573120000004</v>
      </c>
      <c r="G383" s="139"/>
      <c r="H383" s="140"/>
    </row>
    <row r="384" spans="1:8" s="49" customFormat="1" x14ac:dyDescent="0.25">
      <c r="A384" s="136">
        <v>7</v>
      </c>
      <c r="B384" s="136"/>
      <c r="C384" s="21" t="s">
        <v>184</v>
      </c>
      <c r="D384" s="21">
        <f t="shared" ref="D384:D385" si="14">38.488*10.764</f>
        <v>414.28483199999999</v>
      </c>
      <c r="E384" s="21">
        <v>0</v>
      </c>
      <c r="F384" s="21">
        <f t="shared" si="13"/>
        <v>662.85573120000004</v>
      </c>
      <c r="G384" s="139"/>
      <c r="H384" s="140"/>
    </row>
    <row r="385" spans="1:8" s="49" customFormat="1" ht="15.6" customHeight="1" x14ac:dyDescent="0.25">
      <c r="A385" s="136">
        <v>8</v>
      </c>
      <c r="B385" s="136"/>
      <c r="C385" s="21" t="s">
        <v>184</v>
      </c>
      <c r="D385" s="21">
        <f t="shared" si="14"/>
        <v>414.28483199999999</v>
      </c>
      <c r="E385" s="21">
        <v>0</v>
      </c>
      <c r="F385" s="21">
        <f t="shared" si="13"/>
        <v>662.85573120000004</v>
      </c>
      <c r="G385" s="141"/>
      <c r="H385" s="142"/>
    </row>
    <row r="386" spans="1:8" s="49" customFormat="1" x14ac:dyDescent="0.25">
      <c r="A386" s="135" t="s">
        <v>202</v>
      </c>
      <c r="B386" s="135"/>
      <c r="C386" s="135"/>
      <c r="D386" s="135"/>
      <c r="E386" s="135"/>
      <c r="F386" s="135"/>
      <c r="G386" s="135"/>
      <c r="H386" s="135"/>
    </row>
    <row r="387" spans="1:8" s="49" customFormat="1" ht="15.6" customHeight="1" x14ac:dyDescent="0.25">
      <c r="A387" s="135" t="s">
        <v>194</v>
      </c>
      <c r="B387" s="135"/>
      <c r="C387" s="135"/>
      <c r="D387" s="135"/>
      <c r="E387" s="135"/>
      <c r="F387" s="135"/>
      <c r="G387" s="135"/>
      <c r="H387" s="135"/>
    </row>
    <row r="388" spans="1:8" s="49" customFormat="1" ht="15.6" customHeight="1" x14ac:dyDescent="0.25">
      <c r="A388" s="135" t="s">
        <v>164</v>
      </c>
      <c r="B388" s="135"/>
      <c r="C388" s="135"/>
      <c r="D388" s="135"/>
      <c r="E388" s="135"/>
      <c r="F388" s="135"/>
      <c r="G388" s="135"/>
      <c r="H388" s="135"/>
    </row>
    <row r="389" spans="1:8" s="49" customFormat="1" x14ac:dyDescent="0.25">
      <c r="A389" s="135" t="s">
        <v>201</v>
      </c>
      <c r="B389" s="135"/>
      <c r="C389" s="135"/>
      <c r="D389" s="135"/>
      <c r="E389" s="135"/>
      <c r="F389" s="135"/>
      <c r="G389" s="135"/>
      <c r="H389" s="135"/>
    </row>
    <row r="390" spans="1:8" s="49" customFormat="1" ht="15.6" customHeight="1" x14ac:dyDescent="0.25">
      <c r="A390" s="136">
        <v>1</v>
      </c>
      <c r="B390" s="136"/>
      <c r="C390" s="21" t="s">
        <v>203</v>
      </c>
      <c r="D390" s="21">
        <f>80.928*10.764</f>
        <v>871.10899199999994</v>
      </c>
      <c r="E390" s="21">
        <v>0</v>
      </c>
      <c r="F390" s="21">
        <f>D390*1.6</f>
        <v>1393.7743872000001</v>
      </c>
      <c r="G390" s="137" t="str">
        <f>A389</f>
        <v>1st Floor for Residential</v>
      </c>
      <c r="H390" s="138"/>
    </row>
    <row r="391" spans="1:8" s="49" customFormat="1" x14ac:dyDescent="0.25">
      <c r="A391" s="136">
        <v>2</v>
      </c>
      <c r="B391" s="136"/>
      <c r="C391" s="137" t="s">
        <v>200</v>
      </c>
      <c r="D391" s="143"/>
      <c r="E391" s="143"/>
      <c r="F391" s="138"/>
      <c r="G391" s="139"/>
      <c r="H391" s="140"/>
    </row>
    <row r="392" spans="1:8" s="49" customFormat="1" ht="15.6" customHeight="1" x14ac:dyDescent="0.25">
      <c r="A392" s="136">
        <v>3</v>
      </c>
      <c r="B392" s="136"/>
      <c r="C392" s="139"/>
      <c r="D392" s="148"/>
      <c r="E392" s="148"/>
      <c r="F392" s="140"/>
      <c r="G392" s="139"/>
      <c r="H392" s="140"/>
    </row>
    <row r="393" spans="1:8" s="49" customFormat="1" ht="15.6" customHeight="1" x14ac:dyDescent="0.25">
      <c r="A393" s="136">
        <v>4</v>
      </c>
      <c r="B393" s="136"/>
      <c r="C393" s="141"/>
      <c r="D393" s="144"/>
      <c r="E393" s="144"/>
      <c r="F393" s="142"/>
      <c r="G393" s="141"/>
      <c r="H393" s="142"/>
    </row>
    <row r="394" spans="1:8" s="49" customFormat="1" x14ac:dyDescent="0.25">
      <c r="A394" s="135" t="s">
        <v>204</v>
      </c>
      <c r="B394" s="135"/>
      <c r="C394" s="135"/>
      <c r="D394" s="135"/>
      <c r="E394" s="135"/>
      <c r="F394" s="135"/>
      <c r="G394" s="135"/>
      <c r="H394" s="135"/>
    </row>
    <row r="395" spans="1:8" s="49" customFormat="1" ht="15.95" customHeight="1" x14ac:dyDescent="0.25">
      <c r="A395" s="136">
        <v>1</v>
      </c>
      <c r="B395" s="136"/>
      <c r="C395" s="21" t="s">
        <v>203</v>
      </c>
      <c r="D395" s="21">
        <f>80.928*10.764</f>
        <v>871.10899199999994</v>
      </c>
      <c r="E395" s="21">
        <v>0</v>
      </c>
      <c r="F395" s="21">
        <f>D395*1.6</f>
        <v>1393.7743872000001</v>
      </c>
      <c r="G395" s="137" t="str">
        <f>A394</f>
        <v>2nd to 4th Floor</v>
      </c>
      <c r="H395" s="138"/>
    </row>
    <row r="396" spans="1:8" s="49" customFormat="1" x14ac:dyDescent="0.25">
      <c r="A396" s="136">
        <v>2</v>
      </c>
      <c r="B396" s="136"/>
      <c r="C396" s="21" t="s">
        <v>203</v>
      </c>
      <c r="D396" s="21">
        <f>86.977*10.764</f>
        <v>936.22042799999997</v>
      </c>
      <c r="E396" s="21">
        <v>0</v>
      </c>
      <c r="F396" s="21">
        <f t="shared" ref="F396:F398" si="15">D396*1.6</f>
        <v>1497.9526848</v>
      </c>
      <c r="G396" s="139"/>
      <c r="H396" s="140"/>
    </row>
    <row r="397" spans="1:8" s="49" customFormat="1" ht="15.6" customHeight="1" x14ac:dyDescent="0.25">
      <c r="A397" s="136">
        <v>3</v>
      </c>
      <c r="B397" s="136"/>
      <c r="C397" s="21" t="s">
        <v>203</v>
      </c>
      <c r="D397" s="21">
        <f>89.267*10.764</f>
        <v>960.86998799999992</v>
      </c>
      <c r="E397" s="21">
        <v>0</v>
      </c>
      <c r="F397" s="21">
        <f t="shared" si="15"/>
        <v>1537.3919808000001</v>
      </c>
      <c r="G397" s="139"/>
      <c r="H397" s="140"/>
    </row>
    <row r="398" spans="1:8" s="49" customFormat="1" ht="15.6" customHeight="1" x14ac:dyDescent="0.25">
      <c r="A398" s="136">
        <v>4</v>
      </c>
      <c r="B398" s="136"/>
      <c r="C398" s="21" t="s">
        <v>203</v>
      </c>
      <c r="D398" s="21">
        <f>89.27*10.764</f>
        <v>960.90227999999991</v>
      </c>
      <c r="E398" s="21">
        <v>0</v>
      </c>
      <c r="F398" s="21">
        <f t="shared" si="15"/>
        <v>1537.4436479999999</v>
      </c>
      <c r="G398" s="141"/>
      <c r="H398" s="142"/>
    </row>
    <row r="399" spans="1:8" s="49" customFormat="1" x14ac:dyDescent="0.25">
      <c r="A399" s="135" t="s">
        <v>213</v>
      </c>
      <c r="B399" s="135"/>
      <c r="C399" s="135"/>
      <c r="D399" s="135"/>
      <c r="E399" s="135"/>
      <c r="F399" s="135"/>
      <c r="G399" s="135"/>
      <c r="H399" s="135"/>
    </row>
    <row r="400" spans="1:8" s="49" customFormat="1" ht="15.6" customHeight="1" x14ac:dyDescent="0.25">
      <c r="A400" s="136">
        <v>1</v>
      </c>
      <c r="B400" s="136"/>
      <c r="C400" s="21" t="s">
        <v>203</v>
      </c>
      <c r="D400" s="21">
        <f>80.928*10.764</f>
        <v>871.10899199999994</v>
      </c>
      <c r="E400" s="21">
        <v>0</v>
      </c>
      <c r="F400" s="21">
        <f>D400*1.6</f>
        <v>1393.7743872000001</v>
      </c>
      <c r="G400" s="137" t="str">
        <f>A399</f>
        <v>5th Floor</v>
      </c>
      <c r="H400" s="138"/>
    </row>
    <row r="401" spans="1:8" s="49" customFormat="1" x14ac:dyDescent="0.25">
      <c r="A401" s="136">
        <v>2</v>
      </c>
      <c r="B401" s="136"/>
      <c r="C401" s="21" t="s">
        <v>203</v>
      </c>
      <c r="D401" s="21">
        <f>86.977*10.764</f>
        <v>936.22042799999997</v>
      </c>
      <c r="E401" s="21">
        <v>0</v>
      </c>
      <c r="F401" s="21">
        <f t="shared" ref="F401:F403" si="16">D401*1.6</f>
        <v>1497.9526848</v>
      </c>
      <c r="G401" s="139"/>
      <c r="H401" s="140"/>
    </row>
    <row r="402" spans="1:8" s="49" customFormat="1" ht="15.6" customHeight="1" x14ac:dyDescent="0.25">
      <c r="A402" s="136">
        <v>3</v>
      </c>
      <c r="B402" s="136"/>
      <c r="C402" s="21" t="s">
        <v>203</v>
      </c>
      <c r="D402" s="21">
        <f>89.267*10.764</f>
        <v>960.86998799999992</v>
      </c>
      <c r="E402" s="21">
        <v>0</v>
      </c>
      <c r="F402" s="21">
        <f t="shared" si="16"/>
        <v>1537.3919808000001</v>
      </c>
      <c r="G402" s="139"/>
      <c r="H402" s="140"/>
    </row>
    <row r="403" spans="1:8" s="49" customFormat="1" ht="15.6" customHeight="1" x14ac:dyDescent="0.25">
      <c r="A403" s="136">
        <v>4</v>
      </c>
      <c r="B403" s="136"/>
      <c r="C403" s="21" t="s">
        <v>203</v>
      </c>
      <c r="D403" s="21">
        <f>89.27*10.764</f>
        <v>960.90227999999991</v>
      </c>
      <c r="E403" s="21">
        <v>0</v>
      </c>
      <c r="F403" s="21">
        <f t="shared" si="16"/>
        <v>1537.4436479999999</v>
      </c>
      <c r="G403" s="141"/>
      <c r="H403" s="142"/>
    </row>
    <row r="404" spans="1:8" s="49" customFormat="1" x14ac:dyDescent="0.25">
      <c r="A404" s="135" t="s">
        <v>214</v>
      </c>
      <c r="B404" s="135"/>
      <c r="C404" s="135"/>
      <c r="D404" s="135"/>
      <c r="E404" s="135"/>
      <c r="F404" s="135"/>
      <c r="G404" s="135"/>
      <c r="H404" s="135"/>
    </row>
    <row r="405" spans="1:8" s="49" customFormat="1" ht="15.95" customHeight="1" x14ac:dyDescent="0.25">
      <c r="A405" s="136">
        <v>1</v>
      </c>
      <c r="B405" s="136"/>
      <c r="C405" s="21" t="s">
        <v>203</v>
      </c>
      <c r="D405" s="21">
        <f>80.928*10.764</f>
        <v>871.10899199999994</v>
      </c>
      <c r="E405" s="21">
        <v>0</v>
      </c>
      <c r="F405" s="21">
        <f>D405*1.6</f>
        <v>1393.7743872000001</v>
      </c>
      <c r="G405" s="137" t="str">
        <f>A404</f>
        <v>6th, 7th, 9th, 11th, 13th, 17th, 19th, 21st &amp; 23rd Floor</v>
      </c>
      <c r="H405" s="138"/>
    </row>
    <row r="406" spans="1:8" s="49" customFormat="1" x14ac:dyDescent="0.25">
      <c r="A406" s="136">
        <v>2</v>
      </c>
      <c r="B406" s="136"/>
      <c r="C406" s="21" t="s">
        <v>203</v>
      </c>
      <c r="D406" s="21">
        <f>86.977*10.764</f>
        <v>936.22042799999997</v>
      </c>
      <c r="E406" s="21">
        <v>0</v>
      </c>
      <c r="F406" s="21">
        <f t="shared" ref="F406:F408" si="17">D406*1.6</f>
        <v>1497.9526848</v>
      </c>
      <c r="G406" s="139"/>
      <c r="H406" s="140"/>
    </row>
    <row r="407" spans="1:8" s="49" customFormat="1" ht="15.6" customHeight="1" x14ac:dyDescent="0.25">
      <c r="A407" s="136">
        <v>3</v>
      </c>
      <c r="B407" s="136"/>
      <c r="C407" s="21" t="s">
        <v>203</v>
      </c>
      <c r="D407" s="21">
        <f>89.267*10.764</f>
        <v>960.86998799999992</v>
      </c>
      <c r="E407" s="21">
        <v>0</v>
      </c>
      <c r="F407" s="21">
        <f t="shared" si="17"/>
        <v>1537.3919808000001</v>
      </c>
      <c r="G407" s="139"/>
      <c r="H407" s="140"/>
    </row>
    <row r="408" spans="1:8" s="49" customFormat="1" ht="15.6" customHeight="1" x14ac:dyDescent="0.25">
      <c r="A408" s="136">
        <v>4</v>
      </c>
      <c r="B408" s="136"/>
      <c r="C408" s="21" t="s">
        <v>203</v>
      </c>
      <c r="D408" s="21">
        <f>89.27*10.764</f>
        <v>960.90227999999991</v>
      </c>
      <c r="E408" s="21">
        <v>0</v>
      </c>
      <c r="F408" s="21">
        <f t="shared" si="17"/>
        <v>1537.4436479999999</v>
      </c>
      <c r="G408" s="141"/>
      <c r="H408" s="142"/>
    </row>
    <row r="409" spans="1:8" s="49" customFormat="1" x14ac:dyDescent="0.25">
      <c r="A409" s="135" t="s">
        <v>215</v>
      </c>
      <c r="B409" s="135"/>
      <c r="C409" s="135"/>
      <c r="D409" s="135"/>
      <c r="E409" s="135"/>
      <c r="F409" s="135"/>
      <c r="G409" s="135"/>
      <c r="H409" s="135"/>
    </row>
    <row r="410" spans="1:8" s="49" customFormat="1" x14ac:dyDescent="0.25">
      <c r="A410" s="136">
        <v>1</v>
      </c>
      <c r="B410" s="136"/>
      <c r="C410" s="21" t="s">
        <v>203</v>
      </c>
      <c r="D410" s="21">
        <f>80.928*10.764</f>
        <v>871.10899199999994</v>
      </c>
      <c r="E410" s="21">
        <v>0</v>
      </c>
      <c r="F410" s="21">
        <f>D410*1.6</f>
        <v>1393.7743872000001</v>
      </c>
      <c r="G410" s="137" t="str">
        <f>A409</f>
        <v>8th Floor</v>
      </c>
      <c r="H410" s="138"/>
    </row>
    <row r="411" spans="1:8" s="49" customFormat="1" x14ac:dyDescent="0.25">
      <c r="A411" s="136">
        <v>2</v>
      </c>
      <c r="B411" s="136"/>
      <c r="C411" s="21" t="s">
        <v>203</v>
      </c>
      <c r="D411" s="21">
        <f>86.977*10.764</f>
        <v>936.22042799999997</v>
      </c>
      <c r="E411" s="21">
        <v>0</v>
      </c>
      <c r="F411" s="21">
        <f t="shared" ref="F411:F413" si="18">D411*1.6</f>
        <v>1497.9526848</v>
      </c>
      <c r="G411" s="139"/>
      <c r="H411" s="140"/>
    </row>
    <row r="412" spans="1:8" s="49" customFormat="1" x14ac:dyDescent="0.25">
      <c r="A412" s="136">
        <v>3</v>
      </c>
      <c r="B412" s="136"/>
      <c r="C412" s="21" t="s">
        <v>203</v>
      </c>
      <c r="D412" s="21">
        <f>89.267*10.764</f>
        <v>960.86998799999992</v>
      </c>
      <c r="E412" s="21">
        <v>0</v>
      </c>
      <c r="F412" s="21">
        <f t="shared" si="18"/>
        <v>1537.3919808000001</v>
      </c>
      <c r="G412" s="139"/>
      <c r="H412" s="140"/>
    </row>
    <row r="413" spans="1:8" s="49" customFormat="1" x14ac:dyDescent="0.25">
      <c r="A413" s="136">
        <v>4</v>
      </c>
      <c r="B413" s="136"/>
      <c r="C413" s="21" t="s">
        <v>203</v>
      </c>
      <c r="D413" s="21">
        <f>89.27*10.764</f>
        <v>960.90227999999991</v>
      </c>
      <c r="E413" s="21">
        <v>0</v>
      </c>
      <c r="F413" s="21">
        <f t="shared" si="18"/>
        <v>1537.4436479999999</v>
      </c>
      <c r="G413" s="141"/>
      <c r="H413" s="142"/>
    </row>
    <row r="414" spans="1:8" s="49" customFormat="1" x14ac:dyDescent="0.25">
      <c r="A414" s="135" t="s">
        <v>217</v>
      </c>
      <c r="B414" s="135"/>
      <c r="C414" s="135"/>
      <c r="D414" s="135"/>
      <c r="E414" s="135"/>
      <c r="F414" s="135"/>
      <c r="G414" s="135"/>
      <c r="H414" s="135"/>
    </row>
    <row r="415" spans="1:8" s="49" customFormat="1" ht="15.6" customHeight="1" x14ac:dyDescent="0.25">
      <c r="A415" s="136">
        <v>1</v>
      </c>
      <c r="B415" s="136"/>
      <c r="C415" s="21" t="s">
        <v>203</v>
      </c>
      <c r="D415" s="21">
        <f>80.928*10.764</f>
        <v>871.10899199999994</v>
      </c>
      <c r="E415" s="21">
        <v>0</v>
      </c>
      <c r="F415" s="21">
        <f>D415*1.6</f>
        <v>1393.7743872000001</v>
      </c>
      <c r="G415" s="137" t="str">
        <f>A414</f>
        <v>10th, 12th, 14th, 16th, 18th, 20th &amp; 22nd Floor</v>
      </c>
      <c r="H415" s="138"/>
    </row>
    <row r="416" spans="1:8" s="49" customFormat="1" ht="15.6" customHeight="1" x14ac:dyDescent="0.25">
      <c r="A416" s="136">
        <v>2</v>
      </c>
      <c r="B416" s="136"/>
      <c r="C416" s="21" t="s">
        <v>203</v>
      </c>
      <c r="D416" s="21">
        <f>86.977*10.764</f>
        <v>936.22042799999997</v>
      </c>
      <c r="E416" s="21">
        <v>0</v>
      </c>
      <c r="F416" s="21">
        <f t="shared" ref="F416:F418" si="19">D416*1.6</f>
        <v>1497.9526848</v>
      </c>
      <c r="G416" s="139"/>
      <c r="H416" s="140"/>
    </row>
    <row r="417" spans="1:8" s="49" customFormat="1" x14ac:dyDescent="0.25">
      <c r="A417" s="136">
        <v>3</v>
      </c>
      <c r="B417" s="136"/>
      <c r="C417" s="21" t="s">
        <v>203</v>
      </c>
      <c r="D417" s="21">
        <f>89.267*10.764</f>
        <v>960.86998799999992</v>
      </c>
      <c r="E417" s="21">
        <v>0</v>
      </c>
      <c r="F417" s="21">
        <f t="shared" si="19"/>
        <v>1537.3919808000001</v>
      </c>
      <c r="G417" s="139"/>
      <c r="H417" s="140"/>
    </row>
    <row r="418" spans="1:8" s="49" customFormat="1" ht="15.6" customHeight="1" x14ac:dyDescent="0.25">
      <c r="A418" s="136">
        <v>4</v>
      </c>
      <c r="B418" s="136"/>
      <c r="C418" s="21" t="s">
        <v>203</v>
      </c>
      <c r="D418" s="21">
        <f>89.27*10.764</f>
        <v>960.90227999999991</v>
      </c>
      <c r="E418" s="21">
        <v>0</v>
      </c>
      <c r="F418" s="21">
        <f t="shared" si="19"/>
        <v>1537.4436479999999</v>
      </c>
      <c r="G418" s="141"/>
      <c r="H418" s="142"/>
    </row>
    <row r="419" spans="1:8" s="49" customFormat="1" ht="15.6" customHeight="1" x14ac:dyDescent="0.25">
      <c r="A419" s="135" t="s">
        <v>218</v>
      </c>
      <c r="B419" s="135"/>
      <c r="C419" s="135"/>
      <c r="D419" s="135"/>
      <c r="E419" s="135"/>
      <c r="F419" s="135"/>
      <c r="G419" s="135"/>
      <c r="H419" s="135"/>
    </row>
    <row r="420" spans="1:8" s="49" customFormat="1" ht="32.1" customHeight="1" x14ac:dyDescent="0.25">
      <c r="A420" s="136">
        <v>1</v>
      </c>
      <c r="B420" s="136"/>
      <c r="C420" s="21" t="s">
        <v>203</v>
      </c>
      <c r="D420" s="21">
        <f>80.928*10.764</f>
        <v>871.10899199999994</v>
      </c>
      <c r="E420" s="21">
        <v>0</v>
      </c>
      <c r="F420" s="21">
        <f>D420*1.6</f>
        <v>1393.7743872000001</v>
      </c>
      <c r="G420" s="137" t="str">
        <f>A419</f>
        <v>15th Floor</v>
      </c>
      <c r="H420" s="138"/>
    </row>
    <row r="421" spans="1:8" s="49" customFormat="1" ht="32.450000000000003" customHeight="1" x14ac:dyDescent="0.25">
      <c r="A421" s="136">
        <v>2</v>
      </c>
      <c r="B421" s="136"/>
      <c r="C421" s="21" t="s">
        <v>203</v>
      </c>
      <c r="D421" s="21">
        <f>86.977*10.764</f>
        <v>936.22042799999997</v>
      </c>
      <c r="E421" s="21">
        <v>0</v>
      </c>
      <c r="F421" s="21">
        <f t="shared" ref="F421:F423" si="20">D421*1.6</f>
        <v>1497.9526848</v>
      </c>
      <c r="G421" s="139"/>
      <c r="H421" s="140"/>
    </row>
    <row r="422" spans="1:8" s="49" customFormat="1" ht="15.6" customHeight="1" x14ac:dyDescent="0.25">
      <c r="A422" s="136">
        <v>3</v>
      </c>
      <c r="B422" s="136"/>
      <c r="C422" s="21" t="s">
        <v>203</v>
      </c>
      <c r="D422" s="21">
        <f>89.267*10.764</f>
        <v>960.86998799999992</v>
      </c>
      <c r="E422" s="21">
        <v>0</v>
      </c>
      <c r="F422" s="21">
        <f t="shared" si="20"/>
        <v>1537.3919808000001</v>
      </c>
      <c r="G422" s="139"/>
      <c r="H422" s="140"/>
    </row>
    <row r="423" spans="1:8" s="49" customFormat="1" x14ac:dyDescent="0.25">
      <c r="A423" s="136">
        <v>4</v>
      </c>
      <c r="B423" s="136"/>
      <c r="C423" s="21" t="s">
        <v>203</v>
      </c>
      <c r="D423" s="21">
        <f>89.27*10.764</f>
        <v>960.90227999999991</v>
      </c>
      <c r="E423" s="21">
        <v>0</v>
      </c>
      <c r="F423" s="21">
        <f t="shared" si="20"/>
        <v>1537.4436479999999</v>
      </c>
      <c r="G423" s="141"/>
      <c r="H423" s="142"/>
    </row>
    <row r="424" spans="1:8" s="49" customFormat="1" ht="15.6" customHeight="1" x14ac:dyDescent="0.25">
      <c r="A424" s="135" t="s">
        <v>206</v>
      </c>
      <c r="B424" s="135"/>
      <c r="C424" s="135"/>
      <c r="D424" s="135"/>
      <c r="E424" s="135"/>
      <c r="F424" s="135"/>
      <c r="G424" s="135"/>
      <c r="H424" s="135"/>
    </row>
    <row r="425" spans="1:8" s="49" customFormat="1" ht="15.6" customHeight="1" x14ac:dyDescent="0.25">
      <c r="A425" s="135" t="s">
        <v>194</v>
      </c>
      <c r="B425" s="135"/>
      <c r="C425" s="135"/>
      <c r="D425" s="135"/>
      <c r="E425" s="135"/>
      <c r="F425" s="135"/>
      <c r="G425" s="135"/>
      <c r="H425" s="135"/>
    </row>
    <row r="426" spans="1:8" s="49" customFormat="1" x14ac:dyDescent="0.25">
      <c r="A426" s="135" t="s">
        <v>164</v>
      </c>
      <c r="B426" s="135"/>
      <c r="C426" s="135"/>
      <c r="D426" s="135"/>
      <c r="E426" s="135"/>
      <c r="F426" s="135"/>
      <c r="G426" s="135"/>
      <c r="H426" s="135"/>
    </row>
    <row r="427" spans="1:8" s="49" customFormat="1" ht="15.6" customHeight="1" x14ac:dyDescent="0.25">
      <c r="A427" s="135" t="s">
        <v>201</v>
      </c>
      <c r="B427" s="135"/>
      <c r="C427" s="135"/>
      <c r="D427" s="135"/>
      <c r="E427" s="135"/>
      <c r="F427" s="135"/>
      <c r="G427" s="135"/>
      <c r="H427" s="135"/>
    </row>
    <row r="428" spans="1:8" s="49" customFormat="1" ht="15.6" customHeight="1" x14ac:dyDescent="0.25">
      <c r="A428" s="136">
        <v>1</v>
      </c>
      <c r="B428" s="136"/>
      <c r="C428" s="21" t="s">
        <v>203</v>
      </c>
      <c r="D428" s="21">
        <f>80.928*10.764</f>
        <v>871.10899199999994</v>
      </c>
      <c r="E428" s="21">
        <v>0</v>
      </c>
      <c r="F428" s="21">
        <f>D428*1.6</f>
        <v>1393.7743872000001</v>
      </c>
      <c r="G428" s="136" t="str">
        <f>A427</f>
        <v>1st Floor for Residential</v>
      </c>
      <c r="H428" s="136"/>
    </row>
    <row r="429" spans="1:8" s="49" customFormat="1" ht="32.1" customHeight="1" x14ac:dyDescent="0.25">
      <c r="A429" s="136">
        <v>2</v>
      </c>
      <c r="B429" s="136"/>
      <c r="C429" s="145" t="s">
        <v>200</v>
      </c>
      <c r="D429" s="146"/>
      <c r="E429" s="146"/>
      <c r="F429" s="147"/>
      <c r="G429" s="136"/>
      <c r="H429" s="136"/>
    </row>
    <row r="430" spans="1:8" s="49" customFormat="1" ht="32.450000000000003" customHeight="1" x14ac:dyDescent="0.25">
      <c r="A430" s="135" t="s">
        <v>204</v>
      </c>
      <c r="B430" s="135"/>
      <c r="C430" s="135"/>
      <c r="D430" s="135"/>
      <c r="E430" s="135"/>
      <c r="F430" s="135"/>
      <c r="G430" s="135"/>
      <c r="H430" s="135"/>
    </row>
    <row r="431" spans="1:8" s="49" customFormat="1" x14ac:dyDescent="0.25">
      <c r="A431" s="136">
        <v>1</v>
      </c>
      <c r="B431" s="136"/>
      <c r="C431" s="21" t="s">
        <v>203</v>
      </c>
      <c r="D431" s="21">
        <f>80.928*10.764</f>
        <v>871.10899199999994</v>
      </c>
      <c r="E431" s="21">
        <v>0</v>
      </c>
      <c r="F431" s="21">
        <f>D431*1.6</f>
        <v>1393.7743872000001</v>
      </c>
      <c r="G431" s="137" t="str">
        <f>A430</f>
        <v>2nd to 4th Floor</v>
      </c>
      <c r="H431" s="138"/>
    </row>
    <row r="432" spans="1:8" s="49" customFormat="1" x14ac:dyDescent="0.25">
      <c r="A432" s="136">
        <v>2</v>
      </c>
      <c r="B432" s="136"/>
      <c r="C432" s="21" t="s">
        <v>203</v>
      </c>
      <c r="D432" s="21">
        <f>80.928*10.764</f>
        <v>871.10899199999994</v>
      </c>
      <c r="E432" s="21">
        <v>0</v>
      </c>
      <c r="F432" s="21">
        <f>D432*1.6</f>
        <v>1393.7743872000001</v>
      </c>
      <c r="G432" s="139"/>
      <c r="H432" s="140"/>
    </row>
    <row r="433" spans="1:8" s="49" customFormat="1" x14ac:dyDescent="0.25">
      <c r="A433" s="135" t="s">
        <v>220</v>
      </c>
      <c r="B433" s="135"/>
      <c r="C433" s="135"/>
      <c r="D433" s="135"/>
      <c r="E433" s="135"/>
      <c r="F433" s="135"/>
      <c r="G433" s="135"/>
      <c r="H433" s="135"/>
    </row>
    <row r="434" spans="1:8" s="49" customFormat="1" x14ac:dyDescent="0.25">
      <c r="A434" s="136">
        <v>1</v>
      </c>
      <c r="B434" s="136"/>
      <c r="C434" s="21" t="s">
        <v>203</v>
      </c>
      <c r="D434" s="21">
        <f>80.928*10.764</f>
        <v>871.10899199999994</v>
      </c>
      <c r="E434" s="21">
        <v>0</v>
      </c>
      <c r="F434" s="21">
        <f>D434*1.6</f>
        <v>1393.7743872000001</v>
      </c>
      <c r="G434" s="137" t="str">
        <f>A433</f>
        <v>5th, 6th, 7th, 9th, 11th, 13th, 17th, 19th, 21st &amp; 23rd Floor</v>
      </c>
      <c r="H434" s="138"/>
    </row>
    <row r="435" spans="1:8" s="49" customFormat="1" x14ac:dyDescent="0.25">
      <c r="A435" s="136">
        <v>2</v>
      </c>
      <c r="B435" s="136"/>
      <c r="C435" s="21" t="s">
        <v>203</v>
      </c>
      <c r="D435" s="21">
        <f>80.928*10.764</f>
        <v>871.10899199999994</v>
      </c>
      <c r="E435" s="21">
        <v>0</v>
      </c>
      <c r="F435" s="21">
        <f>D435*1.6</f>
        <v>1393.7743872000001</v>
      </c>
      <c r="G435" s="139"/>
      <c r="H435" s="140"/>
    </row>
    <row r="436" spans="1:8" s="49" customFormat="1" ht="15.6" customHeight="1" x14ac:dyDescent="0.25">
      <c r="A436" s="135" t="s">
        <v>215</v>
      </c>
      <c r="B436" s="135"/>
      <c r="C436" s="135"/>
      <c r="D436" s="135"/>
      <c r="E436" s="135"/>
      <c r="F436" s="135"/>
      <c r="G436" s="135"/>
      <c r="H436" s="135"/>
    </row>
    <row r="437" spans="1:8" s="49" customFormat="1" ht="15.6" customHeight="1" x14ac:dyDescent="0.25">
      <c r="A437" s="136">
        <v>1</v>
      </c>
      <c r="B437" s="136"/>
      <c r="C437" s="21" t="s">
        <v>203</v>
      </c>
      <c r="D437" s="21">
        <f>80.928*10.764</f>
        <v>871.10899199999994</v>
      </c>
      <c r="E437" s="21">
        <v>0</v>
      </c>
      <c r="F437" s="21">
        <f>D437*1.6</f>
        <v>1393.7743872000001</v>
      </c>
      <c r="G437" s="137" t="str">
        <f>A436</f>
        <v>8th Floor</v>
      </c>
      <c r="H437" s="138"/>
    </row>
    <row r="438" spans="1:8" s="49" customFormat="1" x14ac:dyDescent="0.25">
      <c r="A438" s="136">
        <v>2</v>
      </c>
      <c r="B438" s="136"/>
      <c r="C438" s="21" t="s">
        <v>203</v>
      </c>
      <c r="D438" s="21">
        <f>80.928*10.764</f>
        <v>871.10899199999994</v>
      </c>
      <c r="E438" s="21">
        <v>0</v>
      </c>
      <c r="F438" s="21">
        <f>D438*1.6</f>
        <v>1393.7743872000001</v>
      </c>
      <c r="G438" s="139"/>
      <c r="H438" s="140"/>
    </row>
    <row r="439" spans="1:8" s="49" customFormat="1" ht="15.6" customHeight="1" x14ac:dyDescent="0.25">
      <c r="A439" s="135" t="s">
        <v>218</v>
      </c>
      <c r="B439" s="135"/>
      <c r="C439" s="135"/>
      <c r="D439" s="135"/>
      <c r="E439" s="135"/>
      <c r="F439" s="135"/>
      <c r="G439" s="135"/>
      <c r="H439" s="135"/>
    </row>
    <row r="440" spans="1:8" s="49" customFormat="1" ht="15.6" customHeight="1" x14ac:dyDescent="0.25">
      <c r="A440" s="136">
        <v>1</v>
      </c>
      <c r="B440" s="136"/>
      <c r="C440" s="21" t="s">
        <v>203</v>
      </c>
      <c r="D440" s="21">
        <f>80.928*10.764</f>
        <v>871.10899199999994</v>
      </c>
      <c r="E440" s="21">
        <v>0</v>
      </c>
      <c r="F440" s="21">
        <f>D440*1.6</f>
        <v>1393.7743872000001</v>
      </c>
      <c r="G440" s="137" t="str">
        <f>A439</f>
        <v>15th Floor</v>
      </c>
      <c r="H440" s="138"/>
    </row>
    <row r="441" spans="1:8" s="49" customFormat="1" ht="15.6" customHeight="1" x14ac:dyDescent="0.25">
      <c r="A441" s="136">
        <v>2</v>
      </c>
      <c r="B441" s="136"/>
      <c r="C441" s="21" t="s">
        <v>203</v>
      </c>
      <c r="D441" s="21">
        <f>80.928*10.764</f>
        <v>871.10899199999994</v>
      </c>
      <c r="E441" s="21">
        <v>0</v>
      </c>
      <c r="F441" s="21">
        <f>D441*1.6</f>
        <v>1393.7743872000001</v>
      </c>
      <c r="G441" s="139"/>
      <c r="H441" s="140"/>
    </row>
    <row r="442" spans="1:8" s="49" customFormat="1" ht="15.6" customHeight="1" x14ac:dyDescent="0.25">
      <c r="A442" s="135" t="s">
        <v>217</v>
      </c>
      <c r="B442" s="135"/>
      <c r="C442" s="135"/>
      <c r="D442" s="135"/>
      <c r="E442" s="135"/>
      <c r="F442" s="135"/>
      <c r="G442" s="135"/>
      <c r="H442" s="135"/>
    </row>
    <row r="443" spans="1:8" s="49" customFormat="1" x14ac:dyDescent="0.25">
      <c r="A443" s="136">
        <v>1</v>
      </c>
      <c r="B443" s="136"/>
      <c r="C443" s="21" t="s">
        <v>203</v>
      </c>
      <c r="D443" s="21">
        <f>80.928*10.764</f>
        <v>871.10899199999994</v>
      </c>
      <c r="E443" s="21">
        <v>0</v>
      </c>
      <c r="F443" s="21">
        <f>D443*1.6</f>
        <v>1393.7743872000001</v>
      </c>
      <c r="G443" s="137" t="str">
        <f>A442</f>
        <v>10th, 12th, 14th, 16th, 18th, 20th &amp; 22nd Floor</v>
      </c>
      <c r="H443" s="138"/>
    </row>
    <row r="444" spans="1:8" s="49" customFormat="1" ht="15.6" customHeight="1" x14ac:dyDescent="0.25">
      <c r="A444" s="136">
        <v>2</v>
      </c>
      <c r="B444" s="136"/>
      <c r="C444" s="21" t="s">
        <v>203</v>
      </c>
      <c r="D444" s="21">
        <f>80.928*10.764</f>
        <v>871.10899199999994</v>
      </c>
      <c r="E444" s="21">
        <v>0</v>
      </c>
      <c r="F444" s="21">
        <f>D444*1.6</f>
        <v>1393.7743872000001</v>
      </c>
      <c r="G444" s="139"/>
      <c r="H444" s="140"/>
    </row>
    <row r="445" spans="1:8" s="49" customFormat="1" ht="15.6" customHeight="1" x14ac:dyDescent="0.25">
      <c r="A445" s="135" t="s">
        <v>207</v>
      </c>
      <c r="B445" s="135"/>
      <c r="C445" s="135"/>
      <c r="D445" s="135"/>
      <c r="E445" s="135"/>
      <c r="F445" s="135"/>
      <c r="G445" s="135"/>
      <c r="H445" s="135"/>
    </row>
    <row r="446" spans="1:8" s="49" customFormat="1" ht="15.6" customHeight="1" x14ac:dyDescent="0.25">
      <c r="A446" s="135" t="s">
        <v>194</v>
      </c>
      <c r="B446" s="135"/>
      <c r="C446" s="135"/>
      <c r="D446" s="135"/>
      <c r="E446" s="135"/>
      <c r="F446" s="135"/>
      <c r="G446" s="135"/>
      <c r="H446" s="135"/>
    </row>
    <row r="447" spans="1:8" s="49" customFormat="1" ht="15.6" customHeight="1" x14ac:dyDescent="0.25">
      <c r="A447" s="135" t="s">
        <v>164</v>
      </c>
      <c r="B447" s="135"/>
      <c r="C447" s="135"/>
      <c r="D447" s="135"/>
      <c r="E447" s="135"/>
      <c r="F447" s="135"/>
      <c r="G447" s="135"/>
      <c r="H447" s="135"/>
    </row>
    <row r="448" spans="1:8" s="49" customFormat="1" x14ac:dyDescent="0.25">
      <c r="A448" s="135" t="s">
        <v>201</v>
      </c>
      <c r="B448" s="135"/>
      <c r="C448" s="135"/>
      <c r="D448" s="135"/>
      <c r="E448" s="135"/>
      <c r="F448" s="135"/>
      <c r="G448" s="135"/>
      <c r="H448" s="135"/>
    </row>
    <row r="449" spans="1:8" s="49" customFormat="1" x14ac:dyDescent="0.25">
      <c r="A449" s="136">
        <v>1</v>
      </c>
      <c r="B449" s="136"/>
      <c r="C449" s="145" t="s">
        <v>200</v>
      </c>
      <c r="D449" s="146"/>
      <c r="E449" s="146"/>
      <c r="F449" s="147"/>
      <c r="G449" s="137" t="str">
        <f>A448</f>
        <v>1st Floor for Residential</v>
      </c>
      <c r="H449" s="138"/>
    </row>
    <row r="450" spans="1:8" s="49" customFormat="1" x14ac:dyDescent="0.25">
      <c r="A450" s="136">
        <v>2</v>
      </c>
      <c r="B450" s="136"/>
      <c r="C450" s="21" t="s">
        <v>203</v>
      </c>
      <c r="D450" s="21">
        <f>85.848*10.764</f>
        <v>924.06787199999997</v>
      </c>
      <c r="E450" s="21">
        <v>0</v>
      </c>
      <c r="F450" s="21">
        <f>D450*1.6</f>
        <v>1478.5085951999999</v>
      </c>
      <c r="G450" s="139"/>
      <c r="H450" s="140"/>
    </row>
    <row r="451" spans="1:8" s="49" customFormat="1" ht="15.6" customHeight="1" x14ac:dyDescent="0.25">
      <c r="A451" s="136">
        <v>3</v>
      </c>
      <c r="B451" s="136"/>
      <c r="C451" s="137" t="s">
        <v>200</v>
      </c>
      <c r="D451" s="143"/>
      <c r="E451" s="143"/>
      <c r="F451" s="138"/>
      <c r="G451" s="139"/>
      <c r="H451" s="140"/>
    </row>
    <row r="452" spans="1:8" s="49" customFormat="1" ht="15.6" customHeight="1" x14ac:dyDescent="0.25">
      <c r="A452" s="136">
        <v>4</v>
      </c>
      <c r="B452" s="136"/>
      <c r="C452" s="141"/>
      <c r="D452" s="144"/>
      <c r="E452" s="144"/>
      <c r="F452" s="142"/>
      <c r="G452" s="141"/>
      <c r="H452" s="142"/>
    </row>
    <row r="453" spans="1:8" s="49" customFormat="1" ht="15.6" customHeight="1" x14ac:dyDescent="0.25">
      <c r="A453" s="135" t="s">
        <v>204</v>
      </c>
      <c r="B453" s="135"/>
      <c r="C453" s="135"/>
      <c r="D453" s="135"/>
      <c r="E453" s="135"/>
      <c r="F453" s="135"/>
      <c r="G453" s="135"/>
      <c r="H453" s="135"/>
    </row>
    <row r="454" spans="1:8" s="49" customFormat="1" ht="15.6" customHeight="1" x14ac:dyDescent="0.25">
      <c r="A454" s="136">
        <v>1</v>
      </c>
      <c r="B454" s="136"/>
      <c r="C454" s="21" t="s">
        <v>165</v>
      </c>
      <c r="D454" s="21">
        <f>64.45*10.764</f>
        <v>693.73979999999995</v>
      </c>
      <c r="E454" s="21">
        <v>0</v>
      </c>
      <c r="F454" s="21">
        <f>D454*1.6</f>
        <v>1109.98368</v>
      </c>
      <c r="G454" s="137" t="str">
        <f>A453</f>
        <v>2nd to 4th Floor</v>
      </c>
      <c r="H454" s="138"/>
    </row>
    <row r="455" spans="1:8" s="49" customFormat="1" x14ac:dyDescent="0.25">
      <c r="A455" s="136">
        <v>2</v>
      </c>
      <c r="B455" s="136"/>
      <c r="C455" s="21" t="s">
        <v>165</v>
      </c>
      <c r="D455" s="21">
        <f>64.45*10.764</f>
        <v>693.73979999999995</v>
      </c>
      <c r="E455" s="21">
        <v>0</v>
      </c>
      <c r="F455" s="21">
        <f>D455*1.6</f>
        <v>1109.98368</v>
      </c>
      <c r="G455" s="139"/>
      <c r="H455" s="140"/>
    </row>
    <row r="456" spans="1:8" s="49" customFormat="1" x14ac:dyDescent="0.25">
      <c r="A456" s="136">
        <v>3</v>
      </c>
      <c r="B456" s="136"/>
      <c r="C456" s="21" t="s">
        <v>203</v>
      </c>
      <c r="D456" s="21">
        <f t="shared" ref="D456" si="21">85.848*10.764</f>
        <v>924.06787199999997</v>
      </c>
      <c r="E456" s="21">
        <v>0</v>
      </c>
      <c r="F456" s="21">
        <f t="shared" ref="F456:F457" si="22">D456*1.6</f>
        <v>1478.5085951999999</v>
      </c>
      <c r="G456" s="139"/>
      <c r="H456" s="140"/>
    </row>
    <row r="457" spans="1:8" s="49" customFormat="1" x14ac:dyDescent="0.25">
      <c r="A457" s="136">
        <v>4</v>
      </c>
      <c r="B457" s="136"/>
      <c r="C457" s="21" t="s">
        <v>203</v>
      </c>
      <c r="D457" s="21">
        <f>86.848*10.764</f>
        <v>934.83187199999998</v>
      </c>
      <c r="E457" s="21">
        <v>0</v>
      </c>
      <c r="F457" s="21">
        <f t="shared" si="22"/>
        <v>1495.7309952000001</v>
      </c>
      <c r="G457" s="141"/>
      <c r="H457" s="142"/>
    </row>
    <row r="458" spans="1:8" s="49" customFormat="1" ht="15.6" customHeight="1" x14ac:dyDescent="0.25">
      <c r="A458" s="135" t="s">
        <v>220</v>
      </c>
      <c r="B458" s="135"/>
      <c r="C458" s="135"/>
      <c r="D458" s="135"/>
      <c r="E458" s="135"/>
      <c r="F458" s="135"/>
      <c r="G458" s="135"/>
      <c r="H458" s="135"/>
    </row>
    <row r="459" spans="1:8" s="49" customFormat="1" ht="15.6" customHeight="1" x14ac:dyDescent="0.25">
      <c r="A459" s="136">
        <v>1</v>
      </c>
      <c r="B459" s="136"/>
      <c r="C459" s="21" t="s">
        <v>165</v>
      </c>
      <c r="D459" s="21">
        <f>64.45*10.764</f>
        <v>693.73979999999995</v>
      </c>
      <c r="E459" s="21">
        <v>0</v>
      </c>
      <c r="F459" s="21">
        <f>D459*1.6</f>
        <v>1109.98368</v>
      </c>
      <c r="G459" s="137" t="str">
        <f>A458</f>
        <v>5th, 6th, 7th, 9th, 11th, 13th, 17th, 19th, 21st &amp; 23rd Floor</v>
      </c>
      <c r="H459" s="138"/>
    </row>
    <row r="460" spans="1:8" s="49" customFormat="1" ht="15.6" customHeight="1" x14ac:dyDescent="0.25">
      <c r="A460" s="136">
        <v>2</v>
      </c>
      <c r="B460" s="136"/>
      <c r="C460" s="21" t="s">
        <v>165</v>
      </c>
      <c r="D460" s="21">
        <f>64.45*10.764</f>
        <v>693.73979999999995</v>
      </c>
      <c r="E460" s="21">
        <v>0</v>
      </c>
      <c r="F460" s="21">
        <f>D460*1.6</f>
        <v>1109.98368</v>
      </c>
      <c r="G460" s="139"/>
      <c r="H460" s="140"/>
    </row>
    <row r="461" spans="1:8" s="49" customFormat="1" ht="15.6" customHeight="1" x14ac:dyDescent="0.25">
      <c r="A461" s="136">
        <v>3</v>
      </c>
      <c r="B461" s="136"/>
      <c r="C461" s="21" t="s">
        <v>203</v>
      </c>
      <c r="D461" s="21">
        <f t="shared" ref="D461" si="23">85.848*10.764</f>
        <v>924.06787199999997</v>
      </c>
      <c r="E461" s="21">
        <v>0</v>
      </c>
      <c r="F461" s="21">
        <f t="shared" ref="F461:F462" si="24">D461*1.6</f>
        <v>1478.5085951999999</v>
      </c>
      <c r="G461" s="139"/>
      <c r="H461" s="140"/>
    </row>
    <row r="462" spans="1:8" s="49" customFormat="1" x14ac:dyDescent="0.25">
      <c r="A462" s="136">
        <v>4</v>
      </c>
      <c r="B462" s="136"/>
      <c r="C462" s="21" t="s">
        <v>203</v>
      </c>
      <c r="D462" s="21">
        <f>86.848*10.764</f>
        <v>934.83187199999998</v>
      </c>
      <c r="E462" s="21">
        <v>0</v>
      </c>
      <c r="F462" s="21">
        <f t="shared" si="24"/>
        <v>1495.7309952000001</v>
      </c>
      <c r="G462" s="139"/>
      <c r="H462" s="140"/>
    </row>
    <row r="463" spans="1:8" s="49" customFormat="1" x14ac:dyDescent="0.25">
      <c r="A463" s="136">
        <v>5</v>
      </c>
      <c r="B463" s="136"/>
      <c r="C463" s="21" t="s">
        <v>165</v>
      </c>
      <c r="D463" s="21">
        <f>58.505*10.764</f>
        <v>629.74781999999993</v>
      </c>
      <c r="E463" s="21">
        <v>0</v>
      </c>
      <c r="F463" s="21">
        <f>D463*1.6</f>
        <v>1007.596512</v>
      </c>
      <c r="G463" s="139"/>
      <c r="H463" s="140"/>
    </row>
    <row r="464" spans="1:8" s="49" customFormat="1" x14ac:dyDescent="0.25">
      <c r="A464" s="136">
        <v>6</v>
      </c>
      <c r="B464" s="136"/>
      <c r="C464" s="21" t="s">
        <v>165</v>
      </c>
      <c r="D464" s="21">
        <f>58.505*10.764</f>
        <v>629.74781999999993</v>
      </c>
      <c r="E464" s="21">
        <v>0</v>
      </c>
      <c r="F464" s="21">
        <f>D464*1.6</f>
        <v>1007.596512</v>
      </c>
      <c r="G464" s="141"/>
      <c r="H464" s="142"/>
    </row>
    <row r="465" spans="1:9" s="49" customFormat="1" ht="15.6" customHeight="1" x14ac:dyDescent="0.25">
      <c r="A465" s="135" t="s">
        <v>215</v>
      </c>
      <c r="B465" s="135"/>
      <c r="C465" s="135"/>
      <c r="D465" s="135"/>
      <c r="E465" s="135"/>
      <c r="F465" s="135"/>
      <c r="G465" s="135"/>
      <c r="H465" s="135"/>
    </row>
    <row r="466" spans="1:9" s="49" customFormat="1" ht="15.6" customHeight="1" x14ac:dyDescent="0.25">
      <c r="A466" s="136">
        <v>1</v>
      </c>
      <c r="B466" s="136"/>
      <c r="C466" s="21" t="s">
        <v>165</v>
      </c>
      <c r="D466" s="21">
        <f>64.45*10.764</f>
        <v>693.73979999999995</v>
      </c>
      <c r="E466" s="21">
        <v>0</v>
      </c>
      <c r="F466" s="21">
        <f>D466*1.6</f>
        <v>1109.98368</v>
      </c>
      <c r="G466" s="137" t="str">
        <f>A465</f>
        <v>8th Floor</v>
      </c>
      <c r="H466" s="138"/>
    </row>
    <row r="467" spans="1:9" s="49" customFormat="1" ht="15.6" customHeight="1" x14ac:dyDescent="0.25">
      <c r="A467" s="136">
        <v>2</v>
      </c>
      <c r="B467" s="136"/>
      <c r="C467" s="21" t="s">
        <v>165</v>
      </c>
      <c r="D467" s="21">
        <f>64.45*10.764</f>
        <v>693.73979999999995</v>
      </c>
      <c r="E467" s="21">
        <v>0</v>
      </c>
      <c r="F467" s="21">
        <f>D467*1.6</f>
        <v>1109.98368</v>
      </c>
      <c r="G467" s="139"/>
      <c r="H467" s="140"/>
    </row>
    <row r="468" spans="1:9" s="49" customFormat="1" ht="15.6" customHeight="1" x14ac:dyDescent="0.25">
      <c r="A468" s="136">
        <v>3</v>
      </c>
      <c r="B468" s="136"/>
      <c r="C468" s="21" t="s">
        <v>203</v>
      </c>
      <c r="D468" s="21">
        <f t="shared" ref="D468" si="25">85.848*10.764</f>
        <v>924.06787199999997</v>
      </c>
      <c r="E468" s="21">
        <v>0</v>
      </c>
      <c r="F468" s="21">
        <f t="shared" ref="F468" si="26">D468*1.6</f>
        <v>1478.5085951999999</v>
      </c>
      <c r="G468" s="139"/>
      <c r="H468" s="140"/>
    </row>
    <row r="469" spans="1:9" s="49" customFormat="1" x14ac:dyDescent="0.25">
      <c r="A469" s="136">
        <v>4</v>
      </c>
      <c r="B469" s="136"/>
      <c r="C469" s="145" t="s">
        <v>190</v>
      </c>
      <c r="D469" s="146"/>
      <c r="E469" s="146"/>
      <c r="F469" s="147"/>
      <c r="G469" s="139"/>
      <c r="H469" s="140"/>
    </row>
    <row r="470" spans="1:9" s="49" customFormat="1" x14ac:dyDescent="0.25">
      <c r="A470" s="136">
        <v>5</v>
      </c>
      <c r="B470" s="136"/>
      <c r="C470" s="21" t="s">
        <v>165</v>
      </c>
      <c r="D470" s="21">
        <f>58.505*10.764</f>
        <v>629.74781999999993</v>
      </c>
      <c r="E470" s="21">
        <v>0</v>
      </c>
      <c r="F470" s="21">
        <f>D470*1.6</f>
        <v>1007.596512</v>
      </c>
      <c r="G470" s="139"/>
      <c r="H470" s="140"/>
    </row>
    <row r="471" spans="1:9" s="49" customFormat="1" x14ac:dyDescent="0.25">
      <c r="A471" s="136">
        <v>6</v>
      </c>
      <c r="B471" s="136"/>
      <c r="C471" s="21" t="s">
        <v>165</v>
      </c>
      <c r="D471" s="21">
        <f>58.505*10.764</f>
        <v>629.74781999999993</v>
      </c>
      <c r="E471" s="21">
        <v>0</v>
      </c>
      <c r="F471" s="21">
        <f>D471*1.6</f>
        <v>1007.596512</v>
      </c>
      <c r="G471" s="141"/>
      <c r="H471" s="142"/>
    </row>
    <row r="472" spans="1:9" s="49" customFormat="1" x14ac:dyDescent="0.25">
      <c r="A472" s="135" t="s">
        <v>218</v>
      </c>
      <c r="B472" s="135"/>
      <c r="C472" s="135"/>
      <c r="D472" s="135"/>
      <c r="E472" s="135"/>
      <c r="F472" s="135"/>
      <c r="G472" s="135"/>
      <c r="H472" s="135"/>
    </row>
    <row r="473" spans="1:9" s="49" customFormat="1" x14ac:dyDescent="0.25">
      <c r="A473" s="136">
        <v>1</v>
      </c>
      <c r="B473" s="136"/>
      <c r="C473" s="21" t="s">
        <v>165</v>
      </c>
      <c r="D473" s="21">
        <f>64.45*10.764</f>
        <v>693.73979999999995</v>
      </c>
      <c r="E473" s="21">
        <v>0</v>
      </c>
      <c r="F473" s="21">
        <f>D473*1.6</f>
        <v>1109.98368</v>
      </c>
      <c r="G473" s="137" t="str">
        <f>A472</f>
        <v>15th Floor</v>
      </c>
      <c r="H473" s="138"/>
    </row>
    <row r="474" spans="1:9" s="49" customFormat="1" x14ac:dyDescent="0.25">
      <c r="A474" s="136">
        <v>2</v>
      </c>
      <c r="B474" s="136"/>
      <c r="C474" s="21" t="s">
        <v>165</v>
      </c>
      <c r="D474" s="21">
        <f>64.45*10.764</f>
        <v>693.73979999999995</v>
      </c>
      <c r="E474" s="21">
        <v>0</v>
      </c>
      <c r="F474" s="21">
        <f>D474*1.6</f>
        <v>1109.98368</v>
      </c>
      <c r="G474" s="139"/>
      <c r="H474" s="140"/>
    </row>
    <row r="475" spans="1:9" s="49" customFormat="1" x14ac:dyDescent="0.25">
      <c r="A475" s="136">
        <v>3</v>
      </c>
      <c r="B475" s="136"/>
      <c r="C475" s="21" t="s">
        <v>203</v>
      </c>
      <c r="D475" s="21">
        <f t="shared" ref="D475" si="27">85.848*10.764</f>
        <v>924.06787199999997</v>
      </c>
      <c r="E475" s="21">
        <v>0</v>
      </c>
      <c r="F475" s="21">
        <f t="shared" ref="F475" si="28">D475*1.6</f>
        <v>1478.5085951999999</v>
      </c>
      <c r="G475" s="139"/>
      <c r="H475" s="140"/>
      <c r="I475" s="49">
        <f>24000000/F475</f>
        <v>16232.57387743051</v>
      </c>
    </row>
    <row r="476" spans="1:9" s="49" customFormat="1" ht="15.6" customHeight="1" x14ac:dyDescent="0.25">
      <c r="A476" s="136">
        <v>4</v>
      </c>
      <c r="B476" s="136"/>
      <c r="C476" s="145" t="s">
        <v>190</v>
      </c>
      <c r="D476" s="146"/>
      <c r="E476" s="146"/>
      <c r="F476" s="147"/>
      <c r="G476" s="139"/>
      <c r="H476" s="140"/>
    </row>
    <row r="477" spans="1:9" s="49" customFormat="1" ht="15.6" customHeight="1" x14ac:dyDescent="0.25">
      <c r="A477" s="136">
        <v>5</v>
      </c>
      <c r="B477" s="136"/>
      <c r="C477" s="145" t="s">
        <v>222</v>
      </c>
      <c r="D477" s="146"/>
      <c r="E477" s="146"/>
      <c r="F477" s="147"/>
      <c r="G477" s="139"/>
      <c r="H477" s="140"/>
    </row>
    <row r="478" spans="1:9" s="49" customFormat="1" ht="15.6" customHeight="1" x14ac:dyDescent="0.25">
      <c r="A478" s="136">
        <v>6</v>
      </c>
      <c r="B478" s="136"/>
      <c r="C478" s="21" t="s">
        <v>165</v>
      </c>
      <c r="D478" s="21">
        <f>58.505*10.764</f>
        <v>629.74781999999993</v>
      </c>
      <c r="E478" s="21">
        <v>0</v>
      </c>
      <c r="F478" s="21">
        <f>D478*1.6</f>
        <v>1007.596512</v>
      </c>
      <c r="G478" s="141"/>
      <c r="H478" s="142"/>
    </row>
    <row r="479" spans="1:9" s="49" customFormat="1" ht="15.6" customHeight="1" x14ac:dyDescent="0.25">
      <c r="A479" s="135" t="s">
        <v>217</v>
      </c>
      <c r="B479" s="135"/>
      <c r="C479" s="135"/>
      <c r="D479" s="135"/>
      <c r="E479" s="135"/>
      <c r="F479" s="135"/>
      <c r="G479" s="135"/>
      <c r="H479" s="135"/>
    </row>
    <row r="480" spans="1:9" s="49" customFormat="1" x14ac:dyDescent="0.25">
      <c r="A480" s="136">
        <v>1</v>
      </c>
      <c r="B480" s="136"/>
      <c r="C480" s="21" t="s">
        <v>165</v>
      </c>
      <c r="D480" s="21">
        <f>64.45*10.764</f>
        <v>693.73979999999995</v>
      </c>
      <c r="E480" s="21">
        <v>0</v>
      </c>
      <c r="F480" s="21">
        <f>D480*1.6</f>
        <v>1109.98368</v>
      </c>
      <c r="G480" s="137" t="str">
        <f>A479</f>
        <v>10th, 12th, 14th, 16th, 18th, 20th &amp; 22nd Floor</v>
      </c>
      <c r="H480" s="138"/>
    </row>
    <row r="481" spans="1:8" s="49" customFormat="1" x14ac:dyDescent="0.25">
      <c r="A481" s="136">
        <v>2</v>
      </c>
      <c r="B481" s="136"/>
      <c r="C481" s="21" t="s">
        <v>165</v>
      </c>
      <c r="D481" s="21">
        <f>64.45*10.764</f>
        <v>693.73979999999995</v>
      </c>
      <c r="E481" s="21">
        <v>0</v>
      </c>
      <c r="F481" s="21">
        <f>D481*1.6</f>
        <v>1109.98368</v>
      </c>
      <c r="G481" s="139"/>
      <c r="H481" s="140"/>
    </row>
    <row r="482" spans="1:8" s="49" customFormat="1" x14ac:dyDescent="0.25">
      <c r="A482" s="136">
        <v>3</v>
      </c>
      <c r="B482" s="136"/>
      <c r="C482" s="21" t="s">
        <v>203</v>
      </c>
      <c r="D482" s="21">
        <f t="shared" ref="D482" si="29">85.848*10.764</f>
        <v>924.06787199999997</v>
      </c>
      <c r="E482" s="21">
        <v>0</v>
      </c>
      <c r="F482" s="21">
        <f t="shared" ref="F482:F483" si="30">D482*1.6</f>
        <v>1478.5085951999999</v>
      </c>
      <c r="G482" s="139"/>
      <c r="H482" s="140"/>
    </row>
    <row r="483" spans="1:8" s="49" customFormat="1" x14ac:dyDescent="0.25">
      <c r="A483" s="136">
        <v>4</v>
      </c>
      <c r="B483" s="136"/>
      <c r="C483" s="21" t="s">
        <v>203</v>
      </c>
      <c r="D483" s="21">
        <f>86.848*10.764</f>
        <v>934.83187199999998</v>
      </c>
      <c r="E483" s="21">
        <v>0</v>
      </c>
      <c r="F483" s="21">
        <f t="shared" si="30"/>
        <v>1495.7309952000001</v>
      </c>
      <c r="G483" s="139"/>
      <c r="H483" s="140"/>
    </row>
    <row r="484" spans="1:8" s="49" customFormat="1" x14ac:dyDescent="0.25">
      <c r="A484" s="136">
        <v>5</v>
      </c>
      <c r="B484" s="136"/>
      <c r="C484" s="21" t="s">
        <v>165</v>
      </c>
      <c r="D484" s="21">
        <f>58.505*10.764</f>
        <v>629.74781999999993</v>
      </c>
      <c r="E484" s="21">
        <v>0</v>
      </c>
      <c r="F484" s="21">
        <f>D484*1.6</f>
        <v>1007.596512</v>
      </c>
      <c r="G484" s="139"/>
      <c r="H484" s="140"/>
    </row>
    <row r="485" spans="1:8" s="49" customFormat="1" x14ac:dyDescent="0.25">
      <c r="A485" s="136">
        <v>6</v>
      </c>
      <c r="B485" s="136"/>
      <c r="C485" s="21" t="s">
        <v>165</v>
      </c>
      <c r="D485" s="21">
        <f>58.505*10.764</f>
        <v>629.74781999999993</v>
      </c>
      <c r="E485" s="21">
        <v>0</v>
      </c>
      <c r="F485" s="21">
        <f>D485*1.6</f>
        <v>1007.596512</v>
      </c>
      <c r="G485" s="141"/>
      <c r="H485" s="142"/>
    </row>
    <row r="486" spans="1:8" s="49" customFormat="1" x14ac:dyDescent="0.25">
      <c r="A486" s="135" t="s">
        <v>208</v>
      </c>
      <c r="B486" s="135"/>
      <c r="C486" s="135"/>
      <c r="D486" s="135"/>
      <c r="E486" s="135"/>
      <c r="F486" s="135"/>
      <c r="G486" s="135"/>
      <c r="H486" s="135"/>
    </row>
    <row r="487" spans="1:8" s="49" customFormat="1" x14ac:dyDescent="0.25">
      <c r="A487" s="135" t="s">
        <v>194</v>
      </c>
      <c r="B487" s="135"/>
      <c r="C487" s="135"/>
      <c r="D487" s="135"/>
      <c r="E487" s="135"/>
      <c r="F487" s="135"/>
      <c r="G487" s="135"/>
      <c r="H487" s="135"/>
    </row>
    <row r="488" spans="1:8" s="49" customFormat="1" ht="15.6" customHeight="1" x14ac:dyDescent="0.25">
      <c r="A488" s="135" t="s">
        <v>164</v>
      </c>
      <c r="B488" s="135"/>
      <c r="C488" s="135"/>
      <c r="D488" s="135"/>
      <c r="E488" s="135"/>
      <c r="F488" s="135"/>
      <c r="G488" s="135"/>
      <c r="H488" s="135"/>
    </row>
    <row r="489" spans="1:8" s="49" customFormat="1" x14ac:dyDescent="0.25">
      <c r="A489" s="135" t="s">
        <v>201</v>
      </c>
      <c r="B489" s="135"/>
      <c r="C489" s="135"/>
      <c r="D489" s="135"/>
      <c r="E489" s="135"/>
      <c r="F489" s="135"/>
      <c r="G489" s="135"/>
      <c r="H489" s="135"/>
    </row>
    <row r="490" spans="1:8" s="49" customFormat="1" x14ac:dyDescent="0.25">
      <c r="A490" s="136">
        <v>1</v>
      </c>
      <c r="B490" s="136"/>
      <c r="C490" s="137" t="s">
        <v>200</v>
      </c>
      <c r="D490" s="143"/>
      <c r="E490" s="143"/>
      <c r="F490" s="138"/>
      <c r="G490" s="137" t="str">
        <f>A489</f>
        <v>1st Floor for Residential</v>
      </c>
      <c r="H490" s="138"/>
    </row>
    <row r="491" spans="1:8" s="49" customFormat="1" ht="15.6" customHeight="1" x14ac:dyDescent="0.25">
      <c r="A491" s="136">
        <v>2</v>
      </c>
      <c r="B491" s="136"/>
      <c r="C491" s="139"/>
      <c r="D491" s="148"/>
      <c r="E491" s="148"/>
      <c r="F491" s="140"/>
      <c r="G491" s="139"/>
      <c r="H491" s="140"/>
    </row>
    <row r="492" spans="1:8" s="49" customFormat="1" x14ac:dyDescent="0.25">
      <c r="A492" s="136">
        <v>3</v>
      </c>
      <c r="B492" s="136"/>
      <c r="C492" s="141"/>
      <c r="D492" s="144"/>
      <c r="E492" s="144"/>
      <c r="F492" s="142"/>
      <c r="G492" s="139"/>
      <c r="H492" s="140"/>
    </row>
    <row r="493" spans="1:8" s="49" customFormat="1" x14ac:dyDescent="0.25">
      <c r="A493" s="136">
        <v>4</v>
      </c>
      <c r="B493" s="136"/>
      <c r="C493" s="21" t="s">
        <v>209</v>
      </c>
      <c r="D493" s="21">
        <f>74.259*10.764</f>
        <v>799.32387599999993</v>
      </c>
      <c r="E493" s="21">
        <v>0</v>
      </c>
      <c r="F493" s="21">
        <f t="shared" ref="F493:F494" si="31">D493*1.6</f>
        <v>1278.9182016</v>
      </c>
      <c r="G493" s="139"/>
      <c r="H493" s="140"/>
    </row>
    <row r="494" spans="1:8" s="49" customFormat="1" x14ac:dyDescent="0.25">
      <c r="A494" s="136">
        <v>5</v>
      </c>
      <c r="B494" s="136"/>
      <c r="C494" s="21" t="s">
        <v>209</v>
      </c>
      <c r="D494" s="21">
        <f>74.259*10.764</f>
        <v>799.32387599999993</v>
      </c>
      <c r="E494" s="21">
        <v>0</v>
      </c>
      <c r="F494" s="21">
        <f t="shared" si="31"/>
        <v>1278.9182016</v>
      </c>
      <c r="G494" s="141"/>
      <c r="H494" s="142"/>
    </row>
    <row r="495" spans="1:8" s="49" customFormat="1" ht="15.6" customHeight="1" x14ac:dyDescent="0.25">
      <c r="A495" s="135" t="s">
        <v>212</v>
      </c>
      <c r="B495" s="135"/>
      <c r="C495" s="135"/>
      <c r="D495" s="135"/>
      <c r="E495" s="135"/>
      <c r="F495" s="135"/>
      <c r="G495" s="135"/>
      <c r="H495" s="135"/>
    </row>
    <row r="496" spans="1:8" s="49" customFormat="1" x14ac:dyDescent="0.25">
      <c r="A496" s="135" t="s">
        <v>210</v>
      </c>
      <c r="B496" s="135"/>
      <c r="C496" s="135"/>
      <c r="D496" s="135"/>
      <c r="E496" s="135"/>
      <c r="F496" s="135"/>
      <c r="G496" s="135"/>
      <c r="H496" s="135"/>
    </row>
    <row r="497" spans="1:9" s="49" customFormat="1" x14ac:dyDescent="0.25">
      <c r="A497" s="135" t="s">
        <v>194</v>
      </c>
      <c r="B497" s="135"/>
      <c r="C497" s="135"/>
      <c r="D497" s="135"/>
      <c r="E497" s="135"/>
      <c r="F497" s="135"/>
      <c r="G497" s="135"/>
      <c r="H497" s="135"/>
    </row>
    <row r="498" spans="1:9" s="49" customFormat="1" x14ac:dyDescent="0.25">
      <c r="A498" s="135" t="s">
        <v>164</v>
      </c>
      <c r="B498" s="135"/>
      <c r="C498" s="135"/>
      <c r="D498" s="135"/>
      <c r="E498" s="135"/>
      <c r="F498" s="135"/>
      <c r="G498" s="135"/>
      <c r="H498" s="135"/>
    </row>
    <row r="499" spans="1:9" s="49" customFormat="1" ht="15.6" customHeight="1" x14ac:dyDescent="0.25">
      <c r="A499" s="135" t="s">
        <v>201</v>
      </c>
      <c r="B499" s="135"/>
      <c r="C499" s="135"/>
      <c r="D499" s="135"/>
      <c r="E499" s="135"/>
      <c r="F499" s="135"/>
      <c r="G499" s="135"/>
      <c r="H499" s="135"/>
    </row>
    <row r="500" spans="1:9" s="49" customFormat="1" x14ac:dyDescent="0.25">
      <c r="A500" s="136">
        <v>1</v>
      </c>
      <c r="B500" s="136"/>
      <c r="C500" s="21" t="s">
        <v>165</v>
      </c>
      <c r="D500" s="21">
        <f>55.469*10.764</f>
        <v>597.06831599999998</v>
      </c>
      <c r="E500" s="21">
        <v>0</v>
      </c>
      <c r="F500" s="21">
        <f>D500*1.6</f>
        <v>955.30930560000002</v>
      </c>
      <c r="G500" s="137" t="str">
        <f>A499</f>
        <v>1st Floor for Residential</v>
      </c>
      <c r="H500" s="138"/>
    </row>
    <row r="501" spans="1:9" s="49" customFormat="1" x14ac:dyDescent="0.25">
      <c r="A501" s="136">
        <v>3</v>
      </c>
      <c r="B501" s="136"/>
      <c r="C501" s="141" t="s">
        <v>200</v>
      </c>
      <c r="D501" s="144"/>
      <c r="E501" s="144"/>
      <c r="F501" s="142"/>
      <c r="G501" s="141"/>
      <c r="H501" s="142"/>
    </row>
    <row r="502" spans="1:9" s="49" customFormat="1" x14ac:dyDescent="0.25">
      <c r="A502" s="135" t="s">
        <v>204</v>
      </c>
      <c r="B502" s="135"/>
      <c r="C502" s="135"/>
      <c r="D502" s="135"/>
      <c r="E502" s="135"/>
      <c r="F502" s="135"/>
      <c r="G502" s="135"/>
      <c r="H502" s="135"/>
    </row>
    <row r="503" spans="1:9" s="49" customFormat="1" ht="15.6" customHeight="1" x14ac:dyDescent="0.25">
      <c r="A503" s="136">
        <v>1</v>
      </c>
      <c r="B503" s="136"/>
      <c r="C503" s="21" t="s">
        <v>165</v>
      </c>
      <c r="D503" s="21">
        <f>55.469*10.764</f>
        <v>597.06831599999998</v>
      </c>
      <c r="E503" s="21">
        <v>0</v>
      </c>
      <c r="F503" s="21">
        <f>D503*1.6</f>
        <v>955.30930560000002</v>
      </c>
      <c r="G503" s="137" t="str">
        <f>A502</f>
        <v>2nd to 4th Floor</v>
      </c>
      <c r="H503" s="138"/>
    </row>
    <row r="504" spans="1:9" s="49" customFormat="1" x14ac:dyDescent="0.25">
      <c r="A504" s="136">
        <v>3</v>
      </c>
      <c r="B504" s="136"/>
      <c r="C504" s="21" t="s">
        <v>203</v>
      </c>
      <c r="D504" s="21">
        <f>93.027*10.764</f>
        <v>1001.342628</v>
      </c>
      <c r="E504" s="21">
        <v>0</v>
      </c>
      <c r="F504" s="21">
        <f t="shared" ref="F504" si="32">D504*1.6</f>
        <v>1602.1482048</v>
      </c>
      <c r="G504" s="141"/>
      <c r="H504" s="142"/>
      <c r="I504" s="49">
        <f>24000000/F504</f>
        <v>14979.88758349355</v>
      </c>
    </row>
    <row r="505" spans="1:9" s="49" customFormat="1" x14ac:dyDescent="0.25">
      <c r="A505" s="135" t="s">
        <v>220</v>
      </c>
      <c r="B505" s="135"/>
      <c r="C505" s="135"/>
      <c r="D505" s="135"/>
      <c r="E505" s="135"/>
      <c r="F505" s="135"/>
      <c r="G505" s="135"/>
      <c r="H505" s="135"/>
    </row>
    <row r="506" spans="1:9" s="49" customFormat="1" x14ac:dyDescent="0.25">
      <c r="A506" s="136">
        <v>1</v>
      </c>
      <c r="B506" s="136"/>
      <c r="C506" s="21" t="s">
        <v>165</v>
      </c>
      <c r="D506" s="21">
        <f>55.469*10.764</f>
        <v>597.06831599999998</v>
      </c>
      <c r="E506" s="21">
        <v>0</v>
      </c>
      <c r="F506" s="21">
        <f>D506*1.6</f>
        <v>955.30930560000002</v>
      </c>
      <c r="G506" s="137" t="str">
        <f>A505</f>
        <v>5th, 6th, 7th, 9th, 11th, 13th, 17th, 19th, 21st &amp; 23rd Floor</v>
      </c>
      <c r="H506" s="138"/>
    </row>
    <row r="507" spans="1:9" s="49" customFormat="1" x14ac:dyDescent="0.25">
      <c r="A507" s="136">
        <v>2</v>
      </c>
      <c r="B507" s="136"/>
      <c r="C507" s="21" t="s">
        <v>165</v>
      </c>
      <c r="D507" s="21">
        <f>55.479*10.764</f>
        <v>597.17595599999993</v>
      </c>
      <c r="E507" s="21">
        <v>0</v>
      </c>
      <c r="F507" s="21">
        <f>D507*1.6</f>
        <v>955.48152959999993</v>
      </c>
      <c r="G507" s="139"/>
      <c r="H507" s="140"/>
    </row>
    <row r="508" spans="1:9" s="49" customFormat="1" x14ac:dyDescent="0.25">
      <c r="A508" s="136">
        <v>3</v>
      </c>
      <c r="B508" s="136"/>
      <c r="C508" s="21" t="s">
        <v>203</v>
      </c>
      <c r="D508" s="21">
        <f>93.027*10.764</f>
        <v>1001.342628</v>
      </c>
      <c r="E508" s="21">
        <v>0</v>
      </c>
      <c r="F508" s="21">
        <f t="shared" ref="F508" si="33">D508*1.6</f>
        <v>1602.1482048</v>
      </c>
      <c r="G508" s="141"/>
      <c r="H508" s="142"/>
    </row>
    <row r="509" spans="1:9" s="49" customFormat="1" x14ac:dyDescent="0.25">
      <c r="A509" s="135" t="s">
        <v>215</v>
      </c>
      <c r="B509" s="135"/>
      <c r="C509" s="135"/>
      <c r="D509" s="135"/>
      <c r="E509" s="135"/>
      <c r="F509" s="135"/>
      <c r="G509" s="135"/>
      <c r="H509" s="135"/>
    </row>
    <row r="510" spans="1:9" s="49" customFormat="1" x14ac:dyDescent="0.25">
      <c r="A510" s="136">
        <v>1</v>
      </c>
      <c r="B510" s="136"/>
      <c r="C510" s="21" t="s">
        <v>165</v>
      </c>
      <c r="D510" s="21">
        <f>55.469*10.764</f>
        <v>597.06831599999998</v>
      </c>
      <c r="E510" s="21">
        <v>0</v>
      </c>
      <c r="F510" s="21">
        <f>D510*1.6</f>
        <v>955.30930560000002</v>
      </c>
      <c r="G510" s="137" t="str">
        <f>A509</f>
        <v>8th Floor</v>
      </c>
      <c r="H510" s="138"/>
    </row>
    <row r="511" spans="1:9" s="49" customFormat="1" ht="15.6" customHeight="1" x14ac:dyDescent="0.25">
      <c r="A511" s="136">
        <v>2</v>
      </c>
      <c r="B511" s="136"/>
      <c r="C511" s="21" t="s">
        <v>165</v>
      </c>
      <c r="D511" s="21">
        <f>55.479*10.764</f>
        <v>597.17595599999993</v>
      </c>
      <c r="E511" s="21">
        <v>0</v>
      </c>
      <c r="F511" s="21">
        <f>D511*1.6</f>
        <v>955.48152959999993</v>
      </c>
      <c r="G511" s="139"/>
      <c r="H511" s="140"/>
    </row>
    <row r="512" spans="1:9" s="49" customFormat="1" ht="15.6" customHeight="1" x14ac:dyDescent="0.25">
      <c r="A512" s="136">
        <v>3</v>
      </c>
      <c r="B512" s="136"/>
      <c r="C512" s="21" t="s">
        <v>203</v>
      </c>
      <c r="D512" s="21">
        <f>93.027*10.764</f>
        <v>1001.342628</v>
      </c>
      <c r="E512" s="21">
        <v>0</v>
      </c>
      <c r="F512" s="21">
        <f t="shared" ref="F512" si="34">D512*1.6</f>
        <v>1602.1482048</v>
      </c>
      <c r="G512" s="141"/>
      <c r="H512" s="142"/>
    </row>
    <row r="513" spans="1:8" s="49" customFormat="1" ht="15.6" customHeight="1" x14ac:dyDescent="0.25">
      <c r="A513" s="135" t="s">
        <v>218</v>
      </c>
      <c r="B513" s="135"/>
      <c r="C513" s="135"/>
      <c r="D513" s="135"/>
      <c r="E513" s="135"/>
      <c r="F513" s="135"/>
      <c r="G513" s="135"/>
      <c r="H513" s="135"/>
    </row>
    <row r="514" spans="1:8" s="49" customFormat="1" ht="15.6" customHeight="1" x14ac:dyDescent="0.25">
      <c r="A514" s="136">
        <v>1</v>
      </c>
      <c r="B514" s="136"/>
      <c r="C514" s="21" t="s">
        <v>165</v>
      </c>
      <c r="D514" s="21">
        <f>55.469*10.764</f>
        <v>597.06831599999998</v>
      </c>
      <c r="E514" s="21">
        <v>0</v>
      </c>
      <c r="F514" s="21">
        <f>D514*1.6</f>
        <v>955.30930560000002</v>
      </c>
      <c r="G514" s="137" t="str">
        <f>A513</f>
        <v>15th Floor</v>
      </c>
      <c r="H514" s="138"/>
    </row>
    <row r="515" spans="1:8" s="49" customFormat="1" x14ac:dyDescent="0.25">
      <c r="A515" s="136">
        <v>2</v>
      </c>
      <c r="B515" s="136"/>
      <c r="C515" s="21" t="s">
        <v>165</v>
      </c>
      <c r="D515" s="21">
        <f>55.479*10.764</f>
        <v>597.17595599999993</v>
      </c>
      <c r="E515" s="21">
        <v>0</v>
      </c>
      <c r="F515" s="21">
        <f>D515*1.6</f>
        <v>955.48152959999993</v>
      </c>
      <c r="G515" s="139"/>
      <c r="H515" s="140"/>
    </row>
    <row r="516" spans="1:8" s="49" customFormat="1" ht="15.6" customHeight="1" x14ac:dyDescent="0.25">
      <c r="A516" s="136">
        <v>3</v>
      </c>
      <c r="B516" s="136"/>
      <c r="C516" s="21" t="s">
        <v>203</v>
      </c>
      <c r="D516" s="21">
        <f>93.027*10.764</f>
        <v>1001.342628</v>
      </c>
      <c r="E516" s="21">
        <v>0</v>
      </c>
      <c r="F516" s="21">
        <f t="shared" ref="F516" si="35">D516*1.6</f>
        <v>1602.1482048</v>
      </c>
      <c r="G516" s="141"/>
      <c r="H516" s="142"/>
    </row>
    <row r="517" spans="1:8" s="49" customFormat="1" ht="15.6" customHeight="1" x14ac:dyDescent="0.25">
      <c r="A517" s="135" t="s">
        <v>217</v>
      </c>
      <c r="B517" s="135"/>
      <c r="C517" s="135"/>
      <c r="D517" s="135"/>
      <c r="E517" s="135"/>
      <c r="F517" s="135"/>
      <c r="G517" s="135"/>
      <c r="H517" s="135"/>
    </row>
    <row r="518" spans="1:8" s="49" customFormat="1" ht="15.6" customHeight="1" x14ac:dyDescent="0.25">
      <c r="A518" s="136">
        <v>1</v>
      </c>
      <c r="B518" s="136"/>
      <c r="C518" s="21" t="s">
        <v>165</v>
      </c>
      <c r="D518" s="21">
        <f>55.469*10.764</f>
        <v>597.06831599999998</v>
      </c>
      <c r="E518" s="21">
        <v>0</v>
      </c>
      <c r="F518" s="21">
        <f>D518*1.6</f>
        <v>955.30930560000002</v>
      </c>
      <c r="G518" s="137" t="str">
        <f>A517</f>
        <v>10th, 12th, 14th, 16th, 18th, 20th &amp; 22nd Floor</v>
      </c>
      <c r="H518" s="138"/>
    </row>
    <row r="519" spans="1:8" s="49" customFormat="1" ht="15.6" customHeight="1" x14ac:dyDescent="0.25">
      <c r="A519" s="136">
        <v>2</v>
      </c>
      <c r="B519" s="136"/>
      <c r="C519" s="21" t="s">
        <v>165</v>
      </c>
      <c r="D519" s="21">
        <f>55.479*10.764</f>
        <v>597.17595599999993</v>
      </c>
      <c r="E519" s="21">
        <v>0</v>
      </c>
      <c r="F519" s="21">
        <f>D519*1.6</f>
        <v>955.48152959999993</v>
      </c>
      <c r="G519" s="139"/>
      <c r="H519" s="140"/>
    </row>
    <row r="520" spans="1:8" s="49" customFormat="1" ht="15.6" customHeight="1" x14ac:dyDescent="0.25">
      <c r="A520" s="136">
        <v>3</v>
      </c>
      <c r="B520" s="136"/>
      <c r="C520" s="21" t="s">
        <v>203</v>
      </c>
      <c r="D520" s="21">
        <f>93.027*10.764</f>
        <v>1001.342628</v>
      </c>
      <c r="E520" s="21">
        <v>0</v>
      </c>
      <c r="F520" s="21">
        <f t="shared" ref="F520" si="36">D520*1.6</f>
        <v>1602.1482048</v>
      </c>
      <c r="G520" s="141"/>
      <c r="H520" s="142"/>
    </row>
    <row r="521" spans="1:8" s="49" customFormat="1" x14ac:dyDescent="0.25">
      <c r="A521" s="135" t="s">
        <v>211</v>
      </c>
      <c r="B521" s="135"/>
      <c r="C521" s="135"/>
      <c r="D521" s="135"/>
      <c r="E521" s="135"/>
      <c r="F521" s="135"/>
      <c r="G521" s="135"/>
      <c r="H521" s="135"/>
    </row>
    <row r="522" spans="1:8" s="49" customFormat="1" ht="15.6" customHeight="1" x14ac:dyDescent="0.25">
      <c r="A522" s="135" t="s">
        <v>194</v>
      </c>
      <c r="B522" s="135"/>
      <c r="C522" s="135"/>
      <c r="D522" s="135"/>
      <c r="E522" s="135"/>
      <c r="F522" s="135"/>
      <c r="G522" s="135"/>
      <c r="H522" s="135"/>
    </row>
    <row r="523" spans="1:8" s="49" customFormat="1" ht="15.6" customHeight="1" x14ac:dyDescent="0.25">
      <c r="A523" s="135" t="s">
        <v>164</v>
      </c>
      <c r="B523" s="135"/>
      <c r="C523" s="135"/>
      <c r="D523" s="135"/>
      <c r="E523" s="135"/>
      <c r="F523" s="135"/>
      <c r="G523" s="135"/>
      <c r="H523" s="135"/>
    </row>
    <row r="524" spans="1:8" s="49" customFormat="1" ht="15.6" customHeight="1" x14ac:dyDescent="0.25">
      <c r="A524" s="135" t="s">
        <v>201</v>
      </c>
      <c r="B524" s="135"/>
      <c r="C524" s="135"/>
      <c r="D524" s="135"/>
      <c r="E524" s="135"/>
      <c r="F524" s="135"/>
      <c r="G524" s="135"/>
      <c r="H524" s="135"/>
    </row>
    <row r="525" spans="1:8" s="49" customFormat="1" ht="15.6" customHeight="1" x14ac:dyDescent="0.25">
      <c r="A525" s="136">
        <v>1</v>
      </c>
      <c r="B525" s="136"/>
      <c r="C525" s="137" t="s">
        <v>200</v>
      </c>
      <c r="D525" s="143"/>
      <c r="E525" s="143"/>
      <c r="F525" s="138"/>
      <c r="G525" s="137" t="str">
        <f>A524</f>
        <v>1st Floor for Residential</v>
      </c>
      <c r="H525" s="138"/>
    </row>
    <row r="526" spans="1:8" s="49" customFormat="1" ht="15.6" customHeight="1" x14ac:dyDescent="0.25">
      <c r="A526" s="136">
        <v>2</v>
      </c>
      <c r="B526" s="136"/>
      <c r="C526" s="141"/>
      <c r="D526" s="144"/>
      <c r="E526" s="144"/>
      <c r="F526" s="142"/>
      <c r="G526" s="139"/>
      <c r="H526" s="140"/>
    </row>
    <row r="527" spans="1:8" s="49" customFormat="1" x14ac:dyDescent="0.25">
      <c r="A527" s="136">
        <v>3</v>
      </c>
      <c r="B527" s="136"/>
      <c r="C527" s="21" t="s">
        <v>165</v>
      </c>
      <c r="D527" s="21">
        <f>57.102*10.764</f>
        <v>614.64592799999991</v>
      </c>
      <c r="E527" s="21">
        <v>0</v>
      </c>
      <c r="F527" s="21">
        <f t="shared" ref="F527:F529" si="37">D527*1.6</f>
        <v>983.43348479999986</v>
      </c>
      <c r="G527" s="139"/>
      <c r="H527" s="140"/>
    </row>
    <row r="528" spans="1:8" s="49" customFormat="1" ht="15.6" customHeight="1" x14ac:dyDescent="0.25">
      <c r="A528" s="136">
        <v>4</v>
      </c>
      <c r="B528" s="136"/>
      <c r="C528" s="21" t="s">
        <v>165</v>
      </c>
      <c r="D528" s="21">
        <f>59.616*10.764</f>
        <v>641.70662399999992</v>
      </c>
      <c r="E528" s="21">
        <v>0</v>
      </c>
      <c r="F528" s="21">
        <f t="shared" si="37"/>
        <v>1026.7305984</v>
      </c>
      <c r="G528" s="139"/>
      <c r="H528" s="140"/>
    </row>
    <row r="529" spans="1:8" s="49" customFormat="1" ht="15.6" customHeight="1" x14ac:dyDescent="0.25">
      <c r="A529" s="136">
        <v>5</v>
      </c>
      <c r="B529" s="136"/>
      <c r="C529" s="21" t="s">
        <v>165</v>
      </c>
      <c r="D529" s="21">
        <f>52.385*10.764</f>
        <v>563.87213999999994</v>
      </c>
      <c r="E529" s="21">
        <v>0</v>
      </c>
      <c r="F529" s="21">
        <f t="shared" si="37"/>
        <v>902.195424</v>
      </c>
      <c r="G529" s="141"/>
      <c r="H529" s="142"/>
    </row>
    <row r="530" spans="1:8" s="49" customFormat="1" ht="15.6" customHeight="1" x14ac:dyDescent="0.25">
      <c r="A530" s="135" t="s">
        <v>204</v>
      </c>
      <c r="B530" s="135"/>
      <c r="C530" s="135"/>
      <c r="D530" s="135"/>
      <c r="E530" s="135"/>
      <c r="F530" s="135"/>
      <c r="G530" s="135"/>
      <c r="H530" s="135"/>
    </row>
    <row r="531" spans="1:8" s="49" customFormat="1" ht="15.6" customHeight="1" x14ac:dyDescent="0.25">
      <c r="A531" s="136">
        <v>1</v>
      </c>
      <c r="B531" s="136"/>
      <c r="C531" s="21" t="s">
        <v>165</v>
      </c>
      <c r="D531" s="21">
        <f>61.701*10.764</f>
        <v>664.14956399999994</v>
      </c>
      <c r="E531" s="21">
        <v>0</v>
      </c>
      <c r="F531" s="21">
        <f t="shared" ref="F531:F532" si="38">D531*1.6</f>
        <v>1062.6393023999999</v>
      </c>
      <c r="G531" s="137" t="str">
        <f>A530</f>
        <v>2nd to 4th Floor</v>
      </c>
      <c r="H531" s="138"/>
    </row>
    <row r="532" spans="1:8" s="49" customFormat="1" ht="15.6" customHeight="1" x14ac:dyDescent="0.25">
      <c r="A532" s="136">
        <v>2</v>
      </c>
      <c r="B532" s="136"/>
      <c r="C532" s="21" t="s">
        <v>165</v>
      </c>
      <c r="D532" s="21">
        <f>61.701*10.764</f>
        <v>664.14956399999994</v>
      </c>
      <c r="E532" s="21">
        <v>0</v>
      </c>
      <c r="F532" s="21">
        <f t="shared" si="38"/>
        <v>1062.6393023999999</v>
      </c>
      <c r="G532" s="139"/>
      <c r="H532" s="140"/>
    </row>
    <row r="533" spans="1:8" s="49" customFormat="1" x14ac:dyDescent="0.25">
      <c r="A533" s="136">
        <v>3</v>
      </c>
      <c r="B533" s="136"/>
      <c r="C533" s="21" t="s">
        <v>165</v>
      </c>
      <c r="D533" s="21">
        <f>57.102*10.764</f>
        <v>614.64592799999991</v>
      </c>
      <c r="E533" s="21">
        <v>0</v>
      </c>
      <c r="F533" s="21">
        <f t="shared" ref="F533:F535" si="39">D533*1.6</f>
        <v>983.43348479999986</v>
      </c>
      <c r="G533" s="139"/>
      <c r="H533" s="140"/>
    </row>
    <row r="534" spans="1:8" s="49" customFormat="1" ht="15.6" customHeight="1" x14ac:dyDescent="0.25">
      <c r="A534" s="136">
        <v>4</v>
      </c>
      <c r="B534" s="136"/>
      <c r="C534" s="21" t="s">
        <v>165</v>
      </c>
      <c r="D534" s="21">
        <f>59.616*10.764</f>
        <v>641.70662399999992</v>
      </c>
      <c r="E534" s="21">
        <v>0</v>
      </c>
      <c r="F534" s="21">
        <f t="shared" si="39"/>
        <v>1026.7305984</v>
      </c>
      <c r="G534" s="139"/>
      <c r="H534" s="140"/>
    </row>
    <row r="535" spans="1:8" s="49" customFormat="1" ht="15.6" customHeight="1" x14ac:dyDescent="0.25">
      <c r="A535" s="136">
        <v>5</v>
      </c>
      <c r="B535" s="136"/>
      <c r="C535" s="21" t="s">
        <v>165</v>
      </c>
      <c r="D535" s="21">
        <f>52.385*10.764</f>
        <v>563.87213999999994</v>
      </c>
      <c r="E535" s="21">
        <v>0</v>
      </c>
      <c r="F535" s="21">
        <f t="shared" si="39"/>
        <v>902.195424</v>
      </c>
      <c r="G535" s="141"/>
      <c r="H535" s="142"/>
    </row>
    <row r="536" spans="1:8" s="49" customFormat="1" ht="15.6" customHeight="1" x14ac:dyDescent="0.25">
      <c r="A536" s="135" t="s">
        <v>220</v>
      </c>
      <c r="B536" s="135"/>
      <c r="C536" s="135"/>
      <c r="D536" s="135"/>
      <c r="E536" s="135"/>
      <c r="F536" s="135"/>
      <c r="G536" s="135"/>
      <c r="H536" s="135"/>
    </row>
    <row r="537" spans="1:8" s="49" customFormat="1" ht="15.6" customHeight="1" x14ac:dyDescent="0.25">
      <c r="A537" s="136">
        <v>1</v>
      </c>
      <c r="B537" s="136"/>
      <c r="C537" s="21" t="s">
        <v>165</v>
      </c>
      <c r="D537" s="21">
        <f>61.701*10.764</f>
        <v>664.14956399999994</v>
      </c>
      <c r="E537" s="21">
        <v>0</v>
      </c>
      <c r="F537" s="21">
        <f t="shared" ref="F537:F541" si="40">D537*1.6</f>
        <v>1062.6393023999999</v>
      </c>
      <c r="G537" s="137" t="str">
        <f>A536</f>
        <v>5th, 6th, 7th, 9th, 11th, 13th, 17th, 19th, 21st &amp; 23rd Floor</v>
      </c>
      <c r="H537" s="138"/>
    </row>
    <row r="538" spans="1:8" s="49" customFormat="1" ht="15.6" customHeight="1" x14ac:dyDescent="0.25">
      <c r="A538" s="136">
        <v>2</v>
      </c>
      <c r="B538" s="136"/>
      <c r="C538" s="21" t="s">
        <v>165</v>
      </c>
      <c r="D538" s="21">
        <f>61.701*10.764</f>
        <v>664.14956399999994</v>
      </c>
      <c r="E538" s="21">
        <v>0</v>
      </c>
      <c r="F538" s="21">
        <f t="shared" si="40"/>
        <v>1062.6393023999999</v>
      </c>
      <c r="G538" s="139"/>
      <c r="H538" s="140"/>
    </row>
    <row r="539" spans="1:8" s="49" customFormat="1" x14ac:dyDescent="0.25">
      <c r="A539" s="136">
        <v>3</v>
      </c>
      <c r="B539" s="136"/>
      <c r="C539" s="21" t="s">
        <v>165</v>
      </c>
      <c r="D539" s="21">
        <f>57.102*10.764</f>
        <v>614.64592799999991</v>
      </c>
      <c r="E539" s="21">
        <v>0</v>
      </c>
      <c r="F539" s="21">
        <f t="shared" si="40"/>
        <v>983.43348479999986</v>
      </c>
      <c r="G539" s="139"/>
      <c r="H539" s="140"/>
    </row>
    <row r="540" spans="1:8" s="49" customFormat="1" ht="15.6" customHeight="1" x14ac:dyDescent="0.25">
      <c r="A540" s="136">
        <v>4</v>
      </c>
      <c r="B540" s="136"/>
      <c r="C540" s="21" t="s">
        <v>165</v>
      </c>
      <c r="D540" s="21">
        <f>59.616*10.764</f>
        <v>641.70662399999992</v>
      </c>
      <c r="E540" s="21">
        <v>0</v>
      </c>
      <c r="F540" s="21">
        <f t="shared" si="40"/>
        <v>1026.7305984</v>
      </c>
      <c r="G540" s="139"/>
      <c r="H540" s="140"/>
    </row>
    <row r="541" spans="1:8" s="49" customFormat="1" ht="15.6" customHeight="1" x14ac:dyDescent="0.25">
      <c r="A541" s="136">
        <v>5</v>
      </c>
      <c r="B541" s="136"/>
      <c r="C541" s="21" t="s">
        <v>165</v>
      </c>
      <c r="D541" s="21">
        <f>52.385*10.764</f>
        <v>563.87213999999994</v>
      </c>
      <c r="E541" s="21">
        <v>0</v>
      </c>
      <c r="F541" s="21">
        <f t="shared" si="40"/>
        <v>902.195424</v>
      </c>
      <c r="G541" s="141"/>
      <c r="H541" s="142"/>
    </row>
    <row r="542" spans="1:8" s="49" customFormat="1" ht="15.6" customHeight="1" x14ac:dyDescent="0.25">
      <c r="A542" s="135" t="s">
        <v>215</v>
      </c>
      <c r="B542" s="135"/>
      <c r="C542" s="135"/>
      <c r="D542" s="135"/>
      <c r="E542" s="135"/>
      <c r="F542" s="135"/>
      <c r="G542" s="135"/>
      <c r="H542" s="135"/>
    </row>
    <row r="543" spans="1:8" s="49" customFormat="1" ht="15.6" customHeight="1" x14ac:dyDescent="0.25">
      <c r="A543" s="136">
        <v>1</v>
      </c>
      <c r="B543" s="136"/>
      <c r="C543" s="21" t="s">
        <v>165</v>
      </c>
      <c r="D543" s="21">
        <f>61.701*10.764</f>
        <v>664.14956399999994</v>
      </c>
      <c r="E543" s="21">
        <v>0</v>
      </c>
      <c r="F543" s="21">
        <f t="shared" ref="F543:F547" si="41">D543*1.6</f>
        <v>1062.6393023999999</v>
      </c>
      <c r="G543" s="137" t="str">
        <f>A542</f>
        <v>8th Floor</v>
      </c>
      <c r="H543" s="138"/>
    </row>
    <row r="544" spans="1:8" s="49" customFormat="1" ht="15.6" customHeight="1" x14ac:dyDescent="0.25">
      <c r="A544" s="136">
        <v>2</v>
      </c>
      <c r="B544" s="136"/>
      <c r="C544" s="21" t="s">
        <v>165</v>
      </c>
      <c r="D544" s="21">
        <f>61.701*10.764</f>
        <v>664.14956399999994</v>
      </c>
      <c r="E544" s="21">
        <v>0</v>
      </c>
      <c r="F544" s="21">
        <f t="shared" si="41"/>
        <v>1062.6393023999999</v>
      </c>
      <c r="G544" s="139"/>
      <c r="H544" s="140"/>
    </row>
    <row r="545" spans="1:8" s="49" customFormat="1" x14ac:dyDescent="0.25">
      <c r="A545" s="136">
        <v>3</v>
      </c>
      <c r="B545" s="136"/>
      <c r="C545" s="21" t="s">
        <v>165</v>
      </c>
      <c r="D545" s="21">
        <f>57.102*10.764</f>
        <v>614.64592799999991</v>
      </c>
      <c r="E545" s="21">
        <v>0</v>
      </c>
      <c r="F545" s="21">
        <f t="shared" si="41"/>
        <v>983.43348479999986</v>
      </c>
      <c r="G545" s="139"/>
      <c r="H545" s="140"/>
    </row>
    <row r="546" spans="1:8" s="49" customFormat="1" x14ac:dyDescent="0.25">
      <c r="A546" s="136">
        <v>4</v>
      </c>
      <c r="B546" s="136"/>
      <c r="C546" s="21" t="s">
        <v>165</v>
      </c>
      <c r="D546" s="21">
        <f>59.616*10.764</f>
        <v>641.70662399999992</v>
      </c>
      <c r="E546" s="21">
        <v>0</v>
      </c>
      <c r="F546" s="21">
        <f t="shared" si="41"/>
        <v>1026.7305984</v>
      </c>
      <c r="G546" s="139"/>
      <c r="H546" s="140"/>
    </row>
    <row r="547" spans="1:8" s="49" customFormat="1" x14ac:dyDescent="0.25">
      <c r="A547" s="136">
        <v>5</v>
      </c>
      <c r="B547" s="136"/>
      <c r="C547" s="21" t="s">
        <v>165</v>
      </c>
      <c r="D547" s="21">
        <f>52.385*10.764</f>
        <v>563.87213999999994</v>
      </c>
      <c r="E547" s="21">
        <v>0</v>
      </c>
      <c r="F547" s="21">
        <f t="shared" si="41"/>
        <v>902.195424</v>
      </c>
      <c r="G547" s="141"/>
      <c r="H547" s="142"/>
    </row>
    <row r="548" spans="1:8" s="49" customFormat="1" x14ac:dyDescent="0.25">
      <c r="A548" s="135" t="s">
        <v>218</v>
      </c>
      <c r="B548" s="135"/>
      <c r="C548" s="135"/>
      <c r="D548" s="135"/>
      <c r="E548" s="135"/>
      <c r="F548" s="135"/>
      <c r="G548" s="135"/>
      <c r="H548" s="135"/>
    </row>
    <row r="549" spans="1:8" s="49" customFormat="1" x14ac:dyDescent="0.25">
      <c r="A549" s="136">
        <v>1</v>
      </c>
      <c r="B549" s="136"/>
      <c r="C549" s="21" t="s">
        <v>165</v>
      </c>
      <c r="D549" s="21">
        <f>61.701*10.764</f>
        <v>664.14956399999994</v>
      </c>
      <c r="E549" s="21">
        <v>0</v>
      </c>
      <c r="F549" s="21">
        <f t="shared" ref="F549:F553" si="42">D549*1.6</f>
        <v>1062.6393023999999</v>
      </c>
      <c r="G549" s="137" t="str">
        <f>A548</f>
        <v>15th Floor</v>
      </c>
      <c r="H549" s="138"/>
    </row>
    <row r="550" spans="1:8" s="49" customFormat="1" ht="15.6" customHeight="1" x14ac:dyDescent="0.25">
      <c r="A550" s="136">
        <v>2</v>
      </c>
      <c r="B550" s="136"/>
      <c r="C550" s="21" t="s">
        <v>165</v>
      </c>
      <c r="D550" s="21">
        <f>61.701*10.764</f>
        <v>664.14956399999994</v>
      </c>
      <c r="E550" s="21">
        <v>0</v>
      </c>
      <c r="F550" s="21">
        <f t="shared" si="42"/>
        <v>1062.6393023999999</v>
      </c>
      <c r="G550" s="139"/>
      <c r="H550" s="140"/>
    </row>
    <row r="551" spans="1:8" s="49" customFormat="1" x14ac:dyDescent="0.25">
      <c r="A551" s="136">
        <v>3</v>
      </c>
      <c r="B551" s="136"/>
      <c r="C551" s="21" t="s">
        <v>165</v>
      </c>
      <c r="D551" s="21">
        <f>57.102*10.764</f>
        <v>614.64592799999991</v>
      </c>
      <c r="E551" s="21">
        <v>0</v>
      </c>
      <c r="F551" s="21">
        <f t="shared" si="42"/>
        <v>983.43348479999986</v>
      </c>
      <c r="G551" s="139"/>
      <c r="H551" s="140"/>
    </row>
    <row r="552" spans="1:8" s="49" customFormat="1" x14ac:dyDescent="0.25">
      <c r="A552" s="136">
        <v>4</v>
      </c>
      <c r="B552" s="136"/>
      <c r="C552" s="21" t="s">
        <v>165</v>
      </c>
      <c r="D552" s="21">
        <f>59.616*10.764</f>
        <v>641.70662399999992</v>
      </c>
      <c r="E552" s="21">
        <v>0</v>
      </c>
      <c r="F552" s="21">
        <f t="shared" si="42"/>
        <v>1026.7305984</v>
      </c>
      <c r="G552" s="139"/>
      <c r="H552" s="140"/>
    </row>
    <row r="553" spans="1:8" s="49" customFormat="1" x14ac:dyDescent="0.25">
      <c r="A553" s="136">
        <v>5</v>
      </c>
      <c r="B553" s="136"/>
      <c r="C553" s="21" t="s">
        <v>165</v>
      </c>
      <c r="D553" s="21">
        <f>52.385*10.764</f>
        <v>563.87213999999994</v>
      </c>
      <c r="E553" s="21">
        <v>0</v>
      </c>
      <c r="F553" s="21">
        <f t="shared" si="42"/>
        <v>902.195424</v>
      </c>
      <c r="G553" s="141"/>
      <c r="H553" s="142"/>
    </row>
    <row r="554" spans="1:8" s="49" customFormat="1" x14ac:dyDescent="0.25">
      <c r="A554" s="135" t="s">
        <v>217</v>
      </c>
      <c r="B554" s="135"/>
      <c r="C554" s="135"/>
      <c r="D554" s="135"/>
      <c r="E554" s="135"/>
      <c r="F554" s="135"/>
      <c r="G554" s="135"/>
      <c r="H554" s="135"/>
    </row>
    <row r="555" spans="1:8" s="49" customFormat="1" x14ac:dyDescent="0.25">
      <c r="A555" s="136">
        <v>1</v>
      </c>
      <c r="B555" s="136"/>
      <c r="C555" s="21" t="s">
        <v>165</v>
      </c>
      <c r="D555" s="21">
        <f>61.701*10.764</f>
        <v>664.14956399999994</v>
      </c>
      <c r="E555" s="21">
        <v>0</v>
      </c>
      <c r="F555" s="21">
        <f t="shared" ref="F555:F559" si="43">D555*1.6</f>
        <v>1062.6393023999999</v>
      </c>
      <c r="G555" s="137" t="str">
        <f>A554</f>
        <v>10th, 12th, 14th, 16th, 18th, 20th &amp; 22nd Floor</v>
      </c>
      <c r="H555" s="138"/>
    </row>
    <row r="556" spans="1:8" s="49" customFormat="1" x14ac:dyDescent="0.25">
      <c r="A556" s="136">
        <v>2</v>
      </c>
      <c r="B556" s="136"/>
      <c r="C556" s="21" t="s">
        <v>165</v>
      </c>
      <c r="D556" s="21">
        <f>61.701*10.764</f>
        <v>664.14956399999994</v>
      </c>
      <c r="E556" s="21">
        <v>0</v>
      </c>
      <c r="F556" s="21">
        <f t="shared" si="43"/>
        <v>1062.6393023999999</v>
      </c>
      <c r="G556" s="139"/>
      <c r="H556" s="140"/>
    </row>
    <row r="557" spans="1:8" s="49" customFormat="1" x14ac:dyDescent="0.25">
      <c r="A557" s="136">
        <v>3</v>
      </c>
      <c r="B557" s="136"/>
      <c r="C557" s="21" t="s">
        <v>165</v>
      </c>
      <c r="D557" s="21">
        <f>57.102*10.764</f>
        <v>614.64592799999991</v>
      </c>
      <c r="E557" s="21">
        <v>0</v>
      </c>
      <c r="F557" s="21">
        <f t="shared" si="43"/>
        <v>983.43348479999986</v>
      </c>
      <c r="G557" s="139"/>
      <c r="H557" s="140"/>
    </row>
    <row r="558" spans="1:8" s="49" customFormat="1" x14ac:dyDescent="0.25">
      <c r="A558" s="136">
        <v>4</v>
      </c>
      <c r="B558" s="136"/>
      <c r="C558" s="21" t="s">
        <v>165</v>
      </c>
      <c r="D558" s="21">
        <f>59.616*10.764</f>
        <v>641.70662399999992</v>
      </c>
      <c r="E558" s="21">
        <v>0</v>
      </c>
      <c r="F558" s="21">
        <f t="shared" si="43"/>
        <v>1026.7305984</v>
      </c>
      <c r="G558" s="139"/>
      <c r="H558" s="140"/>
    </row>
    <row r="559" spans="1:8" s="49" customFormat="1" ht="15.6" customHeight="1" x14ac:dyDescent="0.25">
      <c r="A559" s="136">
        <v>5</v>
      </c>
      <c r="B559" s="136"/>
      <c r="C559" s="21" t="s">
        <v>165</v>
      </c>
      <c r="D559" s="21">
        <f>52.385*10.764</f>
        <v>563.87213999999994</v>
      </c>
      <c r="E559" s="21">
        <v>0</v>
      </c>
      <c r="F559" s="21">
        <f t="shared" si="43"/>
        <v>902.195424</v>
      </c>
      <c r="G559" s="141"/>
      <c r="H559" s="142"/>
    </row>
    <row r="560" spans="1:8" s="49" customFormat="1" x14ac:dyDescent="0.25">
      <c r="A560" s="135" t="s">
        <v>189</v>
      </c>
      <c r="B560" s="135"/>
      <c r="C560" s="135"/>
      <c r="D560" s="135"/>
      <c r="E560" s="135"/>
      <c r="F560" s="135"/>
      <c r="G560" s="135"/>
      <c r="H560" s="135"/>
    </row>
    <row r="561" spans="1:9" s="49" customFormat="1" x14ac:dyDescent="0.25">
      <c r="A561" s="135" t="s">
        <v>194</v>
      </c>
      <c r="B561" s="135"/>
      <c r="C561" s="135"/>
      <c r="D561" s="135"/>
      <c r="E561" s="135"/>
      <c r="F561" s="135"/>
      <c r="G561" s="135"/>
      <c r="H561" s="135"/>
    </row>
    <row r="562" spans="1:9" s="49" customFormat="1" x14ac:dyDescent="0.25">
      <c r="A562" s="135" t="s">
        <v>164</v>
      </c>
      <c r="B562" s="135"/>
      <c r="C562" s="135"/>
      <c r="D562" s="135"/>
      <c r="E562" s="135"/>
      <c r="F562" s="135"/>
      <c r="G562" s="135"/>
      <c r="H562" s="135"/>
    </row>
    <row r="563" spans="1:9" s="49" customFormat="1" x14ac:dyDescent="0.25">
      <c r="A563" s="135" t="s">
        <v>195</v>
      </c>
      <c r="B563" s="135"/>
      <c r="C563" s="135"/>
      <c r="D563" s="135"/>
      <c r="E563" s="135"/>
      <c r="F563" s="135"/>
      <c r="G563" s="135"/>
      <c r="H563" s="135"/>
    </row>
    <row r="564" spans="1:9" s="49" customFormat="1" x14ac:dyDescent="0.25">
      <c r="A564" s="136">
        <v>1</v>
      </c>
      <c r="B564" s="136"/>
      <c r="C564" s="21" t="s">
        <v>165</v>
      </c>
      <c r="D564" s="21">
        <f>41.622*10.764</f>
        <v>448.01920799999999</v>
      </c>
      <c r="E564" s="21">
        <v>0</v>
      </c>
      <c r="F564" s="21">
        <f>D564*1.6+E563</f>
        <v>716.83073280000008</v>
      </c>
      <c r="G564" s="137" t="str">
        <f>A563</f>
        <v>1st to 7th, 9th to 14th, 16th to 21st &amp; 23rd Floor for Residential</v>
      </c>
      <c r="H564" s="138"/>
    </row>
    <row r="565" spans="1:9" s="49" customFormat="1" x14ac:dyDescent="0.25">
      <c r="A565" s="136">
        <v>2</v>
      </c>
      <c r="B565" s="136"/>
      <c r="C565" s="21" t="s">
        <v>165</v>
      </c>
      <c r="D565" s="21">
        <f>48.941*10.764</f>
        <v>526.80092400000001</v>
      </c>
      <c r="E565" s="21">
        <v>0</v>
      </c>
      <c r="F565" s="21">
        <f t="shared" ref="F565:F578" si="44">D565*1.6+E564</f>
        <v>842.88147840000011</v>
      </c>
      <c r="G565" s="139"/>
      <c r="H565" s="140"/>
    </row>
    <row r="566" spans="1:9" s="49" customFormat="1" x14ac:dyDescent="0.25">
      <c r="A566" s="136">
        <v>3</v>
      </c>
      <c r="B566" s="136"/>
      <c r="C566" s="21" t="s">
        <v>165</v>
      </c>
      <c r="D566" s="21">
        <f>47.637*10.764</f>
        <v>512.76466800000003</v>
      </c>
      <c r="E566" s="21">
        <v>0</v>
      </c>
      <c r="F566" s="21">
        <f t="shared" si="44"/>
        <v>820.42346880000014</v>
      </c>
      <c r="G566" s="139"/>
      <c r="H566" s="140"/>
    </row>
    <row r="567" spans="1:9" s="49" customFormat="1" x14ac:dyDescent="0.25">
      <c r="A567" s="136">
        <v>4</v>
      </c>
      <c r="B567" s="136"/>
      <c r="C567" s="21" t="s">
        <v>165</v>
      </c>
      <c r="D567" s="21">
        <f>40.309*10.764</f>
        <v>433.88607599999995</v>
      </c>
      <c r="E567" s="21">
        <v>0</v>
      </c>
      <c r="F567" s="21">
        <f t="shared" si="44"/>
        <v>694.2177216</v>
      </c>
      <c r="G567" s="139"/>
      <c r="H567" s="140"/>
      <c r="I567" s="49">
        <f>9.739</f>
        <v>9.7390000000000008</v>
      </c>
    </row>
    <row r="568" spans="1:9" s="49" customFormat="1" ht="15.6" customHeight="1" x14ac:dyDescent="0.25">
      <c r="A568" s="136">
        <v>5</v>
      </c>
      <c r="B568" s="136"/>
      <c r="C568" s="21" t="s">
        <v>165</v>
      </c>
      <c r="D568" s="21">
        <f>40.664*10.764</f>
        <v>437.70729599999999</v>
      </c>
      <c r="E568" s="21">
        <v>0</v>
      </c>
      <c r="F568" s="21">
        <f t="shared" si="44"/>
        <v>700.33167360000004</v>
      </c>
      <c r="G568" s="139"/>
      <c r="H568" s="140"/>
      <c r="I568" s="49">
        <v>2.5329999999999999</v>
      </c>
    </row>
    <row r="569" spans="1:9" s="49" customFormat="1" x14ac:dyDescent="0.25">
      <c r="A569" s="136">
        <v>6</v>
      </c>
      <c r="B569" s="136"/>
      <c r="C569" s="21" t="s">
        <v>184</v>
      </c>
      <c r="D569" s="21">
        <f>30.7*10.764</f>
        <v>330.45479999999998</v>
      </c>
      <c r="E569" s="21">
        <v>0</v>
      </c>
      <c r="F569" s="21">
        <f t="shared" si="44"/>
        <v>528.72767999999996</v>
      </c>
      <c r="G569" s="139"/>
      <c r="H569" s="140"/>
      <c r="I569" s="49">
        <v>10.725</v>
      </c>
    </row>
    <row r="570" spans="1:9" s="49" customFormat="1" x14ac:dyDescent="0.25">
      <c r="A570" s="136">
        <v>7</v>
      </c>
      <c r="B570" s="136"/>
      <c r="C570" s="21" t="s">
        <v>184</v>
      </c>
      <c r="D570" s="21">
        <f>32.13*10.764</f>
        <v>345.84732000000002</v>
      </c>
      <c r="E570" s="21">
        <v>0</v>
      </c>
      <c r="F570" s="21">
        <f t="shared" si="44"/>
        <v>553.35571200000004</v>
      </c>
      <c r="G570" s="139"/>
      <c r="H570" s="140"/>
      <c r="I570" s="49">
        <v>7.9749999999999996</v>
      </c>
    </row>
    <row r="571" spans="1:9" s="49" customFormat="1" x14ac:dyDescent="0.25">
      <c r="A571" s="136">
        <v>8</v>
      </c>
      <c r="B571" s="136"/>
      <c r="C571" s="21" t="s">
        <v>165</v>
      </c>
      <c r="D571" s="21">
        <f>41.623*10.764</f>
        <v>448.02997199999993</v>
      </c>
      <c r="E571" s="21">
        <v>0</v>
      </c>
      <c r="F571" s="21">
        <f t="shared" si="44"/>
        <v>716.84795519999989</v>
      </c>
      <c r="G571" s="141"/>
      <c r="H571" s="142"/>
      <c r="I571" s="49">
        <v>3.8210000000000002</v>
      </c>
    </row>
    <row r="572" spans="1:9" s="49" customFormat="1" x14ac:dyDescent="0.25">
      <c r="A572" s="135" t="s">
        <v>166</v>
      </c>
      <c r="B572" s="135"/>
      <c r="C572" s="135"/>
      <c r="D572" s="135"/>
      <c r="E572" s="135"/>
      <c r="F572" s="135"/>
      <c r="G572" s="135"/>
      <c r="H572" s="135"/>
    </row>
    <row r="573" spans="1:9" s="49" customFormat="1" x14ac:dyDescent="0.25">
      <c r="A573" s="136">
        <v>1</v>
      </c>
      <c r="B573" s="136"/>
      <c r="C573" s="21" t="s">
        <v>165</v>
      </c>
      <c r="D573" s="21">
        <f>41.622*10.764</f>
        <v>448.01920799999999</v>
      </c>
      <c r="E573" s="21">
        <v>0</v>
      </c>
      <c r="F573" s="21">
        <f t="shared" si="44"/>
        <v>716.83073280000008</v>
      </c>
      <c r="G573" s="137" t="str">
        <f>A572</f>
        <v>8th &amp; 15th Floor (Part Refuge Area)</v>
      </c>
      <c r="H573" s="138"/>
    </row>
    <row r="574" spans="1:9" s="49" customFormat="1" x14ac:dyDescent="0.25">
      <c r="A574" s="136">
        <v>2</v>
      </c>
      <c r="B574" s="136"/>
      <c r="C574" s="21" t="s">
        <v>165</v>
      </c>
      <c r="D574" s="21">
        <f>48.941*10.764</f>
        <v>526.80092400000001</v>
      </c>
      <c r="E574" s="21">
        <v>0</v>
      </c>
      <c r="F574" s="21">
        <f t="shared" si="44"/>
        <v>842.88147840000011</v>
      </c>
      <c r="G574" s="139"/>
      <c r="H574" s="140"/>
    </row>
    <row r="575" spans="1:9" s="49" customFormat="1" x14ac:dyDescent="0.25">
      <c r="A575" s="136">
        <v>3</v>
      </c>
      <c r="B575" s="136"/>
      <c r="C575" s="21" t="s">
        <v>165</v>
      </c>
      <c r="D575" s="21">
        <f>47.637*10.764</f>
        <v>512.76466800000003</v>
      </c>
      <c r="E575" s="21">
        <v>0</v>
      </c>
      <c r="F575" s="21">
        <f t="shared" si="44"/>
        <v>820.42346880000014</v>
      </c>
      <c r="G575" s="139"/>
      <c r="H575" s="140"/>
    </row>
    <row r="576" spans="1:9" s="49" customFormat="1" x14ac:dyDescent="0.25">
      <c r="A576" s="136">
        <v>4</v>
      </c>
      <c r="B576" s="136"/>
      <c r="C576" s="21" t="s">
        <v>165</v>
      </c>
      <c r="D576" s="21">
        <f>40.309*10.764</f>
        <v>433.88607599999995</v>
      </c>
      <c r="E576" s="21">
        <v>0</v>
      </c>
      <c r="F576" s="21">
        <f t="shared" si="44"/>
        <v>694.2177216</v>
      </c>
      <c r="G576" s="139"/>
      <c r="H576" s="140"/>
    </row>
    <row r="577" spans="1:8" s="49" customFormat="1" ht="15.6" customHeight="1" x14ac:dyDescent="0.25">
      <c r="A577" s="136">
        <v>5</v>
      </c>
      <c r="B577" s="136"/>
      <c r="C577" s="21" t="s">
        <v>165</v>
      </c>
      <c r="D577" s="21">
        <f>40.664*10.764</f>
        <v>437.70729599999999</v>
      </c>
      <c r="E577" s="21">
        <v>0</v>
      </c>
      <c r="F577" s="21">
        <f t="shared" si="44"/>
        <v>700.33167360000004</v>
      </c>
      <c r="G577" s="139"/>
      <c r="H577" s="140"/>
    </row>
    <row r="578" spans="1:8" s="49" customFormat="1" x14ac:dyDescent="0.25">
      <c r="A578" s="136">
        <v>6</v>
      </c>
      <c r="B578" s="136"/>
      <c r="C578" s="21" t="s">
        <v>184</v>
      </c>
      <c r="D578" s="21">
        <f>30.7*10.764</f>
        <v>330.45479999999998</v>
      </c>
      <c r="E578" s="21">
        <v>0</v>
      </c>
      <c r="F578" s="21">
        <f t="shared" si="44"/>
        <v>528.72767999999996</v>
      </c>
      <c r="G578" s="139"/>
      <c r="H578" s="140"/>
    </row>
    <row r="579" spans="1:8" s="49" customFormat="1" x14ac:dyDescent="0.25">
      <c r="A579" s="136">
        <v>7</v>
      </c>
      <c r="B579" s="136"/>
      <c r="C579" s="137" t="s">
        <v>190</v>
      </c>
      <c r="D579" s="143"/>
      <c r="E579" s="143"/>
      <c r="F579" s="138"/>
      <c r="G579" s="139"/>
      <c r="H579" s="140"/>
    </row>
    <row r="580" spans="1:8" s="49" customFormat="1" x14ac:dyDescent="0.25">
      <c r="A580" s="136">
        <v>8</v>
      </c>
      <c r="B580" s="136"/>
      <c r="C580" s="141"/>
      <c r="D580" s="144"/>
      <c r="E580" s="144"/>
      <c r="F580" s="142"/>
      <c r="G580" s="141"/>
      <c r="H580" s="142"/>
    </row>
    <row r="581" spans="1:8" s="49" customFormat="1" x14ac:dyDescent="0.25">
      <c r="A581" s="135" t="s">
        <v>191</v>
      </c>
      <c r="B581" s="135"/>
      <c r="C581" s="135"/>
      <c r="D581" s="135"/>
      <c r="E581" s="135"/>
      <c r="F581" s="135"/>
      <c r="G581" s="135"/>
      <c r="H581" s="135"/>
    </row>
    <row r="582" spans="1:8" s="49" customFormat="1" x14ac:dyDescent="0.25">
      <c r="A582" s="136">
        <v>1</v>
      </c>
      <c r="B582" s="136"/>
      <c r="C582" s="21" t="s">
        <v>165</v>
      </c>
      <c r="D582" s="21">
        <f>41.622*10.764</f>
        <v>448.01920799999999</v>
      </c>
      <c r="E582" s="21">
        <v>0</v>
      </c>
      <c r="F582" s="21">
        <f t="shared" ref="F582:F587" si="45">D582*1.6+E581</f>
        <v>716.83073280000008</v>
      </c>
      <c r="G582" s="137" t="str">
        <f>A581</f>
        <v>22nd Floor (Part Refuge Area)</v>
      </c>
      <c r="H582" s="138"/>
    </row>
    <row r="583" spans="1:8" s="49" customFormat="1" ht="15.6" customHeight="1" x14ac:dyDescent="0.25">
      <c r="A583" s="136">
        <v>2</v>
      </c>
      <c r="B583" s="136"/>
      <c r="C583" s="21" t="s">
        <v>165</v>
      </c>
      <c r="D583" s="21">
        <f>48.941*10.764</f>
        <v>526.80092400000001</v>
      </c>
      <c r="E583" s="21">
        <v>0</v>
      </c>
      <c r="F583" s="21">
        <f t="shared" si="45"/>
        <v>842.88147840000011</v>
      </c>
      <c r="G583" s="139"/>
      <c r="H583" s="140"/>
    </row>
    <row r="584" spans="1:8" s="49" customFormat="1" ht="15.6" customHeight="1" x14ac:dyDescent="0.25">
      <c r="A584" s="136">
        <v>3</v>
      </c>
      <c r="B584" s="136"/>
      <c r="C584" s="21" t="s">
        <v>165</v>
      </c>
      <c r="D584" s="21">
        <f>47.637*10.764</f>
        <v>512.76466800000003</v>
      </c>
      <c r="E584" s="21">
        <v>0</v>
      </c>
      <c r="F584" s="21">
        <f t="shared" si="45"/>
        <v>820.42346880000014</v>
      </c>
      <c r="G584" s="139"/>
      <c r="H584" s="140"/>
    </row>
    <row r="585" spans="1:8" s="49" customFormat="1" x14ac:dyDescent="0.25">
      <c r="A585" s="136">
        <v>4</v>
      </c>
      <c r="B585" s="136"/>
      <c r="C585" s="21" t="s">
        <v>165</v>
      </c>
      <c r="D585" s="21">
        <f>40.309*10.764</f>
        <v>433.88607599999995</v>
      </c>
      <c r="E585" s="21">
        <v>0</v>
      </c>
      <c r="F585" s="21">
        <f t="shared" si="45"/>
        <v>694.2177216</v>
      </c>
      <c r="G585" s="139"/>
      <c r="H585" s="140"/>
    </row>
    <row r="586" spans="1:8" s="49" customFormat="1" x14ac:dyDescent="0.25">
      <c r="A586" s="136">
        <v>5</v>
      </c>
      <c r="B586" s="136"/>
      <c r="C586" s="21" t="s">
        <v>165</v>
      </c>
      <c r="D586" s="21">
        <f>40.664*10.764</f>
        <v>437.70729599999999</v>
      </c>
      <c r="E586" s="21">
        <v>0</v>
      </c>
      <c r="F586" s="21">
        <f t="shared" si="45"/>
        <v>700.33167360000004</v>
      </c>
      <c r="G586" s="139"/>
      <c r="H586" s="140"/>
    </row>
    <row r="587" spans="1:8" s="49" customFormat="1" x14ac:dyDescent="0.25">
      <c r="A587" s="136">
        <v>6</v>
      </c>
      <c r="B587" s="136"/>
      <c r="C587" s="21" t="s">
        <v>184</v>
      </c>
      <c r="D587" s="21">
        <f>30.7*10.764</f>
        <v>330.45479999999998</v>
      </c>
      <c r="E587" s="21">
        <v>0</v>
      </c>
      <c r="F587" s="21">
        <f t="shared" si="45"/>
        <v>528.72767999999996</v>
      </c>
      <c r="G587" s="139"/>
      <c r="H587" s="140"/>
    </row>
    <row r="588" spans="1:8" s="49" customFormat="1" x14ac:dyDescent="0.25">
      <c r="A588" s="136">
        <v>7</v>
      </c>
      <c r="B588" s="136"/>
      <c r="C588" s="137" t="s">
        <v>190</v>
      </c>
      <c r="D588" s="143"/>
      <c r="E588" s="143"/>
      <c r="F588" s="138"/>
      <c r="G588" s="139"/>
      <c r="H588" s="140"/>
    </row>
    <row r="589" spans="1:8" s="49" customFormat="1" x14ac:dyDescent="0.25">
      <c r="A589" s="136">
        <v>8</v>
      </c>
      <c r="B589" s="136"/>
      <c r="C589" s="141"/>
      <c r="D589" s="144"/>
      <c r="E589" s="144"/>
      <c r="F589" s="142"/>
      <c r="G589" s="141"/>
      <c r="H589" s="142"/>
    </row>
    <row r="590" spans="1:8" s="49" customFormat="1" x14ac:dyDescent="0.25">
      <c r="A590" s="135" t="s">
        <v>181</v>
      </c>
      <c r="B590" s="135"/>
      <c r="C590" s="135"/>
      <c r="D590" s="135"/>
      <c r="E590" s="135"/>
      <c r="F590" s="135"/>
      <c r="G590" s="135"/>
      <c r="H590" s="135"/>
    </row>
    <row r="591" spans="1:8" s="49" customFormat="1" x14ac:dyDescent="0.25">
      <c r="A591" s="135" t="s">
        <v>194</v>
      </c>
      <c r="B591" s="135"/>
      <c r="C591" s="135"/>
      <c r="D591" s="135"/>
      <c r="E591" s="135"/>
      <c r="F591" s="135"/>
      <c r="G591" s="135"/>
      <c r="H591" s="135"/>
    </row>
    <row r="592" spans="1:8" s="49" customFormat="1" x14ac:dyDescent="0.25">
      <c r="A592" s="135" t="s">
        <v>182</v>
      </c>
      <c r="B592" s="135"/>
      <c r="C592" s="135"/>
      <c r="D592" s="135"/>
      <c r="E592" s="135"/>
      <c r="F592" s="135"/>
      <c r="G592" s="135"/>
      <c r="H592" s="135"/>
    </row>
    <row r="593" spans="1:10" s="49" customFormat="1" ht="15.6" customHeight="1" x14ac:dyDescent="0.25">
      <c r="A593" s="136">
        <v>1</v>
      </c>
      <c r="B593" s="136"/>
      <c r="C593" s="21" t="s">
        <v>183</v>
      </c>
      <c r="D593" s="21">
        <f>27.191*10.764</f>
        <v>292.68392399999999</v>
      </c>
      <c r="E593" s="21">
        <v>0</v>
      </c>
      <c r="F593" s="21">
        <f>D593*1.6+E593</f>
        <v>468.2942784</v>
      </c>
      <c r="G593" s="137" t="str">
        <f>A592</f>
        <v>Stilt Floor for Commercial &amp; Parking</v>
      </c>
      <c r="H593" s="138"/>
    </row>
    <row r="594" spans="1:10" s="49" customFormat="1" x14ac:dyDescent="0.25">
      <c r="A594" s="136">
        <v>2</v>
      </c>
      <c r="B594" s="136"/>
      <c r="C594" s="21" t="s">
        <v>183</v>
      </c>
      <c r="D594" s="21">
        <f>17.52*10.764</f>
        <v>188.58527999999998</v>
      </c>
      <c r="E594" s="21">
        <v>0</v>
      </c>
      <c r="F594" s="21">
        <f t="shared" ref="F594:F596" si="46">D594*1.6+E594</f>
        <v>301.736448</v>
      </c>
      <c r="G594" s="139"/>
      <c r="H594" s="140"/>
    </row>
    <row r="595" spans="1:10" s="49" customFormat="1" x14ac:dyDescent="0.25">
      <c r="A595" s="136">
        <v>3</v>
      </c>
      <c r="B595" s="136"/>
      <c r="C595" s="21" t="s">
        <v>183</v>
      </c>
      <c r="D595" s="21">
        <f>21.862*10.764</f>
        <v>235.32256799999996</v>
      </c>
      <c r="E595" s="21">
        <v>0</v>
      </c>
      <c r="F595" s="21">
        <f t="shared" si="46"/>
        <v>376.51610879999998</v>
      </c>
      <c r="G595" s="139"/>
      <c r="H595" s="140"/>
    </row>
    <row r="596" spans="1:10" s="49" customFormat="1" x14ac:dyDescent="0.25">
      <c r="A596" s="136">
        <v>4</v>
      </c>
      <c r="B596" s="136"/>
      <c r="C596" s="21" t="s">
        <v>183</v>
      </c>
      <c r="D596" s="21">
        <f>27.072*10.764</f>
        <v>291.403008</v>
      </c>
      <c r="E596" s="21">
        <v>0</v>
      </c>
      <c r="F596" s="21">
        <f t="shared" si="46"/>
        <v>466.24481280000003</v>
      </c>
      <c r="G596" s="141"/>
      <c r="H596" s="142"/>
    </row>
    <row r="597" spans="1:10" s="49" customFormat="1" x14ac:dyDescent="0.25">
      <c r="A597" s="135" t="s">
        <v>195</v>
      </c>
      <c r="B597" s="135"/>
      <c r="C597" s="135"/>
      <c r="D597" s="135"/>
      <c r="E597" s="135"/>
      <c r="F597" s="135"/>
      <c r="G597" s="135"/>
      <c r="H597" s="135"/>
    </row>
    <row r="598" spans="1:10" s="49" customFormat="1" x14ac:dyDescent="0.25">
      <c r="A598" s="136">
        <v>1</v>
      </c>
      <c r="B598" s="136"/>
      <c r="C598" s="21" t="s">
        <v>165</v>
      </c>
      <c r="D598" s="21">
        <f>41.622*10.764</f>
        <v>448.01920799999999</v>
      </c>
      <c r="E598" s="21">
        <v>0</v>
      </c>
      <c r="F598" s="21">
        <f t="shared" ref="F598:F605" si="47">D598*1.6+E597</f>
        <v>716.83073280000008</v>
      </c>
      <c r="G598" s="137" t="str">
        <f>A597</f>
        <v>1st to 7th, 9th to 14th, 16th to 21st &amp; 23rd Floor for Residential</v>
      </c>
      <c r="H598" s="138"/>
    </row>
    <row r="599" spans="1:10" s="49" customFormat="1" x14ac:dyDescent="0.25">
      <c r="A599" s="136">
        <v>2</v>
      </c>
      <c r="B599" s="136"/>
      <c r="C599" s="21" t="s">
        <v>165</v>
      </c>
      <c r="D599" s="21">
        <f>48.941*10.764</f>
        <v>526.80092400000001</v>
      </c>
      <c r="E599" s="21">
        <v>0</v>
      </c>
      <c r="F599" s="21">
        <f t="shared" si="47"/>
        <v>842.88147840000011</v>
      </c>
      <c r="G599" s="139"/>
      <c r="H599" s="140"/>
    </row>
    <row r="600" spans="1:10" s="49" customFormat="1" x14ac:dyDescent="0.25">
      <c r="A600" s="136">
        <v>3</v>
      </c>
      <c r="B600" s="136"/>
      <c r="C600" s="21" t="s">
        <v>165</v>
      </c>
      <c r="D600" s="21">
        <f>47.637*10.764</f>
        <v>512.76466800000003</v>
      </c>
      <c r="E600" s="21">
        <v>0</v>
      </c>
      <c r="F600" s="21">
        <f t="shared" si="47"/>
        <v>820.42346880000014</v>
      </c>
      <c r="G600" s="139"/>
      <c r="H600" s="140"/>
    </row>
    <row r="601" spans="1:10" s="49" customFormat="1" x14ac:dyDescent="0.25">
      <c r="A601" s="136">
        <v>4</v>
      </c>
      <c r="B601" s="136"/>
      <c r="C601" s="21" t="s">
        <v>165</v>
      </c>
      <c r="D601" s="21">
        <f>40.309*10.764</f>
        <v>433.88607599999995</v>
      </c>
      <c r="E601" s="21">
        <v>0</v>
      </c>
      <c r="F601" s="21">
        <f t="shared" si="47"/>
        <v>694.2177216</v>
      </c>
      <c r="G601" s="139"/>
      <c r="H601" s="140"/>
      <c r="I601" s="49">
        <f>9.739</f>
        <v>9.7390000000000008</v>
      </c>
    </row>
    <row r="602" spans="1:10" s="49" customFormat="1" ht="15.6" customHeight="1" x14ac:dyDescent="0.25">
      <c r="A602" s="136">
        <v>5</v>
      </c>
      <c r="B602" s="136"/>
      <c r="C602" s="21" t="s">
        <v>165</v>
      </c>
      <c r="D602" s="21">
        <f>40.664*10.764</f>
        <v>437.70729599999999</v>
      </c>
      <c r="E602" s="21">
        <v>0</v>
      </c>
      <c r="F602" s="21">
        <f t="shared" si="47"/>
        <v>700.33167360000004</v>
      </c>
      <c r="G602" s="139"/>
      <c r="H602" s="140"/>
      <c r="I602" s="49">
        <v>2.5329999999999999</v>
      </c>
    </row>
    <row r="603" spans="1:10" s="49" customFormat="1" x14ac:dyDescent="0.25">
      <c r="A603" s="136">
        <v>6</v>
      </c>
      <c r="B603" s="136"/>
      <c r="C603" s="21" t="s">
        <v>184</v>
      </c>
      <c r="D603" s="21">
        <f>30.7*10.764</f>
        <v>330.45479999999998</v>
      </c>
      <c r="E603" s="21">
        <v>0</v>
      </c>
      <c r="F603" s="21">
        <f t="shared" si="47"/>
        <v>528.72767999999996</v>
      </c>
      <c r="G603" s="139"/>
      <c r="H603" s="140"/>
      <c r="I603" s="49">
        <v>10.725</v>
      </c>
      <c r="J603" s="49">
        <f>7538250/F603</f>
        <v>14257.339430385035</v>
      </c>
    </row>
    <row r="604" spans="1:10" s="49" customFormat="1" x14ac:dyDescent="0.25">
      <c r="A604" s="136">
        <v>7</v>
      </c>
      <c r="B604" s="136"/>
      <c r="C604" s="21" t="s">
        <v>184</v>
      </c>
      <c r="D604" s="21">
        <f>32.13*10.764</f>
        <v>345.84732000000002</v>
      </c>
      <c r="E604" s="21">
        <v>0</v>
      </c>
      <c r="F604" s="21">
        <f t="shared" si="47"/>
        <v>553.35571200000004</v>
      </c>
      <c r="G604" s="139"/>
      <c r="H604" s="140"/>
      <c r="I604" s="49">
        <v>7.9749999999999996</v>
      </c>
    </row>
    <row r="605" spans="1:10" s="49" customFormat="1" x14ac:dyDescent="0.25">
      <c r="A605" s="136">
        <v>8</v>
      </c>
      <c r="B605" s="136"/>
      <c r="C605" s="21" t="s">
        <v>165</v>
      </c>
      <c r="D605" s="21">
        <f>41.623*10.764</f>
        <v>448.02997199999993</v>
      </c>
      <c r="E605" s="21">
        <v>0</v>
      </c>
      <c r="F605" s="21">
        <f t="shared" si="47"/>
        <v>716.84795519999989</v>
      </c>
      <c r="G605" s="141"/>
      <c r="H605" s="142"/>
      <c r="I605" s="49">
        <v>3.8210000000000002</v>
      </c>
    </row>
    <row r="606" spans="1:10" s="49" customFormat="1" x14ac:dyDescent="0.25">
      <c r="A606" s="135" t="s">
        <v>166</v>
      </c>
      <c r="B606" s="135"/>
      <c r="C606" s="135"/>
      <c r="D606" s="135"/>
      <c r="E606" s="135"/>
      <c r="F606" s="135"/>
      <c r="G606" s="135"/>
      <c r="H606" s="135"/>
    </row>
    <row r="607" spans="1:10" s="49" customFormat="1" x14ac:dyDescent="0.25">
      <c r="A607" s="136">
        <v>1</v>
      </c>
      <c r="B607" s="136"/>
      <c r="C607" s="21" t="s">
        <v>165</v>
      </c>
      <c r="D607" s="21">
        <f>41.622*10.764</f>
        <v>448.01920799999999</v>
      </c>
      <c r="E607" s="21">
        <v>0</v>
      </c>
      <c r="F607" s="21">
        <f t="shared" ref="F607:F612" si="48">D607*1.6+E606</f>
        <v>716.83073280000008</v>
      </c>
      <c r="G607" s="137" t="str">
        <f>A606</f>
        <v>8th &amp; 15th Floor (Part Refuge Area)</v>
      </c>
      <c r="H607" s="138"/>
    </row>
    <row r="608" spans="1:10" s="49" customFormat="1" x14ac:dyDescent="0.25">
      <c r="A608" s="136">
        <v>2</v>
      </c>
      <c r="B608" s="136"/>
      <c r="C608" s="21" t="s">
        <v>165</v>
      </c>
      <c r="D608" s="21">
        <f>48.941*10.764</f>
        <v>526.80092400000001</v>
      </c>
      <c r="E608" s="21">
        <v>0</v>
      </c>
      <c r="F608" s="21">
        <f t="shared" si="48"/>
        <v>842.88147840000011</v>
      </c>
      <c r="G608" s="139"/>
      <c r="H608" s="140"/>
    </row>
    <row r="609" spans="1:8" s="49" customFormat="1" x14ac:dyDescent="0.25">
      <c r="A609" s="136">
        <v>3</v>
      </c>
      <c r="B609" s="136"/>
      <c r="C609" s="21" t="s">
        <v>165</v>
      </c>
      <c r="D609" s="21">
        <f>47.637*10.764</f>
        <v>512.76466800000003</v>
      </c>
      <c r="E609" s="21">
        <v>0</v>
      </c>
      <c r="F609" s="21">
        <f t="shared" si="48"/>
        <v>820.42346880000014</v>
      </c>
      <c r="G609" s="139"/>
      <c r="H609" s="140"/>
    </row>
    <row r="610" spans="1:8" s="49" customFormat="1" x14ac:dyDescent="0.25">
      <c r="A610" s="136">
        <v>4</v>
      </c>
      <c r="B610" s="136"/>
      <c r="C610" s="21" t="s">
        <v>165</v>
      </c>
      <c r="D610" s="21">
        <f>40.309*10.764</f>
        <v>433.88607599999995</v>
      </c>
      <c r="E610" s="21">
        <v>0</v>
      </c>
      <c r="F610" s="21">
        <f t="shared" si="48"/>
        <v>694.2177216</v>
      </c>
      <c r="G610" s="139"/>
      <c r="H610" s="140"/>
    </row>
    <row r="611" spans="1:8" s="49" customFormat="1" ht="15.6" customHeight="1" x14ac:dyDescent="0.25">
      <c r="A611" s="136">
        <v>5</v>
      </c>
      <c r="B611" s="136"/>
      <c r="C611" s="21" t="s">
        <v>165</v>
      </c>
      <c r="D611" s="21">
        <f>40.664*10.764</f>
        <v>437.70729599999999</v>
      </c>
      <c r="E611" s="21">
        <v>0</v>
      </c>
      <c r="F611" s="21">
        <f t="shared" si="48"/>
        <v>700.33167360000004</v>
      </c>
      <c r="G611" s="139"/>
      <c r="H611" s="140"/>
    </row>
    <row r="612" spans="1:8" s="49" customFormat="1" x14ac:dyDescent="0.25">
      <c r="A612" s="136">
        <v>6</v>
      </c>
      <c r="B612" s="136"/>
      <c r="C612" s="21" t="s">
        <v>184</v>
      </c>
      <c r="D612" s="21">
        <f>30.7*10.764</f>
        <v>330.45479999999998</v>
      </c>
      <c r="E612" s="21">
        <v>0</v>
      </c>
      <c r="F612" s="21">
        <f t="shared" si="48"/>
        <v>528.72767999999996</v>
      </c>
      <c r="G612" s="139"/>
      <c r="H612" s="140"/>
    </row>
    <row r="613" spans="1:8" s="49" customFormat="1" x14ac:dyDescent="0.25">
      <c r="A613" s="136">
        <v>7</v>
      </c>
      <c r="B613" s="136"/>
      <c r="C613" s="137" t="s">
        <v>190</v>
      </c>
      <c r="D613" s="143"/>
      <c r="E613" s="143"/>
      <c r="F613" s="138"/>
      <c r="G613" s="139"/>
      <c r="H613" s="140"/>
    </row>
    <row r="614" spans="1:8" s="49" customFormat="1" x14ac:dyDescent="0.25">
      <c r="A614" s="136">
        <v>8</v>
      </c>
      <c r="B614" s="136"/>
      <c r="C614" s="141"/>
      <c r="D614" s="144"/>
      <c r="E614" s="144"/>
      <c r="F614" s="142"/>
      <c r="G614" s="141"/>
      <c r="H614" s="142"/>
    </row>
    <row r="615" spans="1:8" s="49" customFormat="1" x14ac:dyDescent="0.25">
      <c r="A615" s="135" t="s">
        <v>191</v>
      </c>
      <c r="B615" s="135"/>
      <c r="C615" s="135"/>
      <c r="D615" s="135"/>
      <c r="E615" s="135"/>
      <c r="F615" s="135"/>
      <c r="G615" s="135"/>
      <c r="H615" s="135"/>
    </row>
    <row r="616" spans="1:8" s="49" customFormat="1" x14ac:dyDescent="0.25">
      <c r="A616" s="136">
        <v>1</v>
      </c>
      <c r="B616" s="136"/>
      <c r="C616" s="21" t="s">
        <v>165</v>
      </c>
      <c r="D616" s="21">
        <f>41.622*10.764</f>
        <v>448.01920799999999</v>
      </c>
      <c r="E616" s="21">
        <v>0</v>
      </c>
      <c r="F616" s="21">
        <f t="shared" ref="F616:F621" si="49">D616*1.6+E615</f>
        <v>716.83073280000008</v>
      </c>
      <c r="G616" s="137" t="str">
        <f>A615</f>
        <v>22nd Floor (Part Refuge Area)</v>
      </c>
      <c r="H616" s="138"/>
    </row>
    <row r="617" spans="1:8" s="49" customFormat="1" x14ac:dyDescent="0.25">
      <c r="A617" s="136">
        <v>2</v>
      </c>
      <c r="B617" s="136"/>
      <c r="C617" s="21" t="s">
        <v>165</v>
      </c>
      <c r="D617" s="21">
        <f>48.941*10.764</f>
        <v>526.80092400000001</v>
      </c>
      <c r="E617" s="21">
        <v>0</v>
      </c>
      <c r="F617" s="21">
        <f t="shared" si="49"/>
        <v>842.88147840000011</v>
      </c>
      <c r="G617" s="139"/>
      <c r="H617" s="140"/>
    </row>
    <row r="618" spans="1:8" s="49" customFormat="1" x14ac:dyDescent="0.25">
      <c r="A618" s="136">
        <v>3</v>
      </c>
      <c r="B618" s="136"/>
      <c r="C618" s="21" t="s">
        <v>165</v>
      </c>
      <c r="D618" s="21">
        <f>47.637*10.764</f>
        <v>512.76466800000003</v>
      </c>
      <c r="E618" s="21">
        <v>0</v>
      </c>
      <c r="F618" s="21">
        <f t="shared" si="49"/>
        <v>820.42346880000014</v>
      </c>
      <c r="G618" s="139"/>
      <c r="H618" s="140"/>
    </row>
    <row r="619" spans="1:8" s="49" customFormat="1" x14ac:dyDescent="0.25">
      <c r="A619" s="136">
        <v>4</v>
      </c>
      <c r="B619" s="136"/>
      <c r="C619" s="21" t="s">
        <v>165</v>
      </c>
      <c r="D619" s="21">
        <f>40.309*10.764</f>
        <v>433.88607599999995</v>
      </c>
      <c r="E619" s="21">
        <v>0</v>
      </c>
      <c r="F619" s="21">
        <f t="shared" si="49"/>
        <v>694.2177216</v>
      </c>
      <c r="G619" s="139"/>
      <c r="H619" s="140"/>
    </row>
    <row r="620" spans="1:8" s="49" customFormat="1" ht="15.6" customHeight="1" x14ac:dyDescent="0.25">
      <c r="A620" s="136">
        <v>5</v>
      </c>
      <c r="B620" s="136"/>
      <c r="C620" s="21" t="s">
        <v>165</v>
      </c>
      <c r="D620" s="21">
        <f>40.664*10.764</f>
        <v>437.70729599999999</v>
      </c>
      <c r="E620" s="21">
        <v>0</v>
      </c>
      <c r="F620" s="21">
        <f t="shared" si="49"/>
        <v>700.33167360000004</v>
      </c>
      <c r="G620" s="139"/>
      <c r="H620" s="140"/>
    </row>
    <row r="621" spans="1:8" s="49" customFormat="1" x14ac:dyDescent="0.25">
      <c r="A621" s="136">
        <v>6</v>
      </c>
      <c r="B621" s="136"/>
      <c r="C621" s="21" t="s">
        <v>184</v>
      </c>
      <c r="D621" s="21">
        <f>30.7*10.764</f>
        <v>330.45479999999998</v>
      </c>
      <c r="E621" s="21">
        <v>0</v>
      </c>
      <c r="F621" s="21">
        <f t="shared" si="49"/>
        <v>528.72767999999996</v>
      </c>
      <c r="G621" s="139"/>
      <c r="H621" s="140"/>
    </row>
    <row r="622" spans="1:8" s="49" customFormat="1" x14ac:dyDescent="0.25">
      <c r="A622" s="136">
        <v>7</v>
      </c>
      <c r="B622" s="136"/>
      <c r="C622" s="137" t="s">
        <v>190</v>
      </c>
      <c r="D622" s="143"/>
      <c r="E622" s="143"/>
      <c r="F622" s="138"/>
      <c r="G622" s="139"/>
      <c r="H622" s="140"/>
    </row>
    <row r="623" spans="1:8" s="49" customFormat="1" x14ac:dyDescent="0.25">
      <c r="A623" s="136">
        <v>8</v>
      </c>
      <c r="B623" s="136"/>
      <c r="C623" s="141"/>
      <c r="D623" s="144"/>
      <c r="E623" s="144"/>
      <c r="F623" s="142"/>
      <c r="G623" s="141"/>
      <c r="H623" s="142"/>
    </row>
    <row r="624" spans="1:8" s="49" customFormat="1" x14ac:dyDescent="0.25">
      <c r="A624" s="135" t="s">
        <v>192</v>
      </c>
      <c r="B624" s="135"/>
      <c r="C624" s="135"/>
      <c r="D624" s="135"/>
      <c r="E624" s="135"/>
      <c r="F624" s="135"/>
      <c r="G624" s="135"/>
      <c r="H624" s="135"/>
    </row>
    <row r="625" spans="1:11" s="49" customFormat="1" x14ac:dyDescent="0.25">
      <c r="A625" s="136">
        <v>1</v>
      </c>
      <c r="B625" s="136"/>
      <c r="C625" s="21" t="s">
        <v>165</v>
      </c>
      <c r="D625" s="21">
        <f>41.622*10.764</f>
        <v>448.01920799999999</v>
      </c>
      <c r="E625" s="21">
        <v>0</v>
      </c>
      <c r="F625" s="21">
        <f t="shared" ref="F625:F632" si="50">D625*1.6+E624</f>
        <v>716.83073280000008</v>
      </c>
      <c r="G625" s="137" t="str">
        <f>A624</f>
        <v>24th Floor</v>
      </c>
      <c r="H625" s="138"/>
    </row>
    <row r="626" spans="1:11" s="49" customFormat="1" x14ac:dyDescent="0.25">
      <c r="A626" s="136">
        <v>2</v>
      </c>
      <c r="B626" s="136"/>
      <c r="C626" s="21" t="s">
        <v>165</v>
      </c>
      <c r="D626" s="21">
        <f>48.941*10.764</f>
        <v>526.80092400000001</v>
      </c>
      <c r="E626" s="21">
        <v>0</v>
      </c>
      <c r="F626" s="21">
        <f t="shared" si="50"/>
        <v>842.88147840000011</v>
      </c>
      <c r="G626" s="139"/>
      <c r="H626" s="140"/>
    </row>
    <row r="627" spans="1:11" s="49" customFormat="1" x14ac:dyDescent="0.25">
      <c r="A627" s="136">
        <v>3</v>
      </c>
      <c r="B627" s="136"/>
      <c r="C627" s="21" t="s">
        <v>165</v>
      </c>
      <c r="D627" s="21">
        <f>47.637*10.764</f>
        <v>512.76466800000003</v>
      </c>
      <c r="E627" s="21">
        <v>0</v>
      </c>
      <c r="F627" s="21">
        <f t="shared" si="50"/>
        <v>820.42346880000014</v>
      </c>
      <c r="G627" s="139"/>
      <c r="H627" s="140"/>
    </row>
    <row r="628" spans="1:11" s="49" customFormat="1" x14ac:dyDescent="0.25">
      <c r="A628" s="136">
        <v>4</v>
      </c>
      <c r="B628" s="136"/>
      <c r="C628" s="21" t="s">
        <v>165</v>
      </c>
      <c r="D628" s="21">
        <f>40.309*10.764</f>
        <v>433.88607599999995</v>
      </c>
      <c r="E628" s="21">
        <v>0</v>
      </c>
      <c r="F628" s="21">
        <f t="shared" si="50"/>
        <v>694.2177216</v>
      </c>
      <c r="G628" s="139"/>
      <c r="H628" s="140"/>
      <c r="I628" s="49">
        <f>9.739</f>
        <v>9.7390000000000008</v>
      </c>
    </row>
    <row r="629" spans="1:11" s="44" customFormat="1" x14ac:dyDescent="0.25">
      <c r="A629" s="136">
        <v>5</v>
      </c>
      <c r="B629" s="136"/>
      <c r="C629" s="21" t="s">
        <v>165</v>
      </c>
      <c r="D629" s="21">
        <f>40.664*10.764</f>
        <v>437.70729599999999</v>
      </c>
      <c r="E629" s="21">
        <v>0</v>
      </c>
      <c r="F629" s="21">
        <f t="shared" si="50"/>
        <v>700.33167360000004</v>
      </c>
      <c r="G629" s="139"/>
      <c r="H629" s="140"/>
      <c r="I629" s="49">
        <v>2.5329999999999999</v>
      </c>
      <c r="J629" s="49"/>
      <c r="K629" s="49"/>
    </row>
    <row r="630" spans="1:11" s="50" customFormat="1" x14ac:dyDescent="0.25">
      <c r="A630" s="136">
        <v>6</v>
      </c>
      <c r="B630" s="136"/>
      <c r="C630" s="21" t="s">
        <v>184</v>
      </c>
      <c r="D630" s="21">
        <f>30.7*10.764</f>
        <v>330.45479999999998</v>
      </c>
      <c r="E630" s="21">
        <v>0</v>
      </c>
      <c r="F630" s="21">
        <f t="shared" si="50"/>
        <v>528.72767999999996</v>
      </c>
      <c r="G630" s="139"/>
      <c r="H630" s="140"/>
      <c r="I630" s="49">
        <v>10.725</v>
      </c>
      <c r="J630" s="49"/>
      <c r="K630" s="49"/>
    </row>
    <row r="631" spans="1:11" x14ac:dyDescent="0.25">
      <c r="A631" s="136">
        <v>7</v>
      </c>
      <c r="B631" s="136"/>
      <c r="C631" s="21" t="s">
        <v>184</v>
      </c>
      <c r="D631" s="21">
        <f>32.13*10.764</f>
        <v>345.84732000000002</v>
      </c>
      <c r="E631" s="21">
        <v>0</v>
      </c>
      <c r="F631" s="21">
        <f t="shared" si="50"/>
        <v>553.35571200000004</v>
      </c>
      <c r="G631" s="139"/>
      <c r="H631" s="140"/>
      <c r="I631" s="49">
        <v>7.9749999999999996</v>
      </c>
      <c r="J631" s="49"/>
      <c r="K631" s="49"/>
    </row>
    <row r="632" spans="1:11" x14ac:dyDescent="0.25">
      <c r="A632" s="136">
        <v>8</v>
      </c>
      <c r="B632" s="136"/>
      <c r="C632" s="21" t="s">
        <v>165</v>
      </c>
      <c r="D632" s="21">
        <f>41.623*10.764</f>
        <v>448.02997199999993</v>
      </c>
      <c r="E632" s="21">
        <v>0</v>
      </c>
      <c r="F632" s="21">
        <f t="shared" si="50"/>
        <v>716.84795519999989</v>
      </c>
      <c r="G632" s="141"/>
      <c r="H632" s="142"/>
      <c r="I632" s="49">
        <v>3.8210000000000002</v>
      </c>
      <c r="J632" s="49"/>
      <c r="K632" s="49"/>
    </row>
    <row r="633" spans="1:11" ht="15.75" customHeight="1" x14ac:dyDescent="0.25">
      <c r="A633" s="135" t="s">
        <v>193</v>
      </c>
      <c r="B633" s="135"/>
      <c r="C633" s="135"/>
      <c r="D633" s="135"/>
      <c r="E633" s="135"/>
      <c r="F633" s="135"/>
      <c r="G633" s="135"/>
      <c r="H633" s="135"/>
      <c r="I633" s="49"/>
      <c r="J633" s="49"/>
      <c r="K633" s="49"/>
    </row>
    <row r="634" spans="1:11" x14ac:dyDescent="0.25">
      <c r="A634" s="136">
        <v>1</v>
      </c>
      <c r="B634" s="136"/>
      <c r="C634" s="21" t="s">
        <v>165</v>
      </c>
      <c r="D634" s="21">
        <f>41.622*10.764</f>
        <v>448.01920799999999</v>
      </c>
      <c r="E634" s="21">
        <v>0</v>
      </c>
      <c r="F634" s="21">
        <f t="shared" ref="F634:F641" si="51">D634*1.6+E633</f>
        <v>716.83073280000008</v>
      </c>
      <c r="G634" s="137" t="str">
        <f>A633</f>
        <v>25th &amp; 26th Floor</v>
      </c>
      <c r="H634" s="138"/>
      <c r="I634" s="49"/>
      <c r="J634" s="49"/>
      <c r="K634" s="49"/>
    </row>
    <row r="635" spans="1:11" x14ac:dyDescent="0.25">
      <c r="A635" s="136">
        <v>2</v>
      </c>
      <c r="B635" s="136"/>
      <c r="C635" s="21" t="s">
        <v>165</v>
      </c>
      <c r="D635" s="21">
        <f>48.941*10.764</f>
        <v>526.80092400000001</v>
      </c>
      <c r="E635" s="21">
        <v>0</v>
      </c>
      <c r="F635" s="21">
        <f t="shared" si="51"/>
        <v>842.88147840000011</v>
      </c>
      <c r="G635" s="139"/>
      <c r="H635" s="140"/>
      <c r="I635" s="49"/>
      <c r="J635" s="49"/>
      <c r="K635" s="49"/>
    </row>
    <row r="636" spans="1:11" x14ac:dyDescent="0.25">
      <c r="A636" s="136">
        <v>3</v>
      </c>
      <c r="B636" s="136"/>
      <c r="C636" s="21" t="s">
        <v>165</v>
      </c>
      <c r="D636" s="21">
        <f>47.637*10.764</f>
        <v>512.76466800000003</v>
      </c>
      <c r="E636" s="21">
        <v>0</v>
      </c>
      <c r="F636" s="21">
        <f t="shared" si="51"/>
        <v>820.42346880000014</v>
      </c>
      <c r="G636" s="139"/>
      <c r="H636" s="140"/>
      <c r="I636" s="49"/>
      <c r="J636" s="49"/>
      <c r="K636" s="49"/>
    </row>
    <row r="637" spans="1:11" x14ac:dyDescent="0.25">
      <c r="A637" s="136">
        <v>4</v>
      </c>
      <c r="B637" s="136"/>
      <c r="C637" s="21" t="s">
        <v>165</v>
      </c>
      <c r="D637" s="21">
        <f>40.309*10.764</f>
        <v>433.88607599999995</v>
      </c>
      <c r="E637" s="21">
        <v>0</v>
      </c>
      <c r="F637" s="21">
        <f t="shared" si="51"/>
        <v>694.2177216</v>
      </c>
      <c r="G637" s="139"/>
      <c r="H637" s="140"/>
      <c r="I637" s="49">
        <f>9.739</f>
        <v>9.7390000000000008</v>
      </c>
      <c r="J637" s="49"/>
      <c r="K637" s="49"/>
    </row>
    <row r="638" spans="1:11" x14ac:dyDescent="0.25">
      <c r="A638" s="136">
        <v>5</v>
      </c>
      <c r="B638" s="136"/>
      <c r="C638" s="21" t="s">
        <v>165</v>
      </c>
      <c r="D638" s="21">
        <f>40.664*10.764</f>
        <v>437.70729599999999</v>
      </c>
      <c r="E638" s="21">
        <v>0</v>
      </c>
      <c r="F638" s="21">
        <f t="shared" si="51"/>
        <v>700.33167360000004</v>
      </c>
      <c r="G638" s="139"/>
      <c r="H638" s="140"/>
      <c r="I638" s="49">
        <v>2.5329999999999999</v>
      </c>
      <c r="J638" s="49"/>
      <c r="K638" s="49"/>
    </row>
    <row r="639" spans="1:11" x14ac:dyDescent="0.25">
      <c r="A639" s="136">
        <v>6</v>
      </c>
      <c r="B639" s="136"/>
      <c r="C639" s="21" t="s">
        <v>184</v>
      </c>
      <c r="D639" s="21">
        <f>30.7*10.764</f>
        <v>330.45479999999998</v>
      </c>
      <c r="E639" s="21">
        <v>0</v>
      </c>
      <c r="F639" s="21">
        <f t="shared" si="51"/>
        <v>528.72767999999996</v>
      </c>
      <c r="G639" s="139"/>
      <c r="H639" s="140"/>
      <c r="I639" s="49">
        <v>10.725</v>
      </c>
      <c r="J639" s="49"/>
      <c r="K639" s="49"/>
    </row>
    <row r="640" spans="1:11" x14ac:dyDescent="0.25">
      <c r="A640" s="136">
        <v>7</v>
      </c>
      <c r="B640" s="136"/>
      <c r="C640" s="21" t="s">
        <v>184</v>
      </c>
      <c r="D640" s="21">
        <f>32.13*10.764</f>
        <v>345.84732000000002</v>
      </c>
      <c r="E640" s="21">
        <v>0</v>
      </c>
      <c r="F640" s="21">
        <f t="shared" si="51"/>
        <v>553.35571200000004</v>
      </c>
      <c r="G640" s="139"/>
      <c r="H640" s="140"/>
      <c r="I640" s="49">
        <v>7.9749999999999996</v>
      </c>
      <c r="J640" s="49"/>
      <c r="K640" s="49"/>
    </row>
    <row r="641" spans="1:11" x14ac:dyDescent="0.25">
      <c r="A641" s="136">
        <v>8</v>
      </c>
      <c r="B641" s="136"/>
      <c r="C641" s="21" t="s">
        <v>165</v>
      </c>
      <c r="D641" s="21">
        <f>41.623*10.764</f>
        <v>448.02997199999993</v>
      </c>
      <c r="E641" s="21">
        <v>0</v>
      </c>
      <c r="F641" s="21">
        <f t="shared" si="51"/>
        <v>716.84795519999989</v>
      </c>
      <c r="G641" s="141"/>
      <c r="H641" s="142"/>
      <c r="I641" s="49">
        <v>3.8210000000000002</v>
      </c>
      <c r="J641" s="49"/>
      <c r="K641" s="49"/>
    </row>
    <row r="642" spans="1:11" x14ac:dyDescent="0.25">
      <c r="A642" s="135" t="s">
        <v>227</v>
      </c>
      <c r="B642" s="135"/>
      <c r="C642" s="135"/>
      <c r="D642" s="135"/>
      <c r="E642" s="135"/>
      <c r="F642" s="135"/>
      <c r="G642" s="135"/>
      <c r="H642" s="135"/>
      <c r="I642" s="49"/>
      <c r="J642" s="49"/>
      <c r="K642" s="49"/>
    </row>
    <row r="643" spans="1:11" x14ac:dyDescent="0.25">
      <c r="A643" s="184" t="s">
        <v>79</v>
      </c>
      <c r="B643" s="184"/>
      <c r="C643" s="184"/>
      <c r="D643" s="184"/>
      <c r="E643" s="184"/>
      <c r="F643" s="184"/>
      <c r="G643" s="184"/>
      <c r="H643" s="184"/>
      <c r="I643" s="44"/>
      <c r="J643" s="44"/>
      <c r="K643" s="44"/>
    </row>
    <row r="644" spans="1:11" ht="192" customHeight="1" x14ac:dyDescent="0.25">
      <c r="A644" s="193" t="s">
        <v>292</v>
      </c>
      <c r="B644" s="193"/>
      <c r="C644" s="193"/>
      <c r="D644" s="193"/>
      <c r="E644" s="193"/>
      <c r="F644" s="193"/>
      <c r="G644" s="193"/>
      <c r="H644" s="193"/>
      <c r="I644" s="50"/>
      <c r="J644" s="50"/>
      <c r="K644" s="50"/>
    </row>
    <row r="645" spans="1:11" x14ac:dyDescent="0.25">
      <c r="A645" s="173" t="s">
        <v>70</v>
      </c>
      <c r="B645" s="173"/>
      <c r="C645" s="173"/>
      <c r="D645" s="173"/>
      <c r="E645" s="173"/>
      <c r="F645" s="173"/>
      <c r="G645" s="173"/>
      <c r="H645" s="173"/>
    </row>
    <row r="646" spans="1:11" ht="15" customHeight="1" x14ac:dyDescent="0.25">
      <c r="A646" s="126" t="s">
        <v>71</v>
      </c>
      <c r="B646" s="126"/>
      <c r="C646" s="126"/>
      <c r="D646" s="126"/>
      <c r="E646" s="126"/>
      <c r="F646" s="126"/>
      <c r="G646" s="126"/>
      <c r="H646" s="126"/>
    </row>
    <row r="647" spans="1:11" x14ac:dyDescent="0.25">
      <c r="A647" s="173" t="s">
        <v>72</v>
      </c>
      <c r="B647" s="173"/>
      <c r="C647" s="173"/>
      <c r="D647" s="173"/>
      <c r="E647" s="173"/>
      <c r="F647" s="173"/>
      <c r="G647" s="173"/>
      <c r="H647" s="173"/>
    </row>
    <row r="648" spans="1:11" x14ac:dyDescent="0.25">
      <c r="A648" s="126" t="s">
        <v>73</v>
      </c>
      <c r="B648" s="126"/>
      <c r="C648" s="126"/>
      <c r="D648" s="126"/>
      <c r="E648" s="126"/>
      <c r="F648" s="126"/>
      <c r="G648" s="126"/>
      <c r="H648" s="126"/>
    </row>
    <row r="649" spans="1:11" x14ac:dyDescent="0.25">
      <c r="A649" s="126" t="s">
        <v>74</v>
      </c>
      <c r="B649" s="126"/>
      <c r="C649" s="126"/>
      <c r="D649" s="126"/>
      <c r="E649" s="126"/>
      <c r="F649" s="126"/>
      <c r="G649" s="126"/>
      <c r="H649" s="126"/>
    </row>
    <row r="650" spans="1:11" x14ac:dyDescent="0.25">
      <c r="A650" s="126" t="s">
        <v>75</v>
      </c>
      <c r="B650" s="126"/>
      <c r="C650" s="126"/>
      <c r="D650" s="126"/>
      <c r="E650" s="126"/>
      <c r="F650" s="126"/>
      <c r="G650" s="126"/>
      <c r="H650" s="126"/>
    </row>
    <row r="651" spans="1:11" x14ac:dyDescent="0.25">
      <c r="A651" s="162" t="s">
        <v>76</v>
      </c>
      <c r="B651" s="162"/>
      <c r="C651" s="162"/>
      <c r="D651" s="162"/>
      <c r="E651" s="162"/>
      <c r="F651" s="162"/>
      <c r="G651" s="162"/>
      <c r="H651" s="162"/>
    </row>
    <row r="652" spans="1:11" x14ac:dyDescent="0.25">
      <c r="A652" s="170" t="s">
        <v>114</v>
      </c>
      <c r="B652" s="170"/>
      <c r="C652" s="170" t="s">
        <v>291</v>
      </c>
      <c r="D652" s="170"/>
      <c r="E652" s="170" t="s">
        <v>147</v>
      </c>
      <c r="F652" s="170"/>
      <c r="G652" s="170" t="s">
        <v>290</v>
      </c>
      <c r="H652" s="170"/>
    </row>
    <row r="653" spans="1:11" x14ac:dyDescent="0.25">
      <c r="A653" s="169" t="s">
        <v>116</v>
      </c>
      <c r="B653" s="169"/>
      <c r="C653" s="169"/>
      <c r="D653" s="169"/>
      <c r="E653" s="169"/>
      <c r="F653" s="169"/>
      <c r="G653" s="169"/>
      <c r="H653" s="169"/>
    </row>
    <row r="654" spans="1:11" x14ac:dyDescent="0.25">
      <c r="A654" s="169"/>
      <c r="B654" s="169"/>
      <c r="C654" s="169"/>
      <c r="D654" s="169"/>
      <c r="E654" s="169"/>
      <c r="F654" s="169"/>
      <c r="G654" s="169"/>
      <c r="H654" s="169"/>
    </row>
    <row r="655" spans="1:11" x14ac:dyDescent="0.25">
      <c r="A655" s="169"/>
      <c r="B655" s="169"/>
      <c r="C655" s="169"/>
      <c r="D655" s="169"/>
      <c r="E655" s="169"/>
      <c r="F655" s="169"/>
      <c r="G655" s="169"/>
      <c r="H655" s="169"/>
    </row>
    <row r="656" spans="1:11" x14ac:dyDescent="0.25">
      <c r="A656" s="169"/>
      <c r="B656" s="169"/>
      <c r="C656" s="169"/>
      <c r="D656" s="169"/>
      <c r="E656" s="169"/>
      <c r="F656" s="169"/>
      <c r="G656" s="169"/>
      <c r="H656" s="169"/>
    </row>
    <row r="657" spans="1:8" x14ac:dyDescent="0.25">
      <c r="A657" s="51" t="s">
        <v>77</v>
      </c>
      <c r="B657" s="52"/>
      <c r="C657" s="52"/>
      <c r="D657" s="51" t="str">
        <f>E8</f>
        <v>Altavista</v>
      </c>
      <c r="F657" s="52"/>
      <c r="G657" s="52"/>
      <c r="H657" s="52"/>
    </row>
    <row r="658" spans="1:8" x14ac:dyDescent="0.25">
      <c r="A658" s="52"/>
      <c r="B658" s="52"/>
      <c r="C658" s="52"/>
      <c r="D658" s="52"/>
      <c r="E658" s="52"/>
      <c r="F658" s="52"/>
      <c r="G658" s="52"/>
      <c r="H658" s="52"/>
    </row>
    <row r="659" spans="1:8" x14ac:dyDescent="0.25">
      <c r="A659" s="52"/>
      <c r="B659" s="52"/>
      <c r="C659" s="52"/>
      <c r="D659" s="52"/>
      <c r="E659" s="52"/>
      <c r="F659" s="52"/>
      <c r="G659" s="52"/>
      <c r="H659" s="52"/>
    </row>
    <row r="700" spans="1:1" x14ac:dyDescent="0.25">
      <c r="A700" s="54" t="s">
        <v>78</v>
      </c>
    </row>
  </sheetData>
  <mergeCells count="918">
    <mergeCell ref="A50:B51"/>
    <mergeCell ref="C50:E50"/>
    <mergeCell ref="G50:H50"/>
    <mergeCell ref="C51:H51"/>
    <mergeCell ref="A164:B164"/>
    <mergeCell ref="C164:H164"/>
    <mergeCell ref="A166:B166"/>
    <mergeCell ref="C166:H166"/>
    <mergeCell ref="A167:B167"/>
    <mergeCell ref="E167:F167"/>
    <mergeCell ref="G167:H167"/>
    <mergeCell ref="A135:B135"/>
    <mergeCell ref="C135:D135"/>
    <mergeCell ref="E135:F135"/>
    <mergeCell ref="G135:H135"/>
    <mergeCell ref="A121:B121"/>
    <mergeCell ref="C121:H121"/>
    <mergeCell ref="A123:B123"/>
    <mergeCell ref="C123:H123"/>
    <mergeCell ref="A124:B124"/>
    <mergeCell ref="E124:F124"/>
    <mergeCell ref="G124:H124"/>
    <mergeCell ref="A125:B125"/>
    <mergeCell ref="E125:F134"/>
    <mergeCell ref="A168:B168"/>
    <mergeCell ref="E168:F177"/>
    <mergeCell ref="G168:H177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G125:H134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53:B53"/>
    <mergeCell ref="C53:E53"/>
    <mergeCell ref="E154:F163"/>
    <mergeCell ref="A106:B106"/>
    <mergeCell ref="E111:F120"/>
    <mergeCell ref="G111:H120"/>
    <mergeCell ref="A112:B112"/>
    <mergeCell ref="A113:B113"/>
    <mergeCell ref="A114:B114"/>
    <mergeCell ref="A115:B115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56:C56"/>
    <mergeCell ref="D56:H56"/>
    <mergeCell ref="D55:H55"/>
    <mergeCell ref="D59:H59"/>
    <mergeCell ref="D60:H60"/>
    <mergeCell ref="A105:B105"/>
    <mergeCell ref="A158:B158"/>
    <mergeCell ref="A159:B159"/>
    <mergeCell ref="A160:B160"/>
    <mergeCell ref="A102:B102"/>
    <mergeCell ref="A103:B103"/>
    <mergeCell ref="A104:B104"/>
    <mergeCell ref="A136:B136"/>
    <mergeCell ref="C136:H136"/>
    <mergeCell ref="A138:B138"/>
    <mergeCell ref="C138:H138"/>
    <mergeCell ref="A139:B139"/>
    <mergeCell ref="E139:F139"/>
    <mergeCell ref="G139:H139"/>
    <mergeCell ref="A140:B140"/>
    <mergeCell ref="E140:F149"/>
    <mergeCell ref="G140:H149"/>
    <mergeCell ref="A141:B141"/>
    <mergeCell ref="A142:B142"/>
    <mergeCell ref="A625:B625"/>
    <mergeCell ref="A642:H642"/>
    <mergeCell ref="A633:H633"/>
    <mergeCell ref="A634:B634"/>
    <mergeCell ref="G634:H641"/>
    <mergeCell ref="A635:B635"/>
    <mergeCell ref="A636:B636"/>
    <mergeCell ref="A637:B637"/>
    <mergeCell ref="A638:B638"/>
    <mergeCell ref="A639:B639"/>
    <mergeCell ref="A640:B640"/>
    <mergeCell ref="A641:B641"/>
    <mergeCell ref="G625:H632"/>
    <mergeCell ref="A626:B626"/>
    <mergeCell ref="A627:B627"/>
    <mergeCell ref="A628:B628"/>
    <mergeCell ref="A629:B629"/>
    <mergeCell ref="A613:B613"/>
    <mergeCell ref="C613:F614"/>
    <mergeCell ref="A614:B614"/>
    <mergeCell ref="A571:B571"/>
    <mergeCell ref="G564:H571"/>
    <mergeCell ref="C579:F580"/>
    <mergeCell ref="A581:H581"/>
    <mergeCell ref="G582:H589"/>
    <mergeCell ref="A389:H389"/>
    <mergeCell ref="A390:B390"/>
    <mergeCell ref="G390:H393"/>
    <mergeCell ref="A391:B391"/>
    <mergeCell ref="A392:B392"/>
    <mergeCell ref="A393:B393"/>
    <mergeCell ref="C391:F393"/>
    <mergeCell ref="A431:B431"/>
    <mergeCell ref="G431:H432"/>
    <mergeCell ref="A501:B501"/>
    <mergeCell ref="C501:F501"/>
    <mergeCell ref="A503:B503"/>
    <mergeCell ref="G503:H504"/>
    <mergeCell ref="A504:B504"/>
    <mergeCell ref="A486:H486"/>
    <mergeCell ref="A487:H487"/>
    <mergeCell ref="A610:B610"/>
    <mergeCell ref="A611:B611"/>
    <mergeCell ref="A612:B612"/>
    <mergeCell ref="A608:B608"/>
    <mergeCell ref="A609:B609"/>
    <mergeCell ref="A602:B602"/>
    <mergeCell ref="A590:H590"/>
    <mergeCell ref="A570:B570"/>
    <mergeCell ref="A567:B567"/>
    <mergeCell ref="A573:B573"/>
    <mergeCell ref="A574:B574"/>
    <mergeCell ref="A583:B583"/>
    <mergeCell ref="A591:H591"/>
    <mergeCell ref="A592:H592"/>
    <mergeCell ref="A578:B578"/>
    <mergeCell ref="A579:B579"/>
    <mergeCell ref="A575:B575"/>
    <mergeCell ref="A587:B587"/>
    <mergeCell ref="A588:B588"/>
    <mergeCell ref="C588:F589"/>
    <mergeCell ref="A589:B589"/>
    <mergeCell ref="G573:H580"/>
    <mergeCell ref="A584:B584"/>
    <mergeCell ref="A585:B585"/>
    <mergeCell ref="A624:H624"/>
    <mergeCell ref="A244:H244"/>
    <mergeCell ref="A245:H245"/>
    <mergeCell ref="A246:H246"/>
    <mergeCell ref="A247:H247"/>
    <mergeCell ref="A248:B248"/>
    <mergeCell ref="A249:B249"/>
    <mergeCell ref="A250:B250"/>
    <mergeCell ref="A251:B251"/>
    <mergeCell ref="A569:B569"/>
    <mergeCell ref="A563:H563"/>
    <mergeCell ref="A306:B306"/>
    <mergeCell ref="G306:H309"/>
    <mergeCell ref="A307:B307"/>
    <mergeCell ref="A308:B308"/>
    <mergeCell ref="A309:B309"/>
    <mergeCell ref="A394:H394"/>
    <mergeCell ref="A395:B395"/>
    <mergeCell ref="G395:H398"/>
    <mergeCell ref="A396:B396"/>
    <mergeCell ref="G278:H281"/>
    <mergeCell ref="A358:B358"/>
    <mergeCell ref="A386:H386"/>
    <mergeCell ref="A387:H387"/>
    <mergeCell ref="A615:H615"/>
    <mergeCell ref="A616:B616"/>
    <mergeCell ref="G616:H623"/>
    <mergeCell ref="A617:B617"/>
    <mergeCell ref="A618:B618"/>
    <mergeCell ref="A619:B619"/>
    <mergeCell ref="A620:B620"/>
    <mergeCell ref="A621:B621"/>
    <mergeCell ref="A622:B622"/>
    <mergeCell ref="C622:F623"/>
    <mergeCell ref="A623:B623"/>
    <mergeCell ref="A646:H646"/>
    <mergeCell ref="A586:B586"/>
    <mergeCell ref="A572:H572"/>
    <mergeCell ref="A599:B599"/>
    <mergeCell ref="A600:B600"/>
    <mergeCell ref="A593:B593"/>
    <mergeCell ref="A594:B594"/>
    <mergeCell ref="A595:B595"/>
    <mergeCell ref="A596:B596"/>
    <mergeCell ref="G593:H596"/>
    <mergeCell ref="A597:H597"/>
    <mergeCell ref="A598:B598"/>
    <mergeCell ref="G598:H605"/>
    <mergeCell ref="A603:B603"/>
    <mergeCell ref="A604:B604"/>
    <mergeCell ref="A605:B605"/>
    <mergeCell ref="A630:B630"/>
    <mergeCell ref="A631:B631"/>
    <mergeCell ref="A632:B632"/>
    <mergeCell ref="A606:H606"/>
    <mergeCell ref="A607:B607"/>
    <mergeCell ref="G607:H614"/>
    <mergeCell ref="A644:H644"/>
    <mergeCell ref="A645:H645"/>
    <mergeCell ref="A562:H562"/>
    <mergeCell ref="A294:B294"/>
    <mergeCell ref="A295:H295"/>
    <mergeCell ref="A296:B296"/>
    <mergeCell ref="G296:H299"/>
    <mergeCell ref="C250:F251"/>
    <mergeCell ref="G248:H251"/>
    <mergeCell ref="A285:H285"/>
    <mergeCell ref="A258:B258"/>
    <mergeCell ref="A286:B286"/>
    <mergeCell ref="C286:F287"/>
    <mergeCell ref="A287:B287"/>
    <mergeCell ref="G286:H289"/>
    <mergeCell ref="A326:B326"/>
    <mergeCell ref="A297:B297"/>
    <mergeCell ref="A341:H341"/>
    <mergeCell ref="A342:B342"/>
    <mergeCell ref="G342:H349"/>
    <mergeCell ref="A496:H496"/>
    <mergeCell ref="A497:H497"/>
    <mergeCell ref="A498:H498"/>
    <mergeCell ref="A499:H499"/>
    <mergeCell ref="A500:B500"/>
    <mergeCell ref="G500:H501"/>
    <mergeCell ref="G258:H261"/>
    <mergeCell ref="A259:B259"/>
    <mergeCell ref="D225:E225"/>
    <mergeCell ref="F225:H225"/>
    <mergeCell ref="A226:B226"/>
    <mergeCell ref="D226:E226"/>
    <mergeCell ref="F226:H226"/>
    <mergeCell ref="A227:H227"/>
    <mergeCell ref="A561:H561"/>
    <mergeCell ref="A240:B240"/>
    <mergeCell ref="D240:E240"/>
    <mergeCell ref="G243:H243"/>
    <mergeCell ref="A235:B235"/>
    <mergeCell ref="D235:E235"/>
    <mergeCell ref="F235:H235"/>
    <mergeCell ref="A236:B236"/>
    <mergeCell ref="D236:E236"/>
    <mergeCell ref="A232:B232"/>
    <mergeCell ref="F236:H236"/>
    <mergeCell ref="D232:E232"/>
    <mergeCell ref="A237:B237"/>
    <mergeCell ref="D237:E237"/>
    <mergeCell ref="F237:H237"/>
    <mergeCell ref="A234:B234"/>
    <mergeCell ref="A601:B601"/>
    <mergeCell ref="F239:H239"/>
    <mergeCell ref="G253:H256"/>
    <mergeCell ref="A254:B254"/>
    <mergeCell ref="A255:B255"/>
    <mergeCell ref="A284:H284"/>
    <mergeCell ref="A288:B288"/>
    <mergeCell ref="A289:B289"/>
    <mergeCell ref="A320:H320"/>
    <mergeCell ref="A290:H290"/>
    <mergeCell ref="A291:B291"/>
    <mergeCell ref="G291:H294"/>
    <mergeCell ref="A292:B292"/>
    <mergeCell ref="A293:B293"/>
    <mergeCell ref="A305:H305"/>
    <mergeCell ref="A242:H242"/>
    <mergeCell ref="A281:B281"/>
    <mergeCell ref="A261:B261"/>
    <mergeCell ref="A299:B299"/>
    <mergeCell ref="A283:H283"/>
    <mergeCell ref="A282:H282"/>
    <mergeCell ref="A256:B256"/>
    <mergeCell ref="A257:H257"/>
    <mergeCell ref="A522:H522"/>
    <mergeCell ref="G47:H47"/>
    <mergeCell ref="A47:B47"/>
    <mergeCell ref="A48:B49"/>
    <mergeCell ref="G48:H48"/>
    <mergeCell ref="A643:H643"/>
    <mergeCell ref="A59:C59"/>
    <mergeCell ref="A60:C60"/>
    <mergeCell ref="A61:C61"/>
    <mergeCell ref="D61:H61"/>
    <mergeCell ref="A192:H192"/>
    <mergeCell ref="A198:E198"/>
    <mergeCell ref="A195:H195"/>
    <mergeCell ref="F240:H240"/>
    <mergeCell ref="A239:B239"/>
    <mergeCell ref="D239:E239"/>
    <mergeCell ref="A241:H241"/>
    <mergeCell ref="A582:B582"/>
    <mergeCell ref="A580:B580"/>
    <mergeCell ref="A576:B576"/>
    <mergeCell ref="A577:B577"/>
    <mergeCell ref="F228:H228"/>
    <mergeCell ref="A225:B225"/>
    <mergeCell ref="A228:B228"/>
    <mergeCell ref="D228:E228"/>
    <mergeCell ref="A24:D24"/>
    <mergeCell ref="A25:D25"/>
    <mergeCell ref="E25:H25"/>
    <mergeCell ref="E24:H24"/>
    <mergeCell ref="A26:D26"/>
    <mergeCell ref="E26:H26"/>
    <mergeCell ref="A23:D23"/>
    <mergeCell ref="E23:H23"/>
    <mergeCell ref="A18:B18"/>
    <mergeCell ref="C18:D18"/>
    <mergeCell ref="E18:F18"/>
    <mergeCell ref="G18:H18"/>
    <mergeCell ref="A19:B19"/>
    <mergeCell ref="A20:D21"/>
    <mergeCell ref="E20:H21"/>
    <mergeCell ref="A22:D22"/>
    <mergeCell ref="E22:H22"/>
    <mergeCell ref="C19:D19"/>
    <mergeCell ref="E19:F19"/>
    <mergeCell ref="G19:H19"/>
    <mergeCell ref="A11:D11"/>
    <mergeCell ref="E11:H11"/>
    <mergeCell ref="A17:B17"/>
    <mergeCell ref="C17:D17"/>
    <mergeCell ref="E17:F17"/>
    <mergeCell ref="G17:H17"/>
    <mergeCell ref="A15:B15"/>
    <mergeCell ref="A12:D12"/>
    <mergeCell ref="E12:H12"/>
    <mergeCell ref="A13:D13"/>
    <mergeCell ref="E13:H13"/>
    <mergeCell ref="A14:B14"/>
    <mergeCell ref="C14:H14"/>
    <mergeCell ref="C15:H15"/>
    <mergeCell ref="A16:B16"/>
    <mergeCell ref="C16:D16"/>
    <mergeCell ref="E16:F16"/>
    <mergeCell ref="G16:H1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9:D9"/>
    <mergeCell ref="E9:H9"/>
    <mergeCell ref="E27:H27"/>
    <mergeCell ref="A40:D40"/>
    <mergeCell ref="E40:H40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C30:E30"/>
    <mergeCell ref="C31:E31"/>
    <mergeCell ref="A32:B32"/>
    <mergeCell ref="C32:E32"/>
    <mergeCell ref="A33:B33"/>
    <mergeCell ref="A36:B36"/>
    <mergeCell ref="C33:E33"/>
    <mergeCell ref="C34:E34"/>
    <mergeCell ref="A30:B30"/>
    <mergeCell ref="A653:H656"/>
    <mergeCell ref="A652:B652"/>
    <mergeCell ref="E652:F652"/>
    <mergeCell ref="C652:D652"/>
    <mergeCell ref="G652:H652"/>
    <mergeCell ref="A224:H224"/>
    <mergeCell ref="A207:E207"/>
    <mergeCell ref="F207:H207"/>
    <mergeCell ref="A208:E208"/>
    <mergeCell ref="F208:H208"/>
    <mergeCell ref="D238:E238"/>
    <mergeCell ref="F238:H238"/>
    <mergeCell ref="A243:B243"/>
    <mergeCell ref="A560:H560"/>
    <mergeCell ref="A238:B238"/>
    <mergeCell ref="A568:B568"/>
    <mergeCell ref="A647:H647"/>
    <mergeCell ref="A648:H648"/>
    <mergeCell ref="A649:H649"/>
    <mergeCell ref="A650:H650"/>
    <mergeCell ref="A651:H651"/>
    <mergeCell ref="A564:B564"/>
    <mergeCell ref="A565:B565"/>
    <mergeCell ref="A566:B566"/>
    <mergeCell ref="A196:E196"/>
    <mergeCell ref="A54:H54"/>
    <mergeCell ref="A55:C55"/>
    <mergeCell ref="F196:H196"/>
    <mergeCell ref="A193:H193"/>
    <mergeCell ref="A194:B194"/>
    <mergeCell ref="G52:H52"/>
    <mergeCell ref="A52:B52"/>
    <mergeCell ref="C52:E52"/>
    <mergeCell ref="A182:B182"/>
    <mergeCell ref="E182:F191"/>
    <mergeCell ref="G182:H191"/>
    <mergeCell ref="G53:H53"/>
    <mergeCell ref="A150:B150"/>
    <mergeCell ref="C150:H150"/>
    <mergeCell ref="A152:B152"/>
    <mergeCell ref="C152:H152"/>
    <mergeCell ref="A153:B153"/>
    <mergeCell ref="E153:F153"/>
    <mergeCell ref="G153:H153"/>
    <mergeCell ref="A107:B107"/>
    <mergeCell ref="C107:H107"/>
    <mergeCell ref="A109:B109"/>
    <mergeCell ref="C109:H109"/>
    <mergeCell ref="A191:B191"/>
    <mergeCell ref="G66:H67"/>
    <mergeCell ref="A183:B183"/>
    <mergeCell ref="A184:B184"/>
    <mergeCell ref="A185:B185"/>
    <mergeCell ref="F33:H33"/>
    <mergeCell ref="F34:H34"/>
    <mergeCell ref="F30:H30"/>
    <mergeCell ref="A31:B31"/>
    <mergeCell ref="C46:E46"/>
    <mergeCell ref="A41:D41"/>
    <mergeCell ref="E41:H41"/>
    <mergeCell ref="E42:H42"/>
    <mergeCell ref="C49:H49"/>
    <mergeCell ref="C47:E47"/>
    <mergeCell ref="C48:E48"/>
    <mergeCell ref="A46:B46"/>
    <mergeCell ref="E43:H43"/>
    <mergeCell ref="E44:H44"/>
    <mergeCell ref="A42:D42"/>
    <mergeCell ref="A43:D43"/>
    <mergeCell ref="A44:D44"/>
    <mergeCell ref="A45:H45"/>
    <mergeCell ref="G46:H46"/>
    <mergeCell ref="D57:H57"/>
    <mergeCell ref="A57:C57"/>
    <mergeCell ref="A58:C58"/>
    <mergeCell ref="D58:H58"/>
    <mergeCell ref="A119:B119"/>
    <mergeCell ref="A120:B120"/>
    <mergeCell ref="A89:B89"/>
    <mergeCell ref="C79:H79"/>
    <mergeCell ref="C81:H81"/>
    <mergeCell ref="E82:F82"/>
    <mergeCell ref="G82:H82"/>
    <mergeCell ref="E83:F92"/>
    <mergeCell ref="G83:H92"/>
    <mergeCell ref="A90:B90"/>
    <mergeCell ref="A91:B91"/>
    <mergeCell ref="A92:B92"/>
    <mergeCell ref="D234:E234"/>
    <mergeCell ref="F234:H234"/>
    <mergeCell ref="A279:B279"/>
    <mergeCell ref="A280:B280"/>
    <mergeCell ref="A252:H252"/>
    <mergeCell ref="A253:B253"/>
    <mergeCell ref="A267:H267"/>
    <mergeCell ref="A268:B268"/>
    <mergeCell ref="G268:H271"/>
    <mergeCell ref="A269:B269"/>
    <mergeCell ref="A270:B270"/>
    <mergeCell ref="A271:B271"/>
    <mergeCell ref="A272:H272"/>
    <mergeCell ref="A273:B273"/>
    <mergeCell ref="G273:H276"/>
    <mergeCell ref="A274:B274"/>
    <mergeCell ref="A275:B275"/>
    <mergeCell ref="A276:B276"/>
    <mergeCell ref="A277:H277"/>
    <mergeCell ref="A278:B278"/>
    <mergeCell ref="A260:B260"/>
    <mergeCell ref="A262:H262"/>
    <mergeCell ref="A263:B263"/>
    <mergeCell ref="G263:H266"/>
    <mergeCell ref="A523:H523"/>
    <mergeCell ref="A524:H524"/>
    <mergeCell ref="A525:B525"/>
    <mergeCell ref="G525:H529"/>
    <mergeCell ref="A424:H424"/>
    <mergeCell ref="A425:H425"/>
    <mergeCell ref="A426:H426"/>
    <mergeCell ref="A427:H427"/>
    <mergeCell ref="A428:B428"/>
    <mergeCell ref="G428:H429"/>
    <mergeCell ref="A429:B429"/>
    <mergeCell ref="C429:F429"/>
    <mergeCell ref="A430:H430"/>
    <mergeCell ref="A432:B432"/>
    <mergeCell ref="A453:H453"/>
    <mergeCell ref="A442:H442"/>
    <mergeCell ref="A443:B443"/>
    <mergeCell ref="G443:H444"/>
    <mergeCell ref="A444:B444"/>
    <mergeCell ref="A435:B435"/>
    <mergeCell ref="A445:H445"/>
    <mergeCell ref="C449:F449"/>
    <mergeCell ref="A490:B490"/>
    <mergeCell ref="G490:H494"/>
    <mergeCell ref="A491:B491"/>
    <mergeCell ref="A493:B493"/>
    <mergeCell ref="A494:B494"/>
    <mergeCell ref="A531:B531"/>
    <mergeCell ref="G531:H535"/>
    <mergeCell ref="A532:B532"/>
    <mergeCell ref="A533:B533"/>
    <mergeCell ref="A534:B534"/>
    <mergeCell ref="A535:B535"/>
    <mergeCell ref="A505:H505"/>
    <mergeCell ref="A506:B506"/>
    <mergeCell ref="G506:H508"/>
    <mergeCell ref="A508:B508"/>
    <mergeCell ref="A507:B507"/>
    <mergeCell ref="A515:B515"/>
    <mergeCell ref="A516:B516"/>
    <mergeCell ref="A517:H517"/>
    <mergeCell ref="A518:B518"/>
    <mergeCell ref="G518:H520"/>
    <mergeCell ref="A519:B519"/>
    <mergeCell ref="A527:B527"/>
    <mergeCell ref="A528:B528"/>
    <mergeCell ref="A529:B529"/>
    <mergeCell ref="C525:F526"/>
    <mergeCell ref="A520:B520"/>
    <mergeCell ref="A344:B344"/>
    <mergeCell ref="A345:B345"/>
    <mergeCell ref="A346:B346"/>
    <mergeCell ref="A492:B492"/>
    <mergeCell ref="C490:F492"/>
    <mergeCell ref="C477:F477"/>
    <mergeCell ref="A479:H479"/>
    <mergeCell ref="A480:B480"/>
    <mergeCell ref="A400:B400"/>
    <mergeCell ref="G400:H403"/>
    <mergeCell ref="A401:B401"/>
    <mergeCell ref="A402:B402"/>
    <mergeCell ref="A403:B403"/>
    <mergeCell ref="A350:H350"/>
    <mergeCell ref="A351:B351"/>
    <mergeCell ref="G351:H358"/>
    <mergeCell ref="A352:B352"/>
    <mergeCell ref="A488:H488"/>
    <mergeCell ref="A489:H489"/>
    <mergeCell ref="A368:H368"/>
    <mergeCell ref="A369:B369"/>
    <mergeCell ref="A372:B372"/>
    <mergeCell ref="A373:B373"/>
    <mergeCell ref="A530:H530"/>
    <mergeCell ref="A454:B454"/>
    <mergeCell ref="G454:H457"/>
    <mergeCell ref="A455:B455"/>
    <mergeCell ref="A456:B456"/>
    <mergeCell ref="A457:B457"/>
    <mergeCell ref="A495:H495"/>
    <mergeCell ref="A502:H502"/>
    <mergeCell ref="A458:H458"/>
    <mergeCell ref="A459:B459"/>
    <mergeCell ref="A460:B460"/>
    <mergeCell ref="A461:B461"/>
    <mergeCell ref="A462:B462"/>
    <mergeCell ref="A463:B463"/>
    <mergeCell ref="A464:B464"/>
    <mergeCell ref="G459:H464"/>
    <mergeCell ref="G480:H485"/>
    <mergeCell ref="A481:B481"/>
    <mergeCell ref="A482:B482"/>
    <mergeCell ref="A483:B483"/>
    <mergeCell ref="A484:B484"/>
    <mergeCell ref="A485:B485"/>
    <mergeCell ref="A521:H521"/>
    <mergeCell ref="A526:B526"/>
    <mergeCell ref="A264:B264"/>
    <mergeCell ref="A265:B265"/>
    <mergeCell ref="A266:B266"/>
    <mergeCell ref="A300:H300"/>
    <mergeCell ref="A301:B301"/>
    <mergeCell ref="G301:H304"/>
    <mergeCell ref="A302:B302"/>
    <mergeCell ref="A303:B303"/>
    <mergeCell ref="A304:B304"/>
    <mergeCell ref="A298:B298"/>
    <mergeCell ref="A343:B343"/>
    <mergeCell ref="A347:B347"/>
    <mergeCell ref="A328:B328"/>
    <mergeCell ref="A329:B329"/>
    <mergeCell ref="A348:B348"/>
    <mergeCell ref="A349:B349"/>
    <mergeCell ref="A404:H404"/>
    <mergeCell ref="A330:B330"/>
    <mergeCell ref="A331:B331"/>
    <mergeCell ref="C330:F331"/>
    <mergeCell ref="G324:H331"/>
    <mergeCell ref="A339:B339"/>
    <mergeCell ref="A340:B340"/>
    <mergeCell ref="G333:H340"/>
    <mergeCell ref="A332:H332"/>
    <mergeCell ref="A333:B333"/>
    <mergeCell ref="A334:B334"/>
    <mergeCell ref="A335:B335"/>
    <mergeCell ref="A336:B336"/>
    <mergeCell ref="A337:B337"/>
    <mergeCell ref="A338:B338"/>
    <mergeCell ref="A325:B325"/>
    <mergeCell ref="A397:B397"/>
    <mergeCell ref="A388:H388"/>
    <mergeCell ref="A374:B374"/>
    <mergeCell ref="A375:B375"/>
    <mergeCell ref="A376:B376"/>
    <mergeCell ref="A353:B353"/>
    <mergeCell ref="A354:B354"/>
    <mergeCell ref="A359:H359"/>
    <mergeCell ref="A360:B360"/>
    <mergeCell ref="G360:H367"/>
    <mergeCell ref="A361:B361"/>
    <mergeCell ref="A362:B362"/>
    <mergeCell ref="A363:B363"/>
    <mergeCell ref="A364:B364"/>
    <mergeCell ref="A365:B365"/>
    <mergeCell ref="A366:B366"/>
    <mergeCell ref="A367:B367"/>
    <mergeCell ref="C362:F363"/>
    <mergeCell ref="A355:B355"/>
    <mergeCell ref="A356:B356"/>
    <mergeCell ref="A357:B357"/>
    <mergeCell ref="A370:B370"/>
    <mergeCell ref="A371:B371"/>
    <mergeCell ref="G369:H376"/>
    <mergeCell ref="A327:B327"/>
    <mergeCell ref="C326:F327"/>
    <mergeCell ref="A321:H321"/>
    <mergeCell ref="A322:H322"/>
    <mergeCell ref="A323:H323"/>
    <mergeCell ref="A324:B324"/>
    <mergeCell ref="A310:H310"/>
    <mergeCell ref="A311:B311"/>
    <mergeCell ref="G311:H314"/>
    <mergeCell ref="A312:B312"/>
    <mergeCell ref="A313:B313"/>
    <mergeCell ref="A314:B314"/>
    <mergeCell ref="A315:H315"/>
    <mergeCell ref="A316:B316"/>
    <mergeCell ref="G316:H319"/>
    <mergeCell ref="A317:B317"/>
    <mergeCell ref="A318:B318"/>
    <mergeCell ref="A319:B319"/>
    <mergeCell ref="A409:H409"/>
    <mergeCell ref="A377:H377"/>
    <mergeCell ref="A378:B378"/>
    <mergeCell ref="G378:H385"/>
    <mergeCell ref="A379:B379"/>
    <mergeCell ref="A380:B380"/>
    <mergeCell ref="C380:F381"/>
    <mergeCell ref="A381:B381"/>
    <mergeCell ref="A382:B382"/>
    <mergeCell ref="A383:B383"/>
    <mergeCell ref="A384:B384"/>
    <mergeCell ref="A385:B385"/>
    <mergeCell ref="A399:H399"/>
    <mergeCell ref="A405:B405"/>
    <mergeCell ref="G405:H408"/>
    <mergeCell ref="A406:B406"/>
    <mergeCell ref="A407:B407"/>
    <mergeCell ref="A408:B408"/>
    <mergeCell ref="A398:B398"/>
    <mergeCell ref="A410:B410"/>
    <mergeCell ref="G410:H413"/>
    <mergeCell ref="A411:B411"/>
    <mergeCell ref="A412:B412"/>
    <mergeCell ref="A413:B413"/>
    <mergeCell ref="A414:H414"/>
    <mergeCell ref="A415:B415"/>
    <mergeCell ref="G415:H418"/>
    <mergeCell ref="A416:B416"/>
    <mergeCell ref="A417:B417"/>
    <mergeCell ref="A418:B418"/>
    <mergeCell ref="A536:H536"/>
    <mergeCell ref="A537:B537"/>
    <mergeCell ref="G537:H541"/>
    <mergeCell ref="A538:B538"/>
    <mergeCell ref="A539:B539"/>
    <mergeCell ref="A540:B540"/>
    <mergeCell ref="A541:B541"/>
    <mergeCell ref="A436:H436"/>
    <mergeCell ref="A437:B437"/>
    <mergeCell ref="G437:H438"/>
    <mergeCell ref="A438:B438"/>
    <mergeCell ref="A465:H465"/>
    <mergeCell ref="A466:B466"/>
    <mergeCell ref="G466:H471"/>
    <mergeCell ref="A467:B467"/>
    <mergeCell ref="A468:B468"/>
    <mergeCell ref="A469:B469"/>
    <mergeCell ref="A470:B470"/>
    <mergeCell ref="A471:B471"/>
    <mergeCell ref="A509:H509"/>
    <mergeCell ref="A510:B510"/>
    <mergeCell ref="G510:H512"/>
    <mergeCell ref="A511:B511"/>
    <mergeCell ref="A512:B512"/>
    <mergeCell ref="A542:H542"/>
    <mergeCell ref="A543:B543"/>
    <mergeCell ref="G543:H547"/>
    <mergeCell ref="A544:B544"/>
    <mergeCell ref="A545:B545"/>
    <mergeCell ref="A546:B546"/>
    <mergeCell ref="A547:B547"/>
    <mergeCell ref="C469:F469"/>
    <mergeCell ref="A439:H439"/>
    <mergeCell ref="A440:B440"/>
    <mergeCell ref="G440:H441"/>
    <mergeCell ref="A441:B441"/>
    <mergeCell ref="A472:H472"/>
    <mergeCell ref="A473:B473"/>
    <mergeCell ref="G473:H478"/>
    <mergeCell ref="A474:B474"/>
    <mergeCell ref="A475:B475"/>
    <mergeCell ref="A476:B476"/>
    <mergeCell ref="C476:F476"/>
    <mergeCell ref="A477:B477"/>
    <mergeCell ref="A478:B478"/>
    <mergeCell ref="A513:H513"/>
    <mergeCell ref="A514:B514"/>
    <mergeCell ref="G514:H516"/>
    <mergeCell ref="A548:H548"/>
    <mergeCell ref="A549:B549"/>
    <mergeCell ref="G549:H553"/>
    <mergeCell ref="A550:B550"/>
    <mergeCell ref="A551:B551"/>
    <mergeCell ref="A552:B552"/>
    <mergeCell ref="A553:B553"/>
    <mergeCell ref="A554:H554"/>
    <mergeCell ref="A555:B555"/>
    <mergeCell ref="G555:H559"/>
    <mergeCell ref="A556:B556"/>
    <mergeCell ref="A557:B557"/>
    <mergeCell ref="A558:B558"/>
    <mergeCell ref="A559:B559"/>
    <mergeCell ref="A419:H419"/>
    <mergeCell ref="A420:B420"/>
    <mergeCell ref="G420:H423"/>
    <mergeCell ref="A421:B421"/>
    <mergeCell ref="A422:B422"/>
    <mergeCell ref="A423:B423"/>
    <mergeCell ref="A433:H433"/>
    <mergeCell ref="A434:B434"/>
    <mergeCell ref="G434:H435"/>
    <mergeCell ref="A446:H446"/>
    <mergeCell ref="A447:H447"/>
    <mergeCell ref="A448:H448"/>
    <mergeCell ref="A449:B449"/>
    <mergeCell ref="G449:H452"/>
    <mergeCell ref="A450:B450"/>
    <mergeCell ref="A451:B451"/>
    <mergeCell ref="A452:B452"/>
    <mergeCell ref="C451:F452"/>
    <mergeCell ref="F232:H232"/>
    <mergeCell ref="A233:B233"/>
    <mergeCell ref="D233:E233"/>
    <mergeCell ref="F233:H233"/>
    <mergeCell ref="A229:B229"/>
    <mergeCell ref="D229:E229"/>
    <mergeCell ref="F229:H229"/>
    <mergeCell ref="A230:B230"/>
    <mergeCell ref="D230:E230"/>
    <mergeCell ref="F230:H230"/>
    <mergeCell ref="A231:B231"/>
    <mergeCell ref="D231:E231"/>
    <mergeCell ref="F231:H231"/>
    <mergeCell ref="A213:E213"/>
    <mergeCell ref="F213:H213"/>
    <mergeCell ref="A214:E214"/>
    <mergeCell ref="F214:H214"/>
    <mergeCell ref="A202:E202"/>
    <mergeCell ref="F203:H203"/>
    <mergeCell ref="C194:H194"/>
    <mergeCell ref="F197:H197"/>
    <mergeCell ref="A197:E197"/>
    <mergeCell ref="F200:H200"/>
    <mergeCell ref="A204:E204"/>
    <mergeCell ref="F204:H204"/>
    <mergeCell ref="A205:E205"/>
    <mergeCell ref="F205:H205"/>
    <mergeCell ref="F202:H202"/>
    <mergeCell ref="A203:E203"/>
    <mergeCell ref="A206:E206"/>
    <mergeCell ref="F206:H206"/>
    <mergeCell ref="A201:E201"/>
    <mergeCell ref="F201:H201"/>
    <mergeCell ref="A199:E199"/>
    <mergeCell ref="F199:H199"/>
    <mergeCell ref="F198:H198"/>
    <mergeCell ref="A200:E200"/>
    <mergeCell ref="A220:E220"/>
    <mergeCell ref="F220:H220"/>
    <mergeCell ref="A221:E221"/>
    <mergeCell ref="F221:H221"/>
    <mergeCell ref="A222:E222"/>
    <mergeCell ref="F222:H222"/>
    <mergeCell ref="A223:E223"/>
    <mergeCell ref="F223:H223"/>
    <mergeCell ref="A209:H209"/>
    <mergeCell ref="A215:E215"/>
    <mergeCell ref="F215:H215"/>
    <mergeCell ref="A216:E216"/>
    <mergeCell ref="F216:H216"/>
    <mergeCell ref="A217:E217"/>
    <mergeCell ref="F217:H217"/>
    <mergeCell ref="A218:E218"/>
    <mergeCell ref="F218:H218"/>
    <mergeCell ref="A219:E219"/>
    <mergeCell ref="F219:H219"/>
    <mergeCell ref="A210:H210"/>
    <mergeCell ref="A211:E211"/>
    <mergeCell ref="F211:H211"/>
    <mergeCell ref="A212:E212"/>
    <mergeCell ref="F212:H212"/>
    <mergeCell ref="A186:B186"/>
    <mergeCell ref="A187:B187"/>
    <mergeCell ref="A188:B188"/>
    <mergeCell ref="A189:B189"/>
    <mergeCell ref="A190:B190"/>
    <mergeCell ref="A79:B79"/>
    <mergeCell ref="A81:B81"/>
    <mergeCell ref="A82:B82"/>
    <mergeCell ref="A83:B83"/>
    <mergeCell ref="A84:B84"/>
    <mergeCell ref="A85:B85"/>
    <mergeCell ref="A86:B86"/>
    <mergeCell ref="A87:B87"/>
    <mergeCell ref="A88:B88"/>
    <mergeCell ref="A154:B154"/>
    <mergeCell ref="A180:B180"/>
    <mergeCell ref="A116:B116"/>
    <mergeCell ref="A117:B117"/>
    <mergeCell ref="A118:B118"/>
    <mergeCell ref="A110:B110"/>
    <mergeCell ref="A111:B111"/>
    <mergeCell ref="A161:B161"/>
    <mergeCell ref="A162:B162"/>
    <mergeCell ref="A163:B163"/>
    <mergeCell ref="I10:L10"/>
    <mergeCell ref="A37:B37"/>
    <mergeCell ref="C37:H37"/>
    <mergeCell ref="C36:H36"/>
    <mergeCell ref="A178:B178"/>
    <mergeCell ref="C178:H178"/>
    <mergeCell ref="A63:B63"/>
    <mergeCell ref="C63:H63"/>
    <mergeCell ref="A71:B71"/>
    <mergeCell ref="A66:B67"/>
    <mergeCell ref="C66:D67"/>
    <mergeCell ref="E66:F67"/>
    <mergeCell ref="A62:C62"/>
    <mergeCell ref="D62:H62"/>
    <mergeCell ref="A65:B65"/>
    <mergeCell ref="C65:H65"/>
    <mergeCell ref="A68:B68"/>
    <mergeCell ref="E68:F68"/>
    <mergeCell ref="G68:H68"/>
    <mergeCell ref="A69:B69"/>
    <mergeCell ref="E69:F78"/>
    <mergeCell ref="G69:H78"/>
    <mergeCell ref="A70:B70"/>
    <mergeCell ref="A27:D27"/>
    <mergeCell ref="C180:H180"/>
    <mergeCell ref="A181:B181"/>
    <mergeCell ref="E181:F181"/>
    <mergeCell ref="G181:H181"/>
    <mergeCell ref="A72:B72"/>
    <mergeCell ref="A73:B73"/>
    <mergeCell ref="A77:B77"/>
    <mergeCell ref="A78:B78"/>
    <mergeCell ref="A74:B74"/>
    <mergeCell ref="A75:B75"/>
    <mergeCell ref="A76:B76"/>
    <mergeCell ref="G154:H163"/>
    <mergeCell ref="A155:B155"/>
    <mergeCell ref="A156:B156"/>
    <mergeCell ref="A157:B157"/>
    <mergeCell ref="E110:F110"/>
    <mergeCell ref="G110:H110"/>
    <mergeCell ref="A143:B143"/>
    <mergeCell ref="A144:B144"/>
    <mergeCell ref="A145:B145"/>
    <mergeCell ref="A146:B146"/>
    <mergeCell ref="A147:B147"/>
    <mergeCell ref="A148:B148"/>
    <mergeCell ref="A149:B149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&amp;P</oddFooter>
  </headerFooter>
  <rowBreaks count="5" manualBreakCount="5">
    <brk id="106" max="7" man="1"/>
    <brk id="163" max="7" man="1"/>
    <brk id="223" max="7" man="1"/>
    <brk id="656" max="7" man="1"/>
    <brk id="699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197" sqref="M197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80</v>
      </c>
      <c r="C2" s="201"/>
      <c r="D2" s="201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81</v>
      </c>
      <c r="B4" s="3" t="s">
        <v>82</v>
      </c>
      <c r="C4" s="202" t="s">
        <v>83</v>
      </c>
      <c r="D4" s="202"/>
      <c r="E4" s="202"/>
      <c r="F4" s="4"/>
      <c r="G4" s="202" t="s">
        <v>84</v>
      </c>
      <c r="H4" s="202"/>
      <c r="I4" s="202"/>
      <c r="J4" s="202" t="s">
        <v>85</v>
      </c>
      <c r="K4" s="202"/>
      <c r="L4" s="202"/>
    </row>
    <row r="5" spans="1:12" x14ac:dyDescent="0.25">
      <c r="A5" s="1">
        <v>202</v>
      </c>
      <c r="B5" s="3"/>
      <c r="C5" s="3" t="s">
        <v>86</v>
      </c>
      <c r="D5" s="3" t="s">
        <v>87</v>
      </c>
      <c r="E5" s="3" t="s">
        <v>61</v>
      </c>
      <c r="F5" s="3"/>
      <c r="G5" s="3" t="s">
        <v>86</v>
      </c>
      <c r="H5" s="3" t="s">
        <v>87</v>
      </c>
      <c r="I5" s="3" t="s">
        <v>61</v>
      </c>
      <c r="J5" s="3" t="s">
        <v>86</v>
      </c>
      <c r="K5" s="3" t="s">
        <v>87</v>
      </c>
      <c r="L5" s="3" t="s">
        <v>61</v>
      </c>
    </row>
    <row r="6" spans="1:12" x14ac:dyDescent="0.25">
      <c r="B6" s="5" t="s">
        <v>88</v>
      </c>
      <c r="C6" s="5">
        <v>4.5</v>
      </c>
      <c r="D6" s="5">
        <v>2.9</v>
      </c>
      <c r="E6" s="5">
        <f>C6*D6</f>
        <v>13.049999999999999</v>
      </c>
      <c r="F6" s="5" t="s">
        <v>89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90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91</v>
      </c>
      <c r="C9" s="5">
        <v>1.88</v>
      </c>
      <c r="D9" s="5">
        <v>2.13</v>
      </c>
      <c r="E9" s="5">
        <f t="shared" si="0"/>
        <v>4.0043999999999995</v>
      </c>
      <c r="F9" s="5" t="s">
        <v>89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90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92</v>
      </c>
      <c r="C13" s="5"/>
      <c r="D13" s="5"/>
      <c r="E13" s="5">
        <f t="shared" si="0"/>
        <v>0</v>
      </c>
      <c r="F13" s="5" t="s">
        <v>89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90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93</v>
      </c>
      <c r="C17" s="5"/>
      <c r="D17" s="5"/>
      <c r="E17" s="5">
        <f t="shared" si="0"/>
        <v>0</v>
      </c>
      <c r="F17" s="5" t="s">
        <v>89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90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93</v>
      </c>
      <c r="C20" s="5"/>
      <c r="D20" s="5"/>
      <c r="E20" s="5">
        <f t="shared" si="0"/>
        <v>0</v>
      </c>
      <c r="F20" s="5" t="s">
        <v>89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90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94</v>
      </c>
      <c r="C23" s="5">
        <v>1.9</v>
      </c>
      <c r="D23" s="5">
        <v>1.07</v>
      </c>
      <c r="E23" s="5">
        <f t="shared" si="0"/>
        <v>2.0329999999999999</v>
      </c>
      <c r="F23" s="5" t="s">
        <v>95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96</v>
      </c>
      <c r="C24" s="5"/>
      <c r="D24" s="5"/>
      <c r="E24" s="5">
        <f t="shared" si="0"/>
        <v>0</v>
      </c>
      <c r="F24" s="5" t="s">
        <v>95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97</v>
      </c>
      <c r="C25" s="5"/>
      <c r="D25" s="5"/>
      <c r="E25" s="5">
        <f t="shared" si="0"/>
        <v>0</v>
      </c>
      <c r="F25" s="5" t="s">
        <v>95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98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99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100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101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62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D6" sqref="D6"/>
    </sheetView>
  </sheetViews>
  <sheetFormatPr defaultRowHeight="15" x14ac:dyDescent="0.25"/>
  <cols>
    <col min="2" max="2" width="18.5703125" customWidth="1"/>
    <col min="3" max="3" width="27.42578125" customWidth="1"/>
    <col min="5" max="5" width="10.85546875" customWidth="1"/>
    <col min="6" max="6" width="10.7109375" customWidth="1"/>
    <col min="7" max="7" width="14.42578125" customWidth="1"/>
    <col min="8" max="8" width="18.28515625" customWidth="1"/>
  </cols>
  <sheetData>
    <row r="2" spans="2:8" x14ac:dyDescent="0.25">
      <c r="B2" s="203" t="s">
        <v>169</v>
      </c>
      <c r="C2" s="203"/>
      <c r="D2" s="203"/>
      <c r="E2" s="203"/>
      <c r="F2" s="203"/>
      <c r="G2" s="203"/>
      <c r="H2" s="203"/>
    </row>
    <row r="3" spans="2:8" ht="35.25" customHeight="1" x14ac:dyDescent="0.25">
      <c r="B3" s="7" t="s">
        <v>170</v>
      </c>
      <c r="C3" s="7" t="s">
        <v>171</v>
      </c>
      <c r="D3" s="7" t="s">
        <v>81</v>
      </c>
      <c r="E3" s="7" t="s">
        <v>172</v>
      </c>
      <c r="F3" s="7" t="s">
        <v>173</v>
      </c>
      <c r="G3" s="7" t="s">
        <v>174</v>
      </c>
      <c r="H3" s="7" t="s">
        <v>175</v>
      </c>
    </row>
    <row r="4" spans="2:8" x14ac:dyDescent="0.25">
      <c r="B4" s="8" t="s">
        <v>177</v>
      </c>
      <c r="C4" s="9" t="s">
        <v>178</v>
      </c>
      <c r="D4" s="8" t="s">
        <v>165</v>
      </c>
      <c r="E4" s="8">
        <v>623</v>
      </c>
      <c r="F4" s="10">
        <f>E4*1.6</f>
        <v>996.80000000000007</v>
      </c>
      <c r="G4" s="10">
        <f>H4/F4</f>
        <v>15650.08025682183</v>
      </c>
      <c r="H4" s="11">
        <v>15600000</v>
      </c>
    </row>
    <row r="5" spans="2:8" x14ac:dyDescent="0.25">
      <c r="B5" s="15" t="s">
        <v>179</v>
      </c>
      <c r="C5" s="9" t="s">
        <v>178</v>
      </c>
      <c r="D5" s="8" t="s">
        <v>165</v>
      </c>
      <c r="E5" s="8">
        <v>623</v>
      </c>
      <c r="F5" s="10">
        <f t="shared" ref="F5:F8" si="0">E5*1.6</f>
        <v>996.80000000000007</v>
      </c>
      <c r="G5" s="10">
        <f t="shared" ref="G5:G8" si="1">H5/F5</f>
        <v>16051.364365971107</v>
      </c>
      <c r="H5" s="11">
        <v>16000000</v>
      </c>
    </row>
    <row r="6" spans="2:8" x14ac:dyDescent="0.25">
      <c r="B6" s="15" t="s">
        <v>179</v>
      </c>
      <c r="C6" s="9" t="s">
        <v>178</v>
      </c>
      <c r="D6" s="8" t="s">
        <v>165</v>
      </c>
      <c r="E6" s="8">
        <v>662</v>
      </c>
      <c r="F6" s="10">
        <f t="shared" si="0"/>
        <v>1059.2</v>
      </c>
      <c r="G6" s="10">
        <f t="shared" si="1"/>
        <v>16049.848942598186</v>
      </c>
      <c r="H6" s="11">
        <v>17000000</v>
      </c>
    </row>
    <row r="7" spans="2:8" x14ac:dyDescent="0.25">
      <c r="B7" s="15" t="s">
        <v>180</v>
      </c>
      <c r="C7" s="9" t="s">
        <v>178</v>
      </c>
      <c r="D7" s="8" t="s">
        <v>165</v>
      </c>
      <c r="E7" s="8">
        <v>623</v>
      </c>
      <c r="F7" s="10">
        <f t="shared" si="0"/>
        <v>996.80000000000007</v>
      </c>
      <c r="G7" s="10">
        <f t="shared" si="1"/>
        <v>16051.364365971107</v>
      </c>
      <c r="H7" s="11">
        <v>16000000</v>
      </c>
    </row>
    <row r="8" spans="2:8" x14ac:dyDescent="0.25">
      <c r="B8" s="15" t="s">
        <v>180</v>
      </c>
      <c r="C8" s="9" t="s">
        <v>178</v>
      </c>
      <c r="D8" s="8" t="s">
        <v>165</v>
      </c>
      <c r="E8" s="8">
        <v>662</v>
      </c>
      <c r="F8" s="10">
        <f t="shared" si="0"/>
        <v>1059.2</v>
      </c>
      <c r="G8" s="10">
        <f t="shared" si="1"/>
        <v>16049.848942598186</v>
      </c>
      <c r="H8" s="11">
        <v>17000000</v>
      </c>
    </row>
    <row r="9" spans="2:8" x14ac:dyDescent="0.25">
      <c r="B9" s="12"/>
      <c r="C9" s="8"/>
      <c r="D9" s="8"/>
      <c r="E9" s="8"/>
      <c r="F9" s="8"/>
      <c r="G9" s="16">
        <f>AVERAGE(G4:G8)</f>
        <v>15970.501374792084</v>
      </c>
      <c r="H9" s="8"/>
    </row>
    <row r="10" spans="2:8" x14ac:dyDescent="0.25">
      <c r="B10" s="12" t="s">
        <v>176</v>
      </c>
      <c r="C10" s="13"/>
      <c r="D10" s="13"/>
      <c r="E10" s="13"/>
      <c r="F10" s="14"/>
      <c r="G10" s="12">
        <v>16000</v>
      </c>
      <c r="H10" s="12"/>
    </row>
  </sheetData>
  <mergeCells count="1">
    <mergeCell ref="B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Flat detail</vt:lpstr>
      <vt:lpstr>Valuation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2025-09-19T09:26:12Z</cp:lastPrinted>
  <dcterms:created xsi:type="dcterms:W3CDTF">2019-07-16T09:29:46Z</dcterms:created>
  <dcterms:modified xsi:type="dcterms:W3CDTF">2025-09-19T09:28:07Z</dcterms:modified>
</cp:coreProperties>
</file>