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C92" i="1" l="1"/>
  <c r="C78" i="1" l="1"/>
  <c r="D293" i="1" l="1"/>
  <c r="E324" i="1" l="1"/>
  <c r="D178" i="1"/>
  <c r="F178" i="1" s="1"/>
  <c r="D177" i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D160" i="1"/>
  <c r="F160" i="1" s="1"/>
  <c r="D159" i="1"/>
  <c r="F159" i="1" s="1"/>
  <c r="D158" i="1"/>
  <c r="D385" i="1"/>
  <c r="F385" i="1" s="1"/>
  <c r="D384" i="1"/>
  <c r="F384" i="1" s="1"/>
  <c r="D383" i="1"/>
  <c r="D380" i="1"/>
  <c r="F380" i="1" s="1"/>
  <c r="D379" i="1"/>
  <c r="F379" i="1" s="1"/>
  <c r="D378" i="1"/>
  <c r="F378" i="1" s="1"/>
  <c r="D377" i="1"/>
  <c r="F377" i="1" s="1"/>
  <c r="D376" i="1"/>
  <c r="F376" i="1" s="1"/>
  <c r="D374" i="1"/>
  <c r="F374" i="1" s="1"/>
  <c r="D373" i="1"/>
  <c r="F373" i="1" s="1"/>
  <c r="D372" i="1"/>
  <c r="F372" i="1" s="1"/>
  <c r="D368" i="1"/>
  <c r="F368" i="1" s="1"/>
  <c r="D367" i="1"/>
  <c r="F367" i="1" s="1"/>
  <c r="D366" i="1"/>
  <c r="F366" i="1" s="1"/>
  <c r="D365" i="1"/>
  <c r="F365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6" i="1"/>
  <c r="F356" i="1" s="1"/>
  <c r="D355" i="1"/>
  <c r="F355" i="1" s="1"/>
  <c r="D354" i="1"/>
  <c r="F354" i="1" s="1"/>
  <c r="D352" i="1"/>
  <c r="F352" i="1" s="1"/>
  <c r="D351" i="1"/>
  <c r="F351" i="1" s="1"/>
  <c r="D350" i="1"/>
  <c r="F350" i="1" s="1"/>
  <c r="D346" i="1"/>
  <c r="F346" i="1" s="1"/>
  <c r="D345" i="1"/>
  <c r="F345" i="1" s="1"/>
  <c r="D344" i="1"/>
  <c r="D343" i="1"/>
  <c r="F343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D335" i="1"/>
  <c r="F335" i="1" s="1"/>
  <c r="D334" i="1"/>
  <c r="F334" i="1" s="1"/>
  <c r="D333" i="1"/>
  <c r="F333" i="1" s="1"/>
  <c r="D332" i="1"/>
  <c r="F332" i="1" s="1"/>
  <c r="D330" i="1"/>
  <c r="F330" i="1" s="1"/>
  <c r="D329" i="1"/>
  <c r="F329" i="1" s="1"/>
  <c r="D328" i="1"/>
  <c r="D327" i="1"/>
  <c r="F327" i="1" s="1"/>
  <c r="D326" i="1"/>
  <c r="D325" i="1"/>
  <c r="F325" i="1" s="1"/>
  <c r="D324" i="1"/>
  <c r="D323" i="1"/>
  <c r="F323" i="1" s="1"/>
  <c r="D322" i="1"/>
  <c r="F322" i="1" s="1"/>
  <c r="D321" i="1"/>
  <c r="F321" i="1" s="1"/>
  <c r="D317" i="1"/>
  <c r="F317" i="1" s="1"/>
  <c r="D316" i="1"/>
  <c r="F316" i="1" s="1"/>
  <c r="D315" i="1"/>
  <c r="F315" i="1" s="1"/>
  <c r="D313" i="1"/>
  <c r="F313" i="1" s="1"/>
  <c r="D312" i="1"/>
  <c r="F312" i="1" s="1"/>
  <c r="D311" i="1"/>
  <c r="F311" i="1" s="1"/>
  <c r="D307" i="1"/>
  <c r="F307" i="1" s="1"/>
  <c r="D306" i="1"/>
  <c r="F306" i="1" s="1"/>
  <c r="D305" i="1"/>
  <c r="F305" i="1" s="1"/>
  <c r="D304" i="1"/>
  <c r="F304" i="1" s="1"/>
  <c r="D303" i="1"/>
  <c r="F303" i="1" s="1"/>
  <c r="D301" i="1"/>
  <c r="F301" i="1" s="1"/>
  <c r="D300" i="1"/>
  <c r="F300" i="1" s="1"/>
  <c r="D299" i="1"/>
  <c r="F299" i="1" s="1"/>
  <c r="D298" i="1"/>
  <c r="F298" i="1" s="1"/>
  <c r="D297" i="1"/>
  <c r="F297" i="1" s="1"/>
  <c r="D295" i="1"/>
  <c r="F295" i="1" s="1"/>
  <c r="D294" i="1"/>
  <c r="F294" i="1" s="1"/>
  <c r="J292" i="1"/>
  <c r="F383" i="1"/>
  <c r="A377" i="1"/>
  <c r="A378" i="1" s="1"/>
  <c r="A379" i="1" s="1"/>
  <c r="A380" i="1" s="1"/>
  <c r="A381" i="1" s="1"/>
  <c r="A382" i="1" s="1"/>
  <c r="A383" i="1" s="1"/>
  <c r="A384" i="1" s="1"/>
  <c r="A385" i="1" s="1"/>
  <c r="G376" i="1"/>
  <c r="A366" i="1"/>
  <c r="A367" i="1" s="1"/>
  <c r="A368" i="1" s="1"/>
  <c r="A369" i="1" s="1"/>
  <c r="A370" i="1" s="1"/>
  <c r="A371" i="1" s="1"/>
  <c r="A372" i="1" s="1"/>
  <c r="A373" i="1" s="1"/>
  <c r="A374" i="1" s="1"/>
  <c r="G365" i="1"/>
  <c r="A355" i="1"/>
  <c r="A356" i="1" s="1"/>
  <c r="A357" i="1" s="1"/>
  <c r="A358" i="1" s="1"/>
  <c r="A359" i="1" s="1"/>
  <c r="A360" i="1" s="1"/>
  <c r="A361" i="1" s="1"/>
  <c r="A362" i="1" s="1"/>
  <c r="A363" i="1" s="1"/>
  <c r="G354" i="1"/>
  <c r="F344" i="1"/>
  <c r="A344" i="1"/>
  <c r="A345" i="1" s="1"/>
  <c r="A346" i="1" s="1"/>
  <c r="A347" i="1" s="1"/>
  <c r="A348" i="1" s="1"/>
  <c r="A349" i="1" s="1"/>
  <c r="A350" i="1" s="1"/>
  <c r="A351" i="1" s="1"/>
  <c r="A352" i="1" s="1"/>
  <c r="G343" i="1"/>
  <c r="A333" i="1"/>
  <c r="A334" i="1" s="1"/>
  <c r="A335" i="1" s="1"/>
  <c r="A336" i="1" s="1"/>
  <c r="A337" i="1" s="1"/>
  <c r="A338" i="1" s="1"/>
  <c r="A339" i="1" s="1"/>
  <c r="A340" i="1" s="1"/>
  <c r="A341" i="1" s="1"/>
  <c r="G332" i="1"/>
  <c r="F293" i="1"/>
  <c r="F328" i="1"/>
  <c r="F326" i="1"/>
  <c r="A322" i="1"/>
  <c r="A323" i="1" s="1"/>
  <c r="A324" i="1" s="1"/>
  <c r="A325" i="1" s="1"/>
  <c r="A326" i="1" s="1"/>
  <c r="A327" i="1" s="1"/>
  <c r="A328" i="1" s="1"/>
  <c r="A329" i="1" s="1"/>
  <c r="A330" i="1" s="1"/>
  <c r="G321" i="1"/>
  <c r="A316" i="1"/>
  <c r="A317" i="1" s="1"/>
  <c r="A318" i="1" s="1"/>
  <c r="A319" i="1" s="1"/>
  <c r="G315" i="1"/>
  <c r="A310" i="1"/>
  <c r="A311" i="1" s="1"/>
  <c r="A312" i="1" s="1"/>
  <c r="A313" i="1" s="1"/>
  <c r="G309" i="1"/>
  <c r="A304" i="1"/>
  <c r="A305" i="1" s="1"/>
  <c r="A306" i="1" s="1"/>
  <c r="A307" i="1" s="1"/>
  <c r="G303" i="1"/>
  <c r="A298" i="1"/>
  <c r="A299" i="1" s="1"/>
  <c r="A300" i="1" s="1"/>
  <c r="A301" i="1" s="1"/>
  <c r="G297" i="1"/>
  <c r="A294" i="1"/>
  <c r="A295" i="1" s="1"/>
  <c r="G293" i="1"/>
  <c r="F177" i="1"/>
  <c r="F161" i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G158" i="1"/>
  <c r="J157" i="1"/>
  <c r="C93" i="1"/>
  <c r="C99" i="1"/>
  <c r="C85" i="1"/>
  <c r="J111" i="1"/>
  <c r="J110" i="1"/>
  <c r="J109" i="1"/>
  <c r="J108" i="1"/>
  <c r="J97" i="1"/>
  <c r="J96" i="1"/>
  <c r="J95" i="1"/>
  <c r="J94" i="1"/>
  <c r="C94" i="1"/>
  <c r="F324" i="1" l="1"/>
  <c r="G135" i="1" s="1"/>
  <c r="C130" i="1"/>
  <c r="E135" i="1"/>
  <c r="C135" i="1"/>
  <c r="F158" i="1"/>
  <c r="G130" i="1" s="1"/>
  <c r="E130" i="1"/>
  <c r="D145" i="1"/>
  <c r="E193" i="1" l="1"/>
  <c r="E192" i="1"/>
  <c r="E191" i="1"/>
  <c r="E190" i="1"/>
  <c r="E189" i="1"/>
  <c r="E188" i="1"/>
  <c r="E187" i="1"/>
  <c r="E186" i="1"/>
  <c r="D191" i="1"/>
  <c r="D190" i="1"/>
  <c r="D189" i="1"/>
  <c r="D188" i="1"/>
  <c r="D187" i="1"/>
  <c r="D186" i="1"/>
  <c r="D193" i="1"/>
  <c r="D192" i="1"/>
  <c r="D288" i="1"/>
  <c r="F288" i="1" s="1"/>
  <c r="D287" i="1"/>
  <c r="F287" i="1" s="1"/>
  <c r="D286" i="1"/>
  <c r="F286" i="1" s="1"/>
  <c r="D285" i="1"/>
  <c r="F285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F277" i="1" s="1"/>
  <c r="D276" i="1"/>
  <c r="F276" i="1" s="1"/>
  <c r="D274" i="1"/>
  <c r="F274" i="1" s="1"/>
  <c r="D273" i="1"/>
  <c r="F273" i="1" s="1"/>
  <c r="D272" i="1"/>
  <c r="F272" i="1" s="1"/>
  <c r="D271" i="1"/>
  <c r="F271" i="1" s="1"/>
  <c r="D267" i="1"/>
  <c r="F267" i="1" s="1"/>
  <c r="D266" i="1"/>
  <c r="F266" i="1" s="1"/>
  <c r="D265" i="1"/>
  <c r="F265" i="1" s="1"/>
  <c r="D264" i="1"/>
  <c r="F264" i="1" s="1"/>
  <c r="D263" i="1"/>
  <c r="F263" i="1" s="1"/>
  <c r="D262" i="1"/>
  <c r="F262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0" i="1"/>
  <c r="F220" i="1" s="1"/>
  <c r="D219" i="1"/>
  <c r="F219" i="1" s="1"/>
  <c r="D208" i="1"/>
  <c r="F208" i="1" s="1"/>
  <c r="D207" i="1"/>
  <c r="F207" i="1" s="1"/>
  <c r="D196" i="1"/>
  <c r="F19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4" i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D147" i="1"/>
  <c r="D146" i="1"/>
  <c r="J144" i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G276" i="1"/>
  <c r="A263" i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G262" i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G248" i="1"/>
  <c r="A235" i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G234" i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G222" i="1"/>
  <c r="A211" i="1"/>
  <c r="A212" i="1" s="1"/>
  <c r="A213" i="1" s="1"/>
  <c r="A214" i="1" s="1"/>
  <c r="A215" i="1" s="1"/>
  <c r="A216" i="1" s="1"/>
  <c r="A217" i="1" s="1"/>
  <c r="A218" i="1" s="1"/>
  <c r="A219" i="1" s="1"/>
  <c r="A220" i="1" s="1"/>
  <c r="G210" i="1"/>
  <c r="A199" i="1"/>
  <c r="A200" i="1" s="1"/>
  <c r="A201" i="1" s="1"/>
  <c r="A202" i="1" s="1"/>
  <c r="A203" i="1" s="1"/>
  <c r="A204" i="1" s="1"/>
  <c r="A205" i="1" s="1"/>
  <c r="A206" i="1" s="1"/>
  <c r="A207" i="1" s="1"/>
  <c r="A208" i="1" s="1"/>
  <c r="G198" i="1"/>
  <c r="J196" i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G186" i="1"/>
  <c r="K150" i="1"/>
  <c r="J152" i="1"/>
  <c r="J153" i="1"/>
  <c r="F193" i="1" l="1"/>
  <c r="C129" i="1"/>
  <c r="C131" i="1" s="1"/>
  <c r="F187" i="1"/>
  <c r="E134" i="1"/>
  <c r="E136" i="1" s="1"/>
  <c r="F191" i="1"/>
  <c r="F192" i="1"/>
  <c r="F186" i="1"/>
  <c r="F190" i="1"/>
  <c r="F189" i="1"/>
  <c r="E129" i="1"/>
  <c r="E131" i="1" s="1"/>
  <c r="J154" i="1"/>
  <c r="F188" i="1"/>
  <c r="C134" i="1"/>
  <c r="C136" i="1" s="1"/>
  <c r="F194" i="1"/>
  <c r="C14" i="1"/>
  <c r="J131" i="1" l="1"/>
  <c r="G134" i="1"/>
  <c r="G136" i="1" s="1"/>
  <c r="E29" i="1"/>
  <c r="F388" i="1" l="1"/>
  <c r="F389" i="1"/>
  <c r="F390" i="1"/>
  <c r="F387" i="1"/>
  <c r="A388" i="1"/>
  <c r="A389" i="1" s="1"/>
  <c r="A390" i="1" s="1"/>
  <c r="G387" i="1"/>
  <c r="F126" i="1" l="1"/>
  <c r="F146" i="1" l="1"/>
  <c r="F147" i="1"/>
  <c r="F148" i="1"/>
  <c r="F145" i="1"/>
  <c r="G129" i="1" l="1"/>
  <c r="G131" i="1" s="1"/>
  <c r="B417" i="1"/>
  <c r="A410" i="1"/>
  <c r="A404" i="1"/>
  <c r="A398" i="1"/>
  <c r="F414" i="1" l="1"/>
  <c r="F413" i="1"/>
  <c r="F412" i="1"/>
  <c r="F411" i="1"/>
  <c r="F410" i="1"/>
  <c r="F408" i="1"/>
  <c r="F407" i="1"/>
  <c r="F406" i="1"/>
  <c r="F405" i="1"/>
  <c r="F404" i="1"/>
  <c r="F402" i="1"/>
  <c r="F401" i="1"/>
  <c r="F400" i="1"/>
  <c r="F399" i="1"/>
  <c r="F398" i="1"/>
  <c r="F396" i="1"/>
  <c r="F395" i="1"/>
  <c r="F393" i="1"/>
  <c r="F392" i="1"/>
  <c r="F394" i="1"/>
  <c r="A399" i="1"/>
  <c r="A405" i="1"/>
  <c r="A411" i="1"/>
  <c r="B418" i="1" l="1"/>
  <c r="A400" i="1"/>
  <c r="A406" i="1"/>
  <c r="A41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41" i="1"/>
  <c r="G410" i="1"/>
  <c r="G404" i="1"/>
  <c r="G398" i="1"/>
  <c r="G392" i="1"/>
  <c r="A392" i="1"/>
  <c r="A393" i="1" s="1"/>
  <c r="A394" i="1" s="1"/>
  <c r="A395" i="1" s="1"/>
  <c r="A396" i="1" s="1"/>
  <c r="A146" i="1"/>
  <c r="A147" i="1" s="1"/>
  <c r="A148" i="1" s="1"/>
  <c r="A149" i="1" s="1"/>
  <c r="A150" i="1" s="1"/>
  <c r="A151" i="1" s="1"/>
  <c r="A152" i="1" s="1"/>
  <c r="A153" i="1" s="1"/>
  <c r="A154" i="1" s="1"/>
  <c r="G145" i="1"/>
  <c r="J82" i="1"/>
  <c r="J81" i="1"/>
  <c r="J80" i="1"/>
  <c r="C71" i="1"/>
  <c r="D58" i="1"/>
  <c r="E42" i="1"/>
  <c r="E43" i="1" s="1"/>
  <c r="E26" i="1"/>
  <c r="E24" i="1"/>
  <c r="E7" i="1"/>
  <c r="E3" i="1"/>
  <c r="H72" i="1"/>
  <c r="A401" i="1"/>
  <c r="A413" i="1"/>
  <c r="A407" i="1"/>
  <c r="D65" i="1" l="1"/>
  <c r="D84" i="1"/>
  <c r="D82" i="1"/>
  <c r="D81" i="1"/>
  <c r="D80" i="1"/>
  <c r="D78" i="1"/>
  <c r="J71" i="1"/>
  <c r="D83" i="1"/>
  <c r="D79" i="1"/>
  <c r="J75" i="1"/>
  <c r="J76" i="1"/>
  <c r="C75" i="1" s="1"/>
  <c r="J74" i="1"/>
  <c r="J77" i="1"/>
  <c r="J78" i="1" s="1"/>
  <c r="J83" i="1" s="1"/>
  <c r="A402" i="1"/>
  <c r="A414" i="1"/>
  <c r="A408" i="1"/>
  <c r="J79" i="1" l="1"/>
  <c r="J84" i="1" s="1"/>
  <c r="C76" i="1" s="1"/>
  <c r="D77" i="1"/>
  <c r="J73" i="1"/>
  <c r="D75" i="1"/>
  <c r="H86" i="1"/>
  <c r="D93" i="1" l="1"/>
  <c r="D98" i="1"/>
  <c r="D96" i="1"/>
  <c r="D94" i="1"/>
  <c r="J91" i="1"/>
  <c r="J92" i="1" s="1"/>
  <c r="D91" i="1"/>
  <c r="J89" i="1"/>
  <c r="J85" i="1"/>
  <c r="J87" i="1" s="1"/>
  <c r="D97" i="1"/>
  <c r="D95" i="1"/>
  <c r="D92" i="1"/>
  <c r="J90" i="1"/>
  <c r="C89" i="1" s="1"/>
  <c r="J88" i="1"/>
  <c r="E75" i="1"/>
  <c r="D76" i="1"/>
  <c r="I72" i="1" s="1"/>
  <c r="G75" i="1"/>
  <c r="D69" i="1" s="1"/>
  <c r="D70" i="1" s="1"/>
  <c r="J72" i="1"/>
  <c r="J93" i="1" l="1"/>
  <c r="J98" i="1" s="1"/>
  <c r="C90" i="1" s="1"/>
  <c r="D89" i="1"/>
  <c r="F70" i="1"/>
  <c r="I73" i="1"/>
  <c r="I71" i="1" s="1"/>
  <c r="C73" i="1" s="1"/>
  <c r="H100" i="1"/>
  <c r="D107" i="1" l="1"/>
  <c r="D112" i="1"/>
  <c r="D110" i="1"/>
  <c r="D108" i="1"/>
  <c r="J105" i="1"/>
  <c r="J106" i="1" s="1"/>
  <c r="J103" i="1"/>
  <c r="J99" i="1"/>
  <c r="J101" i="1" s="1"/>
  <c r="D111" i="1"/>
  <c r="D109" i="1"/>
  <c r="D106" i="1"/>
  <c r="J104" i="1"/>
  <c r="D105" i="1"/>
  <c r="J102" i="1"/>
  <c r="E89" i="1"/>
  <c r="D90" i="1"/>
  <c r="I86" i="1" s="1"/>
  <c r="G89" i="1"/>
  <c r="J86" i="1"/>
  <c r="J107" i="1" l="1"/>
  <c r="J112" i="1" s="1"/>
  <c r="D103" i="1"/>
  <c r="I87" i="1"/>
  <c r="I85" i="1" s="1"/>
  <c r="C87" i="1" s="1"/>
  <c r="G103" i="1" l="1"/>
  <c r="J100" i="1"/>
  <c r="E103" i="1"/>
  <c r="D104" i="1"/>
  <c r="I100" i="1" s="1"/>
  <c r="I101" i="1" l="1"/>
  <c r="I99" i="1" s="1"/>
  <c r="C101" i="1" s="1"/>
</calcChain>
</file>

<file path=xl/sharedStrings.xml><?xml version="1.0" encoding="utf-8"?>
<sst xmlns="http://schemas.openxmlformats.org/spreadsheetml/2006/main" count="440" uniqueCount="264">
  <si>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</si>
  <si>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</si>
  <si>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</si>
  <si>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</si>
  <si>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</si>
  <si>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</si>
  <si>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</si>
  <si>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</si>
  <si>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</si>
  <si>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</si>
  <si>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</si>
  <si>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</si>
  <si>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</si>
  <si>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</si>
  <si>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</si>
  <si>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</si>
  <si>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</si>
  <si>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</si>
  <si>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</si>
  <si>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</si>
  <si>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</si>
  <si>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</si>
  <si>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</si>
  <si>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</si>
  <si>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</si>
  <si>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</si>
  <si>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</si>
  <si>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</si>
  <si>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</si>
  <si>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</si>
  <si>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</si>
  <si>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</si>
  <si>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</si>
  <si>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</si>
  <si>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</si>
  <si>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</si>
  <si>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</si>
  <si>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</si>
  <si>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</si>
  <si>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</si>
  <si>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</si>
  <si>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</si>
  <si>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</si>
  <si>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</si>
  <si>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</si>
  <si>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</si>
  <si>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</si>
  <si>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</si>
  <si>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</si>
  <si>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</si>
  <si>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</si>
  <si>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</si>
  <si>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</si>
  <si>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</si>
  <si>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</si>
  <si>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</si>
  <si>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</si>
  <si>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</si>
  <si>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</si>
  <si>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</si>
  <si>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</si>
  <si>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</si>
  <si>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</si>
  <si>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</si>
  <si>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</si>
  <si>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</si>
  <si>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</si>
  <si>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</si>
  <si>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</si>
  <si>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</si>
  <si>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</si>
  <si>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</si>
  <si>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</si>
  <si>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</si>
  <si>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</si>
  <si>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</si>
  <si>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</si>
  <si>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</si>
  <si>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</si>
  <si>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</si>
  <si>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</si>
  <si>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</si>
  <si>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</si>
  <si>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</si>
  <si>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</si>
  <si>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</si>
  <si>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</si>
  <si>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</si>
  <si>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</si>
  <si>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</si>
  <si>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</si>
  <si>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</si>
  <si>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</si>
  <si>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</si>
  <si>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</si>
  <si>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</si>
  <si>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</si>
  <si>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</si>
  <si>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</si>
  <si>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</si>
  <si>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</si>
  <si>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</si>
  <si>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</si>
  <si>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</si>
  <si>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</si>
  <si>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</si>
  <si>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</si>
  <si>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</si>
  <si>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</si>
  <si>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</si>
  <si>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</si>
  <si>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</si>
  <si>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</si>
  <si>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</si>
  <si>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</si>
  <si>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</si>
  <si>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</si>
  <si>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</si>
  <si>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</si>
  <si>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</si>
  <si>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</si>
  <si>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</si>
  <si>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</si>
  <si>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</si>
  <si>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</si>
  <si>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</si>
  <si>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</si>
  <si>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</si>
  <si>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</si>
  <si>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</si>
  <si>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</si>
  <si>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</si>
  <si>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</si>
  <si>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</si>
  <si>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</si>
  <si>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</si>
  <si>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</si>
  <si>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</si>
  <si>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</si>
  <si>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</si>
  <si>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</si>
  <si>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</si>
  <si>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</si>
  <si>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</si>
  <si>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</si>
  <si>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</si>
  <si>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</si>
  <si>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</si>
  <si>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</si>
  <si>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</si>
  <si>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</si>
  <si>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</si>
  <si>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</si>
  <si>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</si>
  <si>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</si>
  <si>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</si>
  <si>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</si>
  <si>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</si>
  <si>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</si>
  <si>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</si>
  <si>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</si>
  <si>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</si>
  <si>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</si>
  <si>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</si>
  <si>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</si>
  <si>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</si>
  <si>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</si>
  <si>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</si>
  <si>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</si>
  <si>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</si>
  <si>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</si>
  <si>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</si>
  <si>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</si>
  <si>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</si>
  <si>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</si>
  <si>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Transcon-sheth Creators Private Limited</t>
  </si>
  <si>
    <t>Approved Plans, CC</t>
  </si>
  <si>
    <t>CTS No</t>
  </si>
  <si>
    <t>Slum Rehabilitation Authority (SRA)</t>
  </si>
  <si>
    <t>PN/PVT/0134/20101221/AP/S4</t>
  </si>
  <si>
    <t>1st &amp; 2nd Basement Floor Parking</t>
  </si>
  <si>
    <t>Ground Floor For Commercial</t>
  </si>
  <si>
    <t>Shop</t>
  </si>
  <si>
    <t>Double Heighted Entrance Lobby</t>
  </si>
  <si>
    <t>Refuge Area</t>
  </si>
  <si>
    <t>8th Floor (Part Amenity Area)</t>
  </si>
  <si>
    <t>Fitness Center</t>
  </si>
  <si>
    <t>9th Floor</t>
  </si>
  <si>
    <t>10th to 13th, 15th to 20th, 22nd to 27th, 29th to 34th &amp; 36th to 40th Floor</t>
  </si>
  <si>
    <t>Meter Room</t>
  </si>
  <si>
    <t>35th Floor (Part Refuge Area)</t>
  </si>
  <si>
    <t>A Wing = 2B + G + 6P + 7th Eco-deck + 8th to 40th Floor</t>
  </si>
  <si>
    <t>14th, 21st &amp; 28th Floor (Part Refuge Area)</t>
  </si>
  <si>
    <t>1st Podium Floor For Parking &amp; Part Residential Area</t>
  </si>
  <si>
    <t>2nd to 6th Podium Floor For Parking  &amp; Part Residential Area</t>
  </si>
  <si>
    <t>7th Eco-Deck Floor Plan For Part Residential Area &amp; Part Refuge Area</t>
  </si>
  <si>
    <t>We considered Gross carpet area = Net carpet + Chajja Area + O.D.U Area.</t>
  </si>
  <si>
    <t>plan no not mention</t>
  </si>
  <si>
    <t>https://goo.gl/maps/PQCKriWobVDPigLG6</t>
  </si>
  <si>
    <t>Auris Bliss</t>
  </si>
  <si>
    <t>Malad West</t>
  </si>
  <si>
    <t>D Monte Lane</t>
  </si>
  <si>
    <t>Borivali</t>
  </si>
  <si>
    <t>Mumbai</t>
  </si>
  <si>
    <t>Valnai</t>
  </si>
  <si>
    <t>2.3KM from Malad Railway Station</t>
  </si>
  <si>
    <t>ONLINE</t>
  </si>
  <si>
    <t>SY - 18300</t>
  </si>
  <si>
    <t>HS - 13-14</t>
  </si>
  <si>
    <t>MIS</t>
  </si>
  <si>
    <t>HDFC</t>
  </si>
  <si>
    <t>322/C, 323/A, 325/A(Pt), 326…, 425, 426, 427 &amp; Existing Building Name - Salsette Catholic Chs</t>
  </si>
  <si>
    <t>Kanchpada</t>
  </si>
  <si>
    <t>Cherry Blossom Housing Society /Auris Serenity</t>
  </si>
  <si>
    <t>Cherry Blossom Housing Society</t>
  </si>
  <si>
    <t>Auris Ilaria Tower A, B &amp; C</t>
  </si>
  <si>
    <t>P51800028533 = Tower A
P51800033238 = Tower B
P51800029004 = Tower C</t>
  </si>
  <si>
    <t>A Wing = 2B + G + 6P + 7th Eco-deck + 8th to 40th Floor
B Wing = 2B + G + 6P + 7th Eco-deck + 8th to 40th Floor
C Wing = 2B + G + 6P + 7th Eco-deck</t>
  </si>
  <si>
    <t>B Wing = 2B + G + 6P + 7th Eco-deck + 8th to 40th Floor</t>
  </si>
  <si>
    <t>Tower A</t>
  </si>
  <si>
    <t>1st to 7th Podium Floor For Parking</t>
  </si>
  <si>
    <t>Tower B</t>
  </si>
  <si>
    <t>Ground Floor For Stilt Area</t>
  </si>
  <si>
    <t>10th to 13th &amp; 15th to 20th Floor</t>
  </si>
  <si>
    <t>14th Floor (Part Refuge Area)</t>
  </si>
  <si>
    <t>22nd to 27th, 29th to 34th &amp; 36th to 40th Floor</t>
  </si>
  <si>
    <t>21st &amp; 28th Floor (Part Refuge Area)</t>
  </si>
  <si>
    <t>2nd Podium Floor For Parking  &amp; Part Residential Area</t>
  </si>
  <si>
    <t>3rd to 6th Podium Floor For Parking  &amp; Part Residential Area</t>
  </si>
  <si>
    <t>8th Podium Floor For Parking  &amp; Part Residential Area</t>
  </si>
  <si>
    <t>Total</t>
  </si>
  <si>
    <t>Flats - 830, Shops - 31</t>
  </si>
  <si>
    <t>C Wing = 2B + G + 6P + 7th Eco-deck + 8th to 40th Floor</t>
  </si>
  <si>
    <t>03 Towers</t>
  </si>
  <si>
    <t>Commercial Area Details : Shops</t>
  </si>
  <si>
    <t>Tower C</t>
  </si>
  <si>
    <t>Residential Area Details : Flats</t>
  </si>
  <si>
    <t>Sale Building No. 4 (Tower A, B &amp; C)</t>
  </si>
  <si>
    <t>Sale Building No. 4</t>
  </si>
  <si>
    <t xml:space="preserve">We have updated revised plans &amp; CC of B &amp; C Wings (on 23/12/2022).
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</si>
  <si>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</si>
  <si>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As per RERA - Tower A &amp; C = 30/04/2027
                          Tower B = 30/04/2028</t>
  </si>
  <si>
    <t>On site we met Mr. Banjar Singh - 7021803623.</t>
  </si>
  <si>
    <t>Latitude,Longitude</t>
  </si>
  <si>
    <t>19.192092,72.836944</t>
  </si>
  <si>
    <t>Internal Road</t>
  </si>
  <si>
    <t>This CC is further extended from 34th upper residential floos to 40th upper residential floor including OHWT &amp; LMR i.e full CC for wing A of sale building no. 4 as per last approved amended plans dated 22/12/2021.</t>
  </si>
  <si>
    <t>This C.C is further extended from 8th upper floor to 17th upper floor for wing B of sale building No. 4 as per approved amended plans dated 22/12/2021.</t>
  </si>
  <si>
    <t>We have referred &amp; update revised CC for wing A from RERA site (on 19/03/2024)</t>
  </si>
  <si>
    <t>We have referred &amp; update revised CC for wing A &amp; B from RERA site (on 19/06/2024)</t>
  </si>
  <si>
    <t>This CC is further extended from Common basement for wing A, B &amp; C + Ground + 1st to 7th common podium for wing A &amp; B + Ground + 1st to 7th part podium (including E-Deck floor) for wing -B in building u/r as per approved amended plans dated 22/12/2021.</t>
  </si>
  <si>
    <t>Shruti Tathare</t>
  </si>
  <si>
    <t>Pratik Niwate</t>
  </si>
  <si>
    <t xml:space="preserve">As checked on RERA portal on date 11/09/2025, we have observed that above project "Auris Ilaria Tower C" is kept under abeyance. Please check from your end.
</t>
  </si>
  <si>
    <t>Akash Mote</t>
  </si>
  <si>
    <t xml:space="preserve"> Cost Sheet</t>
  </si>
  <si>
    <t xml:space="preserve">8L to 10L </t>
  </si>
  <si>
    <t>Recommended rate of the Office Per Sq. Ft.</t>
  </si>
  <si>
    <t>Other Charges</t>
  </si>
  <si>
    <t>Electrical Deposit</t>
  </si>
  <si>
    <t>Recommended Rates / Other charges of the Property have been revised on 12/09/2025.</t>
  </si>
  <si>
    <t>16000 to 20000</t>
  </si>
  <si>
    <t>on higher site</t>
  </si>
  <si>
    <t>Wing A = Terrace Waterproofing work is in process.
Wing B = Work is same as last visit (25/03/2025), but work is in process at the time of the visit. (Slow Speed)
Wing C = Work not yet started.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</si>
</sst>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Border="1"/>
    <xf numFmtId="0" fontId="7" fillId="0" borderId="2" xfId="1" applyFont="1" applyBorder="1" applyAlignment="1" applyProtection="1">
      <alignment horizontal="center" vertical="top" wrapText="1"/>
      <protection locked="0"/>
    </xf>
    <xf numFmtId="9" fontId="7" fillId="0" borderId="2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6" xfId="1" applyNumberFormat="1" applyFont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31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Alignment="1" applyProtection="1">
      <alignment horizontal="center" vertical="center" wrapText="1"/>
      <protection locked="0"/>
    </xf>
    <xf numFmtId="168" fontId="6" fillId="0" borderId="25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32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990600</xdr:colOff>
      <xdr:row>40</xdr:row>
      <xdr:rowOff>180975</xdr:rowOff>
    </xdr:from>
    <xdr:to>
      <xdr:col>13</xdr:col>
      <xdr:colOff>181079</xdr:colOff>
      <xdr:row>47</xdr:row>
      <xdr:rowOff>6688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9886950"/>
          <a:ext cx="3438629" cy="145448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526</xdr:row>
      <xdr:rowOff>85726</xdr:rowOff>
    </xdr:from>
    <xdr:to>
      <xdr:col>7</xdr:col>
      <xdr:colOff>493125</xdr:colOff>
      <xdr:row>544</xdr:row>
      <xdr:rowOff>119565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2426" y="104441626"/>
          <a:ext cx="5836649" cy="36342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244752</xdr:colOff>
      <xdr:row>484</xdr:row>
      <xdr:rowOff>69573</xdr:rowOff>
    </xdr:from>
    <xdr:to>
      <xdr:col>6</xdr:col>
      <xdr:colOff>430415</xdr:colOff>
      <xdr:row>506</xdr:row>
      <xdr:rowOff>167781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730" y="90838682"/>
          <a:ext cx="4641707" cy="44714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1656</xdr:colOff>
      <xdr:row>507</xdr:row>
      <xdr:rowOff>182217</xdr:rowOff>
    </xdr:from>
    <xdr:to>
      <xdr:col>6</xdr:col>
      <xdr:colOff>561802</xdr:colOff>
      <xdr:row>521</xdr:row>
      <xdr:rowOff>180536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516" y="94914057"/>
          <a:ext cx="4819726" cy="277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133350</xdr:colOff>
      <xdr:row>15</xdr:row>
      <xdr:rowOff>171450</xdr:rowOff>
    </xdr:from>
    <xdr:to>
      <xdr:col>13</xdr:col>
      <xdr:colOff>247068</xdr:colOff>
      <xdr:row>24</xdr:row>
      <xdr:rowOff>123579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34225" y="4010025"/>
          <a:ext cx="4657143" cy="1971429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2</xdr:row>
      <xdr:rowOff>19050</xdr:rowOff>
    </xdr:from>
    <xdr:to>
      <xdr:col>13</xdr:col>
      <xdr:colOff>456594</xdr:colOff>
      <xdr:row>13</xdr:row>
      <xdr:rowOff>475889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53275" y="819150"/>
          <a:ext cx="4847619" cy="2885714"/>
        </a:xfrm>
        <a:prstGeom prst="rect">
          <a:avLst/>
        </a:prstGeom>
      </xdr:spPr>
    </xdr:pic>
    <xdr:clientData/>
  </xdr:twoCellAnchor>
  <xdr:twoCellAnchor>
    <xdr:from>
      <xdr:col>4</xdr:col>
      <xdr:colOff>563217</xdr:colOff>
      <xdr:row>492</xdr:row>
      <xdr:rowOff>182218</xdr:rowOff>
    </xdr:from>
    <xdr:to>
      <xdr:col>5</xdr:col>
      <xdr:colOff>331305</xdr:colOff>
      <xdr:row>494</xdr:row>
      <xdr:rowOff>165653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66152" y="92541588"/>
          <a:ext cx="604631" cy="381000"/>
        </a:xfrm>
        <a:prstGeom prst="rect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185530</xdr:colOff>
      <xdr:row>494</xdr:row>
      <xdr:rowOff>173934</xdr:rowOff>
    </xdr:from>
    <xdr:to>
      <xdr:col>4</xdr:col>
      <xdr:colOff>790161</xdr:colOff>
      <xdr:row>496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3788465" y="92930869"/>
          <a:ext cx="604631" cy="376031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727212</xdr:colOff>
      <xdr:row>496</xdr:row>
      <xdr:rowOff>124239</xdr:rowOff>
    </xdr:from>
    <xdr:to>
      <xdr:col>4</xdr:col>
      <xdr:colOff>347869</xdr:colOff>
      <xdr:row>498</xdr:row>
      <xdr:rowOff>147431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3319669" y="93278739"/>
          <a:ext cx="631135" cy="42075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430697</xdr:colOff>
      <xdr:row>493</xdr:row>
      <xdr:rowOff>16565</xdr:rowOff>
    </xdr:from>
    <xdr:ext cx="629468" cy="248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870175" y="92574717"/>
          <a:ext cx="629468" cy="24885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 b="1">
              <a:solidFill>
                <a:schemeClr val="tx1"/>
              </a:solidFill>
            </a:rPr>
            <a:t>Tower</a:t>
          </a:r>
          <a:r>
            <a:rPr lang="en-IN" sz="1000" b="1" baseline="0">
              <a:solidFill>
                <a:schemeClr val="tx1"/>
              </a:solidFill>
            </a:rPr>
            <a:t> A</a:t>
          </a:r>
          <a:endParaRPr lang="en-IN" sz="1000" b="1">
            <a:solidFill>
              <a:schemeClr val="tx1"/>
            </a:solidFill>
          </a:endParaRPr>
        </a:p>
      </xdr:txBody>
    </xdr:sp>
    <xdr:clientData/>
  </xdr:oneCellAnchor>
  <xdr:oneCellAnchor>
    <xdr:from>
      <xdr:col>5</xdr:col>
      <xdr:colOff>44725</xdr:colOff>
      <xdr:row>495</xdr:row>
      <xdr:rowOff>36443</xdr:rowOff>
    </xdr:from>
    <xdr:ext cx="623632" cy="24885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4484203" y="92992160"/>
          <a:ext cx="623632" cy="24885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 b="1">
              <a:solidFill>
                <a:srgbClr val="002060"/>
              </a:solidFill>
            </a:rPr>
            <a:t>Tower</a:t>
          </a:r>
          <a:r>
            <a:rPr lang="en-IN" sz="1000" b="1" baseline="0">
              <a:solidFill>
                <a:srgbClr val="002060"/>
              </a:solidFill>
            </a:rPr>
            <a:t> B</a:t>
          </a:r>
        </a:p>
      </xdr:txBody>
    </xdr:sp>
    <xdr:clientData/>
  </xdr:oneCellAnchor>
  <xdr:oneCellAnchor>
    <xdr:from>
      <xdr:col>4</xdr:col>
      <xdr:colOff>420755</xdr:colOff>
      <xdr:row>497</xdr:row>
      <xdr:rowOff>48038</xdr:rowOff>
    </xdr:from>
    <xdr:ext cx="619657" cy="248851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4023690" y="93401321"/>
          <a:ext cx="619657" cy="24885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 b="1">
              <a:solidFill>
                <a:sysClr val="windowText" lastClr="000000"/>
              </a:solidFill>
            </a:rPr>
            <a:t>Tower</a:t>
          </a:r>
          <a:r>
            <a:rPr lang="en-IN" sz="1000" b="1" baseline="0">
              <a:solidFill>
                <a:sysClr val="windowText" lastClr="000000"/>
              </a:solidFill>
            </a:rPr>
            <a:t> C</a:t>
          </a:r>
          <a:endParaRPr lang="en-IN" sz="1000" b="1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0</xdr:col>
      <xdr:colOff>685800</xdr:colOff>
      <xdr:row>544</xdr:row>
      <xdr:rowOff>190500</xdr:rowOff>
    </xdr:from>
    <xdr:to>
      <xdr:col>7</xdr:col>
      <xdr:colOff>400050</xdr:colOff>
      <xdr:row>565</xdr:row>
      <xdr:rowOff>171451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" y="105594150"/>
          <a:ext cx="5410200" cy="41814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302150</xdr:colOff>
      <xdr:row>550</xdr:row>
      <xdr:rowOff>171317</xdr:rowOff>
    </xdr:from>
    <xdr:to>
      <xdr:col>4</xdr:col>
      <xdr:colOff>658567</xdr:colOff>
      <xdr:row>556</xdr:row>
      <xdr:rowOff>35576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 rot="8555005">
          <a:off x="1864250" y="106775117"/>
          <a:ext cx="2147117" cy="106440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104775</xdr:colOff>
      <xdr:row>57</xdr:row>
      <xdr:rowOff>19050</xdr:rowOff>
    </xdr:from>
    <xdr:to>
      <xdr:col>15</xdr:col>
      <xdr:colOff>704057</xdr:colOff>
      <xdr:row>65</xdr:row>
      <xdr:rowOff>9251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29400" y="13563600"/>
          <a:ext cx="6342857" cy="2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47</xdr:row>
      <xdr:rowOff>85725</xdr:rowOff>
    </xdr:from>
    <xdr:to>
      <xdr:col>15</xdr:col>
      <xdr:colOff>761196</xdr:colOff>
      <xdr:row>52</xdr:row>
      <xdr:rowOff>495046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00825" y="11420475"/>
          <a:ext cx="6428571" cy="20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49</xdr:row>
      <xdr:rowOff>190500</xdr:rowOff>
    </xdr:from>
    <xdr:to>
      <xdr:col>17</xdr:col>
      <xdr:colOff>265850</xdr:colOff>
      <xdr:row>57</xdr:row>
      <xdr:rowOff>18718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24700" y="11925300"/>
          <a:ext cx="6800000" cy="265714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441</xdr:row>
      <xdr:rowOff>57150</xdr:rowOff>
    </xdr:from>
    <xdr:to>
      <xdr:col>7</xdr:col>
      <xdr:colOff>746400</xdr:colOff>
      <xdr:row>482</xdr:row>
      <xdr:rowOff>54975</xdr:rowOff>
    </xdr:to>
    <xdr:grpSp>
      <xdr:nvGrpSpPr>
        <xdr:cNvPr id="13" name="Group 12"/>
        <xdr:cNvGrpSpPr/>
      </xdr:nvGrpSpPr>
      <xdr:grpSpPr>
        <a:xfrm>
          <a:off x="152400" y="87639525"/>
          <a:ext cx="6289950" cy="8189325"/>
          <a:chOff x="152400" y="85972650"/>
          <a:chExt cx="6289950" cy="8189325"/>
        </a:xfrm>
      </xdr:grpSpPr>
      <xdr:grpSp>
        <xdr:nvGrpSpPr>
          <xdr:cNvPr id="10" name="Group 9"/>
          <xdr:cNvGrpSpPr/>
        </xdr:nvGrpSpPr>
        <xdr:grpSpPr>
          <a:xfrm>
            <a:off x="152400" y="85972650"/>
            <a:ext cx="6289950" cy="8189325"/>
            <a:chOff x="152400" y="85972650"/>
            <a:chExt cx="6289950" cy="8189325"/>
          </a:xfrm>
        </xdr:grpSpPr>
        <xdr:pic>
          <xdr:nvPicPr>
            <xdr:cNvPr id="43" name="Picture 42" descr="https://vsjcllp.vsjadon.com/upload/insp-246569-1525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67075" y="92192475"/>
              <a:ext cx="1477125" cy="19695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https://vsjcllp.vsjadon.com/upload/insp-246569-843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47850" y="89916000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https://vsjcllp.vsjadon.com/upload/insp-246569-845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62350" y="89916000"/>
              <a:ext cx="288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Picture 45" descr="https://vsjcllp.vsjadon.com/upload/insp-246569-847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89906475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https://vsjcllp.vsjadon.com/upload/insp-246569-844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2899" y="85972650"/>
              <a:ext cx="2886075" cy="38481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Picture 47" descr="https://vsjcllp.vsjadon.com/upload/insp-246569-849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14699" y="85972650"/>
              <a:ext cx="2886075" cy="38481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https://vsjcllp.vsjadon.com/upload/insp-246569-852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04975" y="92192475"/>
              <a:ext cx="1477125" cy="19695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5" name="TextBox 54"/>
          <xdr:cNvSpPr txBox="1"/>
        </xdr:nvSpPr>
        <xdr:spPr>
          <a:xfrm>
            <a:off x="895350" y="85972650"/>
            <a:ext cx="1021891" cy="3637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Tower A</a:t>
            </a:r>
          </a:p>
        </xdr:txBody>
      </xdr:sp>
      <xdr:sp macro="" textlink="">
        <xdr:nvSpPr>
          <xdr:cNvPr id="56" name="TextBox 55"/>
          <xdr:cNvSpPr txBox="1"/>
        </xdr:nvSpPr>
        <xdr:spPr>
          <a:xfrm>
            <a:off x="5105400" y="86706075"/>
            <a:ext cx="1021891" cy="3637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Tower B</a:t>
            </a:r>
          </a:p>
        </xdr:txBody>
      </xdr:sp>
    </xdr:grpSp>
    <xdr:clientData/>
  </xdr:twoCellAnchor>
  <xdr:twoCellAnchor editAs="oneCell">
    <xdr:from>
      <xdr:col>11</xdr:col>
      <xdr:colOff>124692</xdr:colOff>
      <xdr:row>422</xdr:row>
      <xdr:rowOff>348566</xdr:rowOff>
    </xdr:from>
    <xdr:to>
      <xdr:col>20</xdr:col>
      <xdr:colOff>302193</xdr:colOff>
      <xdr:row>435</xdr:row>
      <xdr:rowOff>14405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278217" y="83682791"/>
          <a:ext cx="6511626" cy="2713839"/>
        </a:xfrm>
        <a:prstGeom prst="rect">
          <a:avLst/>
        </a:prstGeom>
      </xdr:spPr>
    </xdr:pic>
    <xdr:clientData/>
  </xdr:twoCellAnchor>
  <xdr:twoCellAnchor editAs="oneCell">
    <xdr:from>
      <xdr:col>12</xdr:col>
      <xdr:colOff>390525</xdr:colOff>
      <xdr:row>113</xdr:row>
      <xdr:rowOff>161925</xdr:rowOff>
    </xdr:from>
    <xdr:to>
      <xdr:col>17</xdr:col>
      <xdr:colOff>85304</xdr:colOff>
      <xdr:row>125</xdr:row>
      <xdr:rowOff>133179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372725" y="27031950"/>
          <a:ext cx="3371429" cy="1371429"/>
        </a:xfrm>
        <a:prstGeom prst="rect">
          <a:avLst/>
        </a:prstGeom>
      </xdr:spPr>
    </xdr:pic>
    <xdr:clientData/>
  </xdr:twoCellAnchor>
  <xdr:twoCellAnchor editAs="oneCell">
    <xdr:from>
      <xdr:col>8</xdr:col>
      <xdr:colOff>1009650</xdr:colOff>
      <xdr:row>414</xdr:row>
      <xdr:rowOff>95250</xdr:rowOff>
    </xdr:from>
    <xdr:to>
      <xdr:col>11</xdr:col>
      <xdr:colOff>750</xdr:colOff>
      <xdr:row>421</xdr:row>
      <xdr:rowOff>197850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4275" y="81172050"/>
          <a:ext cx="162000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104775</xdr:colOff>
      <xdr:row>415</xdr:row>
      <xdr:rowOff>9525</xdr:rowOff>
    </xdr:from>
    <xdr:to>
      <xdr:col>12</xdr:col>
      <xdr:colOff>191250</xdr:colOff>
      <xdr:row>422</xdr:row>
      <xdr:rowOff>112125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53450" y="81286350"/>
          <a:ext cx="162000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1066800</xdr:colOff>
      <xdr:row>415</xdr:row>
      <xdr:rowOff>38100</xdr:rowOff>
    </xdr:from>
    <xdr:to>
      <xdr:col>11</xdr:col>
      <xdr:colOff>57900</xdr:colOff>
      <xdr:row>422</xdr:row>
      <xdr:rowOff>140700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1425" y="81314925"/>
          <a:ext cx="162000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QCKriWobVDPigLG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26"/>
  <sheetViews>
    <sheetView tabSelected="1" view="pageBreakPreview" zoomScaleNormal="100" zoomScaleSheetLayoutView="100" zoomScalePageLayoutView="115" workbookViewId="0">
      <selection activeCell="B416" sqref="B416:H416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2.42578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58" t="s">
        <v>240</v>
      </c>
      <c r="B1" s="158"/>
      <c r="C1" s="158"/>
      <c r="D1" s="158"/>
      <c r="E1" s="158"/>
      <c r="F1" s="158"/>
      <c r="G1" s="158"/>
      <c r="H1" s="158"/>
    </row>
    <row r="2" spans="1:8" ht="16.5" customHeight="1" x14ac:dyDescent="0.25">
      <c r="A2" s="139" t="s">
        <v>0</v>
      </c>
      <c r="B2" s="139"/>
      <c r="C2" s="139"/>
      <c r="D2" s="139"/>
      <c r="E2" s="139"/>
      <c r="F2" s="139"/>
      <c r="G2" s="139"/>
      <c r="H2" s="139"/>
    </row>
    <row r="3" spans="1:8" x14ac:dyDescent="0.25">
      <c r="A3" s="129" t="s">
        <v>1</v>
      </c>
      <c r="B3" s="129"/>
      <c r="C3" s="129"/>
      <c r="D3" s="129"/>
      <c r="E3" s="129" t="str">
        <f ca="1">TEXT(TODAY(),"DD/MM/YYYY")</f>
        <v>25/09/2025</v>
      </c>
      <c r="F3" s="129"/>
      <c r="G3" s="129"/>
      <c r="H3" s="129"/>
    </row>
    <row r="4" spans="1:8" ht="15" customHeight="1" x14ac:dyDescent="0.25">
      <c r="A4" s="129" t="s">
        <v>2</v>
      </c>
      <c r="B4" s="129"/>
      <c r="C4" s="129"/>
      <c r="D4" s="129"/>
      <c r="E4" s="129" t="s">
        <v>174</v>
      </c>
      <c r="F4" s="129"/>
      <c r="G4" s="129"/>
      <c r="H4" s="129"/>
    </row>
    <row r="5" spans="1:8" x14ac:dyDescent="0.25">
      <c r="A5" s="129" t="s">
        <v>3</v>
      </c>
      <c r="B5" s="129"/>
      <c r="C5" s="129"/>
      <c r="D5" s="129"/>
      <c r="E5" s="160">
        <v>45909</v>
      </c>
      <c r="F5" s="129"/>
      <c r="G5" s="129"/>
      <c r="H5" s="129"/>
    </row>
    <row r="6" spans="1:8" ht="16.5" customHeight="1" x14ac:dyDescent="0.25">
      <c r="A6" s="129" t="s">
        <v>4</v>
      </c>
      <c r="B6" s="129"/>
      <c r="C6" s="129"/>
      <c r="D6" s="129"/>
      <c r="E6" s="129" t="s">
        <v>175</v>
      </c>
      <c r="F6" s="129"/>
      <c r="G6" s="129"/>
      <c r="H6" s="129"/>
    </row>
    <row r="7" spans="1:8" ht="15" customHeight="1" x14ac:dyDescent="0.25">
      <c r="A7" s="129" t="s">
        <v>5</v>
      </c>
      <c r="B7" s="129"/>
      <c r="C7" s="129"/>
      <c r="D7" s="129"/>
      <c r="E7" s="129" t="str">
        <f>E6</f>
        <v>Transcon-sheth Creators Private Limited</v>
      </c>
      <c r="F7" s="129"/>
      <c r="G7" s="129"/>
      <c r="H7" s="129"/>
    </row>
    <row r="8" spans="1:8" x14ac:dyDescent="0.25">
      <c r="A8" s="129" t="s">
        <v>6</v>
      </c>
      <c r="B8" s="129"/>
      <c r="C8" s="129"/>
      <c r="D8" s="129"/>
      <c r="E8" s="159" t="s">
        <v>215</v>
      </c>
      <c r="F8" s="159"/>
      <c r="G8" s="159"/>
      <c r="H8" s="159"/>
    </row>
    <row r="9" spans="1:8" x14ac:dyDescent="0.25">
      <c r="A9" s="129" t="s">
        <v>171</v>
      </c>
      <c r="B9" s="129"/>
      <c r="C9" s="129"/>
      <c r="D9" s="129"/>
      <c r="E9" s="129">
        <v>8879996292</v>
      </c>
      <c r="F9" s="129"/>
      <c r="G9" s="129"/>
      <c r="H9" s="129"/>
    </row>
    <row r="10" spans="1:8" hidden="1" x14ac:dyDescent="0.25">
      <c r="A10" s="129" t="s">
        <v>172</v>
      </c>
      <c r="B10" s="129"/>
      <c r="C10" s="129"/>
      <c r="D10" s="129"/>
      <c r="E10" s="129"/>
      <c r="F10" s="129"/>
      <c r="G10" s="129"/>
      <c r="H10" s="129"/>
    </row>
    <row r="11" spans="1:8" x14ac:dyDescent="0.25">
      <c r="A11" s="129" t="s">
        <v>7</v>
      </c>
      <c r="B11" s="129"/>
      <c r="C11" s="129"/>
      <c r="D11" s="129"/>
      <c r="E11" s="129" t="s">
        <v>237</v>
      </c>
      <c r="F11" s="129"/>
      <c r="G11" s="129"/>
      <c r="H11" s="129"/>
    </row>
    <row r="12" spans="1:8" x14ac:dyDescent="0.25">
      <c r="A12" s="101" t="s">
        <v>8</v>
      </c>
      <c r="B12" s="101"/>
      <c r="C12" s="101"/>
      <c r="D12" s="101"/>
      <c r="E12" s="128" t="s">
        <v>176</v>
      </c>
      <c r="F12" s="128"/>
      <c r="G12" s="128"/>
      <c r="H12" s="128"/>
    </row>
    <row r="13" spans="1:8" ht="50.25" customHeight="1" x14ac:dyDescent="0.25">
      <c r="A13" s="101" t="s">
        <v>9</v>
      </c>
      <c r="B13" s="101"/>
      <c r="C13" s="101"/>
      <c r="D13" s="101"/>
      <c r="E13" s="128" t="s">
        <v>216</v>
      </c>
      <c r="F13" s="129"/>
      <c r="G13" s="129"/>
      <c r="H13" s="129"/>
    </row>
    <row r="14" spans="1:8" ht="66" customHeight="1" x14ac:dyDescent="0.25">
      <c r="A14" s="127" t="s">
        <v>10</v>
      </c>
      <c r="B14" s="127"/>
      <c r="C14" s="12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Auris Ilaria Tower A, B &amp; C, CTS No.322/C, 323/A, 325/A(Pt), 326…, 425, 426, 427 &amp; Existing Building Name - Salsette Catholic Chs, near Cherry Blossom Housing Society /Auris Serenity, D Monte Lane, Kanchpada, Valnai, Malad West, Borivali, Mumbai - 400064.</v>
      </c>
      <c r="D14" s="127"/>
      <c r="E14" s="127"/>
      <c r="F14" s="127"/>
      <c r="G14" s="127"/>
      <c r="H14" s="127"/>
    </row>
    <row r="15" spans="1:8" ht="33.75" customHeight="1" x14ac:dyDescent="0.25">
      <c r="A15" s="128" t="s">
        <v>177</v>
      </c>
      <c r="B15" s="128"/>
      <c r="C15" s="128" t="s">
        <v>211</v>
      </c>
      <c r="D15" s="128"/>
      <c r="E15" s="128"/>
      <c r="F15" s="128"/>
      <c r="G15" s="128"/>
      <c r="H15" s="128"/>
    </row>
    <row r="16" spans="1:8" ht="15.75" customHeight="1" x14ac:dyDescent="0.25">
      <c r="A16" s="128" t="s">
        <v>170</v>
      </c>
      <c r="B16" s="128"/>
      <c r="C16" s="128" t="s">
        <v>212</v>
      </c>
      <c r="D16" s="128"/>
      <c r="E16" s="128"/>
      <c r="F16" s="128"/>
      <c r="G16" s="128"/>
      <c r="H16" s="128"/>
    </row>
    <row r="17" spans="1:8" ht="15.75" customHeight="1" x14ac:dyDescent="0.25">
      <c r="A17" s="127" t="s">
        <v>11</v>
      </c>
      <c r="B17" s="127"/>
      <c r="C17" s="129" t="s">
        <v>201</v>
      </c>
      <c r="D17" s="129"/>
      <c r="E17" s="127" t="s">
        <v>74</v>
      </c>
      <c r="F17" s="127"/>
      <c r="G17" s="128" t="s">
        <v>204</v>
      </c>
      <c r="H17" s="128"/>
    </row>
    <row r="18" spans="1:8" x14ac:dyDescent="0.25">
      <c r="A18" s="101" t="s">
        <v>13</v>
      </c>
      <c r="B18" s="101"/>
      <c r="C18" s="128" t="s">
        <v>200</v>
      </c>
      <c r="D18" s="128"/>
      <c r="E18" s="127" t="s">
        <v>12</v>
      </c>
      <c r="F18" s="127"/>
      <c r="G18" s="163" t="s">
        <v>203</v>
      </c>
      <c r="H18" s="163"/>
    </row>
    <row r="19" spans="1:8" x14ac:dyDescent="0.25">
      <c r="A19" s="101" t="s">
        <v>75</v>
      </c>
      <c r="B19" s="101"/>
      <c r="C19" s="128" t="s">
        <v>202</v>
      </c>
      <c r="D19" s="128"/>
      <c r="E19" s="127" t="s">
        <v>14</v>
      </c>
      <c r="F19" s="127"/>
      <c r="G19" s="128">
        <v>400064</v>
      </c>
      <c r="H19" s="128"/>
    </row>
    <row r="20" spans="1:8" ht="32.25" customHeight="1" x14ac:dyDescent="0.25">
      <c r="A20" s="101" t="s">
        <v>125</v>
      </c>
      <c r="B20" s="101"/>
      <c r="C20" s="128" t="s">
        <v>213</v>
      </c>
      <c r="D20" s="128"/>
      <c r="E20" s="127" t="s">
        <v>15</v>
      </c>
      <c r="F20" s="127"/>
      <c r="G20" s="128" t="s">
        <v>205</v>
      </c>
      <c r="H20" s="128"/>
    </row>
    <row r="21" spans="1:8" ht="15" customHeight="1" x14ac:dyDescent="0.25">
      <c r="A21" s="127" t="s">
        <v>77</v>
      </c>
      <c r="B21" s="127"/>
      <c r="C21" s="127"/>
      <c r="D21" s="127"/>
      <c r="E21" s="129" t="s">
        <v>16</v>
      </c>
      <c r="F21" s="129"/>
      <c r="G21" s="129"/>
      <c r="H21" s="129"/>
    </row>
    <row r="22" spans="1:8" ht="18.75" customHeight="1" x14ac:dyDescent="0.25">
      <c r="A22" s="127"/>
      <c r="B22" s="127"/>
      <c r="C22" s="127"/>
      <c r="D22" s="127"/>
      <c r="E22" s="129"/>
      <c r="F22" s="129"/>
      <c r="G22" s="129"/>
      <c r="H22" s="129"/>
    </row>
    <row r="23" spans="1:8" ht="15" customHeight="1" x14ac:dyDescent="0.25">
      <c r="A23" s="127" t="s">
        <v>17</v>
      </c>
      <c r="B23" s="127"/>
      <c r="C23" s="127"/>
      <c r="D23" s="127"/>
      <c r="E23" s="128" t="s">
        <v>18</v>
      </c>
      <c r="F23" s="128"/>
      <c r="G23" s="128"/>
      <c r="H23" s="128"/>
    </row>
    <row r="24" spans="1:8" ht="15" customHeight="1" x14ac:dyDescent="0.25">
      <c r="A24" s="101" t="s">
        <v>19</v>
      </c>
      <c r="B24" s="101"/>
      <c r="C24" s="101"/>
      <c r="D24" s="101"/>
      <c r="E24" s="128" t="str">
        <f>IF(AND(G18="Mumbai"),"Upper Class","Middle Class")</f>
        <v>Upper Class</v>
      </c>
      <c r="F24" s="128"/>
      <c r="G24" s="128"/>
      <c r="H24" s="128"/>
    </row>
    <row r="25" spans="1:8" x14ac:dyDescent="0.25">
      <c r="A25" s="101" t="s">
        <v>20</v>
      </c>
      <c r="B25" s="101"/>
      <c r="C25" s="101"/>
      <c r="D25" s="101"/>
      <c r="E25" s="128" t="s">
        <v>21</v>
      </c>
      <c r="F25" s="128"/>
      <c r="G25" s="128"/>
      <c r="H25" s="128"/>
    </row>
    <row r="26" spans="1:8" ht="15.75" customHeight="1" x14ac:dyDescent="0.25">
      <c r="A26" s="101" t="s">
        <v>22</v>
      </c>
      <c r="B26" s="101"/>
      <c r="C26" s="101"/>
      <c r="D26" s="101"/>
      <c r="E26" s="128" t="str">
        <f>IF(AND(G18="Mumbai"),"Developed","Developing")</f>
        <v>Developed</v>
      </c>
      <c r="F26" s="128"/>
      <c r="G26" s="128"/>
      <c r="H26" s="128"/>
    </row>
    <row r="27" spans="1:8" x14ac:dyDescent="0.25">
      <c r="A27" s="101" t="s">
        <v>23</v>
      </c>
      <c r="B27" s="101"/>
      <c r="C27" s="101"/>
      <c r="D27" s="101"/>
      <c r="E27" s="128" t="s">
        <v>24</v>
      </c>
      <c r="F27" s="128"/>
      <c r="G27" s="128"/>
      <c r="H27" s="128"/>
    </row>
    <row r="28" spans="1:8" ht="15.75" customHeight="1" x14ac:dyDescent="0.25">
      <c r="A28" s="101" t="s">
        <v>82</v>
      </c>
      <c r="B28" s="101"/>
      <c r="C28" s="101"/>
      <c r="D28" s="101"/>
      <c r="E28" s="128" t="s">
        <v>83</v>
      </c>
      <c r="F28" s="128"/>
      <c r="G28" s="128"/>
      <c r="H28" s="128"/>
    </row>
    <row r="29" spans="1:8" ht="15" customHeight="1" x14ac:dyDescent="0.25">
      <c r="A29" s="101" t="s">
        <v>33</v>
      </c>
      <c r="B29" s="101"/>
      <c r="C29" s="101"/>
      <c r="D29" s="101"/>
      <c r="E29" s="128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29" s="128"/>
      <c r="G29" s="128"/>
      <c r="H29" s="128"/>
    </row>
    <row r="30" spans="1:8" ht="15.75" customHeight="1" x14ac:dyDescent="0.25">
      <c r="A30" s="101" t="s">
        <v>94</v>
      </c>
      <c r="B30" s="101"/>
      <c r="C30" s="101"/>
      <c r="D30" s="101"/>
      <c r="E30" s="128" t="s">
        <v>34</v>
      </c>
      <c r="F30" s="128"/>
      <c r="G30" s="128"/>
      <c r="H30" s="128"/>
    </row>
    <row r="31" spans="1:8" s="22" customFormat="1" x14ac:dyDescent="0.25">
      <c r="A31" s="167" t="s">
        <v>95</v>
      </c>
      <c r="B31" s="167"/>
      <c r="C31" s="166" t="s">
        <v>29</v>
      </c>
      <c r="D31" s="166"/>
      <c r="E31" s="166"/>
      <c r="F31" s="166" t="s">
        <v>31</v>
      </c>
      <c r="G31" s="166"/>
      <c r="H31" s="166"/>
    </row>
    <row r="32" spans="1:8" s="22" customFormat="1" x14ac:dyDescent="0.25">
      <c r="A32" s="164" t="s">
        <v>25</v>
      </c>
      <c r="B32" s="164" t="s">
        <v>30</v>
      </c>
      <c r="C32" s="165" t="s">
        <v>30</v>
      </c>
      <c r="D32" s="165"/>
      <c r="E32" s="165"/>
      <c r="F32" s="165" t="s">
        <v>11</v>
      </c>
      <c r="G32" s="165"/>
      <c r="H32" s="165"/>
    </row>
    <row r="33" spans="1:9" x14ac:dyDescent="0.25">
      <c r="A33" s="164" t="s">
        <v>26</v>
      </c>
      <c r="B33" s="164" t="s">
        <v>30</v>
      </c>
      <c r="C33" s="165" t="s">
        <v>30</v>
      </c>
      <c r="D33" s="165"/>
      <c r="E33" s="165"/>
      <c r="F33" s="165" t="s">
        <v>245</v>
      </c>
      <c r="G33" s="165"/>
      <c r="H33" s="165"/>
    </row>
    <row r="34" spans="1:9" s="22" customFormat="1" x14ac:dyDescent="0.25">
      <c r="A34" s="164" t="s">
        <v>28</v>
      </c>
      <c r="B34" s="164" t="s">
        <v>30</v>
      </c>
      <c r="C34" s="165" t="s">
        <v>30</v>
      </c>
      <c r="D34" s="165"/>
      <c r="E34" s="165"/>
      <c r="F34" s="165" t="s">
        <v>214</v>
      </c>
      <c r="G34" s="165"/>
      <c r="H34" s="165"/>
    </row>
    <row r="35" spans="1:9" x14ac:dyDescent="0.25">
      <c r="A35" s="164" t="s">
        <v>27</v>
      </c>
      <c r="B35" s="164" t="s">
        <v>30</v>
      </c>
      <c r="C35" s="165" t="s">
        <v>30</v>
      </c>
      <c r="D35" s="165"/>
      <c r="E35" s="165"/>
      <c r="F35" s="165" t="s">
        <v>199</v>
      </c>
      <c r="G35" s="165"/>
      <c r="H35" s="165"/>
    </row>
    <row r="36" spans="1:9" x14ac:dyDescent="0.25">
      <c r="A36" s="101" t="s">
        <v>32</v>
      </c>
      <c r="B36" s="101"/>
      <c r="C36" s="101"/>
      <c r="D36" s="101"/>
      <c r="E36" s="101"/>
      <c r="F36" s="101"/>
      <c r="G36" s="101"/>
      <c r="H36" s="101"/>
    </row>
    <row r="37" spans="1:9" ht="15.75" customHeight="1" x14ac:dyDescent="0.25">
      <c r="A37" s="101" t="s">
        <v>243</v>
      </c>
      <c r="B37" s="101"/>
      <c r="C37" s="203" t="s">
        <v>244</v>
      </c>
      <c r="D37" s="204"/>
      <c r="E37" s="204"/>
      <c r="F37" s="204"/>
      <c r="G37" s="204"/>
      <c r="H37" s="205"/>
    </row>
    <row r="38" spans="1:9" x14ac:dyDescent="0.25">
      <c r="A38" s="101" t="s">
        <v>169</v>
      </c>
      <c r="B38" s="101"/>
      <c r="C38" s="169" t="s">
        <v>198</v>
      </c>
      <c r="D38" s="128"/>
      <c r="E38" s="128"/>
      <c r="F38" s="128"/>
      <c r="G38" s="128"/>
      <c r="H38" s="128"/>
    </row>
    <row r="39" spans="1:9" x14ac:dyDescent="0.25">
      <c r="A39" s="152" t="s">
        <v>35</v>
      </c>
      <c r="B39" s="152"/>
      <c r="C39" s="152"/>
      <c r="D39" s="152"/>
      <c r="E39" s="152"/>
      <c r="F39" s="152"/>
      <c r="G39" s="152"/>
      <c r="H39" s="152"/>
    </row>
    <row r="40" spans="1:9" x14ac:dyDescent="0.25">
      <c r="A40" s="101" t="s">
        <v>36</v>
      </c>
      <c r="B40" s="101"/>
      <c r="C40" s="101"/>
      <c r="D40" s="101"/>
      <c r="E40" s="168">
        <v>51426.58</v>
      </c>
      <c r="F40" s="168"/>
      <c r="G40" s="168"/>
      <c r="H40" s="168"/>
    </row>
    <row r="41" spans="1:9" x14ac:dyDescent="0.25">
      <c r="A41" s="101" t="s">
        <v>37</v>
      </c>
      <c r="B41" s="101"/>
      <c r="C41" s="101"/>
      <c r="D41" s="101"/>
      <c r="E41" s="100">
        <v>4</v>
      </c>
      <c r="F41" s="100"/>
      <c r="G41" s="100"/>
      <c r="H41" s="100"/>
    </row>
    <row r="42" spans="1:9" x14ac:dyDescent="0.25">
      <c r="A42" s="101" t="s">
        <v>38</v>
      </c>
      <c r="B42" s="101"/>
      <c r="C42" s="101"/>
      <c r="D42" s="101"/>
      <c r="E42" s="100">
        <f>E44/E40-E41</f>
        <v>0.23522174719765498</v>
      </c>
      <c r="F42" s="100"/>
      <c r="G42" s="100"/>
      <c r="H42" s="100"/>
    </row>
    <row r="43" spans="1:9" x14ac:dyDescent="0.25">
      <c r="A43" s="101" t="s">
        <v>39</v>
      </c>
      <c r="B43" s="101"/>
      <c r="C43" s="101"/>
      <c r="D43" s="101"/>
      <c r="E43" s="100">
        <f>E41+E42</f>
        <v>4.235221747197655</v>
      </c>
      <c r="F43" s="100"/>
      <c r="G43" s="100"/>
      <c r="H43" s="100"/>
    </row>
    <row r="44" spans="1:9" x14ac:dyDescent="0.25">
      <c r="A44" s="101" t="s">
        <v>93</v>
      </c>
      <c r="B44" s="101"/>
      <c r="C44" s="101"/>
      <c r="D44" s="101"/>
      <c r="E44" s="175">
        <v>217802.97</v>
      </c>
      <c r="F44" s="175"/>
      <c r="G44" s="175"/>
      <c r="H44" s="175"/>
    </row>
    <row r="45" spans="1:9" x14ac:dyDescent="0.25">
      <c r="A45" s="129" t="s">
        <v>40</v>
      </c>
      <c r="B45" s="129"/>
      <c r="C45" s="129"/>
      <c r="D45" s="129"/>
      <c r="E45" s="129" t="s">
        <v>233</v>
      </c>
      <c r="F45" s="129"/>
      <c r="G45" s="129"/>
      <c r="H45" s="129"/>
    </row>
    <row r="46" spans="1:9" x14ac:dyDescent="0.25">
      <c r="A46" s="152" t="s">
        <v>41</v>
      </c>
      <c r="B46" s="152"/>
      <c r="C46" s="152"/>
      <c r="D46" s="152"/>
      <c r="E46" s="152"/>
      <c r="F46" s="152"/>
      <c r="G46" s="152"/>
      <c r="H46" s="152"/>
    </row>
    <row r="47" spans="1:9" ht="33.75" customHeight="1" x14ac:dyDescent="0.25">
      <c r="A47" s="117" t="s">
        <v>157</v>
      </c>
      <c r="B47" s="118"/>
      <c r="C47" s="184" t="s">
        <v>178</v>
      </c>
      <c r="D47" s="185"/>
      <c r="E47" s="185"/>
      <c r="F47" s="185"/>
      <c r="G47" s="185"/>
      <c r="H47" s="186"/>
    </row>
    <row r="48" spans="1:9" ht="15.75" customHeight="1" x14ac:dyDescent="0.25">
      <c r="A48" s="117" t="s">
        <v>42</v>
      </c>
      <c r="B48" s="118"/>
      <c r="C48" s="117" t="s">
        <v>179</v>
      </c>
      <c r="D48" s="119"/>
      <c r="E48" s="118"/>
      <c r="F48" s="18" t="s">
        <v>43</v>
      </c>
      <c r="G48" s="137">
        <v>44552</v>
      </c>
      <c r="H48" s="118"/>
      <c r="I48" s="22" t="s">
        <v>197</v>
      </c>
    </row>
    <row r="49" spans="1:14" x14ac:dyDescent="0.25">
      <c r="A49" s="117" t="s">
        <v>44</v>
      </c>
      <c r="B49" s="118"/>
      <c r="C49" s="117" t="s">
        <v>179</v>
      </c>
      <c r="D49" s="119"/>
      <c r="E49" s="118"/>
      <c r="F49" s="18" t="s">
        <v>43</v>
      </c>
      <c r="G49" s="137">
        <v>44552</v>
      </c>
      <c r="H49" s="118"/>
    </row>
    <row r="50" spans="1:14" s="23" customFormat="1" ht="15.75" customHeight="1" x14ac:dyDescent="0.25">
      <c r="A50" s="133" t="s">
        <v>161</v>
      </c>
      <c r="B50" s="134"/>
      <c r="C50" s="117" t="s">
        <v>179</v>
      </c>
      <c r="D50" s="119"/>
      <c r="E50" s="118"/>
      <c r="F50" s="18" t="s">
        <v>43</v>
      </c>
      <c r="G50" s="137">
        <v>44853</v>
      </c>
      <c r="H50" s="118"/>
    </row>
    <row r="51" spans="1:14" s="23" customFormat="1" ht="64.5" customHeight="1" x14ac:dyDescent="0.25">
      <c r="A51" s="135"/>
      <c r="B51" s="136"/>
      <c r="C51" s="117" t="s">
        <v>250</v>
      </c>
      <c r="D51" s="119"/>
      <c r="E51" s="119"/>
      <c r="F51" s="119"/>
      <c r="G51" s="119"/>
      <c r="H51" s="118"/>
    </row>
    <row r="52" spans="1:14" s="23" customFormat="1" ht="15.75" customHeight="1" x14ac:dyDescent="0.25">
      <c r="A52" s="133" t="s">
        <v>161</v>
      </c>
      <c r="B52" s="134"/>
      <c r="C52" s="117" t="s">
        <v>179</v>
      </c>
      <c r="D52" s="119"/>
      <c r="E52" s="118"/>
      <c r="F52" s="18" t="s">
        <v>43</v>
      </c>
      <c r="G52" s="137">
        <v>45211</v>
      </c>
      <c r="H52" s="118"/>
    </row>
    <row r="53" spans="1:14" s="23" customFormat="1" ht="46.5" customHeight="1" x14ac:dyDescent="0.25">
      <c r="A53" s="135"/>
      <c r="B53" s="136"/>
      <c r="C53" s="117" t="s">
        <v>246</v>
      </c>
      <c r="D53" s="119"/>
      <c r="E53" s="119"/>
      <c r="F53" s="119"/>
      <c r="G53" s="119"/>
      <c r="H53" s="118"/>
    </row>
    <row r="54" spans="1:14" s="23" customFormat="1" ht="15.75" customHeight="1" x14ac:dyDescent="0.25">
      <c r="A54" s="133" t="s">
        <v>161</v>
      </c>
      <c r="B54" s="134"/>
      <c r="C54" s="117" t="s">
        <v>179</v>
      </c>
      <c r="D54" s="119"/>
      <c r="E54" s="118"/>
      <c r="F54" s="18" t="s">
        <v>43</v>
      </c>
      <c r="G54" s="137">
        <v>45265</v>
      </c>
      <c r="H54" s="118"/>
    </row>
    <row r="55" spans="1:14" s="23" customFormat="1" ht="33" customHeight="1" x14ac:dyDescent="0.25">
      <c r="A55" s="135"/>
      <c r="B55" s="136"/>
      <c r="C55" s="117" t="s">
        <v>247</v>
      </c>
      <c r="D55" s="119"/>
      <c r="E55" s="119"/>
      <c r="F55" s="119"/>
      <c r="G55" s="119"/>
      <c r="H55" s="118"/>
    </row>
    <row r="56" spans="1:14" x14ac:dyDescent="0.25">
      <c r="A56" s="123" t="s">
        <v>45</v>
      </c>
      <c r="B56" s="125"/>
      <c r="C56" s="123" t="s">
        <v>105</v>
      </c>
      <c r="D56" s="124"/>
      <c r="E56" s="125"/>
      <c r="F56" s="46" t="s">
        <v>43</v>
      </c>
      <c r="G56" s="131" t="s">
        <v>30</v>
      </c>
      <c r="H56" s="132"/>
    </row>
    <row r="57" spans="1:14" x14ac:dyDescent="0.25">
      <c r="A57" s="126" t="s">
        <v>47</v>
      </c>
      <c r="B57" s="126"/>
      <c r="C57" s="126"/>
      <c r="D57" s="126"/>
      <c r="E57" s="126"/>
      <c r="F57" s="126"/>
      <c r="G57" s="126"/>
      <c r="H57" s="126"/>
    </row>
    <row r="58" spans="1:14" x14ac:dyDescent="0.25">
      <c r="A58" s="127" t="s">
        <v>92</v>
      </c>
      <c r="B58" s="127"/>
      <c r="C58" s="127"/>
      <c r="D58" s="101">
        <f>E44</f>
        <v>217802.97</v>
      </c>
      <c r="E58" s="101"/>
      <c r="F58" s="101"/>
      <c r="G58" s="101"/>
      <c r="H58" s="101"/>
    </row>
    <row r="59" spans="1:14" x14ac:dyDescent="0.25">
      <c r="A59" s="128" t="s">
        <v>48</v>
      </c>
      <c r="B59" s="129"/>
      <c r="C59" s="129"/>
      <c r="D59" s="130" t="s">
        <v>231</v>
      </c>
      <c r="E59" s="130"/>
      <c r="F59" s="130"/>
      <c r="G59" s="130"/>
      <c r="H59" s="130"/>
      <c r="I59" s="24"/>
    </row>
    <row r="60" spans="1:14" ht="48" customHeight="1" x14ac:dyDescent="0.25">
      <c r="A60" s="172" t="s">
        <v>49</v>
      </c>
      <c r="B60" s="173"/>
      <c r="C60" s="174"/>
      <c r="D60" s="170" t="s">
        <v>217</v>
      </c>
      <c r="E60" s="171"/>
      <c r="F60" s="171"/>
      <c r="G60" s="171"/>
      <c r="H60" s="171"/>
    </row>
    <row r="61" spans="1:14" ht="15.75" customHeight="1" x14ac:dyDescent="0.25">
      <c r="A61" s="172" t="s">
        <v>90</v>
      </c>
      <c r="B61" s="173"/>
      <c r="C61" s="174"/>
      <c r="D61" s="128" t="s">
        <v>191</v>
      </c>
      <c r="E61" s="129"/>
      <c r="F61" s="129"/>
      <c r="G61" s="129"/>
      <c r="H61" s="129"/>
    </row>
    <row r="62" spans="1:14" ht="15.75" customHeight="1" x14ac:dyDescent="0.25">
      <c r="A62" s="187"/>
      <c r="B62" s="188"/>
      <c r="C62" s="189"/>
      <c r="D62" s="128" t="s">
        <v>218</v>
      </c>
      <c r="E62" s="129"/>
      <c r="F62" s="129"/>
      <c r="G62" s="129"/>
      <c r="H62" s="129"/>
    </row>
    <row r="63" spans="1:14" ht="15.75" customHeight="1" x14ac:dyDescent="0.25">
      <c r="A63" s="190"/>
      <c r="B63" s="191"/>
      <c r="C63" s="192"/>
      <c r="D63" s="128" t="s">
        <v>232</v>
      </c>
      <c r="E63" s="129"/>
      <c r="F63" s="129"/>
      <c r="G63" s="129"/>
      <c r="H63" s="129"/>
    </row>
    <row r="64" spans="1:14" ht="30.75" customHeight="1" x14ac:dyDescent="0.25">
      <c r="A64" s="101" t="s">
        <v>46</v>
      </c>
      <c r="B64" s="101"/>
      <c r="C64" s="101"/>
      <c r="D64" s="161" t="s">
        <v>241</v>
      </c>
      <c r="E64" s="161"/>
      <c r="F64" s="161"/>
      <c r="G64" s="161"/>
      <c r="H64" s="161"/>
      <c r="J64" s="25"/>
      <c r="K64" s="24"/>
      <c r="N64" s="24"/>
    </row>
    <row r="65" spans="1:14" ht="15.75" customHeight="1" x14ac:dyDescent="0.25">
      <c r="A65" s="101" t="s">
        <v>88</v>
      </c>
      <c r="B65" s="101"/>
      <c r="C65" s="101"/>
      <c r="D65" s="151" t="str">
        <f>(IF(G56="NA","60 Years After Completion",IF(G56&lt;&gt;"NA",""&amp;60-ROUNDDOWN((E3-G56)/360,0)&amp;" Years"," ")))</f>
        <v>60 Years After Completion</v>
      </c>
      <c r="E65" s="151"/>
      <c r="F65" s="151"/>
      <c r="G65" s="151"/>
      <c r="H65" s="151"/>
      <c r="N65" s="24"/>
    </row>
    <row r="66" spans="1:14" ht="15.75" customHeight="1" x14ac:dyDescent="0.25">
      <c r="A66" s="101" t="s">
        <v>89</v>
      </c>
      <c r="B66" s="101"/>
      <c r="C66" s="101"/>
      <c r="D66" s="127" t="s">
        <v>24</v>
      </c>
      <c r="E66" s="127"/>
      <c r="F66" s="127"/>
      <c r="G66" s="127"/>
      <c r="H66" s="127"/>
      <c r="J66" s="26"/>
      <c r="K66" s="26"/>
    </row>
    <row r="67" spans="1:14" ht="15" hidden="1" customHeight="1" x14ac:dyDescent="0.25">
      <c r="A67" s="101" t="s">
        <v>76</v>
      </c>
      <c r="B67" s="101"/>
      <c r="C67" s="101"/>
      <c r="D67" s="179" t="s">
        <v>153</v>
      </c>
      <c r="E67" s="179"/>
      <c r="F67" s="179"/>
      <c r="G67" s="179"/>
      <c r="H67" s="179"/>
    </row>
    <row r="68" spans="1:14" x14ac:dyDescent="0.25">
      <c r="A68" s="127" t="s">
        <v>154</v>
      </c>
      <c r="B68" s="127"/>
      <c r="C68" s="127"/>
      <c r="D68" s="127" t="s">
        <v>30</v>
      </c>
      <c r="E68" s="127"/>
      <c r="F68" s="127"/>
      <c r="G68" s="127"/>
      <c r="H68" s="127"/>
      <c r="I68" s="27"/>
      <c r="J68" s="27"/>
      <c r="K68" s="27"/>
      <c r="L68" s="27"/>
      <c r="M68" s="27"/>
      <c r="N68" s="27"/>
    </row>
    <row r="69" spans="1:14" ht="15.75" customHeight="1" x14ac:dyDescent="0.25">
      <c r="A69" s="101" t="s">
        <v>87</v>
      </c>
      <c r="B69" s="101"/>
      <c r="C69" s="101"/>
      <c r="D69" s="128" t="str">
        <f ca="1">(IF(G75&gt;95%,"Nothing",IF(G75&gt;0%,"Cement, Aggregate, Steel, etc",IF(G75=0%,"Work not yet Started"))))</f>
        <v>Cement, Aggregate, Steel, etc</v>
      </c>
      <c r="E69" s="128"/>
      <c r="F69" s="128"/>
      <c r="G69" s="128"/>
      <c r="H69" s="128"/>
      <c r="J69" s="26"/>
    </row>
    <row r="70" spans="1:14" ht="33.75" customHeight="1" thickBot="1" x14ac:dyDescent="0.3">
      <c r="A70" s="127" t="s">
        <v>118</v>
      </c>
      <c r="B70" s="127"/>
      <c r="C70" s="127"/>
      <c r="D70" s="128" t="str">
        <f ca="1">(IF(D69="Nothing","Yes",IF(D69="Cement, Aggregate, Steel, etc","Under Construction",IF(D69="Work not yet Started","Work not yet Started"))))</f>
        <v>Under Construction</v>
      </c>
      <c r="E70" s="128"/>
      <c r="F70" s="128" t="str">
        <f ca="1">(IF(D69="Nothing","Yes",IF(D69="Cement, Aggregate, Steel, etc","Under Construction",IF(D69="Work not yet Started","Work not yet Started"))))</f>
        <v>Under Construction</v>
      </c>
      <c r="G70" s="128"/>
      <c r="H70" s="128"/>
    </row>
    <row r="71" spans="1:14" ht="15.75" customHeight="1" x14ac:dyDescent="0.25">
      <c r="A71" s="177" t="s">
        <v>143</v>
      </c>
      <c r="B71" s="177"/>
      <c r="C71" s="177" t="str">
        <f>D61</f>
        <v>A Wing = 2B + G + 6P + 7th Eco-deck + 8th to 40th Floor</v>
      </c>
      <c r="D71" s="177"/>
      <c r="E71" s="177"/>
      <c r="F71" s="177"/>
      <c r="G71" s="177"/>
      <c r="H71" s="177"/>
      <c r="I71" s="64" t="str">
        <f ca="1">IF(D84=100%,"All work Completed. Possession granted to the Building.",IF(D83=100%,"All work Completed, Waiting for OC",I72&amp;""&amp;I73&amp;""&amp;J72&amp;""&amp;J71&amp;" "&amp;J73))</f>
        <v>Excavation, Plinth, RCC Slab, Brickwork, Internal Plaster Completed, External Plaster upto 35 Floor, Flooring upto 17 Floor Completed</v>
      </c>
      <c r="J71" s="49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External Plaster upto 35 Floor, Flooring upto 17 Floor</v>
      </c>
    </row>
    <row r="72" spans="1:14" x14ac:dyDescent="0.25">
      <c r="A72" s="63" t="s">
        <v>145</v>
      </c>
      <c r="B72" s="63">
        <v>2</v>
      </c>
      <c r="C72" s="63" t="s">
        <v>73</v>
      </c>
      <c r="D72" s="63">
        <v>1</v>
      </c>
      <c r="E72" s="63" t="s">
        <v>72</v>
      </c>
      <c r="F72" s="63">
        <v>0</v>
      </c>
      <c r="G72" s="63" t="s">
        <v>81</v>
      </c>
      <c r="H72" s="63">
        <f ca="1">--TRIM(RIGHT(SUBSTITUTE(LEFT(C71,_xlfn.AGGREGATE(16,6,FIND({0,1,2,3,4,5,6,7,8,9},C71,ROW(INDIRECT("1:"&amp;LEN(C71)))),1))," ",REPT(" ",LEN(C71))),LEN(C71)))</f>
        <v>40</v>
      </c>
      <c r="I72" s="65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</v>
      </c>
      <c r="J72" s="51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6" customHeight="1" x14ac:dyDescent="0.25">
      <c r="A73" s="176" t="s">
        <v>91</v>
      </c>
      <c r="B73" s="159"/>
      <c r="C73" s="177" t="str">
        <f ca="1">I71</f>
        <v>Excavation, Plinth, RCC Slab, Brickwork, Internal Plaster Completed, External Plaster upto 35 Floor, Flooring upto 17 Floor Completed</v>
      </c>
      <c r="D73" s="177"/>
      <c r="E73" s="177"/>
      <c r="F73" s="177"/>
      <c r="G73" s="177"/>
      <c r="H73" s="178"/>
      <c r="I73" s="50" t="str">
        <f ca="1">IF(I72&lt;&gt;""," Completed","")</f>
        <v xml:space="preserve"> Completed</v>
      </c>
      <c r="J73" s="51" t="str">
        <f ca="1">IF(J71&lt;&gt;"","Completed","")</f>
        <v>Completed</v>
      </c>
    </row>
    <row r="74" spans="1:14" ht="15.75" customHeight="1" x14ac:dyDescent="0.25">
      <c r="A74" s="112" t="s">
        <v>50</v>
      </c>
      <c r="B74" s="113"/>
      <c r="C74" s="44" t="s">
        <v>142</v>
      </c>
      <c r="D74" s="44" t="s">
        <v>84</v>
      </c>
      <c r="E74" s="113" t="s">
        <v>86</v>
      </c>
      <c r="F74" s="113"/>
      <c r="G74" s="113" t="s">
        <v>85</v>
      </c>
      <c r="H74" s="162"/>
      <c r="I74" s="14" t="s">
        <v>144</v>
      </c>
      <c r="J74" s="28">
        <f ca="1">H72*25%</f>
        <v>10</v>
      </c>
    </row>
    <row r="75" spans="1:14" x14ac:dyDescent="0.25">
      <c r="A75" s="112" t="s">
        <v>131</v>
      </c>
      <c r="B75" s="113"/>
      <c r="C75" s="44">
        <f ca="1">J76</f>
        <v>40</v>
      </c>
      <c r="D75" s="19">
        <f ca="1">((100/H72)*C75)/100</f>
        <v>1</v>
      </c>
      <c r="E75" s="140">
        <f ca="1">(((C76/H72*10)+(40/(D72+F72+H72)*C77)+(7.5/(H72)*C78)+(7.5/(H72)*C79)+(10/H72*C80)+(10/H72*C81)+(5/H72*C82)+(5/H72*C83)+(5/H72*C84))/100)</f>
        <v>0.78</v>
      </c>
      <c r="F75" s="141"/>
      <c r="G75" s="140">
        <f ca="1">((((C75/H72)*20)+((C76/H72)*25)+(30/(H72+F72+D72)*C77)+(5/H72*C78)+(5/H72*C79)+(5/H72*C80)+(5/H72*C81)+(0/H72*C82)+(0/H72*C83)+(5/H72*C84))/100)</f>
        <v>0.91500000000000004</v>
      </c>
      <c r="H75" s="146"/>
      <c r="I75" s="14" t="s">
        <v>100</v>
      </c>
      <c r="J75" s="29">
        <f ca="1">H72*50%</f>
        <v>20</v>
      </c>
    </row>
    <row r="76" spans="1:14" x14ac:dyDescent="0.25">
      <c r="A76" s="112" t="s">
        <v>51</v>
      </c>
      <c r="B76" s="113"/>
      <c r="C76" s="44">
        <f ca="1">J84</f>
        <v>40</v>
      </c>
      <c r="D76" s="19">
        <f ca="1">((100/H72)*C76)/100</f>
        <v>1</v>
      </c>
      <c r="E76" s="142"/>
      <c r="F76" s="143"/>
      <c r="G76" s="142"/>
      <c r="H76" s="147"/>
      <c r="I76" s="14" t="s">
        <v>101</v>
      </c>
      <c r="J76" s="29">
        <f ca="1">H72</f>
        <v>40</v>
      </c>
    </row>
    <row r="77" spans="1:14" ht="15.75" customHeight="1" x14ac:dyDescent="0.25">
      <c r="A77" s="112" t="s">
        <v>132</v>
      </c>
      <c r="B77" s="113"/>
      <c r="C77" s="44">
        <v>41</v>
      </c>
      <c r="D77" s="19">
        <f ca="1">((100/(D72+F72+H72))*C77)/100</f>
        <v>1</v>
      </c>
      <c r="E77" s="142"/>
      <c r="F77" s="143"/>
      <c r="G77" s="142"/>
      <c r="H77" s="147"/>
      <c r="I77" s="14" t="s">
        <v>102</v>
      </c>
      <c r="J77" s="30">
        <f ca="1">(IF(B72&gt;1,(H72/(B72+2)),H72/4))</f>
        <v>10</v>
      </c>
    </row>
    <row r="78" spans="1:14" ht="15.75" customHeight="1" x14ac:dyDescent="0.25">
      <c r="A78" s="112" t="s">
        <v>139</v>
      </c>
      <c r="B78" s="113" t="s">
        <v>133</v>
      </c>
      <c r="C78" s="44">
        <f>C77-1</f>
        <v>40</v>
      </c>
      <c r="D78" s="19">
        <f ca="1">((100/H72)*C78)/100</f>
        <v>1</v>
      </c>
      <c r="E78" s="142"/>
      <c r="F78" s="143"/>
      <c r="G78" s="142"/>
      <c r="H78" s="147"/>
      <c r="I78" s="14" t="s">
        <v>103</v>
      </c>
      <c r="J78" s="30">
        <f ca="1">(IF(B72&gt;1,(H72/(B72+2)+J77),H72/4+J77))</f>
        <v>20</v>
      </c>
    </row>
    <row r="79" spans="1:14" ht="15.75" customHeight="1" x14ac:dyDescent="0.25">
      <c r="A79" s="112" t="s">
        <v>140</v>
      </c>
      <c r="B79" s="113" t="s">
        <v>133</v>
      </c>
      <c r="C79" s="57">
        <v>40</v>
      </c>
      <c r="D79" s="19">
        <f ca="1">((100/H72)*C79)/100</f>
        <v>1</v>
      </c>
      <c r="E79" s="142"/>
      <c r="F79" s="143"/>
      <c r="G79" s="142"/>
      <c r="H79" s="147"/>
      <c r="I79" s="14" t="s">
        <v>151</v>
      </c>
      <c r="J79" s="30">
        <f ca="1">(IF(B72&gt;1,(H72/(B72+2)+J78),0))</f>
        <v>30</v>
      </c>
    </row>
    <row r="80" spans="1:14" ht="15" customHeight="1" x14ac:dyDescent="0.25">
      <c r="A80" s="112" t="s">
        <v>138</v>
      </c>
      <c r="B80" s="113" t="s">
        <v>135</v>
      </c>
      <c r="C80" s="57">
        <v>35</v>
      </c>
      <c r="D80" s="19">
        <f ca="1">((100/(H72))*C80)/100</f>
        <v>0.875</v>
      </c>
      <c r="E80" s="142"/>
      <c r="F80" s="143"/>
      <c r="G80" s="142"/>
      <c r="H80" s="147"/>
      <c r="I80" s="14" t="s">
        <v>146</v>
      </c>
      <c r="J80" s="30">
        <f>(IF(B72&gt;2,(H72/(B72+2)+J79),0))</f>
        <v>0</v>
      </c>
    </row>
    <row r="81" spans="1:10" ht="15.75" customHeight="1" x14ac:dyDescent="0.25">
      <c r="A81" s="112" t="s">
        <v>134</v>
      </c>
      <c r="B81" s="113" t="s">
        <v>134</v>
      </c>
      <c r="C81" s="44">
        <v>17</v>
      </c>
      <c r="D81" s="19">
        <f ca="1">((100/H72)*C81)/100</f>
        <v>0.42499999999999999</v>
      </c>
      <c r="E81" s="142"/>
      <c r="F81" s="143"/>
      <c r="G81" s="142"/>
      <c r="H81" s="147"/>
      <c r="I81" s="14" t="s">
        <v>147</v>
      </c>
      <c r="J81" s="31">
        <f>(IF(B72&gt;3,(H72/(B72+2)+J80),0))</f>
        <v>0</v>
      </c>
    </row>
    <row r="82" spans="1:10" ht="15.75" customHeight="1" x14ac:dyDescent="0.25">
      <c r="A82" s="112" t="s">
        <v>141</v>
      </c>
      <c r="B82" s="113"/>
      <c r="C82" s="44">
        <v>0</v>
      </c>
      <c r="D82" s="19">
        <f ca="1">((100/H72)*C82)/100</f>
        <v>0</v>
      </c>
      <c r="E82" s="142"/>
      <c r="F82" s="143"/>
      <c r="G82" s="142"/>
      <c r="H82" s="147"/>
      <c r="I82" s="14" t="s">
        <v>148</v>
      </c>
      <c r="J82" s="30">
        <f>(IF(B72&gt;4,(H72/(B72+2)+J81),0))</f>
        <v>0</v>
      </c>
    </row>
    <row r="83" spans="1:10" ht="15.75" customHeight="1" x14ac:dyDescent="0.25">
      <c r="A83" s="112" t="s">
        <v>136</v>
      </c>
      <c r="B83" s="113" t="s">
        <v>136</v>
      </c>
      <c r="C83" s="44">
        <v>0</v>
      </c>
      <c r="D83" s="19">
        <f ca="1">((100/(H72))*C83)/100</f>
        <v>0</v>
      </c>
      <c r="E83" s="142"/>
      <c r="F83" s="143"/>
      <c r="G83" s="142"/>
      <c r="H83" s="147"/>
      <c r="I83" s="14" t="s">
        <v>152</v>
      </c>
      <c r="J83" s="30">
        <f>(IF(B72=1,(H72/(B72+3)+J78),IF(B72=0,(H72/4+J78),IF(B72&gt;1,0))))</f>
        <v>0</v>
      </c>
    </row>
    <row r="84" spans="1:10" ht="16.5" thickBot="1" x14ac:dyDescent="0.3">
      <c r="A84" s="149" t="s">
        <v>137</v>
      </c>
      <c r="B84" s="150"/>
      <c r="C84" s="45">
        <v>0</v>
      </c>
      <c r="D84" s="20">
        <f ca="1">((100/(H72))*C84)/100</f>
        <v>0</v>
      </c>
      <c r="E84" s="144"/>
      <c r="F84" s="145"/>
      <c r="G84" s="144"/>
      <c r="H84" s="148"/>
      <c r="I84" s="15" t="s">
        <v>104</v>
      </c>
      <c r="J84" s="32">
        <f ca="1">(IF(B72&gt;1.5,(H72/(B72+2)+J78+MAX(0,J79-J78)+MAX(0,J80-J79)+MAX(0,J81-J80)+MAX(0,J82-J81)+MAX(0,J83-J82)),IF(B72=1,(H72/(B72+3)+J83),IF(B72=0,H72/4+J83))))</f>
        <v>40</v>
      </c>
    </row>
    <row r="85" spans="1:10" ht="15.75" customHeight="1" x14ac:dyDescent="0.25">
      <c r="A85" s="193" t="s">
        <v>143</v>
      </c>
      <c r="B85" s="194"/>
      <c r="C85" s="195" t="str">
        <f>D62</f>
        <v>B Wing = 2B + G + 6P + 7th Eco-deck + 8th to 40th Floor</v>
      </c>
      <c r="D85" s="196"/>
      <c r="E85" s="196"/>
      <c r="F85" s="196"/>
      <c r="G85" s="196"/>
      <c r="H85" s="197"/>
      <c r="I85" s="48" t="str">
        <f ca="1">IF(D98=100%,"All work Completed. Possession granted to the Building.",IF(D97=100%,"All work Completed, Waiting for OC",I86&amp;""&amp;I87&amp;""&amp;J86&amp;""&amp;J85&amp;" "&amp;J87))</f>
        <v>Excavation, Plinth Completed, RCC upto 9 Slab, Brickwork upto 8 Floor, Internal Plaster upto 5.6 Floor, External Plaster upto 5.2 Floor Completed</v>
      </c>
      <c r="J85" s="49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RCC upto 9 Slab, Brickwork upto 8 Floor, Internal Plaster upto 5.6 Floor, External Plaster upto 5.2 Floor</v>
      </c>
    </row>
    <row r="86" spans="1:10" x14ac:dyDescent="0.25">
      <c r="A86" s="16" t="s">
        <v>145</v>
      </c>
      <c r="B86" s="53">
        <v>2</v>
      </c>
      <c r="C86" s="53" t="s">
        <v>73</v>
      </c>
      <c r="D86" s="53">
        <v>1</v>
      </c>
      <c r="E86" s="53" t="s">
        <v>72</v>
      </c>
      <c r="F86" s="53">
        <v>0</v>
      </c>
      <c r="G86" s="53" t="s">
        <v>81</v>
      </c>
      <c r="H86" s="17">
        <f ca="1">--TRIM(RIGHT(SUBSTITUTE(LEFT(C85,_xlfn.AGGREGATE(16,6,FIND({0,1,2,3,4,5,6,7,8,9},C85,ROW(INDIRECT("1:"&amp;LEN(C85)))),1))," ",REPT(" ",LEN(C85))),LEN(C85)))</f>
        <v>40</v>
      </c>
      <c r="I86" s="50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51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3" customHeight="1" x14ac:dyDescent="0.25">
      <c r="A87" s="176" t="s">
        <v>91</v>
      </c>
      <c r="B87" s="159"/>
      <c r="C87" s="177" t="str">
        <f ca="1">I85</f>
        <v>Excavation, Plinth Completed, RCC upto 9 Slab, Brickwork upto 8 Floor, Internal Plaster upto 5.6 Floor, External Plaster upto 5.2 Floor Completed</v>
      </c>
      <c r="D87" s="177"/>
      <c r="E87" s="177"/>
      <c r="F87" s="177"/>
      <c r="G87" s="177"/>
      <c r="H87" s="178"/>
      <c r="I87" s="50" t="str">
        <f ca="1">IF(I86&lt;&gt;""," Completed","")</f>
        <v xml:space="preserve"> Completed</v>
      </c>
      <c r="J87" s="51" t="str">
        <f ca="1">IF(J85&lt;&gt;"","Completed","")</f>
        <v>Completed</v>
      </c>
    </row>
    <row r="88" spans="1:10" ht="15.75" customHeight="1" x14ac:dyDescent="0.25">
      <c r="A88" s="112" t="s">
        <v>50</v>
      </c>
      <c r="B88" s="113"/>
      <c r="C88" s="44" t="s">
        <v>142</v>
      </c>
      <c r="D88" s="44" t="s">
        <v>84</v>
      </c>
      <c r="E88" s="113" t="s">
        <v>86</v>
      </c>
      <c r="F88" s="113"/>
      <c r="G88" s="113" t="s">
        <v>85</v>
      </c>
      <c r="H88" s="162"/>
      <c r="I88" s="14" t="s">
        <v>144</v>
      </c>
      <c r="J88" s="28">
        <f ca="1">H86*25%</f>
        <v>10</v>
      </c>
    </row>
    <row r="89" spans="1:10" x14ac:dyDescent="0.25">
      <c r="A89" s="112" t="s">
        <v>131</v>
      </c>
      <c r="B89" s="113"/>
      <c r="C89" s="44">
        <f ca="1">J90</f>
        <v>40</v>
      </c>
      <c r="D89" s="19">
        <f ca="1">((100/H86)*C89)/100</f>
        <v>1</v>
      </c>
      <c r="E89" s="140">
        <f ca="1">(((C90/H86*10)+(40/(D86+F86+H86)*C91)+(7.5/(H86)*C92)+(7.5/(H86)*C93)+(10/H86*C94)+(10/H86*C95)+(5/H86*C96)+(5/H86*C97)+(5/H86*C98))/100)</f>
        <v>0.22630487804878052</v>
      </c>
      <c r="F89" s="141"/>
      <c r="G89" s="140">
        <f ca="1">((((C89/H86)*20)+((C90/H86)*25)+(30/(H86+F86+D86)*C91)+(5/H86*C92)+(5/H86*C93)+(5/H86*C94)+(5/H86*C95)+(0/H86*C96)+(0/H86*C97)+(5/H86*C98))/100)</f>
        <v>0.53935365853658535</v>
      </c>
      <c r="H89" s="146"/>
      <c r="I89" s="14" t="s">
        <v>100</v>
      </c>
      <c r="J89" s="29">
        <f ca="1">H86*50%</f>
        <v>20</v>
      </c>
    </row>
    <row r="90" spans="1:10" x14ac:dyDescent="0.25">
      <c r="A90" s="112" t="s">
        <v>51</v>
      </c>
      <c r="B90" s="113"/>
      <c r="C90" s="57">
        <f ca="1">J98</f>
        <v>40</v>
      </c>
      <c r="D90" s="19">
        <f ca="1">((100/H86)*C90)/100</f>
        <v>1</v>
      </c>
      <c r="E90" s="142"/>
      <c r="F90" s="143"/>
      <c r="G90" s="142"/>
      <c r="H90" s="147"/>
      <c r="I90" s="14" t="s">
        <v>101</v>
      </c>
      <c r="J90" s="29">
        <f ca="1">H86</f>
        <v>40</v>
      </c>
    </row>
    <row r="91" spans="1:10" ht="15.75" customHeight="1" x14ac:dyDescent="0.25">
      <c r="A91" s="112" t="s">
        <v>132</v>
      </c>
      <c r="B91" s="113"/>
      <c r="C91" s="44">
        <f>D86+F86+8</f>
        <v>9</v>
      </c>
      <c r="D91" s="19">
        <f ca="1">((100/(D86+F86+H86))*C91)/100</f>
        <v>0.21951219512195119</v>
      </c>
      <c r="E91" s="142"/>
      <c r="F91" s="143"/>
      <c r="G91" s="142"/>
      <c r="H91" s="147"/>
      <c r="I91" s="14" t="s">
        <v>102</v>
      </c>
      <c r="J91" s="30">
        <f ca="1">(IF(B86&gt;1,(H86/(B86+2)),H86/4))</f>
        <v>10</v>
      </c>
    </row>
    <row r="92" spans="1:10" ht="15.75" customHeight="1" x14ac:dyDescent="0.25">
      <c r="A92" s="112" t="s">
        <v>139</v>
      </c>
      <c r="B92" s="113" t="s">
        <v>133</v>
      </c>
      <c r="C92" s="44">
        <f>C91-D86</f>
        <v>8</v>
      </c>
      <c r="D92" s="19">
        <f ca="1">((100/H86)*C92)/100</f>
        <v>0.2</v>
      </c>
      <c r="E92" s="142"/>
      <c r="F92" s="143"/>
      <c r="G92" s="142"/>
      <c r="H92" s="147"/>
      <c r="I92" s="14" t="s">
        <v>103</v>
      </c>
      <c r="J92" s="30">
        <f ca="1">(IF(B86&gt;1,(H86/(B86+2)+J91),H86/4+J91))</f>
        <v>20</v>
      </c>
    </row>
    <row r="93" spans="1:10" ht="15.75" customHeight="1" x14ac:dyDescent="0.25">
      <c r="A93" s="112" t="s">
        <v>140</v>
      </c>
      <c r="B93" s="113" t="s">
        <v>133</v>
      </c>
      <c r="C93" s="57">
        <f>C92*0.7</f>
        <v>5.6</v>
      </c>
      <c r="D93" s="19">
        <f ca="1">((100/H86)*C93)/100</f>
        <v>0.14000000000000001</v>
      </c>
      <c r="E93" s="142"/>
      <c r="F93" s="143"/>
      <c r="G93" s="142"/>
      <c r="H93" s="147"/>
      <c r="I93" s="14" t="s">
        <v>151</v>
      </c>
      <c r="J93" s="30">
        <f ca="1">(IF(B86&gt;1,(H86/(B86+2)+J92),0))</f>
        <v>30</v>
      </c>
    </row>
    <row r="94" spans="1:10" ht="15" customHeight="1" x14ac:dyDescent="0.25">
      <c r="A94" s="112" t="s">
        <v>138</v>
      </c>
      <c r="B94" s="113" t="s">
        <v>135</v>
      </c>
      <c r="C94" s="57">
        <f>C92*0.65</f>
        <v>5.2</v>
      </c>
      <c r="D94" s="19">
        <f ca="1">((100/(H86))*C94)/100</f>
        <v>0.13</v>
      </c>
      <c r="E94" s="142"/>
      <c r="F94" s="143"/>
      <c r="G94" s="142"/>
      <c r="H94" s="147"/>
      <c r="I94" s="14" t="s">
        <v>146</v>
      </c>
      <c r="J94" s="30">
        <f>(IF(B86&gt;2,(H86/(B86+2)+J93),0))</f>
        <v>0</v>
      </c>
    </row>
    <row r="95" spans="1:10" ht="15.75" customHeight="1" x14ac:dyDescent="0.25">
      <c r="A95" s="112" t="s">
        <v>134</v>
      </c>
      <c r="B95" s="113" t="s">
        <v>134</v>
      </c>
      <c r="C95" s="44">
        <v>0</v>
      </c>
      <c r="D95" s="19">
        <f ca="1">((100/H86)*C95)/100</f>
        <v>0</v>
      </c>
      <c r="E95" s="142"/>
      <c r="F95" s="143"/>
      <c r="G95" s="142"/>
      <c r="H95" s="147"/>
      <c r="I95" s="14" t="s">
        <v>147</v>
      </c>
      <c r="J95" s="31">
        <f>(IF(B86&gt;3,(H86/(B86+2)+J94),0))</f>
        <v>0</v>
      </c>
    </row>
    <row r="96" spans="1:10" ht="15.75" customHeight="1" x14ac:dyDescent="0.25">
      <c r="A96" s="112" t="s">
        <v>141</v>
      </c>
      <c r="B96" s="113"/>
      <c r="C96" s="44">
        <v>0</v>
      </c>
      <c r="D96" s="19">
        <f ca="1">((100/H86)*C96)/100</f>
        <v>0</v>
      </c>
      <c r="E96" s="142"/>
      <c r="F96" s="143"/>
      <c r="G96" s="142"/>
      <c r="H96" s="147"/>
      <c r="I96" s="14" t="s">
        <v>148</v>
      </c>
      <c r="J96" s="30">
        <f>(IF(B86&gt;4,(H86/(B86+2)+J95),0))</f>
        <v>0</v>
      </c>
    </row>
    <row r="97" spans="1:10" ht="15.75" customHeight="1" x14ac:dyDescent="0.25">
      <c r="A97" s="112" t="s">
        <v>136</v>
      </c>
      <c r="B97" s="113" t="s">
        <v>136</v>
      </c>
      <c r="C97" s="44">
        <v>0</v>
      </c>
      <c r="D97" s="19">
        <f ca="1">((100/(H86))*C97)/100</f>
        <v>0</v>
      </c>
      <c r="E97" s="142"/>
      <c r="F97" s="143"/>
      <c r="G97" s="142"/>
      <c r="H97" s="147"/>
      <c r="I97" s="14" t="s">
        <v>152</v>
      </c>
      <c r="J97" s="30">
        <f>(IF(B86=1,(H86/(B86+3)+J92),IF(B86=0,(H86/4+J92),IF(B86&gt;1,0))))</f>
        <v>0</v>
      </c>
    </row>
    <row r="98" spans="1:10" ht="16.5" thickBot="1" x14ac:dyDescent="0.3">
      <c r="A98" s="182" t="s">
        <v>137</v>
      </c>
      <c r="B98" s="183"/>
      <c r="C98" s="66">
        <v>0</v>
      </c>
      <c r="D98" s="67">
        <f ca="1">((100/(H86))*C98)/100</f>
        <v>0</v>
      </c>
      <c r="E98" s="142"/>
      <c r="F98" s="143"/>
      <c r="G98" s="142"/>
      <c r="H98" s="147"/>
      <c r="I98" s="15" t="s">
        <v>104</v>
      </c>
      <c r="J98" s="32">
        <f ca="1">(IF(B86&gt;1.5,(H86/(B86+2)+J92+MAX(0,J93-J92)+MAX(0,J94-J93)+MAX(0,J95-J94)+MAX(0,J96-J95)+MAX(0,J97-J96)),IF(B86=1,(H86/(B86+3)+J97),IF(B86=0,H86/4+J97))))</f>
        <v>40</v>
      </c>
    </row>
    <row r="99" spans="1:10" ht="15.75" customHeight="1" x14ac:dyDescent="0.25">
      <c r="A99" s="177" t="s">
        <v>143</v>
      </c>
      <c r="B99" s="177"/>
      <c r="C99" s="177" t="str">
        <f>D63</f>
        <v>C Wing = 2B + G + 6P + 7th Eco-deck + 8th to 40th Floor</v>
      </c>
      <c r="D99" s="177"/>
      <c r="E99" s="177"/>
      <c r="F99" s="177"/>
      <c r="G99" s="177"/>
      <c r="H99" s="177"/>
      <c r="I99" s="64" t="str">
        <f ca="1">IF(D112=100%,"All work Completed. Possession granted to the Building.",IF(D111=100%,"All work Completed, Waiting for OC",I100&amp;""&amp;I101&amp;""&amp;J100&amp;""&amp;J99&amp;" "&amp;J101))</f>
        <v xml:space="preserve">Work not yet Started. </v>
      </c>
      <c r="J99" s="49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/>
      </c>
    </row>
    <row r="100" spans="1:10" x14ac:dyDescent="0.25">
      <c r="A100" s="63" t="s">
        <v>145</v>
      </c>
      <c r="B100" s="63">
        <v>2</v>
      </c>
      <c r="C100" s="63" t="s">
        <v>73</v>
      </c>
      <c r="D100" s="63">
        <v>1</v>
      </c>
      <c r="E100" s="63" t="s">
        <v>72</v>
      </c>
      <c r="F100" s="63">
        <v>0</v>
      </c>
      <c r="G100" s="63" t="s">
        <v>81</v>
      </c>
      <c r="H100" s="63">
        <f ca="1">--TRIM(RIGHT(SUBSTITUTE(LEFT(C99,_xlfn.AGGREGATE(16,6,FIND({0,1,2,3,4,5,6,7,8,9},C99,ROW(INDIRECT("1:"&amp;LEN(C99)))),1))," ",REPT(" ",LEN(C99))),LEN(C99)))</f>
        <v>40</v>
      </c>
      <c r="I100" s="65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/>
      </c>
      <c r="J100" s="51" t="str">
        <f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>Work not yet Started.</v>
      </c>
    </row>
    <row r="101" spans="1:10" x14ac:dyDescent="0.25">
      <c r="A101" s="159" t="s">
        <v>91</v>
      </c>
      <c r="B101" s="159"/>
      <c r="C101" s="177" t="str">
        <f ca="1">I99</f>
        <v xml:space="preserve">Work not yet Started. </v>
      </c>
      <c r="D101" s="177"/>
      <c r="E101" s="177"/>
      <c r="F101" s="177"/>
      <c r="G101" s="177"/>
      <c r="H101" s="177"/>
      <c r="I101" s="65" t="str">
        <f ca="1">IF(I100&lt;&gt;""," Completed","")</f>
        <v/>
      </c>
      <c r="J101" s="51" t="str">
        <f ca="1">IF(J99&lt;&gt;"","Completed","")</f>
        <v/>
      </c>
    </row>
    <row r="102" spans="1:10" ht="15.75" customHeight="1" x14ac:dyDescent="0.25">
      <c r="A102" s="113" t="s">
        <v>50</v>
      </c>
      <c r="B102" s="113"/>
      <c r="C102" s="62" t="s">
        <v>142</v>
      </c>
      <c r="D102" s="62" t="s">
        <v>84</v>
      </c>
      <c r="E102" s="113" t="s">
        <v>86</v>
      </c>
      <c r="F102" s="113"/>
      <c r="G102" s="113" t="s">
        <v>85</v>
      </c>
      <c r="H102" s="113"/>
      <c r="I102" s="14" t="s">
        <v>144</v>
      </c>
      <c r="J102" s="28">
        <f ca="1">H100*25%</f>
        <v>10</v>
      </c>
    </row>
    <row r="103" spans="1:10" x14ac:dyDescent="0.25">
      <c r="A103" s="113" t="s">
        <v>131</v>
      </c>
      <c r="B103" s="113"/>
      <c r="C103" s="62">
        <v>0</v>
      </c>
      <c r="D103" s="19">
        <f ca="1">((100/H100)*C103)/100</f>
        <v>0</v>
      </c>
      <c r="E103" s="200">
        <f ca="1">(((C104/H100*10)+(40/(D100+F100+H100)*C105)+(7.5/(H100)*C106)+(7.5/(H100)*C107)+(10/H100*C108)+(10/H100*C109)+(5/H100*C110)+(5/H100*C111)+(5/H100*C112))/100)</f>
        <v>0</v>
      </c>
      <c r="F103" s="200"/>
      <c r="G103" s="200">
        <f ca="1">((((C103/H100)*20)+((C104/H100)*25)+(30/(H100+F100+D100)*C105)+(5/H100*C106)+(5/H100*C107)+(5/H100*C108)+(5/H100*C109)+(0/H100*C110)+(0/H100*C111)+(5/H100*C112))/100)</f>
        <v>0</v>
      </c>
      <c r="H103" s="200"/>
      <c r="I103" s="14" t="s">
        <v>100</v>
      </c>
      <c r="J103" s="29">
        <f ca="1">H100*50%</f>
        <v>20</v>
      </c>
    </row>
    <row r="104" spans="1:10" x14ac:dyDescent="0.25">
      <c r="A104" s="113" t="s">
        <v>51</v>
      </c>
      <c r="B104" s="113"/>
      <c r="C104" s="62">
        <v>0</v>
      </c>
      <c r="D104" s="19">
        <f ca="1">((100/H100)*C104)/100</f>
        <v>0</v>
      </c>
      <c r="E104" s="200"/>
      <c r="F104" s="200"/>
      <c r="G104" s="200"/>
      <c r="H104" s="200"/>
      <c r="I104" s="14" t="s">
        <v>101</v>
      </c>
      <c r="J104" s="29">
        <f ca="1">H100</f>
        <v>40</v>
      </c>
    </row>
    <row r="105" spans="1:10" ht="15.75" customHeight="1" x14ac:dyDescent="0.25">
      <c r="A105" s="113" t="s">
        <v>132</v>
      </c>
      <c r="B105" s="113"/>
      <c r="C105" s="62">
        <v>0</v>
      </c>
      <c r="D105" s="19">
        <f ca="1">((100/(D100+F100+H100))*C105)/100</f>
        <v>0</v>
      </c>
      <c r="E105" s="200"/>
      <c r="F105" s="200"/>
      <c r="G105" s="200"/>
      <c r="H105" s="200"/>
      <c r="I105" s="14" t="s">
        <v>102</v>
      </c>
      <c r="J105" s="30">
        <f ca="1">(IF(B100&gt;1,(H100/(B100+2)),H100/4))</f>
        <v>10</v>
      </c>
    </row>
    <row r="106" spans="1:10" ht="15.75" customHeight="1" x14ac:dyDescent="0.25">
      <c r="A106" s="113" t="s">
        <v>139</v>
      </c>
      <c r="B106" s="113" t="s">
        <v>133</v>
      </c>
      <c r="C106" s="62">
        <v>0</v>
      </c>
      <c r="D106" s="19">
        <f ca="1">((100/H100)*C106)/100</f>
        <v>0</v>
      </c>
      <c r="E106" s="200"/>
      <c r="F106" s="200"/>
      <c r="G106" s="200"/>
      <c r="H106" s="200"/>
      <c r="I106" s="14" t="s">
        <v>103</v>
      </c>
      <c r="J106" s="30">
        <f ca="1">(IF(B100&gt;1,(H100/(B100+2)+J105),H100/4+J105))</f>
        <v>20</v>
      </c>
    </row>
    <row r="107" spans="1:10" ht="15.75" customHeight="1" x14ac:dyDescent="0.25">
      <c r="A107" s="113" t="s">
        <v>140</v>
      </c>
      <c r="B107" s="113" t="s">
        <v>133</v>
      </c>
      <c r="C107" s="57">
        <v>0</v>
      </c>
      <c r="D107" s="19">
        <f ca="1">((100/H100)*C107)/100</f>
        <v>0</v>
      </c>
      <c r="E107" s="200"/>
      <c r="F107" s="200"/>
      <c r="G107" s="200"/>
      <c r="H107" s="200"/>
      <c r="I107" s="14" t="s">
        <v>151</v>
      </c>
      <c r="J107" s="30">
        <f ca="1">(IF(B100&gt;1,(H100/(B100+2)+J106),0))</f>
        <v>30</v>
      </c>
    </row>
    <row r="108" spans="1:10" ht="15" customHeight="1" x14ac:dyDescent="0.25">
      <c r="A108" s="113" t="s">
        <v>138</v>
      </c>
      <c r="B108" s="113" t="s">
        <v>135</v>
      </c>
      <c r="C108" s="57">
        <v>0</v>
      </c>
      <c r="D108" s="19">
        <f ca="1">((100/(H100))*C108)/100</f>
        <v>0</v>
      </c>
      <c r="E108" s="200"/>
      <c r="F108" s="200"/>
      <c r="G108" s="200"/>
      <c r="H108" s="200"/>
      <c r="I108" s="14" t="s">
        <v>146</v>
      </c>
      <c r="J108" s="30">
        <f>(IF(B100&gt;2,(H100/(B100+2)+J107),0))</f>
        <v>0</v>
      </c>
    </row>
    <row r="109" spans="1:10" ht="15.75" customHeight="1" x14ac:dyDescent="0.25">
      <c r="A109" s="113" t="s">
        <v>134</v>
      </c>
      <c r="B109" s="113" t="s">
        <v>134</v>
      </c>
      <c r="C109" s="62">
        <v>0</v>
      </c>
      <c r="D109" s="19">
        <f ca="1">((100/H100)*C109)/100</f>
        <v>0</v>
      </c>
      <c r="E109" s="200"/>
      <c r="F109" s="200"/>
      <c r="G109" s="200"/>
      <c r="H109" s="200"/>
      <c r="I109" s="14" t="s">
        <v>147</v>
      </c>
      <c r="J109" s="31">
        <f>(IF(B100&gt;3,(H100/(B100+2)+J108),0))</f>
        <v>0</v>
      </c>
    </row>
    <row r="110" spans="1:10" ht="15.75" customHeight="1" x14ac:dyDescent="0.25">
      <c r="A110" s="113" t="s">
        <v>141</v>
      </c>
      <c r="B110" s="113"/>
      <c r="C110" s="62">
        <v>0</v>
      </c>
      <c r="D110" s="19">
        <f ca="1">((100/H100)*C110)/100</f>
        <v>0</v>
      </c>
      <c r="E110" s="200"/>
      <c r="F110" s="200"/>
      <c r="G110" s="200"/>
      <c r="H110" s="200"/>
      <c r="I110" s="14" t="s">
        <v>148</v>
      </c>
      <c r="J110" s="30">
        <f>(IF(B100&gt;4,(H100/(B100+2)+J109),0))</f>
        <v>0</v>
      </c>
    </row>
    <row r="111" spans="1:10" ht="15.75" customHeight="1" x14ac:dyDescent="0.25">
      <c r="A111" s="113" t="s">
        <v>136</v>
      </c>
      <c r="B111" s="113" t="s">
        <v>136</v>
      </c>
      <c r="C111" s="62">
        <v>0</v>
      </c>
      <c r="D111" s="19">
        <f ca="1">((100/(H100))*C111)/100</f>
        <v>0</v>
      </c>
      <c r="E111" s="200"/>
      <c r="F111" s="200"/>
      <c r="G111" s="200"/>
      <c r="H111" s="200"/>
      <c r="I111" s="14" t="s">
        <v>152</v>
      </c>
      <c r="J111" s="30">
        <f>(IF(B100=1,(H100/(B100+3)+J106),IF(B100=0,(H100/4+J106),IF(B100&gt;1,0))))</f>
        <v>0</v>
      </c>
    </row>
    <row r="112" spans="1:10" ht="16.5" thickBot="1" x14ac:dyDescent="0.3">
      <c r="A112" s="113" t="s">
        <v>137</v>
      </c>
      <c r="B112" s="113"/>
      <c r="C112" s="62">
        <v>0</v>
      </c>
      <c r="D112" s="19">
        <f ca="1">((100/(H100))*C112)/100</f>
        <v>0</v>
      </c>
      <c r="E112" s="200"/>
      <c r="F112" s="200"/>
      <c r="G112" s="200"/>
      <c r="H112" s="200"/>
      <c r="I112" s="15" t="s">
        <v>104</v>
      </c>
      <c r="J112" s="32">
        <f ca="1">(IF(B100&gt;1.5,(H100/(B100+2)+J106+MAX(0,J107-J106)+MAX(0,J108-J107)+MAX(0,J109-J108)+MAX(0,J110-J109)+MAX(0,J111-J110)),IF(B100=1,(H100/(B100+3)+J111),IF(B100=0,H100/4+J111))))</f>
        <v>40</v>
      </c>
    </row>
    <row r="113" spans="1:14" x14ac:dyDescent="0.25">
      <c r="A113" s="181" t="s">
        <v>163</v>
      </c>
      <c r="B113" s="181"/>
      <c r="C113" s="181"/>
      <c r="D113" s="181"/>
      <c r="E113" s="181"/>
      <c r="F113" s="199" t="s">
        <v>167</v>
      </c>
      <c r="G113" s="199"/>
      <c r="H113" s="199"/>
    </row>
    <row r="114" spans="1:14" x14ac:dyDescent="0.25">
      <c r="A114" s="101" t="s">
        <v>166</v>
      </c>
      <c r="B114" s="101"/>
      <c r="C114" s="101"/>
      <c r="D114" s="101"/>
      <c r="E114" s="101"/>
      <c r="F114" s="114">
        <v>20000</v>
      </c>
      <c r="G114" s="114"/>
      <c r="H114" s="114"/>
      <c r="I114" s="21" t="s">
        <v>261</v>
      </c>
      <c r="J114" s="21" t="s">
        <v>254</v>
      </c>
      <c r="K114" s="21" t="s">
        <v>255</v>
      </c>
      <c r="L114" s="25">
        <v>45912</v>
      </c>
    </row>
    <row r="115" spans="1:14" x14ac:dyDescent="0.25">
      <c r="A115" s="101" t="s">
        <v>165</v>
      </c>
      <c r="B115" s="101"/>
      <c r="C115" s="101"/>
      <c r="D115" s="101"/>
      <c r="E115" s="101"/>
      <c r="F115" s="114">
        <v>25000</v>
      </c>
      <c r="G115" s="114"/>
      <c r="H115" s="114"/>
      <c r="J115" s="21" t="s">
        <v>262</v>
      </c>
      <c r="M115" s="21" t="s">
        <v>206</v>
      </c>
      <c r="N115" s="21" t="s">
        <v>209</v>
      </c>
    </row>
    <row r="116" spans="1:14" hidden="1" x14ac:dyDescent="0.25">
      <c r="A116" s="101" t="s">
        <v>257</v>
      </c>
      <c r="B116" s="101"/>
      <c r="C116" s="101"/>
      <c r="D116" s="101"/>
      <c r="E116" s="101"/>
      <c r="F116" s="114"/>
      <c r="G116" s="114"/>
      <c r="H116" s="114"/>
    </row>
    <row r="117" spans="1:14" s="33" customFormat="1" hidden="1" x14ac:dyDescent="0.25">
      <c r="A117" s="101" t="s">
        <v>164</v>
      </c>
      <c r="B117" s="101"/>
      <c r="C117" s="101"/>
      <c r="D117" s="101"/>
      <c r="E117" s="101"/>
      <c r="F117" s="114"/>
      <c r="G117" s="114"/>
      <c r="H117" s="114"/>
    </row>
    <row r="118" spans="1:14" s="33" customFormat="1" x14ac:dyDescent="0.25">
      <c r="A118" s="101" t="s">
        <v>96</v>
      </c>
      <c r="B118" s="101"/>
      <c r="C118" s="101"/>
      <c r="D118" s="101"/>
      <c r="E118" s="101"/>
      <c r="F118" s="114">
        <v>296000</v>
      </c>
      <c r="G118" s="114"/>
      <c r="H118" s="114"/>
    </row>
    <row r="119" spans="1:14" s="33" customFormat="1" hidden="1" x14ac:dyDescent="0.25">
      <c r="A119" s="101" t="s">
        <v>258</v>
      </c>
      <c r="B119" s="101"/>
      <c r="C119" s="101"/>
      <c r="D119" s="101"/>
      <c r="E119" s="101"/>
      <c r="F119" s="114"/>
      <c r="G119" s="114"/>
      <c r="H119" s="114"/>
    </row>
    <row r="120" spans="1:14" s="33" customFormat="1" hidden="1" x14ac:dyDescent="0.25">
      <c r="A120" s="101" t="s">
        <v>168</v>
      </c>
      <c r="B120" s="101"/>
      <c r="C120" s="101"/>
      <c r="D120" s="101"/>
      <c r="E120" s="101"/>
      <c r="F120" s="114"/>
      <c r="G120" s="114"/>
      <c r="H120" s="114"/>
    </row>
    <row r="121" spans="1:14" s="33" customFormat="1" x14ac:dyDescent="0.25">
      <c r="A121" s="101" t="s">
        <v>97</v>
      </c>
      <c r="B121" s="101"/>
      <c r="C121" s="101"/>
      <c r="D121" s="101"/>
      <c r="E121" s="101"/>
      <c r="F121" s="114">
        <v>10000</v>
      </c>
      <c r="G121" s="114"/>
      <c r="H121" s="114"/>
    </row>
    <row r="122" spans="1:14" s="33" customFormat="1" x14ac:dyDescent="0.25">
      <c r="A122" s="101" t="s">
        <v>259</v>
      </c>
      <c r="B122" s="101"/>
      <c r="C122" s="101"/>
      <c r="D122" s="101"/>
      <c r="E122" s="101"/>
      <c r="F122" s="114">
        <v>25000</v>
      </c>
      <c r="G122" s="114"/>
      <c r="H122" s="114"/>
    </row>
    <row r="123" spans="1:14" s="33" customFormat="1" x14ac:dyDescent="0.25">
      <c r="A123" s="101" t="s">
        <v>98</v>
      </c>
      <c r="B123" s="101"/>
      <c r="C123" s="101"/>
      <c r="D123" s="101"/>
      <c r="E123" s="101"/>
      <c r="F123" s="114">
        <v>5000</v>
      </c>
      <c r="G123" s="114"/>
      <c r="H123" s="114"/>
    </row>
    <row r="124" spans="1:14" s="33" customFormat="1" hidden="1" x14ac:dyDescent="0.25">
      <c r="A124" s="101" t="s">
        <v>99</v>
      </c>
      <c r="B124" s="101"/>
      <c r="C124" s="101"/>
      <c r="D124" s="101"/>
      <c r="E124" s="101"/>
      <c r="F124" s="114"/>
      <c r="G124" s="114"/>
      <c r="H124" s="114"/>
    </row>
    <row r="125" spans="1:14" x14ac:dyDescent="0.25">
      <c r="A125" s="101" t="s">
        <v>52</v>
      </c>
      <c r="B125" s="101"/>
      <c r="C125" s="101"/>
      <c r="D125" s="101"/>
      <c r="E125" s="101"/>
      <c r="F125" s="114">
        <v>1000000</v>
      </c>
      <c r="G125" s="114"/>
      <c r="H125" s="114"/>
      <c r="I125" s="21" t="s">
        <v>256</v>
      </c>
      <c r="J125" s="25">
        <v>45912</v>
      </c>
      <c r="M125" s="21" t="s">
        <v>207</v>
      </c>
      <c r="N125" s="21">
        <v>17500</v>
      </c>
    </row>
    <row r="126" spans="1:14" s="34" customFormat="1" x14ac:dyDescent="0.25">
      <c r="A126" s="152" t="s">
        <v>53</v>
      </c>
      <c r="B126" s="152"/>
      <c r="C126" s="152"/>
      <c r="D126" s="152"/>
      <c r="E126" s="152"/>
      <c r="F126" s="114">
        <f>F114*0.8</f>
        <v>16000</v>
      </c>
      <c r="G126" s="114"/>
      <c r="H126" s="114"/>
      <c r="M126" s="34" t="s">
        <v>208</v>
      </c>
      <c r="N126" s="56" t="s">
        <v>210</v>
      </c>
    </row>
    <row r="127" spans="1:14" s="35" customFormat="1" ht="15.75" customHeight="1" x14ac:dyDescent="0.25">
      <c r="A127" s="154" t="s">
        <v>234</v>
      </c>
      <c r="B127" s="154"/>
      <c r="C127" s="154"/>
      <c r="D127" s="154"/>
      <c r="E127" s="154"/>
      <c r="F127" s="154"/>
      <c r="G127" s="154"/>
      <c r="H127" s="154"/>
    </row>
    <row r="128" spans="1:14" s="35" customFormat="1" ht="15.75" customHeight="1" x14ac:dyDescent="0.25">
      <c r="A128" s="103" t="s">
        <v>54</v>
      </c>
      <c r="B128" s="103"/>
      <c r="C128" s="180" t="s">
        <v>79</v>
      </c>
      <c r="D128" s="180"/>
      <c r="E128" s="155" t="s">
        <v>55</v>
      </c>
      <c r="F128" s="155"/>
      <c r="G128" s="103" t="s">
        <v>56</v>
      </c>
      <c r="H128" s="103"/>
    </row>
    <row r="129" spans="1:10" s="35" customFormat="1" x14ac:dyDescent="0.25">
      <c r="A129" s="153" t="s">
        <v>219</v>
      </c>
      <c r="B129" s="153"/>
      <c r="C129" s="115">
        <f>COUNT(D145:D154)</f>
        <v>10</v>
      </c>
      <c r="D129" s="116"/>
      <c r="E129" s="115">
        <f>SUM(D145:D154)</f>
        <v>3094.1992574999999</v>
      </c>
      <c r="F129" s="116"/>
      <c r="G129" s="115">
        <f>SUM(F145:F154)</f>
        <v>4950.7188120000001</v>
      </c>
      <c r="H129" s="116"/>
    </row>
    <row r="130" spans="1:10" s="35" customFormat="1" x14ac:dyDescent="0.25">
      <c r="A130" s="153" t="s">
        <v>235</v>
      </c>
      <c r="B130" s="153"/>
      <c r="C130" s="115">
        <f>COUNT(D158:D178)</f>
        <v>21</v>
      </c>
      <c r="D130" s="116"/>
      <c r="E130" s="115">
        <f>SUM(D158:D178)</f>
        <v>9977.6897999999983</v>
      </c>
      <c r="F130" s="116"/>
      <c r="G130" s="115">
        <f>SUM(F158:F178)</f>
        <v>15964.303679999997</v>
      </c>
      <c r="H130" s="116"/>
    </row>
    <row r="131" spans="1:10" s="35" customFormat="1" x14ac:dyDescent="0.25">
      <c r="A131" s="154" t="s">
        <v>230</v>
      </c>
      <c r="B131" s="154"/>
      <c r="C131" s="206">
        <f>SUM(C129:C130)</f>
        <v>31</v>
      </c>
      <c r="D131" s="155"/>
      <c r="E131" s="206">
        <f>SUM(E129:E130)</f>
        <v>13071.889057499999</v>
      </c>
      <c r="F131" s="155"/>
      <c r="G131" s="206">
        <f>SUM(G129:G130)</f>
        <v>20915.022491999996</v>
      </c>
      <c r="H131" s="155"/>
      <c r="J131" s="58">
        <f>SUM(E131,E136)</f>
        <v>462661.45701750001</v>
      </c>
    </row>
    <row r="132" spans="1:10" s="35" customFormat="1" x14ac:dyDescent="0.25">
      <c r="A132" s="154" t="s">
        <v>236</v>
      </c>
      <c r="B132" s="154"/>
      <c r="C132" s="154"/>
      <c r="D132" s="154"/>
      <c r="E132" s="154"/>
      <c r="F132" s="154"/>
      <c r="G132" s="154"/>
      <c r="H132" s="154"/>
    </row>
    <row r="133" spans="1:10" s="35" customFormat="1" ht="15.75" customHeight="1" x14ac:dyDescent="0.25">
      <c r="A133" s="103" t="s">
        <v>54</v>
      </c>
      <c r="B133" s="103"/>
      <c r="C133" s="180" t="s">
        <v>79</v>
      </c>
      <c r="D133" s="180"/>
      <c r="E133" s="155" t="s">
        <v>55</v>
      </c>
      <c r="F133" s="155"/>
      <c r="G133" s="103" t="s">
        <v>56</v>
      </c>
      <c r="H133" s="103"/>
    </row>
    <row r="134" spans="1:10" s="35" customFormat="1" x14ac:dyDescent="0.25">
      <c r="A134" s="153" t="s">
        <v>219</v>
      </c>
      <c r="B134" s="153"/>
      <c r="C134" s="115">
        <f>COUNT(D186:D194,D196)+COUNT(D198:D208)*5+COUNT(D210:D215,D219:D220)+COUNT(D222:D230)+COUNT(D234:D246)+COUNT(D248:D260)*27+COUNT(D262:D267,D271:D274)*3+COUNT(D276:D282,D285:D288)</f>
        <v>487</v>
      </c>
      <c r="D134" s="115"/>
      <c r="E134" s="115">
        <f>SUM(D186:D194,D196)+SUM(D198:D208)*5+SUM(D210:D215,D219:D220)+SUM(D222:D230)+SUM(D234:D246)+SUM(D248:D260)*27+SUM(D262:D267,D271:D274)*3+SUM(D276:D282,D285:D288)</f>
        <v>244929.68019000001</v>
      </c>
      <c r="F134" s="115"/>
      <c r="G134" s="115">
        <f>SUM(F186:F194,F196)+SUM(F198:F208)*5+SUM(F210:F215,F219:F220)+SUM(F222:F230)+SUM(F234:F246)+SUM(F248:F260)*27+SUM(F262:F267,F271:F274)*3+SUM(F276:F282,F285:F288)</f>
        <v>392455.694635875</v>
      </c>
      <c r="H134" s="115"/>
    </row>
    <row r="135" spans="1:10" s="35" customFormat="1" x14ac:dyDescent="0.25">
      <c r="A135" s="153" t="s">
        <v>221</v>
      </c>
      <c r="B135" s="153"/>
      <c r="C135" s="115">
        <f>COUNT(D293:D295)+COUNT(D297:D301)+COUNT(D303:D307)*4+COUNT(D311:D313)+COUNT(D315:D317)+COUNT(D321:D330)+COUNT(D332:D341)*10+COUNT(D343:D346,D350:D352)+COUNT(D354:D363)*17+COUNT(D365:D368,D372:D374)*2+COUNT(D376:D380,D383:D385)</f>
        <v>343</v>
      </c>
      <c r="D135" s="115"/>
      <c r="E135" s="115">
        <f>SUM(D293:D295)+SUM(D297:D301)+SUM(D303:D307)*4+SUM(D311:D313)+SUM(D315:D317)+SUM(D321:D330)+SUM(D332:D341)*10+SUM(D343:D346,D350:D352)+SUM(D354:D363)*17+SUM(D365:D368,D372:D374)*2+SUM(D376:D380,D383:D385)</f>
        <v>204659.88777000003</v>
      </c>
      <c r="F135" s="115"/>
      <c r="G135" s="115">
        <f>SUM(F293:F295)+SUM(F297:F301)+SUM(F303:F307)*4+SUM(F311:F313)+SUM(F315:F317)+SUM(F321:F330)+SUM(F332:F341)*10+SUM(F343:F346,F350:F352)+SUM(F354:F363)*17+SUM(F365:F368,F372:F374)*2+SUM(F376:F380,F383:F385)</f>
        <v>327477.34843199997</v>
      </c>
      <c r="H135" s="115"/>
    </row>
    <row r="136" spans="1:10" s="35" customFormat="1" x14ac:dyDescent="0.25">
      <c r="A136" s="154" t="s">
        <v>230</v>
      </c>
      <c r="B136" s="154"/>
      <c r="C136" s="206">
        <f>SUM(C134:C135)</f>
        <v>830</v>
      </c>
      <c r="D136" s="206"/>
      <c r="E136" s="206">
        <f>SUM(E134:E135)</f>
        <v>449589.56796000001</v>
      </c>
      <c r="F136" s="206"/>
      <c r="G136" s="206">
        <f>SUM(G134:G135)</f>
        <v>719933.04306787497</v>
      </c>
      <c r="H136" s="206"/>
    </row>
    <row r="137" spans="1:10" s="34" customFormat="1" x14ac:dyDescent="0.25">
      <c r="A137" s="139" t="s">
        <v>57</v>
      </c>
      <c r="B137" s="139"/>
      <c r="C137" s="139"/>
      <c r="D137" s="139"/>
      <c r="E137" s="139"/>
      <c r="F137" s="139"/>
      <c r="G137" s="139"/>
      <c r="H137" s="139"/>
    </row>
    <row r="138" spans="1:10" x14ac:dyDescent="0.25">
      <c r="A138" s="139" t="s">
        <v>58</v>
      </c>
      <c r="B138" s="139"/>
      <c r="C138" s="139"/>
      <c r="D138" s="139"/>
      <c r="E138" s="139"/>
      <c r="F138" s="139"/>
      <c r="G138" s="139"/>
      <c r="H138" s="139"/>
    </row>
    <row r="139" spans="1:10" ht="47.25" customHeight="1" x14ac:dyDescent="0.25">
      <c r="A139" s="104" t="s">
        <v>122</v>
      </c>
      <c r="B139" s="104" t="s">
        <v>121</v>
      </c>
      <c r="C139" s="104" t="s">
        <v>59</v>
      </c>
      <c r="D139" s="104" t="s">
        <v>60</v>
      </c>
      <c r="E139" s="106" t="s">
        <v>162</v>
      </c>
      <c r="F139" s="43" t="s">
        <v>155</v>
      </c>
      <c r="G139" s="108" t="s">
        <v>62</v>
      </c>
      <c r="H139" s="109"/>
    </row>
    <row r="140" spans="1:10" s="37" customFormat="1" x14ac:dyDescent="0.25">
      <c r="A140" s="105"/>
      <c r="B140" s="105"/>
      <c r="C140" s="105"/>
      <c r="D140" s="105"/>
      <c r="E140" s="107"/>
      <c r="F140" s="13">
        <v>0.6</v>
      </c>
      <c r="G140" s="110"/>
      <c r="H140" s="111"/>
    </row>
    <row r="141" spans="1:10" s="37" customFormat="1" x14ac:dyDescent="0.25">
      <c r="A141" s="86" t="s">
        <v>238</v>
      </c>
      <c r="B141" s="87"/>
      <c r="C141" s="87"/>
      <c r="D141" s="87"/>
      <c r="E141" s="87"/>
      <c r="F141" s="87"/>
      <c r="G141" s="87"/>
      <c r="H141" s="88"/>
      <c r="J141" s="36"/>
    </row>
    <row r="142" spans="1:10" s="37" customFormat="1" x14ac:dyDescent="0.25">
      <c r="A142" s="86" t="s">
        <v>219</v>
      </c>
      <c r="B142" s="87"/>
      <c r="C142" s="87"/>
      <c r="D142" s="87"/>
      <c r="E142" s="87"/>
      <c r="F142" s="87"/>
      <c r="G142" s="87"/>
      <c r="H142" s="88"/>
      <c r="J142" s="36"/>
    </row>
    <row r="143" spans="1:10" s="37" customFormat="1" x14ac:dyDescent="0.25">
      <c r="A143" s="86" t="s">
        <v>180</v>
      </c>
      <c r="B143" s="87"/>
      <c r="C143" s="87"/>
      <c r="D143" s="87"/>
      <c r="E143" s="87"/>
      <c r="F143" s="87"/>
      <c r="G143" s="87"/>
      <c r="H143" s="88"/>
      <c r="J143" s="36"/>
    </row>
    <row r="144" spans="1:10" s="37" customFormat="1" x14ac:dyDescent="0.25">
      <c r="A144" s="86" t="s">
        <v>181</v>
      </c>
      <c r="B144" s="87"/>
      <c r="C144" s="87"/>
      <c r="D144" s="87"/>
      <c r="E144" s="87"/>
      <c r="F144" s="87"/>
      <c r="G144" s="87"/>
      <c r="H144" s="88"/>
      <c r="J144" s="54">
        <f>10.764</f>
        <v>10.763999999999999</v>
      </c>
    </row>
    <row r="145" spans="1:14" s="37" customFormat="1" ht="15.75" customHeight="1" x14ac:dyDescent="0.25">
      <c r="A145" s="78">
        <v>1</v>
      </c>
      <c r="B145" s="79"/>
      <c r="C145" s="42" t="s">
        <v>182</v>
      </c>
      <c r="D145" s="54">
        <f>((0.5*5.27+0.5*4.18)*3.675+3.25*3.675)*(10.764)</f>
        <v>315.47265749999997</v>
      </c>
      <c r="E145" s="42">
        <v>0</v>
      </c>
      <c r="F145" s="42">
        <f>(D145+E145)*(($F$140)+1)</f>
        <v>504.75625199999996</v>
      </c>
      <c r="G145" s="80" t="str">
        <f>A144</f>
        <v>Ground Floor For Commercial</v>
      </c>
      <c r="H145" s="81"/>
      <c r="I145" s="36"/>
      <c r="L145" s="70"/>
      <c r="M145" s="70"/>
      <c r="N145" s="36"/>
    </row>
    <row r="146" spans="1:14" s="37" customFormat="1" ht="15.75" customHeight="1" x14ac:dyDescent="0.25">
      <c r="A146" s="78">
        <f t="shared" ref="A146:A154" si="0">A145+1</f>
        <v>2</v>
      </c>
      <c r="B146" s="79"/>
      <c r="C146" s="42" t="s">
        <v>182</v>
      </c>
      <c r="D146" s="54">
        <f>(22.56)*(10.764)</f>
        <v>242.83583999999996</v>
      </c>
      <c r="E146" s="42">
        <v>0</v>
      </c>
      <c r="F146" s="42">
        <f t="shared" ref="F146:F148" si="1">(D146+E146)*(($F$140)+1)</f>
        <v>388.53734399999996</v>
      </c>
      <c r="G146" s="82"/>
      <c r="H146" s="83"/>
      <c r="I146" s="36"/>
      <c r="L146" s="70"/>
      <c r="M146" s="70"/>
      <c r="N146" s="36"/>
    </row>
    <row r="147" spans="1:14" s="37" customFormat="1" ht="15.75" customHeight="1" x14ac:dyDescent="0.25">
      <c r="A147" s="78">
        <f t="shared" si="0"/>
        <v>3</v>
      </c>
      <c r="B147" s="79"/>
      <c r="C147" s="42" t="s">
        <v>182</v>
      </c>
      <c r="D147" s="54">
        <f>(45.95)*(10.764)</f>
        <v>494.60579999999999</v>
      </c>
      <c r="E147" s="42">
        <v>0</v>
      </c>
      <c r="F147" s="42">
        <f t="shared" si="1"/>
        <v>791.36928</v>
      </c>
      <c r="G147" s="82"/>
      <c r="H147" s="83"/>
      <c r="I147" s="36"/>
      <c r="L147" s="70"/>
      <c r="M147" s="70"/>
      <c r="N147" s="36"/>
    </row>
    <row r="148" spans="1:14" s="37" customFormat="1" ht="15.75" customHeight="1" x14ac:dyDescent="0.25">
      <c r="A148" s="78">
        <f t="shared" si="0"/>
        <v>4</v>
      </c>
      <c r="B148" s="79"/>
      <c r="C148" s="42" t="s">
        <v>182</v>
      </c>
      <c r="D148" s="54">
        <f>(33.61)*(10.764)</f>
        <v>361.77803999999998</v>
      </c>
      <c r="E148" s="42">
        <v>0</v>
      </c>
      <c r="F148" s="42">
        <f t="shared" si="1"/>
        <v>578.84486400000003</v>
      </c>
      <c r="G148" s="82"/>
      <c r="H148" s="83"/>
      <c r="I148" s="36"/>
      <c r="L148" s="70"/>
      <c r="M148" s="70"/>
      <c r="N148" s="36"/>
    </row>
    <row r="149" spans="1:14" s="37" customFormat="1" ht="15.75" customHeight="1" x14ac:dyDescent="0.25">
      <c r="A149" s="78">
        <f t="shared" si="0"/>
        <v>5</v>
      </c>
      <c r="B149" s="79"/>
      <c r="C149" s="42" t="s">
        <v>182</v>
      </c>
      <c r="D149" s="54">
        <f>(32.56)*(10.764)</f>
        <v>350.47584000000001</v>
      </c>
      <c r="E149" s="42">
        <v>0</v>
      </c>
      <c r="F149" s="42">
        <f t="shared" ref="F149:F152" si="2">(D149+E149)*(($F$140)+1)</f>
        <v>560.76134400000001</v>
      </c>
      <c r="G149" s="82"/>
      <c r="H149" s="83"/>
      <c r="I149" s="36"/>
      <c r="L149" s="70"/>
      <c r="M149" s="70"/>
      <c r="N149" s="36"/>
    </row>
    <row r="150" spans="1:14" s="37" customFormat="1" ht="15.75" customHeight="1" x14ac:dyDescent="0.25">
      <c r="A150" s="78">
        <f t="shared" si="0"/>
        <v>6</v>
      </c>
      <c r="B150" s="79"/>
      <c r="C150" s="42" t="s">
        <v>182</v>
      </c>
      <c r="D150" s="54">
        <f>(20.61)*(10.764)</f>
        <v>221.84603999999999</v>
      </c>
      <c r="E150" s="42">
        <v>0</v>
      </c>
      <c r="F150" s="42">
        <f t="shared" si="2"/>
        <v>354.953664</v>
      </c>
      <c r="G150" s="82"/>
      <c r="H150" s="83"/>
      <c r="I150" s="36"/>
      <c r="K150" s="37">
        <f>3.05*5.475+3.05*2.625+1.825*1.375+1.575*0.6+1.525*1.95+2.275*1.825</f>
        <v>35.284999999999997</v>
      </c>
      <c r="L150" s="70"/>
      <c r="M150" s="70"/>
      <c r="N150" s="36"/>
    </row>
    <row r="151" spans="1:14" s="37" customFormat="1" ht="15.75" customHeight="1" x14ac:dyDescent="0.25">
      <c r="A151" s="78">
        <f t="shared" si="0"/>
        <v>7</v>
      </c>
      <c r="B151" s="79"/>
      <c r="C151" s="42" t="s">
        <v>182</v>
      </c>
      <c r="D151" s="54">
        <f>(29.18)*(10.764)</f>
        <v>314.09351999999996</v>
      </c>
      <c r="E151" s="42">
        <v>0</v>
      </c>
      <c r="F151" s="42">
        <f t="shared" si="2"/>
        <v>502.54963199999997</v>
      </c>
      <c r="G151" s="82"/>
      <c r="H151" s="83"/>
      <c r="I151" s="36"/>
      <c r="L151" s="70"/>
      <c r="M151" s="70"/>
      <c r="N151" s="36"/>
    </row>
    <row r="152" spans="1:14" s="37" customFormat="1" ht="15.75" customHeight="1" x14ac:dyDescent="0.25">
      <c r="A152" s="78">
        <f t="shared" si="0"/>
        <v>8</v>
      </c>
      <c r="B152" s="79"/>
      <c r="C152" s="42" t="s">
        <v>182</v>
      </c>
      <c r="D152" s="54">
        <f>(25.48)*(10.764)</f>
        <v>274.26671999999996</v>
      </c>
      <c r="E152" s="42">
        <v>0</v>
      </c>
      <c r="F152" s="42">
        <f t="shared" si="2"/>
        <v>438.82675199999994</v>
      </c>
      <c r="G152" s="82"/>
      <c r="H152" s="83"/>
      <c r="I152" s="36"/>
      <c r="J152" s="37">
        <f>2.925*((7.52+8.52)/2)</f>
        <v>23.458499999999997</v>
      </c>
      <c r="L152" s="70"/>
      <c r="M152" s="70"/>
      <c r="N152" s="36"/>
    </row>
    <row r="153" spans="1:14" s="37" customFormat="1" ht="15.75" customHeight="1" x14ac:dyDescent="0.25">
      <c r="A153" s="78">
        <f t="shared" si="0"/>
        <v>9</v>
      </c>
      <c r="B153" s="79"/>
      <c r="C153" s="42" t="s">
        <v>182</v>
      </c>
      <c r="D153" s="54">
        <f>(22)*(10.764)</f>
        <v>236.80799999999999</v>
      </c>
      <c r="E153" s="42">
        <v>0</v>
      </c>
      <c r="F153" s="42">
        <f t="shared" ref="F153:F154" si="3">(D153+E153)*(($F$140)+1)</f>
        <v>378.89280000000002</v>
      </c>
      <c r="G153" s="82"/>
      <c r="H153" s="83"/>
      <c r="I153" s="36"/>
      <c r="J153" s="37">
        <f>1.5*1.05</f>
        <v>1.5750000000000002</v>
      </c>
      <c r="L153" s="70"/>
      <c r="M153" s="70"/>
      <c r="N153" s="36"/>
    </row>
    <row r="154" spans="1:14" s="37" customFormat="1" ht="15.75" customHeight="1" x14ac:dyDescent="0.25">
      <c r="A154" s="78">
        <f t="shared" si="0"/>
        <v>10</v>
      </c>
      <c r="B154" s="79"/>
      <c r="C154" s="42" t="s">
        <v>182</v>
      </c>
      <c r="D154" s="54">
        <f>(26.2)*(10.764)</f>
        <v>282.01679999999999</v>
      </c>
      <c r="E154" s="42">
        <v>0</v>
      </c>
      <c r="F154" s="42">
        <f t="shared" si="3"/>
        <v>451.22687999999999</v>
      </c>
      <c r="G154" s="82"/>
      <c r="H154" s="83"/>
      <c r="I154" s="36"/>
      <c r="J154" s="37">
        <f>J152+J153</f>
        <v>25.033499999999997</v>
      </c>
      <c r="L154" s="70"/>
      <c r="M154" s="70"/>
      <c r="N154" s="36"/>
    </row>
    <row r="155" spans="1:14" s="37" customFormat="1" x14ac:dyDescent="0.25">
      <c r="A155" s="86" t="s">
        <v>235</v>
      </c>
      <c r="B155" s="87"/>
      <c r="C155" s="87"/>
      <c r="D155" s="87"/>
      <c r="E155" s="87"/>
      <c r="F155" s="87"/>
      <c r="G155" s="87"/>
      <c r="H155" s="88"/>
      <c r="J155" s="36"/>
    </row>
    <row r="156" spans="1:14" s="37" customFormat="1" x14ac:dyDescent="0.25">
      <c r="A156" s="86" t="s">
        <v>180</v>
      </c>
      <c r="B156" s="87"/>
      <c r="C156" s="87"/>
      <c r="D156" s="87"/>
      <c r="E156" s="87"/>
      <c r="F156" s="87"/>
      <c r="G156" s="87"/>
      <c r="H156" s="88"/>
      <c r="J156" s="36"/>
    </row>
    <row r="157" spans="1:14" s="37" customFormat="1" x14ac:dyDescent="0.25">
      <c r="A157" s="77" t="s">
        <v>181</v>
      </c>
      <c r="B157" s="77"/>
      <c r="C157" s="77"/>
      <c r="D157" s="77"/>
      <c r="E157" s="77"/>
      <c r="F157" s="77"/>
      <c r="G157" s="77"/>
      <c r="H157" s="77"/>
      <c r="J157" s="54">
        <f>10.764</f>
        <v>10.763999999999999</v>
      </c>
    </row>
    <row r="158" spans="1:14" s="37" customFormat="1" ht="15.75" customHeight="1" x14ac:dyDescent="0.25">
      <c r="A158" s="89">
        <v>1</v>
      </c>
      <c r="B158" s="89"/>
      <c r="C158" s="61" t="s">
        <v>182</v>
      </c>
      <c r="D158" s="54">
        <f>(25.77)*(10.764)</f>
        <v>277.38827999999995</v>
      </c>
      <c r="E158" s="61">
        <v>0</v>
      </c>
      <c r="F158" s="61">
        <f>(D158+E158)*(($F$140)+1)</f>
        <v>443.82124799999997</v>
      </c>
      <c r="G158" s="89" t="str">
        <f>A157</f>
        <v>Ground Floor For Commercial</v>
      </c>
      <c r="H158" s="89"/>
      <c r="I158" s="36"/>
      <c r="L158" s="70"/>
      <c r="M158" s="70"/>
      <c r="N158" s="36"/>
    </row>
    <row r="159" spans="1:14" s="37" customFormat="1" ht="15.75" customHeight="1" x14ac:dyDescent="0.25">
      <c r="A159" s="89">
        <f t="shared" ref="A159:A178" si="4">A158+1</f>
        <v>2</v>
      </c>
      <c r="B159" s="89"/>
      <c r="C159" s="61" t="s">
        <v>182</v>
      </c>
      <c r="D159" s="54">
        <f>(26.67)*(10.764)</f>
        <v>287.07587999999998</v>
      </c>
      <c r="E159" s="61">
        <v>0</v>
      </c>
      <c r="F159" s="61">
        <f t="shared" ref="F159:F167" si="5">(D159+E159)*(($F$140)+1)</f>
        <v>459.32140800000002</v>
      </c>
      <c r="G159" s="89"/>
      <c r="H159" s="89"/>
      <c r="I159" s="36"/>
      <c r="L159" s="70"/>
      <c r="M159" s="70"/>
      <c r="N159" s="36"/>
    </row>
    <row r="160" spans="1:14" s="37" customFormat="1" ht="15.75" customHeight="1" x14ac:dyDescent="0.25">
      <c r="A160" s="89">
        <f t="shared" si="4"/>
        <v>3</v>
      </c>
      <c r="B160" s="89"/>
      <c r="C160" s="61" t="s">
        <v>182</v>
      </c>
      <c r="D160" s="54">
        <f>(27.47)*(10.764)</f>
        <v>295.68707999999998</v>
      </c>
      <c r="E160" s="61">
        <v>0</v>
      </c>
      <c r="F160" s="61">
        <f t="shared" si="5"/>
        <v>473.09932800000001</v>
      </c>
      <c r="G160" s="89"/>
      <c r="H160" s="89"/>
      <c r="I160" s="36"/>
      <c r="L160" s="70"/>
      <c r="M160" s="70"/>
      <c r="N160" s="36"/>
    </row>
    <row r="161" spans="1:14" s="37" customFormat="1" ht="15.75" customHeight="1" x14ac:dyDescent="0.25">
      <c r="A161" s="89">
        <f t="shared" si="4"/>
        <v>4</v>
      </c>
      <c r="B161" s="89"/>
      <c r="C161" s="61" t="s">
        <v>182</v>
      </c>
      <c r="D161" s="54">
        <f>(47.54)*(10.764)</f>
        <v>511.72055999999998</v>
      </c>
      <c r="E161" s="61">
        <v>0</v>
      </c>
      <c r="F161" s="61">
        <f t="shared" si="5"/>
        <v>818.75289599999996</v>
      </c>
      <c r="G161" s="89"/>
      <c r="H161" s="89"/>
      <c r="I161" s="36"/>
      <c r="L161" s="70"/>
      <c r="M161" s="70"/>
      <c r="N161" s="36"/>
    </row>
    <row r="162" spans="1:14" s="37" customFormat="1" ht="15.75" customHeight="1" x14ac:dyDescent="0.25">
      <c r="A162" s="89">
        <f t="shared" si="4"/>
        <v>5</v>
      </c>
      <c r="B162" s="89"/>
      <c r="C162" s="61" t="s">
        <v>182</v>
      </c>
      <c r="D162" s="54">
        <f>(27.75)*(10.764)</f>
        <v>298.70099999999996</v>
      </c>
      <c r="E162" s="61">
        <v>0</v>
      </c>
      <c r="F162" s="61">
        <f t="shared" si="5"/>
        <v>477.92159999999996</v>
      </c>
      <c r="G162" s="89"/>
      <c r="H162" s="89"/>
      <c r="I162" s="36"/>
      <c r="L162" s="70"/>
      <c r="M162" s="70"/>
      <c r="N162" s="36"/>
    </row>
    <row r="163" spans="1:14" s="37" customFormat="1" ht="15.75" customHeight="1" x14ac:dyDescent="0.25">
      <c r="A163" s="89">
        <f t="shared" si="4"/>
        <v>6</v>
      </c>
      <c r="B163" s="89"/>
      <c r="C163" s="61" t="s">
        <v>182</v>
      </c>
      <c r="D163" s="54">
        <f>(29.13)*(10.764)</f>
        <v>313.55531999999999</v>
      </c>
      <c r="E163" s="61">
        <v>0</v>
      </c>
      <c r="F163" s="61">
        <f t="shared" si="5"/>
        <v>501.688512</v>
      </c>
      <c r="G163" s="89"/>
      <c r="H163" s="89"/>
      <c r="I163" s="36"/>
      <c r="L163" s="70"/>
      <c r="M163" s="70"/>
      <c r="N163" s="36"/>
    </row>
    <row r="164" spans="1:14" s="37" customFormat="1" ht="15.75" customHeight="1" x14ac:dyDescent="0.25">
      <c r="A164" s="89">
        <f t="shared" si="4"/>
        <v>7</v>
      </c>
      <c r="B164" s="89"/>
      <c r="C164" s="61" t="s">
        <v>182</v>
      </c>
      <c r="D164" s="54">
        <f>(29.72)*(10.764)</f>
        <v>319.90607999999997</v>
      </c>
      <c r="E164" s="61">
        <v>0</v>
      </c>
      <c r="F164" s="61">
        <f t="shared" si="5"/>
        <v>511.84972799999997</v>
      </c>
      <c r="G164" s="89"/>
      <c r="H164" s="89"/>
      <c r="I164" s="36"/>
      <c r="L164" s="70"/>
      <c r="M164" s="70"/>
      <c r="N164" s="36"/>
    </row>
    <row r="165" spans="1:14" s="37" customFormat="1" ht="15.75" customHeight="1" x14ac:dyDescent="0.25">
      <c r="A165" s="89">
        <f t="shared" si="4"/>
        <v>8</v>
      </c>
      <c r="B165" s="89"/>
      <c r="C165" s="61" t="s">
        <v>182</v>
      </c>
      <c r="D165" s="54">
        <f>(49.74)*(10.764)</f>
        <v>535.40135999999995</v>
      </c>
      <c r="E165" s="61">
        <v>0</v>
      </c>
      <c r="F165" s="61">
        <f t="shared" si="5"/>
        <v>856.64217599999995</v>
      </c>
      <c r="G165" s="89"/>
      <c r="H165" s="89"/>
      <c r="I165" s="36"/>
      <c r="L165" s="70"/>
      <c r="M165" s="70"/>
      <c r="N165" s="36"/>
    </row>
    <row r="166" spans="1:14" s="37" customFormat="1" ht="15.75" customHeight="1" x14ac:dyDescent="0.25">
      <c r="A166" s="89">
        <f t="shared" si="4"/>
        <v>9</v>
      </c>
      <c r="B166" s="89"/>
      <c r="C166" s="61" t="s">
        <v>182</v>
      </c>
      <c r="D166" s="54">
        <f>(104.37)*(10.764)</f>
        <v>1123.43868</v>
      </c>
      <c r="E166" s="61">
        <v>0</v>
      </c>
      <c r="F166" s="61">
        <f t="shared" si="5"/>
        <v>1797.501888</v>
      </c>
      <c r="G166" s="89"/>
      <c r="H166" s="89"/>
      <c r="I166" s="36"/>
      <c r="L166" s="70"/>
      <c r="M166" s="70"/>
      <c r="N166" s="36"/>
    </row>
    <row r="167" spans="1:14" s="37" customFormat="1" ht="15.75" customHeight="1" x14ac:dyDescent="0.25">
      <c r="A167" s="89">
        <f t="shared" si="4"/>
        <v>10</v>
      </c>
      <c r="B167" s="89"/>
      <c r="C167" s="61" t="s">
        <v>182</v>
      </c>
      <c r="D167" s="54">
        <f>(20.58)*(10.764)</f>
        <v>221.52311999999998</v>
      </c>
      <c r="E167" s="61">
        <v>0</v>
      </c>
      <c r="F167" s="61">
        <f t="shared" si="5"/>
        <v>354.43699199999998</v>
      </c>
      <c r="G167" s="89"/>
      <c r="H167" s="89"/>
      <c r="I167" s="36"/>
      <c r="L167" s="70"/>
      <c r="M167" s="70"/>
      <c r="N167" s="36"/>
    </row>
    <row r="168" spans="1:14" s="37" customFormat="1" ht="15.75" customHeight="1" x14ac:dyDescent="0.25">
      <c r="A168" s="89">
        <f t="shared" si="4"/>
        <v>11</v>
      </c>
      <c r="B168" s="89"/>
      <c r="C168" s="61" t="s">
        <v>182</v>
      </c>
      <c r="D168" s="54">
        <f>(20.56)*(10.764)</f>
        <v>221.30783999999997</v>
      </c>
      <c r="E168" s="61">
        <v>0</v>
      </c>
      <c r="F168" s="61">
        <f t="shared" ref="F168:F176" si="6">(D168+E168)*(($F$140)+1)</f>
        <v>354.09254399999998</v>
      </c>
      <c r="G168" s="89"/>
      <c r="H168" s="89"/>
      <c r="I168" s="36"/>
      <c r="L168" s="70"/>
      <c r="M168" s="70"/>
      <c r="N168" s="36"/>
    </row>
    <row r="169" spans="1:14" s="37" customFormat="1" ht="15.75" customHeight="1" x14ac:dyDescent="0.25">
      <c r="A169" s="89">
        <f t="shared" si="4"/>
        <v>12</v>
      </c>
      <c r="B169" s="89"/>
      <c r="C169" s="61" t="s">
        <v>182</v>
      </c>
      <c r="D169" s="54">
        <f>(36.7)*(10.764)</f>
        <v>395.03879999999998</v>
      </c>
      <c r="E169" s="61">
        <v>0</v>
      </c>
      <c r="F169" s="61">
        <f t="shared" si="6"/>
        <v>632.06208000000004</v>
      </c>
      <c r="G169" s="89"/>
      <c r="H169" s="89"/>
      <c r="I169" s="36"/>
      <c r="L169" s="70"/>
      <c r="M169" s="70"/>
      <c r="N169" s="36"/>
    </row>
    <row r="170" spans="1:14" s="37" customFormat="1" ht="15.75" customHeight="1" x14ac:dyDescent="0.25">
      <c r="A170" s="89">
        <f t="shared" si="4"/>
        <v>13</v>
      </c>
      <c r="B170" s="89"/>
      <c r="C170" s="61" t="s">
        <v>182</v>
      </c>
      <c r="D170" s="54">
        <f>(44.75)*(10.764)</f>
        <v>481.68899999999996</v>
      </c>
      <c r="E170" s="61">
        <v>0</v>
      </c>
      <c r="F170" s="61">
        <f t="shared" si="6"/>
        <v>770.70240000000001</v>
      </c>
      <c r="G170" s="89"/>
      <c r="H170" s="89"/>
      <c r="I170" s="36"/>
      <c r="L170" s="70"/>
      <c r="M170" s="70"/>
      <c r="N170" s="36"/>
    </row>
    <row r="171" spans="1:14" s="37" customFormat="1" ht="15.75" customHeight="1" x14ac:dyDescent="0.25">
      <c r="A171" s="89">
        <f t="shared" si="4"/>
        <v>14</v>
      </c>
      <c r="B171" s="89"/>
      <c r="C171" s="61" t="s">
        <v>182</v>
      </c>
      <c r="D171" s="54">
        <f>(78.77)*(10.764)</f>
        <v>847.88027999999986</v>
      </c>
      <c r="E171" s="61">
        <v>0</v>
      </c>
      <c r="F171" s="61">
        <f t="shared" si="6"/>
        <v>1356.608448</v>
      </c>
      <c r="G171" s="89"/>
      <c r="H171" s="89"/>
      <c r="I171" s="36"/>
      <c r="L171" s="70"/>
      <c r="M171" s="70"/>
      <c r="N171" s="36"/>
    </row>
    <row r="172" spans="1:14" s="37" customFormat="1" ht="15.75" customHeight="1" x14ac:dyDescent="0.25">
      <c r="A172" s="89">
        <f t="shared" si="4"/>
        <v>15</v>
      </c>
      <c r="B172" s="89"/>
      <c r="C172" s="61" t="s">
        <v>182</v>
      </c>
      <c r="D172" s="54">
        <f>(73.06)*(10.764)</f>
        <v>786.41783999999996</v>
      </c>
      <c r="E172" s="61">
        <v>0</v>
      </c>
      <c r="F172" s="61">
        <f t="shared" si="6"/>
        <v>1258.268544</v>
      </c>
      <c r="G172" s="89"/>
      <c r="H172" s="89"/>
      <c r="I172" s="36"/>
      <c r="L172" s="70"/>
      <c r="M172" s="70"/>
      <c r="N172" s="36"/>
    </row>
    <row r="173" spans="1:14" s="37" customFormat="1" ht="15.75" customHeight="1" x14ac:dyDescent="0.25">
      <c r="A173" s="89">
        <f t="shared" si="4"/>
        <v>16</v>
      </c>
      <c r="B173" s="89"/>
      <c r="C173" s="61" t="s">
        <v>182</v>
      </c>
      <c r="D173" s="54">
        <f>(47.41)*(10.764)</f>
        <v>510.32123999999993</v>
      </c>
      <c r="E173" s="61">
        <v>0</v>
      </c>
      <c r="F173" s="61">
        <f t="shared" si="6"/>
        <v>816.51398399999994</v>
      </c>
      <c r="G173" s="89"/>
      <c r="H173" s="89"/>
      <c r="I173" s="36"/>
      <c r="L173" s="70"/>
      <c r="M173" s="70"/>
      <c r="N173" s="36"/>
    </row>
    <row r="174" spans="1:14" s="37" customFormat="1" ht="15.75" customHeight="1" x14ac:dyDescent="0.25">
      <c r="A174" s="89">
        <f t="shared" si="4"/>
        <v>17</v>
      </c>
      <c r="B174" s="89"/>
      <c r="C174" s="61" t="s">
        <v>182</v>
      </c>
      <c r="D174" s="54">
        <f>(47.41)*(10.764)</f>
        <v>510.32123999999993</v>
      </c>
      <c r="E174" s="61">
        <v>0</v>
      </c>
      <c r="F174" s="61">
        <f t="shared" si="6"/>
        <v>816.51398399999994</v>
      </c>
      <c r="G174" s="89"/>
      <c r="H174" s="89"/>
      <c r="I174" s="36"/>
      <c r="L174" s="70"/>
      <c r="M174" s="70"/>
      <c r="N174" s="36"/>
    </row>
    <row r="175" spans="1:14" s="37" customFormat="1" ht="15.75" customHeight="1" x14ac:dyDescent="0.25">
      <c r="A175" s="89">
        <f t="shared" si="4"/>
        <v>18</v>
      </c>
      <c r="B175" s="89"/>
      <c r="C175" s="61" t="s">
        <v>182</v>
      </c>
      <c r="D175" s="54">
        <f>(47.41)*(10.764)</f>
        <v>510.32123999999993</v>
      </c>
      <c r="E175" s="61">
        <v>0</v>
      </c>
      <c r="F175" s="61">
        <f t="shared" si="6"/>
        <v>816.51398399999994</v>
      </c>
      <c r="G175" s="89"/>
      <c r="H175" s="89"/>
      <c r="I175" s="36"/>
      <c r="L175" s="70"/>
      <c r="M175" s="70"/>
      <c r="N175" s="36"/>
    </row>
    <row r="176" spans="1:14" s="37" customFormat="1" ht="15.75" customHeight="1" x14ac:dyDescent="0.25">
      <c r="A176" s="89">
        <f t="shared" si="4"/>
        <v>19</v>
      </c>
      <c r="B176" s="89"/>
      <c r="C176" s="61" t="s">
        <v>182</v>
      </c>
      <c r="D176" s="54">
        <f>(47.41)*(10.764)</f>
        <v>510.32123999999993</v>
      </c>
      <c r="E176" s="61">
        <v>0</v>
      </c>
      <c r="F176" s="61">
        <f t="shared" si="6"/>
        <v>816.51398399999994</v>
      </c>
      <c r="G176" s="89"/>
      <c r="H176" s="89"/>
      <c r="I176" s="36"/>
      <c r="L176" s="70"/>
      <c r="M176" s="70"/>
      <c r="N176" s="36"/>
    </row>
    <row r="177" spans="1:14" s="37" customFormat="1" ht="15.75" customHeight="1" x14ac:dyDescent="0.25">
      <c r="A177" s="89">
        <f t="shared" si="4"/>
        <v>20</v>
      </c>
      <c r="B177" s="89"/>
      <c r="C177" s="61" t="s">
        <v>182</v>
      </c>
      <c r="D177" s="54">
        <f>(47.41)*(10.764)</f>
        <v>510.32123999999993</v>
      </c>
      <c r="E177" s="61">
        <v>0</v>
      </c>
      <c r="F177" s="61">
        <f t="shared" ref="F177:F178" si="7">(D177+E177)*(($F$140)+1)</f>
        <v>816.51398399999994</v>
      </c>
      <c r="G177" s="89"/>
      <c r="H177" s="89"/>
      <c r="I177" s="36"/>
      <c r="L177" s="70"/>
      <c r="M177" s="70"/>
      <c r="N177" s="36"/>
    </row>
    <row r="178" spans="1:14" s="37" customFormat="1" ht="15.75" customHeight="1" x14ac:dyDescent="0.25">
      <c r="A178" s="89">
        <f t="shared" si="4"/>
        <v>21</v>
      </c>
      <c r="B178" s="89"/>
      <c r="C178" s="61" t="s">
        <v>182</v>
      </c>
      <c r="D178" s="54">
        <f>(47.32)*(10.764)</f>
        <v>509.35247999999996</v>
      </c>
      <c r="E178" s="61">
        <v>0</v>
      </c>
      <c r="F178" s="61">
        <f t="shared" si="7"/>
        <v>814.96396800000002</v>
      </c>
      <c r="G178" s="89"/>
      <c r="H178" s="89"/>
      <c r="I178" s="36"/>
      <c r="L178" s="70"/>
      <c r="M178" s="70"/>
      <c r="N178" s="36"/>
    </row>
    <row r="179" spans="1:14" s="37" customFormat="1" x14ac:dyDescent="0.25">
      <c r="A179" s="86" t="s">
        <v>220</v>
      </c>
      <c r="B179" s="87"/>
      <c r="C179" s="87"/>
      <c r="D179" s="87"/>
      <c r="E179" s="87"/>
      <c r="F179" s="87"/>
      <c r="G179" s="87"/>
      <c r="H179" s="88"/>
      <c r="J179" s="36"/>
    </row>
    <row r="180" spans="1:14" s="37" customFormat="1" x14ac:dyDescent="0.25">
      <c r="A180" s="78"/>
      <c r="B180" s="138"/>
      <c r="C180" s="138"/>
      <c r="D180" s="138"/>
      <c r="E180" s="138"/>
      <c r="F180" s="138"/>
      <c r="G180" s="138"/>
      <c r="H180" s="79"/>
      <c r="I180" s="36"/>
      <c r="N180" s="36"/>
    </row>
    <row r="181" spans="1:14" ht="47.25" customHeight="1" x14ac:dyDescent="0.25">
      <c r="A181" s="108" t="s">
        <v>123</v>
      </c>
      <c r="B181" s="108" t="s">
        <v>124</v>
      </c>
      <c r="C181" s="104" t="s">
        <v>59</v>
      </c>
      <c r="D181" s="104" t="s">
        <v>60</v>
      </c>
      <c r="E181" s="106" t="s">
        <v>61</v>
      </c>
      <c r="F181" s="43" t="s">
        <v>155</v>
      </c>
      <c r="G181" s="108" t="s">
        <v>62</v>
      </c>
      <c r="H181" s="109"/>
      <c r="I181" s="36"/>
    </row>
    <row r="182" spans="1:14" s="37" customFormat="1" x14ac:dyDescent="0.25">
      <c r="A182" s="110"/>
      <c r="B182" s="110"/>
      <c r="C182" s="105"/>
      <c r="D182" s="105"/>
      <c r="E182" s="107"/>
      <c r="F182" s="13">
        <v>0.6</v>
      </c>
      <c r="G182" s="110"/>
      <c r="H182" s="111"/>
      <c r="I182" s="36"/>
    </row>
    <row r="183" spans="1:14" s="37" customFormat="1" x14ac:dyDescent="0.25">
      <c r="A183" s="86" t="s">
        <v>238</v>
      </c>
      <c r="B183" s="87"/>
      <c r="C183" s="87"/>
      <c r="D183" s="87"/>
      <c r="E183" s="87"/>
      <c r="F183" s="87"/>
      <c r="G183" s="87"/>
      <c r="H183" s="88"/>
      <c r="J183" s="36"/>
    </row>
    <row r="184" spans="1:14" s="37" customFormat="1" x14ac:dyDescent="0.25">
      <c r="A184" s="86" t="s">
        <v>219</v>
      </c>
      <c r="B184" s="87"/>
      <c r="C184" s="87"/>
      <c r="D184" s="87"/>
      <c r="E184" s="87"/>
      <c r="F184" s="87"/>
      <c r="G184" s="87"/>
      <c r="H184" s="88"/>
      <c r="J184" s="36"/>
    </row>
    <row r="185" spans="1:14" s="37" customFormat="1" x14ac:dyDescent="0.25">
      <c r="A185" s="86" t="s">
        <v>193</v>
      </c>
      <c r="B185" s="87"/>
      <c r="C185" s="87"/>
      <c r="D185" s="87"/>
      <c r="E185" s="87"/>
      <c r="F185" s="87"/>
      <c r="G185" s="87"/>
      <c r="H185" s="88"/>
      <c r="J185" s="36"/>
    </row>
    <row r="186" spans="1:14" s="37" customFormat="1" ht="15.75" customHeight="1" x14ac:dyDescent="0.25">
      <c r="A186" s="78">
        <v>1</v>
      </c>
      <c r="B186" s="79"/>
      <c r="C186" s="52">
        <v>1</v>
      </c>
      <c r="D186" s="54">
        <f>(35.59+0.6*(3.4))*(10.764)</f>
        <v>405.04932000000002</v>
      </c>
      <c r="E186" s="54">
        <f>(1.725*3.025)*(10.764)</f>
        <v>56.167897499999995</v>
      </c>
      <c r="F186" s="42">
        <f t="shared" ref="F186:F194" si="8">D186*(($F$182)+1)+(IF(E186&lt;101,E186,IF(E186&lt;201,E186/2,IF(E186&lt;=301,E186/3,E186/4))))</f>
        <v>704.24680950000004</v>
      </c>
      <c r="G186" s="80" t="str">
        <f>A185</f>
        <v>1st Podium Floor For Parking &amp; Part Residential Area</v>
      </c>
      <c r="H186" s="81"/>
      <c r="I186" s="36"/>
      <c r="L186" s="70"/>
      <c r="M186" s="70"/>
      <c r="N186" s="36"/>
    </row>
    <row r="187" spans="1:14" s="37" customFormat="1" ht="15.75" customHeight="1" x14ac:dyDescent="0.25">
      <c r="A187" s="78">
        <f t="shared" ref="A187:A196" si="9">A186+1</f>
        <v>2</v>
      </c>
      <c r="B187" s="79"/>
      <c r="C187" s="52">
        <v>1</v>
      </c>
      <c r="D187" s="55">
        <f>(32.84+0.6*(3.4))*(10.764)</f>
        <v>375.44832000000002</v>
      </c>
      <c r="E187" s="54">
        <f>(1.725*3.025)*(10.764)</f>
        <v>56.167897499999995</v>
      </c>
      <c r="F187" s="42">
        <f t="shared" si="8"/>
        <v>656.88520950000009</v>
      </c>
      <c r="G187" s="82"/>
      <c r="H187" s="83"/>
      <c r="I187" s="36"/>
      <c r="L187" s="70"/>
      <c r="M187" s="70"/>
      <c r="N187" s="36"/>
    </row>
    <row r="188" spans="1:14" s="37" customFormat="1" ht="15.75" customHeight="1" x14ac:dyDescent="0.25">
      <c r="A188" s="78">
        <f t="shared" si="9"/>
        <v>3</v>
      </c>
      <c r="B188" s="79"/>
      <c r="C188" s="52">
        <v>1</v>
      </c>
      <c r="D188" s="55">
        <f>(35.81+0.6*(3.4))*(10.764)</f>
        <v>407.41739999999999</v>
      </c>
      <c r="E188" s="54">
        <f>(1.725*3.025)*(10.764)</f>
        <v>56.167897499999995</v>
      </c>
      <c r="F188" s="42">
        <f t="shared" si="8"/>
        <v>708.03573749999998</v>
      </c>
      <c r="G188" s="82"/>
      <c r="H188" s="83"/>
      <c r="I188" s="36"/>
      <c r="L188" s="70"/>
      <c r="M188" s="70"/>
      <c r="N188" s="36"/>
    </row>
    <row r="189" spans="1:14" s="37" customFormat="1" ht="15.75" customHeight="1" x14ac:dyDescent="0.25">
      <c r="A189" s="78">
        <f t="shared" si="9"/>
        <v>4</v>
      </c>
      <c r="B189" s="79"/>
      <c r="C189" s="52">
        <v>1</v>
      </c>
      <c r="D189" s="55">
        <f>(35.81+0.6*(3.4))*(10.764)</f>
        <v>407.41739999999999</v>
      </c>
      <c r="E189" s="54">
        <f>(1.725*3.025)*(10.764)</f>
        <v>56.167897499999995</v>
      </c>
      <c r="F189" s="42">
        <f t="shared" si="8"/>
        <v>708.03573749999998</v>
      </c>
      <c r="G189" s="82"/>
      <c r="H189" s="83"/>
      <c r="I189" s="36"/>
      <c r="L189" s="70"/>
      <c r="M189" s="70"/>
      <c r="N189" s="36"/>
    </row>
    <row r="190" spans="1:14" s="37" customFormat="1" ht="15.75" customHeight="1" x14ac:dyDescent="0.25">
      <c r="A190" s="78">
        <f t="shared" si="9"/>
        <v>5</v>
      </c>
      <c r="B190" s="79"/>
      <c r="C190" s="52">
        <v>1</v>
      </c>
      <c r="D190" s="55">
        <f>(32.9+0.6*(3.4))*(10.764)</f>
        <v>376.09415999999993</v>
      </c>
      <c r="E190" s="54">
        <f>(1.725*3.025)*(10.764)</f>
        <v>56.167897499999995</v>
      </c>
      <c r="F190" s="42">
        <f t="shared" si="8"/>
        <v>657.91855349999992</v>
      </c>
      <c r="G190" s="82"/>
      <c r="H190" s="83"/>
      <c r="I190" s="36"/>
      <c r="L190" s="70"/>
      <c r="M190" s="70"/>
      <c r="N190" s="36"/>
    </row>
    <row r="191" spans="1:14" s="37" customFormat="1" ht="15.75" customHeight="1" x14ac:dyDescent="0.25">
      <c r="A191" s="78">
        <f t="shared" si="9"/>
        <v>6</v>
      </c>
      <c r="B191" s="79"/>
      <c r="C191" s="52">
        <v>1</v>
      </c>
      <c r="D191" s="55">
        <f>(35.59+0.6*(3.4))*(10.764)</f>
        <v>405.04932000000002</v>
      </c>
      <c r="E191" s="54">
        <f>(1.725*3.025+7.5*4.4)*(10.764)</f>
        <v>411.37989749999997</v>
      </c>
      <c r="F191" s="42">
        <f t="shared" si="8"/>
        <v>750.92388637500005</v>
      </c>
      <c r="G191" s="82"/>
      <c r="H191" s="83"/>
      <c r="I191" s="36"/>
      <c r="L191" s="70"/>
      <c r="M191" s="70"/>
      <c r="N191" s="36"/>
    </row>
    <row r="192" spans="1:14" s="37" customFormat="1" ht="15.75" customHeight="1" x14ac:dyDescent="0.25">
      <c r="A192" s="78">
        <f t="shared" si="9"/>
        <v>7</v>
      </c>
      <c r="B192" s="79"/>
      <c r="C192" s="52">
        <v>1</v>
      </c>
      <c r="D192" s="55">
        <f>(35.49)*(10.764)</f>
        <v>382.01436000000001</v>
      </c>
      <c r="E192" s="54">
        <f>(6.2*5.05)*(10.764)</f>
        <v>337.02083999999996</v>
      </c>
      <c r="F192" s="42">
        <f t="shared" si="8"/>
        <v>695.47818600000005</v>
      </c>
      <c r="G192" s="82"/>
      <c r="H192" s="83"/>
      <c r="I192" s="36"/>
      <c r="L192" s="70"/>
      <c r="M192" s="70"/>
      <c r="N192" s="36"/>
    </row>
    <row r="193" spans="1:14" s="37" customFormat="1" ht="15.75" customHeight="1" x14ac:dyDescent="0.25">
      <c r="A193" s="78">
        <f t="shared" si="9"/>
        <v>8</v>
      </c>
      <c r="B193" s="79"/>
      <c r="C193" s="52">
        <v>2</v>
      </c>
      <c r="D193" s="55">
        <f>(51.98)*(10.764)</f>
        <v>559.51271999999994</v>
      </c>
      <c r="E193" s="54">
        <f>(8.1*2.3)*(10.764)</f>
        <v>200.53331999999997</v>
      </c>
      <c r="F193" s="42">
        <f t="shared" si="8"/>
        <v>995.48701199999994</v>
      </c>
      <c r="G193" s="82"/>
      <c r="H193" s="83"/>
      <c r="I193" s="36"/>
      <c r="L193" s="70"/>
      <c r="M193" s="70"/>
      <c r="N193" s="36"/>
    </row>
    <row r="194" spans="1:14" s="37" customFormat="1" ht="15.75" customHeight="1" x14ac:dyDescent="0.25">
      <c r="A194" s="78">
        <f t="shared" si="9"/>
        <v>9</v>
      </c>
      <c r="B194" s="79"/>
      <c r="C194" s="52">
        <v>3</v>
      </c>
      <c r="D194" s="55">
        <f>(66.72+0.75*(5.15)+0.8*1.4)*(10.764)</f>
        <v>771.80570999999998</v>
      </c>
      <c r="E194" s="42">
        <v>0</v>
      </c>
      <c r="F194" s="42">
        <f t="shared" si="8"/>
        <v>1234.889136</v>
      </c>
      <c r="G194" s="82"/>
      <c r="H194" s="83"/>
      <c r="I194" s="36"/>
      <c r="L194" s="70"/>
      <c r="M194" s="70"/>
      <c r="N194" s="36"/>
    </row>
    <row r="195" spans="1:14" s="37" customFormat="1" ht="15.75" customHeight="1" x14ac:dyDescent="0.25">
      <c r="A195" s="78">
        <f t="shared" si="9"/>
        <v>10</v>
      </c>
      <c r="B195" s="79"/>
      <c r="C195" s="78" t="s">
        <v>183</v>
      </c>
      <c r="D195" s="138"/>
      <c r="E195" s="138"/>
      <c r="F195" s="79"/>
      <c r="G195" s="82"/>
      <c r="H195" s="83"/>
      <c r="I195" s="36"/>
      <c r="L195" s="70"/>
      <c r="M195" s="70"/>
      <c r="N195" s="36"/>
    </row>
    <row r="196" spans="1:14" s="37" customFormat="1" ht="15.75" customHeight="1" x14ac:dyDescent="0.25">
      <c r="A196" s="78">
        <f t="shared" si="9"/>
        <v>11</v>
      </c>
      <c r="B196" s="79"/>
      <c r="C196" s="52">
        <v>2</v>
      </c>
      <c r="D196" s="54">
        <f>(53.53+0.75*(3.1+2.55+3.5))*(10.764)</f>
        <v>650.06486999999993</v>
      </c>
      <c r="E196" s="42">
        <v>0</v>
      </c>
      <c r="F196" s="42">
        <f>D196*(($F$182)+1)+(IF(E196&lt;101,E196,IF(E196&lt;201,E196/2,IF(E196&lt;=301,E196/3,E196/4))))</f>
        <v>1040.1037919999999</v>
      </c>
      <c r="G196" s="84"/>
      <c r="H196" s="85"/>
      <c r="I196" s="36"/>
      <c r="J196" s="37">
        <f>3.05*6.75+2.3*1.95+3.05*3.225+1.075*0.75+0.975*0.625+1.975*1.375+3.05*3.6+2.125*1.375</f>
        <v>52.941874999999996</v>
      </c>
      <c r="L196" s="70"/>
      <c r="M196" s="70"/>
      <c r="N196" s="36"/>
    </row>
    <row r="197" spans="1:14" s="37" customFormat="1" x14ac:dyDescent="0.25">
      <c r="A197" s="77" t="s">
        <v>194</v>
      </c>
      <c r="B197" s="77"/>
      <c r="C197" s="77"/>
      <c r="D197" s="77"/>
      <c r="E197" s="77"/>
      <c r="F197" s="77"/>
      <c r="G197" s="77"/>
      <c r="H197" s="77"/>
      <c r="J197" s="36"/>
    </row>
    <row r="198" spans="1:14" s="37" customFormat="1" ht="15.75" customHeight="1" x14ac:dyDescent="0.25">
      <c r="A198" s="89">
        <v>1</v>
      </c>
      <c r="B198" s="89"/>
      <c r="C198" s="52">
        <v>1</v>
      </c>
      <c r="D198" s="54">
        <f>(35.59+0.6*(3.4+2.325)+0.75*(2.3))*(10.764)</f>
        <v>438.63300000000004</v>
      </c>
      <c r="E198" s="61">
        <v>0</v>
      </c>
      <c r="F198" s="61">
        <f t="shared" ref="F198:F208" si="10">D198*(($F$182)+1)+(IF(E198&lt;101,E198,IF(E198&lt;201,E198/2,IF(E198&lt;=301,E198/3,E198/4))))</f>
        <v>701.81280000000015</v>
      </c>
      <c r="G198" s="89" t="str">
        <f>A197</f>
        <v>2nd to 6th Podium Floor For Parking  &amp; Part Residential Area</v>
      </c>
      <c r="H198" s="89"/>
      <c r="I198" s="36"/>
      <c r="L198" s="70"/>
      <c r="M198" s="70"/>
      <c r="N198" s="36"/>
    </row>
    <row r="199" spans="1:14" s="37" customFormat="1" ht="15.75" customHeight="1" x14ac:dyDescent="0.25">
      <c r="A199" s="89">
        <f t="shared" ref="A199:A208" si="11">A198+1</f>
        <v>2</v>
      </c>
      <c r="B199" s="89"/>
      <c r="C199" s="52">
        <v>1</v>
      </c>
      <c r="D199" s="54">
        <f>(32.84+0.6*(3.4+2.325)+0.75*(2.3))*(10.764)</f>
        <v>409.03200000000004</v>
      </c>
      <c r="E199" s="61">
        <v>0</v>
      </c>
      <c r="F199" s="61">
        <f t="shared" si="10"/>
        <v>654.45120000000009</v>
      </c>
      <c r="G199" s="89"/>
      <c r="H199" s="89"/>
      <c r="I199" s="36"/>
      <c r="L199" s="70"/>
      <c r="M199" s="70"/>
      <c r="N199" s="36"/>
    </row>
    <row r="200" spans="1:14" s="37" customFormat="1" ht="15.75" customHeight="1" x14ac:dyDescent="0.25">
      <c r="A200" s="89">
        <f t="shared" si="11"/>
        <v>3</v>
      </c>
      <c r="B200" s="89"/>
      <c r="C200" s="52">
        <v>1</v>
      </c>
      <c r="D200" s="54">
        <f>(35.81+0.6*(3.4+2.325)+0.75*(2.3))*(10.764)</f>
        <v>441.00108000000006</v>
      </c>
      <c r="E200" s="61">
        <v>0</v>
      </c>
      <c r="F200" s="61">
        <f t="shared" si="10"/>
        <v>705.60172800000009</v>
      </c>
      <c r="G200" s="89"/>
      <c r="H200" s="89"/>
      <c r="I200" s="36"/>
      <c r="L200" s="70"/>
      <c r="M200" s="70"/>
      <c r="N200" s="36"/>
    </row>
    <row r="201" spans="1:14" s="37" customFormat="1" ht="15.75" customHeight="1" x14ac:dyDescent="0.25">
      <c r="A201" s="89">
        <f t="shared" si="11"/>
        <v>4</v>
      </c>
      <c r="B201" s="89"/>
      <c r="C201" s="52">
        <v>1</v>
      </c>
      <c r="D201" s="54">
        <f>(35.81+0.6*(3.4+2.325)+0.75*(2.3))*(10.764)</f>
        <v>441.00108000000006</v>
      </c>
      <c r="E201" s="61">
        <v>0</v>
      </c>
      <c r="F201" s="61">
        <f t="shared" si="10"/>
        <v>705.60172800000009</v>
      </c>
      <c r="G201" s="89"/>
      <c r="H201" s="89"/>
      <c r="I201" s="36"/>
      <c r="L201" s="70"/>
      <c r="M201" s="70"/>
      <c r="N201" s="36"/>
    </row>
    <row r="202" spans="1:14" s="37" customFormat="1" ht="15.75" customHeight="1" x14ac:dyDescent="0.25">
      <c r="A202" s="89">
        <f t="shared" si="11"/>
        <v>5</v>
      </c>
      <c r="B202" s="89"/>
      <c r="C202" s="52">
        <v>1</v>
      </c>
      <c r="D202" s="54">
        <f>(32.9+0.6*(3.4+2.325)+0.75*(2.3))*(10.764)</f>
        <v>409.67784</v>
      </c>
      <c r="E202" s="61">
        <v>0</v>
      </c>
      <c r="F202" s="61">
        <f t="shared" si="10"/>
        <v>655.48454400000003</v>
      </c>
      <c r="G202" s="89"/>
      <c r="H202" s="89"/>
      <c r="I202" s="36"/>
      <c r="L202" s="70"/>
      <c r="M202" s="70"/>
      <c r="N202" s="36"/>
    </row>
    <row r="203" spans="1:14" s="37" customFormat="1" ht="15.75" customHeight="1" x14ac:dyDescent="0.25">
      <c r="A203" s="89">
        <f t="shared" si="11"/>
        <v>6</v>
      </c>
      <c r="B203" s="89"/>
      <c r="C203" s="52">
        <v>1</v>
      </c>
      <c r="D203" s="54">
        <f>(35.59+0.6*(3.4+2.325)+0.75*(2.3))*(10.764)</f>
        <v>438.63300000000004</v>
      </c>
      <c r="E203" s="61">
        <v>0</v>
      </c>
      <c r="F203" s="61">
        <f t="shared" si="10"/>
        <v>701.81280000000015</v>
      </c>
      <c r="G203" s="89"/>
      <c r="H203" s="89"/>
      <c r="I203" s="36"/>
      <c r="L203" s="70"/>
      <c r="M203" s="70"/>
      <c r="N203" s="36"/>
    </row>
    <row r="204" spans="1:14" s="37" customFormat="1" ht="15.75" customHeight="1" x14ac:dyDescent="0.25">
      <c r="A204" s="89">
        <f t="shared" si="11"/>
        <v>7</v>
      </c>
      <c r="B204" s="89"/>
      <c r="C204" s="52">
        <v>1</v>
      </c>
      <c r="D204" s="54">
        <f>(35.49+0.6*2.65+0.75*(1.9+3.15))*(10.764)</f>
        <v>439.89776999999998</v>
      </c>
      <c r="E204" s="61">
        <v>0</v>
      </c>
      <c r="F204" s="61">
        <f t="shared" si="10"/>
        <v>703.83643200000006</v>
      </c>
      <c r="G204" s="89"/>
      <c r="H204" s="89"/>
      <c r="I204" s="36"/>
      <c r="L204" s="70"/>
      <c r="M204" s="70"/>
      <c r="N204" s="36"/>
    </row>
    <row r="205" spans="1:14" s="37" customFormat="1" ht="15.75" customHeight="1" x14ac:dyDescent="0.25">
      <c r="A205" s="89">
        <f t="shared" si="11"/>
        <v>8</v>
      </c>
      <c r="B205" s="89"/>
      <c r="C205" s="52">
        <v>2</v>
      </c>
      <c r="D205" s="54">
        <f>(51.98+0.75*(3.6+2.5+1.5))*(10.764)</f>
        <v>620.8675199999999</v>
      </c>
      <c r="E205" s="61">
        <v>0</v>
      </c>
      <c r="F205" s="61">
        <f t="shared" si="10"/>
        <v>993.38803199999984</v>
      </c>
      <c r="G205" s="89"/>
      <c r="H205" s="89"/>
      <c r="I205" s="36"/>
      <c r="L205" s="70"/>
      <c r="M205" s="70"/>
      <c r="N205" s="36"/>
    </row>
    <row r="206" spans="1:14" s="37" customFormat="1" ht="15.75" customHeight="1" x14ac:dyDescent="0.25">
      <c r="A206" s="89">
        <f t="shared" si="11"/>
        <v>9</v>
      </c>
      <c r="B206" s="89"/>
      <c r="C206" s="52">
        <v>3</v>
      </c>
      <c r="D206" s="54">
        <f>(66.72+0.75*(5.15)+0.8*1.4)*(10.764)</f>
        <v>771.80570999999998</v>
      </c>
      <c r="E206" s="61">
        <v>0</v>
      </c>
      <c r="F206" s="61">
        <f t="shared" si="10"/>
        <v>1234.889136</v>
      </c>
      <c r="G206" s="89"/>
      <c r="H206" s="89"/>
      <c r="I206" s="36"/>
      <c r="L206" s="70"/>
      <c r="M206" s="70"/>
      <c r="N206" s="36"/>
    </row>
    <row r="207" spans="1:14" s="37" customFormat="1" ht="15.75" customHeight="1" x14ac:dyDescent="0.25">
      <c r="A207" s="89">
        <f t="shared" si="11"/>
        <v>10</v>
      </c>
      <c r="B207" s="89"/>
      <c r="C207" s="52">
        <v>2</v>
      </c>
      <c r="D207" s="54">
        <f t="shared" ref="D207:D208" si="12">(53.53+0.75*(3.1+2.55+3.5))*(10.764)</f>
        <v>650.06486999999993</v>
      </c>
      <c r="E207" s="61">
        <v>0</v>
      </c>
      <c r="F207" s="61">
        <f t="shared" si="10"/>
        <v>1040.1037919999999</v>
      </c>
      <c r="G207" s="89"/>
      <c r="H207" s="89"/>
      <c r="I207" s="36"/>
      <c r="L207" s="70"/>
      <c r="M207" s="70"/>
      <c r="N207" s="36"/>
    </row>
    <row r="208" spans="1:14" s="37" customFormat="1" ht="15.75" customHeight="1" x14ac:dyDescent="0.25">
      <c r="A208" s="89">
        <f t="shared" si="11"/>
        <v>11</v>
      </c>
      <c r="B208" s="89"/>
      <c r="C208" s="52">
        <v>2</v>
      </c>
      <c r="D208" s="54">
        <f t="shared" si="12"/>
        <v>650.06486999999993</v>
      </c>
      <c r="E208" s="61">
        <v>0</v>
      </c>
      <c r="F208" s="61">
        <f t="shared" si="10"/>
        <v>1040.1037919999999</v>
      </c>
      <c r="G208" s="89"/>
      <c r="H208" s="89"/>
      <c r="I208" s="36"/>
      <c r="L208" s="70"/>
      <c r="M208" s="70"/>
      <c r="N208" s="36"/>
    </row>
    <row r="209" spans="1:14" s="37" customFormat="1" x14ac:dyDescent="0.25">
      <c r="A209" s="86" t="s">
        <v>195</v>
      </c>
      <c r="B209" s="87"/>
      <c r="C209" s="87"/>
      <c r="D209" s="87"/>
      <c r="E209" s="87"/>
      <c r="F209" s="87"/>
      <c r="G209" s="87"/>
      <c r="H209" s="88"/>
      <c r="J209" s="36"/>
    </row>
    <row r="210" spans="1:14" s="37" customFormat="1" ht="15.75" customHeight="1" x14ac:dyDescent="0.25">
      <c r="A210" s="78">
        <v>1</v>
      </c>
      <c r="B210" s="79"/>
      <c r="C210" s="52">
        <v>1</v>
      </c>
      <c r="D210" s="54">
        <f>(35.59+0.6*(3.4+2.325)+0.75*(2.3))*(10.764)</f>
        <v>438.63300000000004</v>
      </c>
      <c r="E210" s="42">
        <v>0</v>
      </c>
      <c r="F210" s="42">
        <f t="shared" ref="F210:F215" si="13">D210*(($F$182)+1)+(IF(E210&lt;101,E210,IF(E210&lt;201,E210/2,IF(E210&lt;=301,E210/3,E210/4))))</f>
        <v>701.81280000000015</v>
      </c>
      <c r="G210" s="80" t="str">
        <f>A209</f>
        <v>7th Eco-Deck Floor Plan For Part Residential Area &amp; Part Refuge Area</v>
      </c>
      <c r="H210" s="81"/>
      <c r="I210" s="36"/>
      <c r="L210" s="70"/>
      <c r="M210" s="70"/>
      <c r="N210" s="36"/>
    </row>
    <row r="211" spans="1:14" s="37" customFormat="1" ht="15.75" customHeight="1" x14ac:dyDescent="0.25">
      <c r="A211" s="78">
        <f t="shared" ref="A211:A220" si="14">A210+1</f>
        <v>2</v>
      </c>
      <c r="B211" s="79"/>
      <c r="C211" s="52">
        <v>1</v>
      </c>
      <c r="D211" s="54">
        <f>(32.84+0.6*(3.4+2.325)+0.75*(2.3))*(10.764)</f>
        <v>409.03200000000004</v>
      </c>
      <c r="E211" s="42">
        <v>0</v>
      </c>
      <c r="F211" s="42">
        <f t="shared" si="13"/>
        <v>654.45120000000009</v>
      </c>
      <c r="G211" s="82"/>
      <c r="H211" s="83"/>
      <c r="I211" s="36"/>
      <c r="L211" s="70"/>
      <c r="M211" s="70"/>
      <c r="N211" s="36"/>
    </row>
    <row r="212" spans="1:14" s="37" customFormat="1" ht="15.75" customHeight="1" x14ac:dyDescent="0.25">
      <c r="A212" s="78">
        <f t="shared" si="14"/>
        <v>3</v>
      </c>
      <c r="B212" s="79"/>
      <c r="C212" s="52">
        <v>1</v>
      </c>
      <c r="D212" s="54">
        <f>(35.81+0.6*(3.4+2.325)+0.75*(2.3))*(10.764)</f>
        <v>441.00108000000006</v>
      </c>
      <c r="E212" s="42">
        <v>0</v>
      </c>
      <c r="F212" s="42">
        <f t="shared" si="13"/>
        <v>705.60172800000009</v>
      </c>
      <c r="G212" s="82"/>
      <c r="H212" s="83"/>
      <c r="I212" s="36"/>
      <c r="L212" s="70"/>
      <c r="M212" s="70"/>
      <c r="N212" s="36"/>
    </row>
    <row r="213" spans="1:14" s="37" customFormat="1" ht="15.75" customHeight="1" x14ac:dyDescent="0.25">
      <c r="A213" s="78">
        <f t="shared" si="14"/>
        <v>4</v>
      </c>
      <c r="B213" s="79"/>
      <c r="C213" s="52">
        <v>1</v>
      </c>
      <c r="D213" s="54">
        <f>(35.81+0.6*(3.4+2.325)+0.75*(2.3))*(10.764)</f>
        <v>441.00108000000006</v>
      </c>
      <c r="E213" s="42">
        <v>0</v>
      </c>
      <c r="F213" s="42">
        <f t="shared" si="13"/>
        <v>705.60172800000009</v>
      </c>
      <c r="G213" s="82"/>
      <c r="H213" s="83"/>
      <c r="I213" s="36"/>
      <c r="L213" s="70"/>
      <c r="M213" s="70"/>
      <c r="N213" s="36"/>
    </row>
    <row r="214" spans="1:14" s="37" customFormat="1" ht="15.75" customHeight="1" x14ac:dyDescent="0.25">
      <c r="A214" s="78">
        <f t="shared" si="14"/>
        <v>5</v>
      </c>
      <c r="B214" s="79"/>
      <c r="C214" s="52">
        <v>1</v>
      </c>
      <c r="D214" s="54">
        <f>(32.9+0.6*(3.4+2.325)+0.75*(2.3))*(10.764)</f>
        <v>409.67784</v>
      </c>
      <c r="E214" s="42">
        <v>0</v>
      </c>
      <c r="F214" s="42">
        <f t="shared" si="13"/>
        <v>655.48454400000003</v>
      </c>
      <c r="G214" s="82"/>
      <c r="H214" s="83"/>
      <c r="I214" s="36"/>
      <c r="L214" s="70"/>
      <c r="M214" s="70"/>
      <c r="N214" s="36"/>
    </row>
    <row r="215" spans="1:14" s="37" customFormat="1" ht="15.75" customHeight="1" x14ac:dyDescent="0.25">
      <c r="A215" s="78">
        <f t="shared" si="14"/>
        <v>6</v>
      </c>
      <c r="B215" s="79"/>
      <c r="C215" s="52">
        <v>1</v>
      </c>
      <c r="D215" s="54">
        <f>(35.59+0.6*(3.4+2.325)+0.75*(2.3))*(10.764)</f>
        <v>438.63300000000004</v>
      </c>
      <c r="E215" s="42">
        <v>0</v>
      </c>
      <c r="F215" s="42">
        <f t="shared" si="13"/>
        <v>701.81280000000015</v>
      </c>
      <c r="G215" s="82"/>
      <c r="H215" s="83"/>
      <c r="I215" s="36"/>
      <c r="L215" s="70"/>
      <c r="M215" s="70"/>
      <c r="N215" s="36"/>
    </row>
    <row r="216" spans="1:14" s="37" customFormat="1" ht="15.75" customHeight="1" x14ac:dyDescent="0.25">
      <c r="A216" s="78">
        <f t="shared" si="14"/>
        <v>7</v>
      </c>
      <c r="B216" s="79"/>
      <c r="C216" s="91" t="s">
        <v>184</v>
      </c>
      <c r="D216" s="92"/>
      <c r="E216" s="92"/>
      <c r="F216" s="93"/>
      <c r="G216" s="82"/>
      <c r="H216" s="83"/>
      <c r="I216" s="36"/>
      <c r="L216" s="70"/>
      <c r="M216" s="70"/>
      <c r="N216" s="36"/>
    </row>
    <row r="217" spans="1:14" s="37" customFormat="1" ht="15.75" customHeight="1" x14ac:dyDescent="0.25">
      <c r="A217" s="78">
        <f t="shared" si="14"/>
        <v>8</v>
      </c>
      <c r="B217" s="79"/>
      <c r="C217" s="97"/>
      <c r="D217" s="98"/>
      <c r="E217" s="98"/>
      <c r="F217" s="99"/>
      <c r="G217" s="82"/>
      <c r="H217" s="83"/>
      <c r="I217" s="36"/>
      <c r="L217" s="70"/>
      <c r="M217" s="70"/>
      <c r="N217" s="36"/>
    </row>
    <row r="218" spans="1:14" s="37" customFormat="1" ht="15.75" customHeight="1" x14ac:dyDescent="0.25">
      <c r="A218" s="78">
        <f t="shared" si="14"/>
        <v>9</v>
      </c>
      <c r="B218" s="79"/>
      <c r="C218" s="94"/>
      <c r="D218" s="95"/>
      <c r="E218" s="95"/>
      <c r="F218" s="96"/>
      <c r="G218" s="82"/>
      <c r="H218" s="83"/>
      <c r="I218" s="36"/>
      <c r="L218" s="70"/>
      <c r="M218" s="70"/>
      <c r="N218" s="36"/>
    </row>
    <row r="219" spans="1:14" s="37" customFormat="1" ht="15.75" customHeight="1" x14ac:dyDescent="0.25">
      <c r="A219" s="78">
        <f t="shared" si="14"/>
        <v>10</v>
      </c>
      <c r="B219" s="79"/>
      <c r="C219" s="52">
        <v>2</v>
      </c>
      <c r="D219" s="54">
        <f t="shared" ref="D219:D220" si="15">(53.53+0.75*(3.1+2.55+3.5))*(10.764)</f>
        <v>650.06486999999993</v>
      </c>
      <c r="E219" s="42">
        <v>0</v>
      </c>
      <c r="F219" s="42">
        <f>D219*(($F$182)+1)+(IF(E219&lt;101,E219,IF(E219&lt;201,E219/2,IF(E219&lt;=301,E219/3,E219/4))))</f>
        <v>1040.1037919999999</v>
      </c>
      <c r="G219" s="82"/>
      <c r="H219" s="83"/>
      <c r="I219" s="36"/>
      <c r="L219" s="70"/>
      <c r="M219" s="70"/>
      <c r="N219" s="36"/>
    </row>
    <row r="220" spans="1:14" s="37" customFormat="1" ht="15.75" customHeight="1" x14ac:dyDescent="0.25">
      <c r="A220" s="78">
        <f t="shared" si="14"/>
        <v>11</v>
      </c>
      <c r="B220" s="79"/>
      <c r="C220" s="52">
        <v>2</v>
      </c>
      <c r="D220" s="54">
        <f t="shared" si="15"/>
        <v>650.06486999999993</v>
      </c>
      <c r="E220" s="42">
        <v>0</v>
      </c>
      <c r="F220" s="42">
        <f>D220*(($F$182)+1)+(IF(E220&lt;101,E220,IF(E220&lt;201,E220/2,IF(E220&lt;=301,E220/3,E220/4))))</f>
        <v>1040.1037919999999</v>
      </c>
      <c r="G220" s="84"/>
      <c r="H220" s="85"/>
      <c r="I220" s="36"/>
      <c r="L220" s="70"/>
      <c r="M220" s="70"/>
      <c r="N220" s="36"/>
    </row>
    <row r="221" spans="1:14" s="37" customFormat="1" x14ac:dyDescent="0.25">
      <c r="A221" s="86" t="s">
        <v>185</v>
      </c>
      <c r="B221" s="87"/>
      <c r="C221" s="87"/>
      <c r="D221" s="87"/>
      <c r="E221" s="87"/>
      <c r="F221" s="87"/>
      <c r="G221" s="87"/>
      <c r="H221" s="88"/>
      <c r="J221" s="36"/>
    </row>
    <row r="222" spans="1:14" s="37" customFormat="1" ht="15.75" customHeight="1" x14ac:dyDescent="0.25">
      <c r="A222" s="78">
        <v>1</v>
      </c>
      <c r="B222" s="79"/>
      <c r="C222" s="52">
        <v>1</v>
      </c>
      <c r="D222" s="54">
        <f>(35.59+0.6*(3.4+2.325)+0.75*(2.3))*(10.764)</f>
        <v>438.63300000000004</v>
      </c>
      <c r="E222" s="42">
        <v>0</v>
      </c>
      <c r="F222" s="42">
        <f t="shared" ref="F222:F230" si="16">D222*(($F$182)+1)+(IF(E222&lt;101,E222,IF(E222&lt;201,E222/2,IF(E222&lt;=301,E222/3,E222/4))))</f>
        <v>701.81280000000015</v>
      </c>
      <c r="G222" s="80" t="str">
        <f>A221</f>
        <v>8th Floor (Part Amenity Area)</v>
      </c>
      <c r="H222" s="81"/>
      <c r="I222" s="36"/>
      <c r="L222" s="70"/>
      <c r="M222" s="70"/>
      <c r="N222" s="36"/>
    </row>
    <row r="223" spans="1:14" s="37" customFormat="1" ht="15.75" customHeight="1" x14ac:dyDescent="0.25">
      <c r="A223" s="78">
        <f t="shared" ref="A223:A232" si="17">A222+1</f>
        <v>2</v>
      </c>
      <c r="B223" s="79"/>
      <c r="C223" s="52">
        <v>1</v>
      </c>
      <c r="D223" s="54">
        <f>(32.84+0.6*(3.4+2.325)+0.75*(2.3))*(10.764)</f>
        <v>409.03200000000004</v>
      </c>
      <c r="E223" s="42">
        <v>0</v>
      </c>
      <c r="F223" s="42">
        <f t="shared" si="16"/>
        <v>654.45120000000009</v>
      </c>
      <c r="G223" s="82"/>
      <c r="H223" s="83"/>
      <c r="I223" s="36"/>
      <c r="L223" s="70"/>
      <c r="M223" s="70"/>
      <c r="N223" s="36"/>
    </row>
    <row r="224" spans="1:14" s="37" customFormat="1" ht="15.75" customHeight="1" x14ac:dyDescent="0.25">
      <c r="A224" s="78">
        <f t="shared" si="17"/>
        <v>3</v>
      </c>
      <c r="B224" s="79"/>
      <c r="C224" s="52">
        <v>1</v>
      </c>
      <c r="D224" s="54">
        <f>(35.81+0.6*(3.4+2.325)+0.75*(2.3))*(10.764)</f>
        <v>441.00108000000006</v>
      </c>
      <c r="E224" s="42">
        <v>0</v>
      </c>
      <c r="F224" s="42">
        <f t="shared" si="16"/>
        <v>705.60172800000009</v>
      </c>
      <c r="G224" s="82"/>
      <c r="H224" s="83"/>
      <c r="I224" s="36"/>
      <c r="L224" s="70"/>
      <c r="M224" s="70"/>
      <c r="N224" s="36"/>
    </row>
    <row r="225" spans="1:14" s="37" customFormat="1" ht="15.75" customHeight="1" x14ac:dyDescent="0.25">
      <c r="A225" s="78">
        <f t="shared" si="17"/>
        <v>4</v>
      </c>
      <c r="B225" s="79"/>
      <c r="C225" s="52">
        <v>1</v>
      </c>
      <c r="D225" s="54">
        <f>(35.81+0.6*(3.4+2.325)+0.75*(2.3))*(10.764)</f>
        <v>441.00108000000006</v>
      </c>
      <c r="E225" s="42">
        <v>0</v>
      </c>
      <c r="F225" s="42">
        <f t="shared" si="16"/>
        <v>705.60172800000009</v>
      </c>
      <c r="G225" s="82"/>
      <c r="H225" s="83"/>
      <c r="I225" s="36"/>
      <c r="L225" s="70"/>
      <c r="M225" s="70"/>
      <c r="N225" s="36"/>
    </row>
    <row r="226" spans="1:14" s="37" customFormat="1" ht="15.75" customHeight="1" x14ac:dyDescent="0.25">
      <c r="A226" s="78">
        <f t="shared" si="17"/>
        <v>5</v>
      </c>
      <c r="B226" s="79"/>
      <c r="C226" s="52">
        <v>1</v>
      </c>
      <c r="D226" s="54">
        <f>(32.9+0.6*(3.4+2.325)+0.75*(2.3))*(10.764)</f>
        <v>409.67784</v>
      </c>
      <c r="E226" s="42">
        <v>0</v>
      </c>
      <c r="F226" s="42">
        <f t="shared" si="16"/>
        <v>655.48454400000003</v>
      </c>
      <c r="G226" s="82"/>
      <c r="H226" s="83"/>
      <c r="I226" s="36"/>
      <c r="L226" s="70"/>
      <c r="M226" s="70"/>
      <c r="N226" s="36"/>
    </row>
    <row r="227" spans="1:14" s="37" customFormat="1" ht="15.75" customHeight="1" x14ac:dyDescent="0.25">
      <c r="A227" s="78">
        <f t="shared" si="17"/>
        <v>6</v>
      </c>
      <c r="B227" s="79"/>
      <c r="C227" s="52">
        <v>1</v>
      </c>
      <c r="D227" s="54">
        <f>(35.59+0.6*(3.4+2.325)+0.75*(2.3))*(10.764)</f>
        <v>438.63300000000004</v>
      </c>
      <c r="E227" s="42">
        <v>0</v>
      </c>
      <c r="F227" s="42">
        <f t="shared" si="16"/>
        <v>701.81280000000015</v>
      </c>
      <c r="G227" s="82"/>
      <c r="H227" s="83"/>
      <c r="I227" s="36"/>
      <c r="L227" s="70"/>
      <c r="M227" s="70"/>
      <c r="N227" s="36"/>
    </row>
    <row r="228" spans="1:14" s="37" customFormat="1" ht="15.75" customHeight="1" x14ac:dyDescent="0.25">
      <c r="A228" s="78">
        <f t="shared" si="17"/>
        <v>7</v>
      </c>
      <c r="B228" s="79"/>
      <c r="C228" s="52">
        <v>1</v>
      </c>
      <c r="D228" s="54">
        <f>(35.49+0.6*2.65+0.75*(1.9+3.15))*(10.764)</f>
        <v>439.89776999999998</v>
      </c>
      <c r="E228" s="42">
        <v>0</v>
      </c>
      <c r="F228" s="42">
        <f t="shared" si="16"/>
        <v>703.83643200000006</v>
      </c>
      <c r="G228" s="82"/>
      <c r="H228" s="83"/>
      <c r="I228" s="36"/>
      <c r="L228" s="70"/>
      <c r="M228" s="70"/>
      <c r="N228" s="36"/>
    </row>
    <row r="229" spans="1:14" s="37" customFormat="1" ht="15.75" customHeight="1" x14ac:dyDescent="0.25">
      <c r="A229" s="78">
        <f t="shared" si="17"/>
        <v>8</v>
      </c>
      <c r="B229" s="79"/>
      <c r="C229" s="52">
        <v>2</v>
      </c>
      <c r="D229" s="54">
        <f>(51.98+0.75*(3.6+2.5+1.5))*(10.764)</f>
        <v>620.8675199999999</v>
      </c>
      <c r="E229" s="42">
        <v>0</v>
      </c>
      <c r="F229" s="42">
        <f t="shared" si="16"/>
        <v>993.38803199999984</v>
      </c>
      <c r="G229" s="82"/>
      <c r="H229" s="83"/>
      <c r="I229" s="36"/>
      <c r="L229" s="70"/>
      <c r="M229" s="70"/>
      <c r="N229" s="36"/>
    </row>
    <row r="230" spans="1:14" s="37" customFormat="1" ht="15.75" customHeight="1" x14ac:dyDescent="0.25">
      <c r="A230" s="78">
        <f t="shared" si="17"/>
        <v>9</v>
      </c>
      <c r="B230" s="79"/>
      <c r="C230" s="52">
        <v>3</v>
      </c>
      <c r="D230" s="54">
        <f>(66.72+0.75*(5.15)+0.8*1.4)*(10.764)</f>
        <v>771.80570999999998</v>
      </c>
      <c r="E230" s="42">
        <v>0</v>
      </c>
      <c r="F230" s="42">
        <f t="shared" si="16"/>
        <v>1234.889136</v>
      </c>
      <c r="G230" s="82"/>
      <c r="H230" s="83"/>
      <c r="I230" s="36"/>
      <c r="L230" s="70"/>
      <c r="M230" s="70"/>
      <c r="N230" s="36"/>
    </row>
    <row r="231" spans="1:14" s="37" customFormat="1" ht="15.75" customHeight="1" x14ac:dyDescent="0.25">
      <c r="A231" s="78">
        <f t="shared" si="17"/>
        <v>10</v>
      </c>
      <c r="B231" s="79"/>
      <c r="C231" s="91" t="s">
        <v>186</v>
      </c>
      <c r="D231" s="92"/>
      <c r="E231" s="92"/>
      <c r="F231" s="93"/>
      <c r="G231" s="82"/>
      <c r="H231" s="83"/>
      <c r="I231" s="36"/>
      <c r="L231" s="70"/>
      <c r="M231" s="70"/>
      <c r="N231" s="36"/>
    </row>
    <row r="232" spans="1:14" s="37" customFormat="1" ht="15.75" customHeight="1" x14ac:dyDescent="0.25">
      <c r="A232" s="78">
        <f t="shared" si="17"/>
        <v>11</v>
      </c>
      <c r="B232" s="79"/>
      <c r="C232" s="94"/>
      <c r="D232" s="95"/>
      <c r="E232" s="95"/>
      <c r="F232" s="96"/>
      <c r="G232" s="84"/>
      <c r="H232" s="85"/>
      <c r="I232" s="36"/>
      <c r="L232" s="70"/>
      <c r="M232" s="70"/>
      <c r="N232" s="36"/>
    </row>
    <row r="233" spans="1:14" s="37" customFormat="1" x14ac:dyDescent="0.25">
      <c r="A233" s="77" t="s">
        <v>187</v>
      </c>
      <c r="B233" s="77"/>
      <c r="C233" s="77"/>
      <c r="D233" s="77"/>
      <c r="E233" s="77"/>
      <c r="F233" s="77"/>
      <c r="G233" s="77"/>
      <c r="H233" s="77"/>
      <c r="J233" s="36"/>
    </row>
    <row r="234" spans="1:14" s="37" customFormat="1" ht="15.75" customHeight="1" x14ac:dyDescent="0.25">
      <c r="A234" s="89">
        <v>1</v>
      </c>
      <c r="B234" s="89"/>
      <c r="C234" s="52">
        <v>1</v>
      </c>
      <c r="D234" s="54">
        <f>(35.59+0.6*(3.4+2.325)+0.75*(2.3))*(10.764)</f>
        <v>438.63300000000004</v>
      </c>
      <c r="E234" s="61">
        <v>0</v>
      </c>
      <c r="F234" s="61">
        <f t="shared" ref="F234:F246" si="18">D234*(($F$182)+1)+(IF(E234&lt;101,E234,IF(E234&lt;201,E234/2,IF(E234&lt;=301,E234/3,E234/4))))</f>
        <v>701.81280000000015</v>
      </c>
      <c r="G234" s="89" t="str">
        <f>A233</f>
        <v>9th Floor</v>
      </c>
      <c r="H234" s="89"/>
      <c r="I234" s="36"/>
      <c r="L234" s="70"/>
      <c r="M234" s="70"/>
      <c r="N234" s="36"/>
    </row>
    <row r="235" spans="1:14" s="37" customFormat="1" ht="15.75" customHeight="1" x14ac:dyDescent="0.25">
      <c r="A235" s="89">
        <f t="shared" ref="A235:A246" si="19">A234+1</f>
        <v>2</v>
      </c>
      <c r="B235" s="89"/>
      <c r="C235" s="52">
        <v>1</v>
      </c>
      <c r="D235" s="54">
        <f>(32.84+0.6*(3.4+2.325)+0.75*(2.3))*(10.764)</f>
        <v>409.03200000000004</v>
      </c>
      <c r="E235" s="61">
        <v>0</v>
      </c>
      <c r="F235" s="61">
        <f t="shared" si="18"/>
        <v>654.45120000000009</v>
      </c>
      <c r="G235" s="89"/>
      <c r="H235" s="89"/>
      <c r="I235" s="36"/>
      <c r="L235" s="70"/>
      <c r="M235" s="70"/>
      <c r="N235" s="36"/>
    </row>
    <row r="236" spans="1:14" s="37" customFormat="1" ht="15.75" customHeight="1" x14ac:dyDescent="0.25">
      <c r="A236" s="89">
        <f t="shared" si="19"/>
        <v>3</v>
      </c>
      <c r="B236" s="89"/>
      <c r="C236" s="52">
        <v>1</v>
      </c>
      <c r="D236" s="54">
        <f>(35.81+0.6*(3.4+2.325)+0.75*(2.3))*(10.764)</f>
        <v>441.00108000000006</v>
      </c>
      <c r="E236" s="61">
        <v>0</v>
      </c>
      <c r="F236" s="61">
        <f t="shared" si="18"/>
        <v>705.60172800000009</v>
      </c>
      <c r="G236" s="89"/>
      <c r="H236" s="89"/>
      <c r="I236" s="36"/>
      <c r="L236" s="70"/>
      <c r="M236" s="70"/>
      <c r="N236" s="36"/>
    </row>
    <row r="237" spans="1:14" s="37" customFormat="1" ht="15.75" customHeight="1" x14ac:dyDescent="0.25">
      <c r="A237" s="89">
        <f t="shared" si="19"/>
        <v>4</v>
      </c>
      <c r="B237" s="89"/>
      <c r="C237" s="52">
        <v>1</v>
      </c>
      <c r="D237" s="54">
        <f>(35.81+0.6*(3.4+2.325)+0.75*(2.3))*(10.764)</f>
        <v>441.00108000000006</v>
      </c>
      <c r="E237" s="61">
        <v>0</v>
      </c>
      <c r="F237" s="61">
        <f t="shared" si="18"/>
        <v>705.60172800000009</v>
      </c>
      <c r="G237" s="89"/>
      <c r="H237" s="89"/>
      <c r="I237" s="36"/>
      <c r="L237" s="70"/>
      <c r="M237" s="70"/>
      <c r="N237" s="36"/>
    </row>
    <row r="238" spans="1:14" s="37" customFormat="1" ht="15.75" customHeight="1" x14ac:dyDescent="0.25">
      <c r="A238" s="89">
        <f t="shared" si="19"/>
        <v>5</v>
      </c>
      <c r="B238" s="89"/>
      <c r="C238" s="52">
        <v>1</v>
      </c>
      <c r="D238" s="54">
        <f>(32.9+0.6*(3.4+2.325)+0.75*(2.3))*(10.764)</f>
        <v>409.67784</v>
      </c>
      <c r="E238" s="61">
        <v>0</v>
      </c>
      <c r="F238" s="61">
        <f t="shared" si="18"/>
        <v>655.48454400000003</v>
      </c>
      <c r="G238" s="89"/>
      <c r="H238" s="89"/>
      <c r="I238" s="36"/>
      <c r="L238" s="70"/>
      <c r="M238" s="70"/>
      <c r="N238" s="36"/>
    </row>
    <row r="239" spans="1:14" s="37" customFormat="1" ht="15.75" customHeight="1" x14ac:dyDescent="0.25">
      <c r="A239" s="89">
        <f t="shared" si="19"/>
        <v>6</v>
      </c>
      <c r="B239" s="89"/>
      <c r="C239" s="52">
        <v>1</v>
      </c>
      <c r="D239" s="54">
        <f>(35.59+0.6*(3.4+2.325)+0.75*(2.3))*(10.764)</f>
        <v>438.63300000000004</v>
      </c>
      <c r="E239" s="61">
        <v>0</v>
      </c>
      <c r="F239" s="61">
        <f t="shared" si="18"/>
        <v>701.81280000000015</v>
      </c>
      <c r="G239" s="89"/>
      <c r="H239" s="89"/>
      <c r="I239" s="36"/>
      <c r="L239" s="70"/>
      <c r="M239" s="70"/>
      <c r="N239" s="36"/>
    </row>
    <row r="240" spans="1:14" s="37" customFormat="1" ht="15.75" customHeight="1" x14ac:dyDescent="0.25">
      <c r="A240" s="89">
        <f t="shared" si="19"/>
        <v>7</v>
      </c>
      <c r="B240" s="89"/>
      <c r="C240" s="52">
        <v>1</v>
      </c>
      <c r="D240" s="54">
        <f>(35.49+0.6*2.65+0.75*(1.9+3.15))*(10.764)</f>
        <v>439.89776999999998</v>
      </c>
      <c r="E240" s="61">
        <v>0</v>
      </c>
      <c r="F240" s="61">
        <f t="shared" si="18"/>
        <v>703.83643200000006</v>
      </c>
      <c r="G240" s="89"/>
      <c r="H240" s="89"/>
      <c r="I240" s="36"/>
      <c r="L240" s="70"/>
      <c r="M240" s="70"/>
      <c r="N240" s="36"/>
    </row>
    <row r="241" spans="1:14" s="37" customFormat="1" ht="15.75" customHeight="1" x14ac:dyDescent="0.25">
      <c r="A241" s="89">
        <f t="shared" si="19"/>
        <v>8</v>
      </c>
      <c r="B241" s="89"/>
      <c r="C241" s="52">
        <v>2</v>
      </c>
      <c r="D241" s="54">
        <f>(51.98+0.75*(3.6+2.5+1.5))*(10.764)</f>
        <v>620.8675199999999</v>
      </c>
      <c r="E241" s="61">
        <v>0</v>
      </c>
      <c r="F241" s="61">
        <f t="shared" si="18"/>
        <v>993.38803199999984</v>
      </c>
      <c r="G241" s="89"/>
      <c r="H241" s="89"/>
      <c r="I241" s="36"/>
      <c r="L241" s="70"/>
      <c r="M241" s="70"/>
      <c r="N241" s="36"/>
    </row>
    <row r="242" spans="1:14" s="37" customFormat="1" ht="15.75" customHeight="1" x14ac:dyDescent="0.25">
      <c r="A242" s="89">
        <f t="shared" si="19"/>
        <v>9</v>
      </c>
      <c r="B242" s="89"/>
      <c r="C242" s="52">
        <v>3</v>
      </c>
      <c r="D242" s="54">
        <f>(66.72+0.75*(5.15)+0.8*1.4)*(10.764)</f>
        <v>771.80570999999998</v>
      </c>
      <c r="E242" s="61">
        <v>0</v>
      </c>
      <c r="F242" s="61">
        <f t="shared" si="18"/>
        <v>1234.889136</v>
      </c>
      <c r="G242" s="89"/>
      <c r="H242" s="89"/>
      <c r="I242" s="36"/>
      <c r="L242" s="70"/>
      <c r="M242" s="70"/>
      <c r="N242" s="36"/>
    </row>
    <row r="243" spans="1:14" s="37" customFormat="1" ht="15.75" customHeight="1" x14ac:dyDescent="0.25">
      <c r="A243" s="89">
        <f t="shared" si="19"/>
        <v>10</v>
      </c>
      <c r="B243" s="89"/>
      <c r="C243" s="52">
        <v>2</v>
      </c>
      <c r="D243" s="54">
        <f t="shared" ref="D243:D244" si="20">(53.53+0.75*(3.1+2.55+3.5))*(10.764)</f>
        <v>650.06486999999993</v>
      </c>
      <c r="E243" s="61">
        <v>0</v>
      </c>
      <c r="F243" s="61">
        <f t="shared" si="18"/>
        <v>1040.1037919999999</v>
      </c>
      <c r="G243" s="89"/>
      <c r="H243" s="89"/>
      <c r="I243" s="36"/>
      <c r="L243" s="70"/>
      <c r="M243" s="70"/>
      <c r="N243" s="36"/>
    </row>
    <row r="244" spans="1:14" s="37" customFormat="1" ht="15.75" customHeight="1" x14ac:dyDescent="0.25">
      <c r="A244" s="89">
        <f t="shared" si="19"/>
        <v>11</v>
      </c>
      <c r="B244" s="89"/>
      <c r="C244" s="52">
        <v>2</v>
      </c>
      <c r="D244" s="54">
        <f t="shared" si="20"/>
        <v>650.06486999999993</v>
      </c>
      <c r="E244" s="61">
        <v>0</v>
      </c>
      <c r="F244" s="61">
        <f t="shared" si="18"/>
        <v>1040.1037919999999</v>
      </c>
      <c r="G244" s="89"/>
      <c r="H244" s="89"/>
      <c r="I244" s="36"/>
      <c r="L244" s="70"/>
      <c r="M244" s="70"/>
      <c r="N244" s="36"/>
    </row>
    <row r="245" spans="1:14" s="37" customFormat="1" ht="15.75" customHeight="1" x14ac:dyDescent="0.25">
      <c r="A245" s="89">
        <f t="shared" si="19"/>
        <v>12</v>
      </c>
      <c r="B245" s="89"/>
      <c r="C245" s="52">
        <v>1</v>
      </c>
      <c r="D245" s="54">
        <f>(34.96+0.75*(3+3.25))*(10.764)</f>
        <v>426.76569000000001</v>
      </c>
      <c r="E245" s="61">
        <v>0</v>
      </c>
      <c r="F245" s="61">
        <f t="shared" si="18"/>
        <v>682.82510400000001</v>
      </c>
      <c r="G245" s="89"/>
      <c r="H245" s="89"/>
      <c r="I245" s="36"/>
      <c r="L245" s="70"/>
      <c r="M245" s="70"/>
      <c r="N245" s="36"/>
    </row>
    <row r="246" spans="1:14" s="37" customFormat="1" ht="15.75" customHeight="1" x14ac:dyDescent="0.25">
      <c r="A246" s="89">
        <f t="shared" si="19"/>
        <v>13</v>
      </c>
      <c r="B246" s="89"/>
      <c r="C246" s="52">
        <v>1</v>
      </c>
      <c r="D246" s="54">
        <f>(34.93+0.6*2.5+0.75*(1.9+3.1))*(10.764)</f>
        <v>432.49751999999995</v>
      </c>
      <c r="E246" s="61">
        <v>0</v>
      </c>
      <c r="F246" s="61">
        <f t="shared" si="18"/>
        <v>691.99603200000001</v>
      </c>
      <c r="G246" s="89"/>
      <c r="H246" s="89"/>
      <c r="I246" s="36"/>
      <c r="L246" s="70"/>
      <c r="M246" s="70"/>
      <c r="N246" s="36"/>
    </row>
    <row r="247" spans="1:14" s="37" customFormat="1" x14ac:dyDescent="0.25">
      <c r="A247" s="86" t="s">
        <v>188</v>
      </c>
      <c r="B247" s="87"/>
      <c r="C247" s="87"/>
      <c r="D247" s="87"/>
      <c r="E247" s="87"/>
      <c r="F247" s="87"/>
      <c r="G247" s="87"/>
      <c r="H247" s="88"/>
      <c r="J247" s="36"/>
    </row>
    <row r="248" spans="1:14" s="37" customFormat="1" ht="15.75" customHeight="1" x14ac:dyDescent="0.25">
      <c r="A248" s="78">
        <v>1</v>
      </c>
      <c r="B248" s="79"/>
      <c r="C248" s="52">
        <v>1</v>
      </c>
      <c r="D248" s="54">
        <f>(35.59+0.6*(3.4+2.325)+0.75*(2.3))*(10.764)</f>
        <v>438.63300000000004</v>
      </c>
      <c r="E248" s="42">
        <v>0</v>
      </c>
      <c r="F248" s="42">
        <f t="shared" ref="F248:F260" si="21">D248*(($F$182)+1)+(IF(E248&lt;101,E248,IF(E248&lt;201,E248/2,IF(E248&lt;=301,E248/3,E248/4))))</f>
        <v>701.81280000000015</v>
      </c>
      <c r="G248" s="80" t="str">
        <f>A247</f>
        <v>10th to 13th, 15th to 20th, 22nd to 27th, 29th to 34th &amp; 36th to 40th Floor</v>
      </c>
      <c r="H248" s="81"/>
      <c r="I248" s="36"/>
      <c r="L248" s="70"/>
      <c r="M248" s="70"/>
      <c r="N248" s="36"/>
    </row>
    <row r="249" spans="1:14" s="37" customFormat="1" ht="15.75" customHeight="1" x14ac:dyDescent="0.25">
      <c r="A249" s="78">
        <f t="shared" ref="A249:A260" si="22">A248+1</f>
        <v>2</v>
      </c>
      <c r="B249" s="79"/>
      <c r="C249" s="52">
        <v>1</v>
      </c>
      <c r="D249" s="54">
        <f>(32.84+0.6*(3.4+2.325)+0.75*(2.3))*(10.764)</f>
        <v>409.03200000000004</v>
      </c>
      <c r="E249" s="42">
        <v>0</v>
      </c>
      <c r="F249" s="42">
        <f t="shared" si="21"/>
        <v>654.45120000000009</v>
      </c>
      <c r="G249" s="82"/>
      <c r="H249" s="83"/>
      <c r="I249" s="36"/>
      <c r="L249" s="70"/>
      <c r="M249" s="70"/>
      <c r="N249" s="36"/>
    </row>
    <row r="250" spans="1:14" s="37" customFormat="1" ht="15.75" customHeight="1" x14ac:dyDescent="0.25">
      <c r="A250" s="78">
        <f t="shared" si="22"/>
        <v>3</v>
      </c>
      <c r="B250" s="79"/>
      <c r="C250" s="52">
        <v>1</v>
      </c>
      <c r="D250" s="54">
        <f>(35.81+0.6*(3.4+2.325)+0.75*(2.3))*(10.764)</f>
        <v>441.00108000000006</v>
      </c>
      <c r="E250" s="42">
        <v>0</v>
      </c>
      <c r="F250" s="42">
        <f t="shared" si="21"/>
        <v>705.60172800000009</v>
      </c>
      <c r="G250" s="82"/>
      <c r="H250" s="83"/>
      <c r="I250" s="36"/>
      <c r="L250" s="70"/>
      <c r="M250" s="70"/>
      <c r="N250" s="36"/>
    </row>
    <row r="251" spans="1:14" s="37" customFormat="1" ht="15.75" customHeight="1" x14ac:dyDescent="0.25">
      <c r="A251" s="78">
        <f t="shared" si="22"/>
        <v>4</v>
      </c>
      <c r="B251" s="79"/>
      <c r="C251" s="52">
        <v>1</v>
      </c>
      <c r="D251" s="54">
        <f>(35.81+0.6*(3.4+2.325)+0.75*(2.3))*(10.764)</f>
        <v>441.00108000000006</v>
      </c>
      <c r="E251" s="42">
        <v>0</v>
      </c>
      <c r="F251" s="42">
        <f t="shared" si="21"/>
        <v>705.60172800000009</v>
      </c>
      <c r="G251" s="82"/>
      <c r="H251" s="83"/>
      <c r="I251" s="36"/>
      <c r="L251" s="70"/>
      <c r="M251" s="70"/>
      <c r="N251" s="36"/>
    </row>
    <row r="252" spans="1:14" s="37" customFormat="1" ht="15.75" customHeight="1" x14ac:dyDescent="0.25">
      <c r="A252" s="78">
        <f t="shared" si="22"/>
        <v>5</v>
      </c>
      <c r="B252" s="79"/>
      <c r="C252" s="52">
        <v>1</v>
      </c>
      <c r="D252" s="54">
        <f>(32.9+0.6*(3.4+2.325)+0.75*(2.3))*(10.764)</f>
        <v>409.67784</v>
      </c>
      <c r="E252" s="42">
        <v>0</v>
      </c>
      <c r="F252" s="42">
        <f t="shared" si="21"/>
        <v>655.48454400000003</v>
      </c>
      <c r="G252" s="82"/>
      <c r="H252" s="83"/>
      <c r="I252" s="36"/>
      <c r="L252" s="70"/>
      <c r="M252" s="70"/>
      <c r="N252" s="36"/>
    </row>
    <row r="253" spans="1:14" s="37" customFormat="1" ht="15.75" customHeight="1" x14ac:dyDescent="0.25">
      <c r="A253" s="78">
        <f t="shared" si="22"/>
        <v>6</v>
      </c>
      <c r="B253" s="79"/>
      <c r="C253" s="52">
        <v>1</v>
      </c>
      <c r="D253" s="54">
        <f>(35.59+0.6*(3.4+2.325)+0.75*(2.3))*(10.764)</f>
        <v>438.63300000000004</v>
      </c>
      <c r="E253" s="42">
        <v>0</v>
      </c>
      <c r="F253" s="42">
        <f t="shared" si="21"/>
        <v>701.81280000000015</v>
      </c>
      <c r="G253" s="82"/>
      <c r="H253" s="83"/>
      <c r="I253" s="36"/>
      <c r="L253" s="70"/>
      <c r="M253" s="70"/>
      <c r="N253" s="36"/>
    </row>
    <row r="254" spans="1:14" s="37" customFormat="1" ht="15.75" customHeight="1" x14ac:dyDescent="0.25">
      <c r="A254" s="78">
        <f t="shared" si="22"/>
        <v>7</v>
      </c>
      <c r="B254" s="79"/>
      <c r="C254" s="52">
        <v>1</v>
      </c>
      <c r="D254" s="54">
        <f>(35.49+0.6*2.65+0.75*(1.9+3.15))*(10.764)</f>
        <v>439.89776999999998</v>
      </c>
      <c r="E254" s="42">
        <v>0</v>
      </c>
      <c r="F254" s="42">
        <f t="shared" si="21"/>
        <v>703.83643200000006</v>
      </c>
      <c r="G254" s="82"/>
      <c r="H254" s="83"/>
      <c r="I254" s="36"/>
      <c r="L254" s="70"/>
      <c r="M254" s="70"/>
      <c r="N254" s="36"/>
    </row>
    <row r="255" spans="1:14" s="37" customFormat="1" ht="15.75" customHeight="1" x14ac:dyDescent="0.25">
      <c r="A255" s="78">
        <f t="shared" si="22"/>
        <v>8</v>
      </c>
      <c r="B255" s="79"/>
      <c r="C255" s="52">
        <v>2</v>
      </c>
      <c r="D255" s="54">
        <f>(51.98+0.75*(3.6+2.5+1.5))*(10.764)</f>
        <v>620.8675199999999</v>
      </c>
      <c r="E255" s="42">
        <v>0</v>
      </c>
      <c r="F255" s="42">
        <f t="shared" si="21"/>
        <v>993.38803199999984</v>
      </c>
      <c r="G255" s="82"/>
      <c r="H255" s="83"/>
      <c r="I255" s="36"/>
      <c r="L255" s="70"/>
      <c r="M255" s="70"/>
      <c r="N255" s="36"/>
    </row>
    <row r="256" spans="1:14" s="37" customFormat="1" ht="15.75" customHeight="1" x14ac:dyDescent="0.25">
      <c r="A256" s="78">
        <f t="shared" si="22"/>
        <v>9</v>
      </c>
      <c r="B256" s="79"/>
      <c r="C256" s="52">
        <v>3</v>
      </c>
      <c r="D256" s="54">
        <f>(66.72+0.75*(5.15)+0.8*1.4)*(10.764)</f>
        <v>771.80570999999998</v>
      </c>
      <c r="E256" s="42">
        <v>0</v>
      </c>
      <c r="F256" s="42">
        <f t="shared" si="21"/>
        <v>1234.889136</v>
      </c>
      <c r="G256" s="82"/>
      <c r="H256" s="83"/>
      <c r="I256" s="36"/>
      <c r="L256" s="70"/>
      <c r="M256" s="70"/>
      <c r="N256" s="36"/>
    </row>
    <row r="257" spans="1:14" s="37" customFormat="1" ht="15.75" customHeight="1" x14ac:dyDescent="0.25">
      <c r="A257" s="78">
        <f t="shared" si="22"/>
        <v>10</v>
      </c>
      <c r="B257" s="79"/>
      <c r="C257" s="52">
        <v>2</v>
      </c>
      <c r="D257" s="54">
        <f t="shared" ref="D257:D258" si="23">(53.53+0.75*(3.1+2.55+3.5))*(10.764)</f>
        <v>650.06486999999993</v>
      </c>
      <c r="E257" s="42">
        <v>0</v>
      </c>
      <c r="F257" s="42">
        <f t="shared" si="21"/>
        <v>1040.1037919999999</v>
      </c>
      <c r="G257" s="82"/>
      <c r="H257" s="83"/>
      <c r="I257" s="36"/>
      <c r="L257" s="70"/>
      <c r="M257" s="70"/>
      <c r="N257" s="36"/>
    </row>
    <row r="258" spans="1:14" s="37" customFormat="1" ht="15.75" customHeight="1" x14ac:dyDescent="0.25">
      <c r="A258" s="78">
        <f t="shared" si="22"/>
        <v>11</v>
      </c>
      <c r="B258" s="79"/>
      <c r="C258" s="52">
        <v>2</v>
      </c>
      <c r="D258" s="54">
        <f t="shared" si="23"/>
        <v>650.06486999999993</v>
      </c>
      <c r="E258" s="42">
        <v>0</v>
      </c>
      <c r="F258" s="42">
        <f t="shared" si="21"/>
        <v>1040.1037919999999</v>
      </c>
      <c r="G258" s="82"/>
      <c r="H258" s="83"/>
      <c r="I258" s="36"/>
      <c r="L258" s="70"/>
      <c r="M258" s="70"/>
      <c r="N258" s="36"/>
    </row>
    <row r="259" spans="1:14" s="37" customFormat="1" ht="15.75" customHeight="1" x14ac:dyDescent="0.25">
      <c r="A259" s="78">
        <f t="shared" si="22"/>
        <v>12</v>
      </c>
      <c r="B259" s="79"/>
      <c r="C259" s="52">
        <v>1</v>
      </c>
      <c r="D259" s="54">
        <f>(34.96+0.75*(3+3.25))*(10.764)</f>
        <v>426.76569000000001</v>
      </c>
      <c r="E259" s="42">
        <v>0</v>
      </c>
      <c r="F259" s="42">
        <f t="shared" si="21"/>
        <v>682.82510400000001</v>
      </c>
      <c r="G259" s="82"/>
      <c r="H259" s="83"/>
      <c r="I259" s="36"/>
      <c r="L259" s="70"/>
      <c r="M259" s="70"/>
      <c r="N259" s="36"/>
    </row>
    <row r="260" spans="1:14" s="37" customFormat="1" ht="15.75" customHeight="1" x14ac:dyDescent="0.25">
      <c r="A260" s="78">
        <f t="shared" si="22"/>
        <v>13</v>
      </c>
      <c r="B260" s="79"/>
      <c r="C260" s="52">
        <v>1</v>
      </c>
      <c r="D260" s="54">
        <f>(34.93+0.6*2.5+0.75*(1.9+3.1))*(10.764)</f>
        <v>432.49751999999995</v>
      </c>
      <c r="E260" s="42">
        <v>0</v>
      </c>
      <c r="F260" s="42">
        <f t="shared" si="21"/>
        <v>691.99603200000001</v>
      </c>
      <c r="G260" s="84"/>
      <c r="H260" s="85"/>
      <c r="I260" s="36"/>
      <c r="L260" s="70"/>
      <c r="M260" s="70"/>
      <c r="N260" s="36"/>
    </row>
    <row r="261" spans="1:14" s="37" customFormat="1" x14ac:dyDescent="0.25">
      <c r="A261" s="86" t="s">
        <v>192</v>
      </c>
      <c r="B261" s="87"/>
      <c r="C261" s="87"/>
      <c r="D261" s="87"/>
      <c r="E261" s="87"/>
      <c r="F261" s="87"/>
      <c r="G261" s="87"/>
      <c r="H261" s="88"/>
      <c r="J261" s="36"/>
    </row>
    <row r="262" spans="1:14" s="37" customFormat="1" ht="15.75" customHeight="1" x14ac:dyDescent="0.25">
      <c r="A262" s="78">
        <v>1</v>
      </c>
      <c r="B262" s="79"/>
      <c r="C262" s="52">
        <v>1</v>
      </c>
      <c r="D262" s="54">
        <f>(35.59+0.6*(3.4+2.325)+0.75*(2.3))*(10.764)</f>
        <v>438.63300000000004</v>
      </c>
      <c r="E262" s="42">
        <v>0</v>
      </c>
      <c r="F262" s="42">
        <f t="shared" ref="F262:F267" si="24">D262*(($F$182)+1)+(IF(E262&lt;101,E262,IF(E262&lt;201,E262/2,IF(E262&lt;=301,E262/3,E262/4))))</f>
        <v>701.81280000000015</v>
      </c>
      <c r="G262" s="80" t="str">
        <f>A261</f>
        <v>14th, 21st &amp; 28th Floor (Part Refuge Area)</v>
      </c>
      <c r="H262" s="81"/>
      <c r="I262" s="36"/>
      <c r="L262" s="70"/>
      <c r="M262" s="70"/>
      <c r="N262" s="36"/>
    </row>
    <row r="263" spans="1:14" s="37" customFormat="1" ht="15.75" customHeight="1" x14ac:dyDescent="0.25">
      <c r="A263" s="78">
        <f t="shared" ref="A263:A274" si="25">A262+1</f>
        <v>2</v>
      </c>
      <c r="B263" s="79"/>
      <c r="C263" s="52">
        <v>1</v>
      </c>
      <c r="D263" s="54">
        <f>(32.84+0.6*(3.4+2.325)+0.75*(2.3))*(10.764)</f>
        <v>409.03200000000004</v>
      </c>
      <c r="E263" s="42">
        <v>0</v>
      </c>
      <c r="F263" s="42">
        <f t="shared" si="24"/>
        <v>654.45120000000009</v>
      </c>
      <c r="G263" s="82"/>
      <c r="H263" s="83"/>
      <c r="I263" s="36"/>
      <c r="L263" s="70"/>
      <c r="M263" s="70"/>
      <c r="N263" s="36"/>
    </row>
    <row r="264" spans="1:14" s="37" customFormat="1" ht="15.75" customHeight="1" x14ac:dyDescent="0.25">
      <c r="A264" s="78">
        <f t="shared" si="25"/>
        <v>3</v>
      </c>
      <c r="B264" s="79"/>
      <c r="C264" s="52">
        <v>1</v>
      </c>
      <c r="D264" s="54">
        <f>(35.81+0.6*(3.4+2.325)+0.75*(2.3))*(10.764)</f>
        <v>441.00108000000006</v>
      </c>
      <c r="E264" s="42">
        <v>0</v>
      </c>
      <c r="F264" s="42">
        <f t="shared" si="24"/>
        <v>705.60172800000009</v>
      </c>
      <c r="G264" s="82"/>
      <c r="H264" s="83"/>
      <c r="I264" s="36"/>
      <c r="L264" s="70"/>
      <c r="M264" s="70"/>
      <c r="N264" s="36"/>
    </row>
    <row r="265" spans="1:14" s="37" customFormat="1" ht="15.75" customHeight="1" x14ac:dyDescent="0.25">
      <c r="A265" s="78">
        <f t="shared" si="25"/>
        <v>4</v>
      </c>
      <c r="B265" s="79"/>
      <c r="C265" s="52">
        <v>1</v>
      </c>
      <c r="D265" s="54">
        <f>(35.81+0.6*(3.4+2.325)+0.75*(2.3))*(10.764)</f>
        <v>441.00108000000006</v>
      </c>
      <c r="E265" s="42">
        <v>0</v>
      </c>
      <c r="F265" s="42">
        <f t="shared" si="24"/>
        <v>705.60172800000009</v>
      </c>
      <c r="G265" s="82"/>
      <c r="H265" s="83"/>
      <c r="I265" s="36"/>
      <c r="L265" s="70"/>
      <c r="M265" s="70"/>
      <c r="N265" s="36"/>
    </row>
    <row r="266" spans="1:14" s="37" customFormat="1" ht="15.75" customHeight="1" x14ac:dyDescent="0.25">
      <c r="A266" s="78">
        <f t="shared" si="25"/>
        <v>5</v>
      </c>
      <c r="B266" s="79"/>
      <c r="C266" s="52">
        <v>1</v>
      </c>
      <c r="D266" s="54">
        <f>(32.9+0.6*(3.4+2.325)+0.75*(2.3))*(10.764)</f>
        <v>409.67784</v>
      </c>
      <c r="E266" s="42">
        <v>0</v>
      </c>
      <c r="F266" s="42">
        <f t="shared" si="24"/>
        <v>655.48454400000003</v>
      </c>
      <c r="G266" s="82"/>
      <c r="H266" s="83"/>
      <c r="I266" s="36"/>
      <c r="L266" s="70"/>
      <c r="M266" s="70"/>
      <c r="N266" s="36"/>
    </row>
    <row r="267" spans="1:14" s="37" customFormat="1" ht="15.75" customHeight="1" x14ac:dyDescent="0.25">
      <c r="A267" s="78">
        <f t="shared" si="25"/>
        <v>6</v>
      </c>
      <c r="B267" s="79"/>
      <c r="C267" s="52">
        <v>1</v>
      </c>
      <c r="D267" s="54">
        <f>(35.59+0.6*(3.4+2.325)+0.75*(2.3))*(10.764)</f>
        <v>438.63300000000004</v>
      </c>
      <c r="E267" s="42">
        <v>0</v>
      </c>
      <c r="F267" s="42">
        <f t="shared" si="24"/>
        <v>701.81280000000015</v>
      </c>
      <c r="G267" s="82"/>
      <c r="H267" s="83"/>
      <c r="I267" s="36"/>
      <c r="L267" s="70"/>
      <c r="M267" s="70"/>
      <c r="N267" s="36"/>
    </row>
    <row r="268" spans="1:14" s="37" customFormat="1" ht="15.75" customHeight="1" x14ac:dyDescent="0.25">
      <c r="A268" s="78">
        <f t="shared" si="25"/>
        <v>7</v>
      </c>
      <c r="B268" s="79"/>
      <c r="C268" s="120" t="s">
        <v>189</v>
      </c>
      <c r="D268" s="121"/>
      <c r="E268" s="121"/>
      <c r="F268" s="122"/>
      <c r="G268" s="82"/>
      <c r="H268" s="83"/>
      <c r="I268" s="36"/>
      <c r="L268" s="70"/>
      <c r="M268" s="70"/>
      <c r="N268" s="36"/>
    </row>
    <row r="269" spans="1:14" s="37" customFormat="1" ht="15.75" customHeight="1" x14ac:dyDescent="0.25">
      <c r="A269" s="78">
        <f t="shared" si="25"/>
        <v>8</v>
      </c>
      <c r="B269" s="79"/>
      <c r="C269" s="91" t="s">
        <v>184</v>
      </c>
      <c r="D269" s="92"/>
      <c r="E269" s="92"/>
      <c r="F269" s="93"/>
      <c r="G269" s="82"/>
      <c r="H269" s="83"/>
      <c r="I269" s="36"/>
      <c r="L269" s="70"/>
      <c r="M269" s="70"/>
      <c r="N269" s="36"/>
    </row>
    <row r="270" spans="1:14" s="37" customFormat="1" ht="15.75" customHeight="1" x14ac:dyDescent="0.25">
      <c r="A270" s="78">
        <f t="shared" si="25"/>
        <v>9</v>
      </c>
      <c r="B270" s="79"/>
      <c r="C270" s="94"/>
      <c r="D270" s="95"/>
      <c r="E270" s="95"/>
      <c r="F270" s="96"/>
      <c r="G270" s="82"/>
      <c r="H270" s="83"/>
      <c r="I270" s="36"/>
      <c r="L270" s="70"/>
      <c r="M270" s="70"/>
      <c r="N270" s="36"/>
    </row>
    <row r="271" spans="1:14" s="37" customFormat="1" ht="15.75" customHeight="1" x14ac:dyDescent="0.25">
      <c r="A271" s="78">
        <f t="shared" si="25"/>
        <v>10</v>
      </c>
      <c r="B271" s="79"/>
      <c r="C271" s="52">
        <v>2</v>
      </c>
      <c r="D271" s="54">
        <f t="shared" ref="D271:D272" si="26">(53.53+0.75*(3.1+2.55+3.5))*(10.764)</f>
        <v>650.06486999999993</v>
      </c>
      <c r="E271" s="42">
        <v>0</v>
      </c>
      <c r="F271" s="42">
        <f>D271*(($F$182)+1)+(IF(E271&lt;101,E271,IF(E271&lt;201,E271/2,IF(E271&lt;=301,E271/3,E271/4))))</f>
        <v>1040.1037919999999</v>
      </c>
      <c r="G271" s="82"/>
      <c r="H271" s="83"/>
      <c r="I271" s="36"/>
      <c r="L271" s="70"/>
      <c r="M271" s="70"/>
      <c r="N271" s="36"/>
    </row>
    <row r="272" spans="1:14" s="37" customFormat="1" ht="15.75" customHeight="1" x14ac:dyDescent="0.25">
      <c r="A272" s="78">
        <f t="shared" si="25"/>
        <v>11</v>
      </c>
      <c r="B272" s="79"/>
      <c r="C272" s="52">
        <v>2</v>
      </c>
      <c r="D272" s="54">
        <f t="shared" si="26"/>
        <v>650.06486999999993</v>
      </c>
      <c r="E272" s="42">
        <v>0</v>
      </c>
      <c r="F272" s="42">
        <f>D272*(($F$182)+1)+(IF(E272&lt;101,E272,IF(E272&lt;201,E272/2,IF(E272&lt;=301,E272/3,E272/4))))</f>
        <v>1040.1037919999999</v>
      </c>
      <c r="G272" s="82"/>
      <c r="H272" s="83"/>
      <c r="I272" s="36"/>
      <c r="L272" s="70"/>
      <c r="M272" s="70"/>
      <c r="N272" s="36"/>
    </row>
    <row r="273" spans="1:14" s="37" customFormat="1" ht="15.75" customHeight="1" x14ac:dyDescent="0.25">
      <c r="A273" s="78">
        <f t="shared" si="25"/>
        <v>12</v>
      </c>
      <c r="B273" s="79"/>
      <c r="C273" s="52">
        <v>1</v>
      </c>
      <c r="D273" s="54">
        <f>(34.96+0.75*(3+3.25))*(10.764)</f>
        <v>426.76569000000001</v>
      </c>
      <c r="E273" s="42">
        <v>0</v>
      </c>
      <c r="F273" s="42">
        <f>D273*(($F$182)+1)+(IF(E273&lt;101,E273,IF(E273&lt;201,E273/2,IF(E273&lt;=301,E273/3,E273/4))))</f>
        <v>682.82510400000001</v>
      </c>
      <c r="G273" s="82"/>
      <c r="H273" s="83"/>
      <c r="I273" s="36"/>
      <c r="L273" s="70"/>
      <c r="M273" s="70"/>
      <c r="N273" s="36"/>
    </row>
    <row r="274" spans="1:14" s="37" customFormat="1" ht="15.75" customHeight="1" x14ac:dyDescent="0.25">
      <c r="A274" s="78">
        <f t="shared" si="25"/>
        <v>13</v>
      </c>
      <c r="B274" s="79"/>
      <c r="C274" s="52">
        <v>1</v>
      </c>
      <c r="D274" s="54">
        <f>(34.93+0.6*2.5+0.75*(1.9+3.1))*(10.764)</f>
        <v>432.49751999999995</v>
      </c>
      <c r="E274" s="42">
        <v>0</v>
      </c>
      <c r="F274" s="42">
        <f>D274*(($F$182)+1)+(IF(E274&lt;101,E274,IF(E274&lt;201,E274/2,IF(E274&lt;=301,E274/3,E274/4))))</f>
        <v>691.99603200000001</v>
      </c>
      <c r="G274" s="84"/>
      <c r="H274" s="85"/>
      <c r="I274" s="36"/>
      <c r="L274" s="70"/>
      <c r="M274" s="70"/>
      <c r="N274" s="36"/>
    </row>
    <row r="275" spans="1:14" s="37" customFormat="1" x14ac:dyDescent="0.25">
      <c r="A275" s="77" t="s">
        <v>190</v>
      </c>
      <c r="B275" s="77"/>
      <c r="C275" s="77"/>
      <c r="D275" s="77"/>
      <c r="E275" s="77"/>
      <c r="F275" s="77"/>
      <c r="G275" s="77"/>
      <c r="H275" s="77"/>
      <c r="J275" s="36"/>
    </row>
    <row r="276" spans="1:14" s="37" customFormat="1" ht="15.75" customHeight="1" x14ac:dyDescent="0.25">
      <c r="A276" s="89">
        <v>1</v>
      </c>
      <c r="B276" s="89"/>
      <c r="C276" s="52">
        <v>1</v>
      </c>
      <c r="D276" s="54">
        <f>(35.59+0.6*(3.4+2.325)+0.75*(2.3))*(10.764)</f>
        <v>438.63300000000004</v>
      </c>
      <c r="E276" s="61">
        <v>0</v>
      </c>
      <c r="F276" s="61">
        <f t="shared" ref="F276:F282" si="27">D276*(($F$182)+1)+(IF(E276&lt;101,E276,IF(E276&lt;201,E276/2,IF(E276&lt;=301,E276/3,E276/4))))</f>
        <v>701.81280000000015</v>
      </c>
      <c r="G276" s="89" t="str">
        <f>A275</f>
        <v>35th Floor (Part Refuge Area)</v>
      </c>
      <c r="H276" s="89"/>
      <c r="I276" s="36"/>
      <c r="L276" s="70"/>
      <c r="M276" s="70"/>
      <c r="N276" s="36"/>
    </row>
    <row r="277" spans="1:14" s="37" customFormat="1" ht="15.75" customHeight="1" x14ac:dyDescent="0.25">
      <c r="A277" s="89">
        <f t="shared" ref="A277:A288" si="28">A276+1</f>
        <v>2</v>
      </c>
      <c r="B277" s="89"/>
      <c r="C277" s="52">
        <v>1</v>
      </c>
      <c r="D277" s="54">
        <f>(32.84+0.6*(3.4+2.325)+0.75*(2.3))*(10.764)</f>
        <v>409.03200000000004</v>
      </c>
      <c r="E277" s="61">
        <v>0</v>
      </c>
      <c r="F277" s="61">
        <f t="shared" si="27"/>
        <v>654.45120000000009</v>
      </c>
      <c r="G277" s="89"/>
      <c r="H277" s="89"/>
      <c r="I277" s="36"/>
      <c r="L277" s="70"/>
      <c r="M277" s="70"/>
      <c r="N277" s="36"/>
    </row>
    <row r="278" spans="1:14" s="37" customFormat="1" ht="15.75" customHeight="1" x14ac:dyDescent="0.25">
      <c r="A278" s="89">
        <f t="shared" si="28"/>
        <v>3</v>
      </c>
      <c r="B278" s="89"/>
      <c r="C278" s="52">
        <v>1</v>
      </c>
      <c r="D278" s="54">
        <f>(35.81+0.6*(3.4+2.325)+0.75*(2.3))*(10.764)</f>
        <v>441.00108000000006</v>
      </c>
      <c r="E278" s="61">
        <v>0</v>
      </c>
      <c r="F278" s="61">
        <f t="shared" si="27"/>
        <v>705.60172800000009</v>
      </c>
      <c r="G278" s="89"/>
      <c r="H278" s="89"/>
      <c r="I278" s="36"/>
      <c r="L278" s="70"/>
      <c r="M278" s="70"/>
      <c r="N278" s="36"/>
    </row>
    <row r="279" spans="1:14" s="37" customFormat="1" ht="15.75" customHeight="1" x14ac:dyDescent="0.25">
      <c r="A279" s="89">
        <f t="shared" si="28"/>
        <v>4</v>
      </c>
      <c r="B279" s="89"/>
      <c r="C279" s="52">
        <v>1</v>
      </c>
      <c r="D279" s="54">
        <f>(35.81+0.6*(3.4+2.325)+0.75*(2.3))*(10.764)</f>
        <v>441.00108000000006</v>
      </c>
      <c r="E279" s="61">
        <v>0</v>
      </c>
      <c r="F279" s="61">
        <f t="shared" si="27"/>
        <v>705.60172800000009</v>
      </c>
      <c r="G279" s="89"/>
      <c r="H279" s="89"/>
      <c r="I279" s="36"/>
      <c r="L279" s="70"/>
      <c r="M279" s="70"/>
      <c r="N279" s="36"/>
    </row>
    <row r="280" spans="1:14" s="37" customFormat="1" ht="15.75" customHeight="1" x14ac:dyDescent="0.25">
      <c r="A280" s="89">
        <f t="shared" si="28"/>
        <v>5</v>
      </c>
      <c r="B280" s="89"/>
      <c r="C280" s="52">
        <v>1</v>
      </c>
      <c r="D280" s="54">
        <f>(32.9+0.6*(3.4+2.325)+0.75*(2.3))*(10.764)</f>
        <v>409.67784</v>
      </c>
      <c r="E280" s="61">
        <v>0</v>
      </c>
      <c r="F280" s="61">
        <f t="shared" si="27"/>
        <v>655.48454400000003</v>
      </c>
      <c r="G280" s="89"/>
      <c r="H280" s="89"/>
      <c r="I280" s="36"/>
      <c r="L280" s="70"/>
      <c r="M280" s="70"/>
      <c r="N280" s="36"/>
    </row>
    <row r="281" spans="1:14" s="37" customFormat="1" ht="15.75" customHeight="1" x14ac:dyDescent="0.25">
      <c r="A281" s="89">
        <f t="shared" si="28"/>
        <v>6</v>
      </c>
      <c r="B281" s="89"/>
      <c r="C281" s="52">
        <v>1</v>
      </c>
      <c r="D281" s="54">
        <f>(35.59+0.6*(3.4+2.325)+0.75*(2.3))*(10.764)</f>
        <v>438.63300000000004</v>
      </c>
      <c r="E281" s="61">
        <v>0</v>
      </c>
      <c r="F281" s="61">
        <f t="shared" si="27"/>
        <v>701.81280000000015</v>
      </c>
      <c r="G281" s="89"/>
      <c r="H281" s="89"/>
      <c r="I281" s="36"/>
      <c r="L281" s="70"/>
      <c r="M281" s="70"/>
      <c r="N281" s="36"/>
    </row>
    <row r="282" spans="1:14" s="37" customFormat="1" ht="15.75" customHeight="1" x14ac:dyDescent="0.25">
      <c r="A282" s="89">
        <f t="shared" si="28"/>
        <v>7</v>
      </c>
      <c r="B282" s="89"/>
      <c r="C282" s="52">
        <v>1</v>
      </c>
      <c r="D282" s="54">
        <f>(35.49+0.6*2.65+0.75*(1.9+3.15))*(10.764)</f>
        <v>439.89776999999998</v>
      </c>
      <c r="E282" s="61">
        <v>0</v>
      </c>
      <c r="F282" s="61">
        <f t="shared" si="27"/>
        <v>703.83643200000006</v>
      </c>
      <c r="G282" s="89"/>
      <c r="H282" s="89"/>
      <c r="I282" s="36"/>
      <c r="L282" s="70"/>
      <c r="M282" s="70"/>
      <c r="N282" s="36"/>
    </row>
    <row r="283" spans="1:14" s="37" customFormat="1" ht="15.75" customHeight="1" x14ac:dyDescent="0.25">
      <c r="A283" s="89">
        <f t="shared" si="28"/>
        <v>8</v>
      </c>
      <c r="B283" s="89"/>
      <c r="C283" s="90" t="s">
        <v>184</v>
      </c>
      <c r="D283" s="90"/>
      <c r="E283" s="90"/>
      <c r="F283" s="90"/>
      <c r="G283" s="89"/>
      <c r="H283" s="89"/>
      <c r="I283" s="36"/>
      <c r="L283" s="70"/>
      <c r="M283" s="70"/>
      <c r="N283" s="36"/>
    </row>
    <row r="284" spans="1:14" s="37" customFormat="1" ht="15.75" customHeight="1" x14ac:dyDescent="0.25">
      <c r="A284" s="89">
        <f t="shared" si="28"/>
        <v>9</v>
      </c>
      <c r="B284" s="89"/>
      <c r="C284" s="90"/>
      <c r="D284" s="90"/>
      <c r="E284" s="90"/>
      <c r="F284" s="90"/>
      <c r="G284" s="89"/>
      <c r="H284" s="89"/>
      <c r="I284" s="36"/>
      <c r="L284" s="70"/>
      <c r="M284" s="70"/>
      <c r="N284" s="36"/>
    </row>
    <row r="285" spans="1:14" s="37" customFormat="1" ht="15.75" customHeight="1" x14ac:dyDescent="0.25">
      <c r="A285" s="89">
        <f t="shared" si="28"/>
        <v>10</v>
      </c>
      <c r="B285" s="89"/>
      <c r="C285" s="52">
        <v>2</v>
      </c>
      <c r="D285" s="54">
        <f t="shared" ref="D285:D286" si="29">(53.53+0.75*(3.1+2.55+3.5))*(10.764)</f>
        <v>650.06486999999993</v>
      </c>
      <c r="E285" s="61">
        <v>0</v>
      </c>
      <c r="F285" s="61">
        <f>D285*(($F$182)+1)+(IF(E285&lt;101,E285,IF(E285&lt;201,E285/2,IF(E285&lt;=301,E285/3,E285/4))))</f>
        <v>1040.1037919999999</v>
      </c>
      <c r="G285" s="89"/>
      <c r="H285" s="89"/>
      <c r="I285" s="36"/>
      <c r="L285" s="70"/>
      <c r="M285" s="70"/>
      <c r="N285" s="36"/>
    </row>
    <row r="286" spans="1:14" s="37" customFormat="1" ht="15.75" customHeight="1" x14ac:dyDescent="0.25">
      <c r="A286" s="89">
        <f t="shared" si="28"/>
        <v>11</v>
      </c>
      <c r="B286" s="89"/>
      <c r="C286" s="52">
        <v>2</v>
      </c>
      <c r="D286" s="54">
        <f t="shared" si="29"/>
        <v>650.06486999999993</v>
      </c>
      <c r="E286" s="61">
        <v>0</v>
      </c>
      <c r="F286" s="61">
        <f>D286*(($F$182)+1)+(IF(E286&lt;101,E286,IF(E286&lt;201,E286/2,IF(E286&lt;=301,E286/3,E286/4))))</f>
        <v>1040.1037919999999</v>
      </c>
      <c r="G286" s="89"/>
      <c r="H286" s="89"/>
      <c r="I286" s="36"/>
      <c r="L286" s="70"/>
      <c r="M286" s="70"/>
      <c r="N286" s="36"/>
    </row>
    <row r="287" spans="1:14" s="37" customFormat="1" ht="15.75" customHeight="1" x14ac:dyDescent="0.25">
      <c r="A287" s="89">
        <f t="shared" si="28"/>
        <v>12</v>
      </c>
      <c r="B287" s="89"/>
      <c r="C287" s="52">
        <v>1</v>
      </c>
      <c r="D287" s="54">
        <f>(34.96+0.75*(3+3.25))*(10.764)</f>
        <v>426.76569000000001</v>
      </c>
      <c r="E287" s="61">
        <v>0</v>
      </c>
      <c r="F287" s="61">
        <f>D287*(($F$182)+1)+(IF(E287&lt;101,E287,IF(E287&lt;201,E287/2,IF(E287&lt;=301,E287/3,E287/4))))</f>
        <v>682.82510400000001</v>
      </c>
      <c r="G287" s="89"/>
      <c r="H287" s="89"/>
      <c r="I287" s="36"/>
      <c r="L287" s="70"/>
      <c r="M287" s="70"/>
      <c r="N287" s="36"/>
    </row>
    <row r="288" spans="1:14" s="37" customFormat="1" ht="15.75" customHeight="1" x14ac:dyDescent="0.25">
      <c r="A288" s="89">
        <f t="shared" si="28"/>
        <v>13</v>
      </c>
      <c r="B288" s="89"/>
      <c r="C288" s="52">
        <v>1</v>
      </c>
      <c r="D288" s="54">
        <f>(34.93+0.6*2.5+0.75*(1.9+3.1))*(10.764)</f>
        <v>432.49751999999995</v>
      </c>
      <c r="E288" s="61">
        <v>0</v>
      </c>
      <c r="F288" s="61">
        <f>D288*(($F$182)+1)+(IF(E288&lt;101,E288,IF(E288&lt;201,E288/2,IF(E288&lt;=301,E288/3,E288/4))))</f>
        <v>691.99603200000001</v>
      </c>
      <c r="G288" s="89"/>
      <c r="H288" s="89"/>
      <c r="I288" s="36"/>
      <c r="L288" s="70"/>
      <c r="M288" s="70"/>
      <c r="N288" s="36"/>
    </row>
    <row r="289" spans="1:14" s="37" customFormat="1" x14ac:dyDescent="0.25">
      <c r="A289" s="86" t="s">
        <v>221</v>
      </c>
      <c r="B289" s="87"/>
      <c r="C289" s="87"/>
      <c r="D289" s="87"/>
      <c r="E289" s="87"/>
      <c r="F289" s="87"/>
      <c r="G289" s="87"/>
      <c r="H289" s="88"/>
      <c r="J289" s="36"/>
    </row>
    <row r="290" spans="1:14" s="37" customFormat="1" x14ac:dyDescent="0.25">
      <c r="A290" s="86" t="s">
        <v>180</v>
      </c>
      <c r="B290" s="87"/>
      <c r="C290" s="87"/>
      <c r="D290" s="87"/>
      <c r="E290" s="87"/>
      <c r="F290" s="87"/>
      <c r="G290" s="87"/>
      <c r="H290" s="88"/>
      <c r="J290" s="36"/>
    </row>
    <row r="291" spans="1:14" s="37" customFormat="1" x14ac:dyDescent="0.25">
      <c r="A291" s="86" t="s">
        <v>222</v>
      </c>
      <c r="B291" s="87"/>
      <c r="C291" s="87"/>
      <c r="D291" s="87"/>
      <c r="E291" s="87"/>
      <c r="F291" s="87"/>
      <c r="G291" s="87"/>
      <c r="H291" s="88"/>
      <c r="J291" s="36"/>
    </row>
    <row r="292" spans="1:14" s="37" customFormat="1" x14ac:dyDescent="0.25">
      <c r="A292" s="86" t="s">
        <v>193</v>
      </c>
      <c r="B292" s="87"/>
      <c r="C292" s="87"/>
      <c r="D292" s="87"/>
      <c r="E292" s="87"/>
      <c r="F292" s="87"/>
      <c r="G292" s="87"/>
      <c r="H292" s="88"/>
      <c r="J292" s="54">
        <f>10.764</f>
        <v>10.763999999999999</v>
      </c>
    </row>
    <row r="293" spans="1:14" s="37" customFormat="1" ht="15.75" customHeight="1" x14ac:dyDescent="0.25">
      <c r="A293" s="78">
        <v>7</v>
      </c>
      <c r="B293" s="79"/>
      <c r="C293" s="52">
        <v>4</v>
      </c>
      <c r="D293" s="54">
        <f>(85.22+0.75*(3.55+2.5+1.35)+0.6*3.1+0.4*(2.1+0.9))*(10.764)</f>
        <v>1009.9861199999999</v>
      </c>
      <c r="E293" s="42">
        <v>0</v>
      </c>
      <c r="F293" s="42">
        <f>D293*(($F$182)+1)+(IF(E293&lt;101,E293,IF(E293&lt;201,E293/2,IF(E293&lt;=301,E293/3,E293/4))))</f>
        <v>1615.9777919999999</v>
      </c>
      <c r="G293" s="80" t="str">
        <f>A292</f>
        <v>1st Podium Floor For Parking &amp; Part Residential Area</v>
      </c>
      <c r="H293" s="81"/>
      <c r="I293" s="36"/>
      <c r="L293" s="70"/>
      <c r="M293" s="70"/>
      <c r="N293" s="36"/>
    </row>
    <row r="294" spans="1:14" s="37" customFormat="1" ht="15.75" customHeight="1" x14ac:dyDescent="0.25">
      <c r="A294" s="78">
        <f t="shared" ref="A294:A295" si="30">A293+1</f>
        <v>8</v>
      </c>
      <c r="B294" s="79"/>
      <c r="C294" s="52">
        <v>2</v>
      </c>
      <c r="D294" s="54">
        <f>(53.91+0.75*(3.55+2.5+3.05))*(10.764)</f>
        <v>653.75153999999998</v>
      </c>
      <c r="E294" s="42">
        <v>0</v>
      </c>
      <c r="F294" s="42">
        <f>D294*(($F$182)+1)+(IF(E294&lt;101,E294,IF(E294&lt;201,E294/2,IF(E294&lt;=301,E294/3,E294/4))))</f>
        <v>1046.0024639999999</v>
      </c>
      <c r="G294" s="82"/>
      <c r="H294" s="83"/>
      <c r="I294" s="36"/>
      <c r="L294" s="70"/>
      <c r="M294" s="70"/>
      <c r="N294" s="36"/>
    </row>
    <row r="295" spans="1:14" s="37" customFormat="1" ht="15.75" customHeight="1" x14ac:dyDescent="0.25">
      <c r="A295" s="78">
        <f t="shared" si="30"/>
        <v>9</v>
      </c>
      <c r="B295" s="79"/>
      <c r="C295" s="52">
        <v>0</v>
      </c>
      <c r="D295" s="54">
        <f>(35.95+0.75*3.05+0.9*1.7)*(10.764)</f>
        <v>428.05737000000005</v>
      </c>
      <c r="E295" s="42">
        <v>0</v>
      </c>
      <c r="F295" s="42">
        <f>D295*(($F$182)+1)+(IF(E295&lt;101,E295,IF(E295&lt;201,E295/2,IF(E295&lt;=301,E295/3,E295/4))))</f>
        <v>684.89179200000012</v>
      </c>
      <c r="G295" s="82"/>
      <c r="H295" s="83"/>
      <c r="I295" s="36"/>
      <c r="L295" s="70"/>
      <c r="M295" s="70"/>
      <c r="N295" s="36"/>
    </row>
    <row r="296" spans="1:14" s="37" customFormat="1" ht="15.75" customHeight="1" x14ac:dyDescent="0.25">
      <c r="A296" s="86" t="s">
        <v>227</v>
      </c>
      <c r="B296" s="87"/>
      <c r="C296" s="87"/>
      <c r="D296" s="87"/>
      <c r="E296" s="87"/>
      <c r="F296" s="87"/>
      <c r="G296" s="87"/>
      <c r="H296" s="88"/>
      <c r="J296" s="36"/>
    </row>
    <row r="297" spans="1:14" s="37" customFormat="1" ht="15.75" customHeight="1" x14ac:dyDescent="0.25">
      <c r="A297" s="78">
        <v>5</v>
      </c>
      <c r="B297" s="79"/>
      <c r="C297" s="52">
        <v>1</v>
      </c>
      <c r="D297" s="54">
        <f>(36.6+0.75*(2.9+3.05))*(10.764)</f>
        <v>441.99674999999996</v>
      </c>
      <c r="E297" s="42">
        <v>0</v>
      </c>
      <c r="F297" s="42">
        <f>D297*(($F$182)+1)+(IF(E297&lt;101,E297,IF(E297&lt;201,E297/2,IF(E297&lt;=301,E297/3,E297/4))))</f>
        <v>707.19479999999999</v>
      </c>
      <c r="G297" s="80" t="str">
        <f>A296</f>
        <v>2nd Podium Floor For Parking  &amp; Part Residential Area</v>
      </c>
      <c r="H297" s="81"/>
      <c r="I297" s="36"/>
      <c r="L297" s="70"/>
      <c r="M297" s="70"/>
      <c r="N297" s="36"/>
    </row>
    <row r="298" spans="1:14" s="37" customFormat="1" ht="15.75" customHeight="1" x14ac:dyDescent="0.25">
      <c r="A298" s="78">
        <f t="shared" ref="A298:A301" si="31">A297+1</f>
        <v>6</v>
      </c>
      <c r="B298" s="79"/>
      <c r="C298" s="52">
        <v>2</v>
      </c>
      <c r="D298" s="54">
        <f>(52.7+0.75*(3.5+2.5+1.3))*(10.764)</f>
        <v>626.19569999999999</v>
      </c>
      <c r="E298" s="42">
        <v>0</v>
      </c>
      <c r="F298" s="42">
        <f>D298*(($F$182)+1)+(IF(E298&lt;101,E298,IF(E298&lt;201,E298/2,IF(E298&lt;=301,E298/3,E298/4))))</f>
        <v>1001.91312</v>
      </c>
      <c r="G298" s="82"/>
      <c r="H298" s="83"/>
      <c r="I298" s="36"/>
      <c r="L298" s="70"/>
      <c r="M298" s="70"/>
      <c r="N298" s="36"/>
    </row>
    <row r="299" spans="1:14" s="37" customFormat="1" ht="15.75" customHeight="1" x14ac:dyDescent="0.25">
      <c r="A299" s="78">
        <f t="shared" si="31"/>
        <v>7</v>
      </c>
      <c r="B299" s="79"/>
      <c r="C299" s="52">
        <v>3</v>
      </c>
      <c r="D299" s="54">
        <f>(71.28+0.75*(3.5+2.5)+0.6*3.1+0.4*(2.1+0.9))*(10.764)</f>
        <v>848.63375999999994</v>
      </c>
      <c r="E299" s="42">
        <v>0</v>
      </c>
      <c r="F299" s="42">
        <f>D299*(($F$182)+1)+(IF(E299&lt;101,E299,IF(E299&lt;201,E299/2,IF(E299&lt;=301,E299/3,E299/4))))</f>
        <v>1357.814016</v>
      </c>
      <c r="G299" s="82"/>
      <c r="H299" s="83"/>
      <c r="I299" s="36"/>
      <c r="L299" s="70"/>
      <c r="M299" s="70"/>
      <c r="N299" s="36"/>
    </row>
    <row r="300" spans="1:14" s="37" customFormat="1" ht="15.75" customHeight="1" x14ac:dyDescent="0.25">
      <c r="A300" s="78">
        <f t="shared" si="31"/>
        <v>8</v>
      </c>
      <c r="B300" s="79"/>
      <c r="C300" s="52">
        <v>2</v>
      </c>
      <c r="D300" s="54">
        <f>(53.91+0.75*(3.5+2.5+3.05))*(10.764)</f>
        <v>653.34788999999989</v>
      </c>
      <c r="E300" s="42">
        <v>0</v>
      </c>
      <c r="F300" s="42">
        <f>D300*(($F$182)+1)+(IF(E300&lt;101,E300,IF(E300&lt;201,E300/2,IF(E300&lt;=301,E300/3,E300/4))))</f>
        <v>1045.3566239999998</v>
      </c>
      <c r="G300" s="82"/>
      <c r="H300" s="83"/>
      <c r="I300" s="36"/>
      <c r="L300" s="70"/>
      <c r="M300" s="70"/>
      <c r="N300" s="36"/>
    </row>
    <row r="301" spans="1:14" s="37" customFormat="1" ht="15.75" customHeight="1" x14ac:dyDescent="0.25">
      <c r="A301" s="78">
        <f t="shared" si="31"/>
        <v>9</v>
      </c>
      <c r="B301" s="79"/>
      <c r="C301" s="52">
        <v>0</v>
      </c>
      <c r="D301" s="54">
        <f>(35.95+0.75*(3.05+1.7))*(10.764)</f>
        <v>425.31254999999999</v>
      </c>
      <c r="E301" s="42">
        <v>0</v>
      </c>
      <c r="F301" s="42">
        <f>D301*(($F$182)+1)+(IF(E301&lt;101,E301,IF(E301&lt;201,E301/2,IF(E301&lt;=301,E301/3,E301/4))))</f>
        <v>680.50008000000003</v>
      </c>
      <c r="G301" s="82"/>
      <c r="H301" s="83"/>
      <c r="I301" s="36"/>
      <c r="L301" s="70"/>
      <c r="M301" s="70"/>
      <c r="N301" s="36"/>
    </row>
    <row r="302" spans="1:14" s="37" customFormat="1" ht="15.75" customHeight="1" x14ac:dyDescent="0.25">
      <c r="A302" s="86" t="s">
        <v>228</v>
      </c>
      <c r="B302" s="87"/>
      <c r="C302" s="87"/>
      <c r="D302" s="87"/>
      <c r="E302" s="87"/>
      <c r="F302" s="87"/>
      <c r="G302" s="87"/>
      <c r="H302" s="88"/>
      <c r="J302" s="36"/>
    </row>
    <row r="303" spans="1:14" s="37" customFormat="1" ht="15.75" customHeight="1" x14ac:dyDescent="0.25">
      <c r="A303" s="78">
        <v>5</v>
      </c>
      <c r="B303" s="79"/>
      <c r="C303" s="52">
        <v>1</v>
      </c>
      <c r="D303" s="54">
        <f>(36.6+0.75*(2.9+3.05))*(10.764)</f>
        <v>441.99674999999996</v>
      </c>
      <c r="E303" s="42">
        <v>0</v>
      </c>
      <c r="F303" s="42">
        <f>D303*(($F$182)+1)+(IF(E303&lt;101,E303,IF(E303&lt;201,E303/2,IF(E303&lt;=301,E303/3,E303/4))))</f>
        <v>707.19479999999999</v>
      </c>
      <c r="G303" s="80" t="str">
        <f>A302</f>
        <v>3rd to 6th Podium Floor For Parking  &amp; Part Residential Area</v>
      </c>
      <c r="H303" s="81"/>
      <c r="I303" s="36"/>
      <c r="L303" s="70"/>
      <c r="M303" s="70"/>
      <c r="N303" s="36"/>
    </row>
    <row r="304" spans="1:14" s="37" customFormat="1" ht="15.75" customHeight="1" x14ac:dyDescent="0.25">
      <c r="A304" s="78">
        <f t="shared" ref="A304:A307" si="32">A303+1</f>
        <v>6</v>
      </c>
      <c r="B304" s="79"/>
      <c r="C304" s="52">
        <v>2</v>
      </c>
      <c r="D304" s="54">
        <f>(52.7+0.75*(3.5+2.5+1.3))*(10.764)</f>
        <v>626.19569999999999</v>
      </c>
      <c r="E304" s="42">
        <v>0</v>
      </c>
      <c r="F304" s="42">
        <f>D304*(($F$182)+1)+(IF(E304&lt;101,E304,IF(E304&lt;201,E304/2,IF(E304&lt;=301,E304/3,E304/4))))</f>
        <v>1001.91312</v>
      </c>
      <c r="G304" s="82"/>
      <c r="H304" s="83"/>
      <c r="I304" s="36"/>
      <c r="L304" s="70"/>
      <c r="M304" s="70"/>
      <c r="N304" s="36"/>
    </row>
    <row r="305" spans="1:14" s="37" customFormat="1" ht="15.75" customHeight="1" x14ac:dyDescent="0.25">
      <c r="A305" s="78">
        <f t="shared" si="32"/>
        <v>7</v>
      </c>
      <c r="B305" s="79"/>
      <c r="C305" s="52">
        <v>3</v>
      </c>
      <c r="D305" s="54">
        <f>(71.28+0.75*(3.5+2.5)+0.6*3.1+0.4*(2.1+0.9))*(10.764)</f>
        <v>848.63375999999994</v>
      </c>
      <c r="E305" s="42">
        <v>0</v>
      </c>
      <c r="F305" s="42">
        <f>D305*(($F$182)+1)+(IF(E305&lt;101,E305,IF(E305&lt;201,E305/2,IF(E305&lt;=301,E305/3,E305/4))))</f>
        <v>1357.814016</v>
      </c>
      <c r="G305" s="82"/>
      <c r="H305" s="83"/>
      <c r="I305" s="36"/>
      <c r="L305" s="70"/>
      <c r="M305" s="70"/>
      <c r="N305" s="36"/>
    </row>
    <row r="306" spans="1:14" s="37" customFormat="1" ht="15.75" customHeight="1" x14ac:dyDescent="0.25">
      <c r="A306" s="78">
        <f t="shared" si="32"/>
        <v>8</v>
      </c>
      <c r="B306" s="79"/>
      <c r="C306" s="52">
        <v>2</v>
      </c>
      <c r="D306" s="54">
        <f>(53.91+0.75*(3.5+2.5+3.05))*(10.764)</f>
        <v>653.34788999999989</v>
      </c>
      <c r="E306" s="42">
        <v>0</v>
      </c>
      <c r="F306" s="42">
        <f>D306*(($F$182)+1)+(IF(E306&lt;101,E306,IF(E306&lt;201,E306/2,IF(E306&lt;=301,E306/3,E306/4))))</f>
        <v>1045.3566239999998</v>
      </c>
      <c r="G306" s="82"/>
      <c r="H306" s="83"/>
      <c r="I306" s="36"/>
      <c r="L306" s="70"/>
      <c r="M306" s="70"/>
      <c r="N306" s="36"/>
    </row>
    <row r="307" spans="1:14" s="37" customFormat="1" ht="15.75" customHeight="1" x14ac:dyDescent="0.25">
      <c r="A307" s="78">
        <f t="shared" si="32"/>
        <v>9</v>
      </c>
      <c r="B307" s="79"/>
      <c r="C307" s="52">
        <v>0</v>
      </c>
      <c r="D307" s="54">
        <f>(35.95+0.75*(3.05+1.7))*(10.764)</f>
        <v>425.31254999999999</v>
      </c>
      <c r="E307" s="42">
        <v>0</v>
      </c>
      <c r="F307" s="42">
        <f>D307*(($F$182)+1)+(IF(E307&lt;101,E307,IF(E307&lt;201,E307/2,IF(E307&lt;=301,E307/3,E307/4))))</f>
        <v>680.50008000000003</v>
      </c>
      <c r="G307" s="82"/>
      <c r="H307" s="83"/>
      <c r="I307" s="36"/>
      <c r="L307" s="70"/>
      <c r="M307" s="70"/>
      <c r="N307" s="36"/>
    </row>
    <row r="308" spans="1:14" s="37" customFormat="1" ht="15.75" customHeight="1" x14ac:dyDescent="0.25">
      <c r="A308" s="86" t="s">
        <v>195</v>
      </c>
      <c r="B308" s="87"/>
      <c r="C308" s="87"/>
      <c r="D308" s="87"/>
      <c r="E308" s="87"/>
      <c r="F308" s="87"/>
      <c r="G308" s="87"/>
      <c r="H308" s="88"/>
      <c r="J308" s="36"/>
    </row>
    <row r="309" spans="1:14" s="37" customFormat="1" ht="15.75" customHeight="1" x14ac:dyDescent="0.25">
      <c r="A309" s="78">
        <v>5</v>
      </c>
      <c r="B309" s="79"/>
      <c r="C309" s="91" t="s">
        <v>184</v>
      </c>
      <c r="D309" s="92"/>
      <c r="E309" s="92"/>
      <c r="F309" s="93"/>
      <c r="G309" s="80" t="str">
        <f>A308</f>
        <v>7th Eco-Deck Floor Plan For Part Residential Area &amp; Part Refuge Area</v>
      </c>
      <c r="H309" s="81"/>
      <c r="I309" s="36"/>
      <c r="L309" s="70"/>
      <c r="M309" s="70"/>
      <c r="N309" s="36"/>
    </row>
    <row r="310" spans="1:14" s="37" customFormat="1" ht="15.75" customHeight="1" x14ac:dyDescent="0.25">
      <c r="A310" s="78">
        <f t="shared" ref="A310:A313" si="33">A309+1</f>
        <v>6</v>
      </c>
      <c r="B310" s="79"/>
      <c r="C310" s="94"/>
      <c r="D310" s="95"/>
      <c r="E310" s="95"/>
      <c r="F310" s="96"/>
      <c r="G310" s="82"/>
      <c r="H310" s="83"/>
      <c r="I310" s="36"/>
      <c r="L310" s="70"/>
      <c r="M310" s="70"/>
      <c r="N310" s="36"/>
    </row>
    <row r="311" spans="1:14" s="37" customFormat="1" ht="15.75" customHeight="1" x14ac:dyDescent="0.25">
      <c r="A311" s="78">
        <f t="shared" si="33"/>
        <v>7</v>
      </c>
      <c r="B311" s="79"/>
      <c r="C311" s="52">
        <v>1</v>
      </c>
      <c r="D311" s="54">
        <f>(41.5+0.75*(3.5+2.5))*(10.764)</f>
        <v>495.14399999999995</v>
      </c>
      <c r="E311" s="42">
        <v>0</v>
      </c>
      <c r="F311" s="42">
        <f>D311*(($F$182)+1)+(IF(E311&lt;101,E311,IF(E311&lt;201,E311/2,IF(E311&lt;=301,E311/3,E311/4))))</f>
        <v>792.23039999999992</v>
      </c>
      <c r="G311" s="82"/>
      <c r="H311" s="83"/>
      <c r="I311" s="36"/>
      <c r="L311" s="70"/>
      <c r="M311" s="70"/>
      <c r="N311" s="36"/>
    </row>
    <row r="312" spans="1:14" s="37" customFormat="1" ht="15.75" customHeight="1" x14ac:dyDescent="0.25">
      <c r="A312" s="78">
        <f t="shared" si="33"/>
        <v>8</v>
      </c>
      <c r="B312" s="79"/>
      <c r="C312" s="52">
        <v>2</v>
      </c>
      <c r="D312" s="54">
        <f>(53.91+0.75*(3.5+2.5+3.05))*(10.764)</f>
        <v>653.34788999999989</v>
      </c>
      <c r="E312" s="42">
        <v>0</v>
      </c>
      <c r="F312" s="42">
        <f>D312*(($F$182)+1)+(IF(E312&lt;101,E312,IF(E312&lt;201,E312/2,IF(E312&lt;=301,E312/3,E312/4))))</f>
        <v>1045.3566239999998</v>
      </c>
      <c r="G312" s="82"/>
      <c r="H312" s="83"/>
      <c r="I312" s="36"/>
      <c r="L312" s="70"/>
      <c r="M312" s="70"/>
      <c r="N312" s="36"/>
    </row>
    <row r="313" spans="1:14" s="37" customFormat="1" ht="15.75" customHeight="1" x14ac:dyDescent="0.25">
      <c r="A313" s="78">
        <f t="shared" si="33"/>
        <v>9</v>
      </c>
      <c r="B313" s="79"/>
      <c r="C313" s="52">
        <v>0</v>
      </c>
      <c r="D313" s="54">
        <f>(35.95+0.75*(3.05+1.7))*(10.764)</f>
        <v>425.31254999999999</v>
      </c>
      <c r="E313" s="42">
        <v>0</v>
      </c>
      <c r="F313" s="42">
        <f>D313*(($F$182)+1)+(IF(E313&lt;101,E313,IF(E313&lt;201,E313/2,IF(E313&lt;=301,E313/3,E313/4))))</f>
        <v>680.50008000000003</v>
      </c>
      <c r="G313" s="82"/>
      <c r="H313" s="83"/>
      <c r="I313" s="36"/>
      <c r="L313" s="70"/>
      <c r="M313" s="70"/>
      <c r="N313" s="36"/>
    </row>
    <row r="314" spans="1:14" s="37" customFormat="1" ht="15.75" customHeight="1" x14ac:dyDescent="0.25">
      <c r="A314" s="86" t="s">
        <v>229</v>
      </c>
      <c r="B314" s="87"/>
      <c r="C314" s="87"/>
      <c r="D314" s="87"/>
      <c r="E314" s="87"/>
      <c r="F314" s="87"/>
      <c r="G314" s="87"/>
      <c r="H314" s="88"/>
      <c r="J314" s="36"/>
    </row>
    <row r="315" spans="1:14" s="37" customFormat="1" ht="15.75" customHeight="1" x14ac:dyDescent="0.25">
      <c r="A315" s="78">
        <v>5</v>
      </c>
      <c r="B315" s="79"/>
      <c r="C315" s="52">
        <v>1</v>
      </c>
      <c r="D315" s="54">
        <f>(36.6+0.75*(2.9+3.05))*(10.764)</f>
        <v>441.99674999999996</v>
      </c>
      <c r="E315" s="42">
        <v>0</v>
      </c>
      <c r="F315" s="42">
        <f>D315*(($F$182)+1)+(IF(E315&lt;101,E315,IF(E315&lt;201,E315/2,IF(E315&lt;=301,E315/3,E315/4))))</f>
        <v>707.19479999999999</v>
      </c>
      <c r="G315" s="80" t="str">
        <f>A314</f>
        <v>8th Podium Floor For Parking  &amp; Part Residential Area</v>
      </c>
      <c r="H315" s="81"/>
      <c r="I315" s="36"/>
      <c r="L315" s="70"/>
      <c r="M315" s="70"/>
      <c r="N315" s="36"/>
    </row>
    <row r="316" spans="1:14" s="37" customFormat="1" ht="15.75" customHeight="1" x14ac:dyDescent="0.25">
      <c r="A316" s="78">
        <f t="shared" ref="A316:A319" si="34">A315+1</f>
        <v>6</v>
      </c>
      <c r="B316" s="79"/>
      <c r="C316" s="52">
        <v>2</v>
      </c>
      <c r="D316" s="54">
        <f>(52.7+0.75*(3.5+2.5+1.3))*(10.764)</f>
        <v>626.19569999999999</v>
      </c>
      <c r="E316" s="42">
        <v>0</v>
      </c>
      <c r="F316" s="42">
        <f>D316*(($F$182)+1)+(IF(E316&lt;101,E316,IF(E316&lt;201,E316/2,IF(E316&lt;=301,E316/3,E316/4))))</f>
        <v>1001.91312</v>
      </c>
      <c r="G316" s="82"/>
      <c r="H316" s="83"/>
      <c r="I316" s="36"/>
      <c r="L316" s="70"/>
      <c r="M316" s="70"/>
      <c r="N316" s="36"/>
    </row>
    <row r="317" spans="1:14" s="37" customFormat="1" ht="15.75" customHeight="1" x14ac:dyDescent="0.25">
      <c r="A317" s="78">
        <f t="shared" si="34"/>
        <v>7</v>
      </c>
      <c r="B317" s="79"/>
      <c r="C317" s="52">
        <v>3</v>
      </c>
      <c r="D317" s="54">
        <f>(71.28+0.75*(3.5+2.5)+0.6*3.1+0.4*(2.1+0.9))*(10.764)</f>
        <v>848.63375999999994</v>
      </c>
      <c r="E317" s="42">
        <v>0</v>
      </c>
      <c r="F317" s="42">
        <f>D317*(($F$182)+1)+(IF(E317&lt;101,E317,IF(E317&lt;201,E317/2,IF(E317&lt;=301,E317/3,E317/4))))</f>
        <v>1357.814016</v>
      </c>
      <c r="G317" s="82"/>
      <c r="H317" s="83"/>
      <c r="I317" s="36"/>
      <c r="L317" s="70"/>
      <c r="M317" s="70"/>
      <c r="N317" s="36"/>
    </row>
    <row r="318" spans="1:14" s="37" customFormat="1" ht="15.75" customHeight="1" x14ac:dyDescent="0.25">
      <c r="A318" s="78">
        <f t="shared" si="34"/>
        <v>8</v>
      </c>
      <c r="B318" s="79"/>
      <c r="C318" s="91" t="s">
        <v>186</v>
      </c>
      <c r="D318" s="92"/>
      <c r="E318" s="92"/>
      <c r="F318" s="93"/>
      <c r="G318" s="82"/>
      <c r="H318" s="83"/>
      <c r="I318" s="36"/>
      <c r="L318" s="70"/>
      <c r="M318" s="70"/>
      <c r="N318" s="36"/>
    </row>
    <row r="319" spans="1:14" s="37" customFormat="1" ht="15.75" customHeight="1" x14ac:dyDescent="0.25">
      <c r="A319" s="78">
        <f t="shared" si="34"/>
        <v>9</v>
      </c>
      <c r="B319" s="79"/>
      <c r="C319" s="94"/>
      <c r="D319" s="95"/>
      <c r="E319" s="95"/>
      <c r="F319" s="96"/>
      <c r="G319" s="82"/>
      <c r="H319" s="83"/>
      <c r="I319" s="36"/>
      <c r="L319" s="70"/>
      <c r="M319" s="70"/>
      <c r="N319" s="36"/>
    </row>
    <row r="320" spans="1:14" s="37" customFormat="1" x14ac:dyDescent="0.25">
      <c r="A320" s="77" t="s">
        <v>187</v>
      </c>
      <c r="B320" s="77"/>
      <c r="C320" s="77"/>
      <c r="D320" s="77"/>
      <c r="E320" s="77"/>
      <c r="F320" s="77"/>
      <c r="G320" s="77"/>
      <c r="H320" s="77"/>
      <c r="J320" s="36"/>
    </row>
    <row r="321" spans="1:14" s="37" customFormat="1" ht="15.75" customHeight="1" x14ac:dyDescent="0.25">
      <c r="A321" s="89">
        <v>1</v>
      </c>
      <c r="B321" s="89"/>
      <c r="C321" s="52">
        <v>2</v>
      </c>
      <c r="D321" s="54">
        <f>(52.7+0.75*(3.5+2.5+1.3))*(10.764)</f>
        <v>626.19569999999999</v>
      </c>
      <c r="E321" s="61">
        <v>0</v>
      </c>
      <c r="F321" s="61">
        <f t="shared" ref="F321:F330" si="35">D321*(($F$182)+1)+(IF(E321&lt;101,E321,IF(E321&lt;201,E321/2,IF(E321&lt;=301,E321/3,E321/4))))</f>
        <v>1001.91312</v>
      </c>
      <c r="G321" s="89" t="str">
        <f>A320</f>
        <v>9th Floor</v>
      </c>
      <c r="H321" s="89"/>
      <c r="I321" s="36"/>
      <c r="L321" s="70"/>
      <c r="M321" s="70"/>
      <c r="N321" s="36"/>
    </row>
    <row r="322" spans="1:14" s="37" customFormat="1" ht="15.75" customHeight="1" x14ac:dyDescent="0.25">
      <c r="A322" s="89">
        <f t="shared" ref="A322:A330" si="36">A321+1</f>
        <v>2</v>
      </c>
      <c r="B322" s="89"/>
      <c r="C322" s="52">
        <v>3</v>
      </c>
      <c r="D322" s="54">
        <f>(71.28+0.75*(3.5+2.5)+0.6*3.1+0.4*(2.1+0.9))*(10.764)</f>
        <v>848.63375999999994</v>
      </c>
      <c r="E322" s="61">
        <v>0</v>
      </c>
      <c r="F322" s="61">
        <f t="shared" si="35"/>
        <v>1357.814016</v>
      </c>
      <c r="G322" s="89"/>
      <c r="H322" s="89"/>
      <c r="I322" s="36"/>
      <c r="L322" s="70"/>
      <c r="M322" s="70"/>
      <c r="N322" s="36"/>
    </row>
    <row r="323" spans="1:14" s="37" customFormat="1" ht="15.75" customHeight="1" x14ac:dyDescent="0.25">
      <c r="A323" s="89">
        <f t="shared" si="36"/>
        <v>3</v>
      </c>
      <c r="B323" s="89"/>
      <c r="C323" s="52">
        <v>2</v>
      </c>
      <c r="D323" s="54">
        <f>(53.91+0.75*(3+2.5+3.5))*(10.764)</f>
        <v>652.94423999999992</v>
      </c>
      <c r="E323" s="61">
        <v>0</v>
      </c>
      <c r="F323" s="61">
        <f t="shared" si="35"/>
        <v>1044.7107839999999</v>
      </c>
      <c r="G323" s="89"/>
      <c r="H323" s="89"/>
      <c r="I323" s="36"/>
      <c r="L323" s="70"/>
      <c r="M323" s="70"/>
      <c r="N323" s="36"/>
    </row>
    <row r="324" spans="1:14" s="37" customFormat="1" ht="15.75" customHeight="1" x14ac:dyDescent="0.25">
      <c r="A324" s="89">
        <f t="shared" si="36"/>
        <v>4</v>
      </c>
      <c r="B324" s="89"/>
      <c r="C324" s="52">
        <v>0</v>
      </c>
      <c r="D324" s="54">
        <f>(35.95+0.75*(3+1.7))*(10.764)</f>
        <v>424.90890000000002</v>
      </c>
      <c r="E324" s="61">
        <f>(2*1)*10.764</f>
        <v>21.527999999999999</v>
      </c>
      <c r="F324" s="61">
        <f t="shared" si="35"/>
        <v>701.38224000000014</v>
      </c>
      <c r="G324" s="89"/>
      <c r="H324" s="89"/>
      <c r="I324" s="36"/>
      <c r="L324" s="70"/>
      <c r="M324" s="70"/>
      <c r="N324" s="36"/>
    </row>
    <row r="325" spans="1:14" s="37" customFormat="1" ht="15.75" customHeight="1" x14ac:dyDescent="0.25">
      <c r="A325" s="89">
        <f t="shared" si="36"/>
        <v>5</v>
      </c>
      <c r="B325" s="89"/>
      <c r="C325" s="52">
        <v>1</v>
      </c>
      <c r="D325" s="54">
        <f>(36.6+0.75*(2.9+3.05))*(10.764)</f>
        <v>441.99674999999996</v>
      </c>
      <c r="E325" s="61">
        <v>0</v>
      </c>
      <c r="F325" s="61">
        <f t="shared" si="35"/>
        <v>707.19479999999999</v>
      </c>
      <c r="G325" s="89"/>
      <c r="H325" s="89"/>
      <c r="I325" s="36"/>
      <c r="L325" s="70"/>
      <c r="M325" s="70"/>
      <c r="N325" s="36"/>
    </row>
    <row r="326" spans="1:14" s="37" customFormat="1" ht="15.75" customHeight="1" x14ac:dyDescent="0.25">
      <c r="A326" s="89">
        <f t="shared" si="36"/>
        <v>6</v>
      </c>
      <c r="B326" s="89"/>
      <c r="C326" s="52">
        <v>2</v>
      </c>
      <c r="D326" s="54">
        <f>(52.7+0.75*(3.5+2.5+1.35))*(10.764)</f>
        <v>626.59935000000007</v>
      </c>
      <c r="E326" s="61">
        <v>0</v>
      </c>
      <c r="F326" s="61">
        <f t="shared" si="35"/>
        <v>1002.5589600000002</v>
      </c>
      <c r="G326" s="89"/>
      <c r="H326" s="89"/>
      <c r="I326" s="36"/>
      <c r="L326" s="70"/>
      <c r="M326" s="70"/>
      <c r="N326" s="36"/>
    </row>
    <row r="327" spans="1:14" s="37" customFormat="1" ht="15.75" customHeight="1" x14ac:dyDescent="0.25">
      <c r="A327" s="89">
        <f t="shared" si="36"/>
        <v>7</v>
      </c>
      <c r="B327" s="89"/>
      <c r="C327" s="52">
        <v>3</v>
      </c>
      <c r="D327" s="54">
        <f>(71.28+0.75*(3.5+2.5)+0.6*(3.1)+0.4*(2.1+0.9))*(10.764)</f>
        <v>848.63375999999994</v>
      </c>
      <c r="E327" s="61">
        <v>0</v>
      </c>
      <c r="F327" s="61">
        <f t="shared" si="35"/>
        <v>1357.814016</v>
      </c>
      <c r="G327" s="89"/>
      <c r="H327" s="89"/>
      <c r="I327" s="36"/>
      <c r="L327" s="70"/>
      <c r="M327" s="70"/>
      <c r="N327" s="36"/>
    </row>
    <row r="328" spans="1:14" s="37" customFormat="1" ht="15.75" customHeight="1" x14ac:dyDescent="0.25">
      <c r="A328" s="89">
        <f t="shared" si="36"/>
        <v>8</v>
      </c>
      <c r="B328" s="89"/>
      <c r="C328" s="52">
        <v>2</v>
      </c>
      <c r="D328" s="54">
        <f>(53.91+0.75*(3.5+2.5+3.05))*(10.764)</f>
        <v>653.34788999999989</v>
      </c>
      <c r="E328" s="61">
        <v>0</v>
      </c>
      <c r="F328" s="61">
        <f t="shared" si="35"/>
        <v>1045.3566239999998</v>
      </c>
      <c r="G328" s="89"/>
      <c r="H328" s="89"/>
      <c r="I328" s="36"/>
      <c r="L328" s="70"/>
      <c r="M328" s="70"/>
      <c r="N328" s="36"/>
    </row>
    <row r="329" spans="1:14" s="37" customFormat="1" ht="15.75" customHeight="1" x14ac:dyDescent="0.25">
      <c r="A329" s="89">
        <f t="shared" si="36"/>
        <v>9</v>
      </c>
      <c r="B329" s="89"/>
      <c r="C329" s="52">
        <v>0</v>
      </c>
      <c r="D329" s="54">
        <f>(35.95+0.75*1.7)*(10.764)</f>
        <v>400.68989999999997</v>
      </c>
      <c r="E329" s="61">
        <v>0</v>
      </c>
      <c r="F329" s="61">
        <f t="shared" si="35"/>
        <v>641.10383999999999</v>
      </c>
      <c r="G329" s="89"/>
      <c r="H329" s="89"/>
      <c r="I329" s="36"/>
      <c r="L329" s="70"/>
      <c r="M329" s="70"/>
      <c r="N329" s="36"/>
    </row>
    <row r="330" spans="1:14" s="37" customFormat="1" ht="15.75" customHeight="1" x14ac:dyDescent="0.25">
      <c r="A330" s="89">
        <f t="shared" si="36"/>
        <v>10</v>
      </c>
      <c r="B330" s="89"/>
      <c r="C330" s="52">
        <v>1</v>
      </c>
      <c r="D330" s="54">
        <f>(36.6+0.75*(2.9+3.05))*(10.764)</f>
        <v>441.99674999999996</v>
      </c>
      <c r="E330" s="61">
        <v>0</v>
      </c>
      <c r="F330" s="61">
        <f t="shared" si="35"/>
        <v>707.19479999999999</v>
      </c>
      <c r="G330" s="89"/>
      <c r="H330" s="89"/>
      <c r="I330" s="36"/>
      <c r="L330" s="70"/>
      <c r="M330" s="70"/>
      <c r="N330" s="36"/>
    </row>
    <row r="331" spans="1:14" s="37" customFormat="1" ht="15.75" customHeight="1" x14ac:dyDescent="0.25">
      <c r="A331" s="86" t="s">
        <v>223</v>
      </c>
      <c r="B331" s="87"/>
      <c r="C331" s="87"/>
      <c r="D331" s="87"/>
      <c r="E331" s="87"/>
      <c r="F331" s="87"/>
      <c r="G331" s="87"/>
      <c r="H331" s="88"/>
      <c r="J331" s="36"/>
    </row>
    <row r="332" spans="1:14" s="37" customFormat="1" ht="15.75" customHeight="1" x14ac:dyDescent="0.25">
      <c r="A332" s="78">
        <v>1</v>
      </c>
      <c r="B332" s="79"/>
      <c r="C332" s="52">
        <v>2</v>
      </c>
      <c r="D332" s="54">
        <f>(52.7+0.75*(3.5+2.5+1.3))*(10.764)</f>
        <v>626.19569999999999</v>
      </c>
      <c r="E332" s="42">
        <v>0</v>
      </c>
      <c r="F332" s="42">
        <f t="shared" ref="F332:F341" si="37">D332*(($F$182)+1)+(IF(E332&lt;101,E332,IF(E332&lt;201,E332/2,IF(E332&lt;=301,E332/3,E332/4))))</f>
        <v>1001.91312</v>
      </c>
      <c r="G332" s="80" t="str">
        <f>A331</f>
        <v>10th to 13th &amp; 15th to 20th Floor</v>
      </c>
      <c r="H332" s="81"/>
      <c r="I332" s="36"/>
      <c r="L332" s="70"/>
      <c r="M332" s="70"/>
      <c r="N332" s="36"/>
    </row>
    <row r="333" spans="1:14" s="37" customFormat="1" ht="15.75" customHeight="1" x14ac:dyDescent="0.25">
      <c r="A333" s="78">
        <f t="shared" ref="A333:A341" si="38">A332+1</f>
        <v>2</v>
      </c>
      <c r="B333" s="79"/>
      <c r="C333" s="52">
        <v>3</v>
      </c>
      <c r="D333" s="54">
        <f>(71.28+0.75*(3.5+2.5)+0.6*3.1+0.4*(2.1+0.9))*(10.764)</f>
        <v>848.63375999999994</v>
      </c>
      <c r="E333" s="42">
        <v>0</v>
      </c>
      <c r="F333" s="42">
        <f t="shared" si="37"/>
        <v>1357.814016</v>
      </c>
      <c r="G333" s="82"/>
      <c r="H333" s="83"/>
      <c r="I333" s="36"/>
      <c r="L333" s="70"/>
      <c r="M333" s="70"/>
      <c r="N333" s="36"/>
    </row>
    <row r="334" spans="1:14" s="37" customFormat="1" ht="15.75" customHeight="1" x14ac:dyDescent="0.25">
      <c r="A334" s="78">
        <f t="shared" si="38"/>
        <v>3</v>
      </c>
      <c r="B334" s="79"/>
      <c r="C334" s="52">
        <v>2</v>
      </c>
      <c r="D334" s="54">
        <f>(53.91+0.75*(3+2.5+3.5))*(10.764)</f>
        <v>652.94423999999992</v>
      </c>
      <c r="E334" s="42">
        <v>0</v>
      </c>
      <c r="F334" s="42">
        <f t="shared" si="37"/>
        <v>1044.7107839999999</v>
      </c>
      <c r="G334" s="82"/>
      <c r="H334" s="83"/>
      <c r="I334" s="36"/>
      <c r="L334" s="70"/>
      <c r="M334" s="70"/>
      <c r="N334" s="36"/>
    </row>
    <row r="335" spans="1:14" s="37" customFormat="1" ht="15.75" customHeight="1" x14ac:dyDescent="0.25">
      <c r="A335" s="78">
        <f t="shared" si="38"/>
        <v>4</v>
      </c>
      <c r="B335" s="79"/>
      <c r="C335" s="52">
        <v>0</v>
      </c>
      <c r="D335" s="54">
        <f>(35.95+0.75*(3+1.7))*(10.764)</f>
        <v>424.90890000000002</v>
      </c>
      <c r="E335" s="42">
        <v>0</v>
      </c>
      <c r="F335" s="42">
        <f t="shared" si="37"/>
        <v>679.85424000000012</v>
      </c>
      <c r="G335" s="82"/>
      <c r="H335" s="83"/>
      <c r="I335" s="36"/>
      <c r="L335" s="70"/>
      <c r="M335" s="70"/>
      <c r="N335" s="36"/>
    </row>
    <row r="336" spans="1:14" s="37" customFormat="1" ht="15.75" customHeight="1" x14ac:dyDescent="0.25">
      <c r="A336" s="78">
        <f t="shared" si="38"/>
        <v>5</v>
      </c>
      <c r="B336" s="79"/>
      <c r="C336" s="52">
        <v>1</v>
      </c>
      <c r="D336" s="54">
        <f>(36.6+0.75*(2.9+3.05))*(10.764)</f>
        <v>441.99674999999996</v>
      </c>
      <c r="E336" s="42">
        <v>0</v>
      </c>
      <c r="F336" s="42">
        <f t="shared" si="37"/>
        <v>707.19479999999999</v>
      </c>
      <c r="G336" s="82"/>
      <c r="H336" s="83"/>
      <c r="I336" s="36"/>
      <c r="L336" s="70"/>
      <c r="M336" s="70"/>
      <c r="N336" s="36"/>
    </row>
    <row r="337" spans="1:14" s="37" customFormat="1" ht="15.75" customHeight="1" x14ac:dyDescent="0.25">
      <c r="A337" s="78">
        <f t="shared" si="38"/>
        <v>6</v>
      </c>
      <c r="B337" s="79"/>
      <c r="C337" s="52">
        <v>2</v>
      </c>
      <c r="D337" s="54">
        <f>(52.7+0.75*(3.5+2.5+1.35))*(10.764)</f>
        <v>626.59935000000007</v>
      </c>
      <c r="E337" s="42">
        <v>0</v>
      </c>
      <c r="F337" s="42">
        <f t="shared" si="37"/>
        <v>1002.5589600000002</v>
      </c>
      <c r="G337" s="82"/>
      <c r="H337" s="83"/>
      <c r="I337" s="36"/>
      <c r="L337" s="70"/>
      <c r="M337" s="70"/>
      <c r="N337" s="36"/>
    </row>
    <row r="338" spans="1:14" s="37" customFormat="1" ht="15.75" customHeight="1" x14ac:dyDescent="0.25">
      <c r="A338" s="78">
        <f t="shared" si="38"/>
        <v>7</v>
      </c>
      <c r="B338" s="79"/>
      <c r="C338" s="52">
        <v>3</v>
      </c>
      <c r="D338" s="54">
        <f>(71.28+0.75*(3.5+2.5)+0.6*(3.1)+0.4*(2.1+0.9))*(10.764)</f>
        <v>848.63375999999994</v>
      </c>
      <c r="E338" s="42">
        <v>0</v>
      </c>
      <c r="F338" s="42">
        <f t="shared" si="37"/>
        <v>1357.814016</v>
      </c>
      <c r="G338" s="82"/>
      <c r="H338" s="83"/>
      <c r="I338" s="36"/>
      <c r="L338" s="70"/>
      <c r="M338" s="70"/>
      <c r="N338" s="36"/>
    </row>
    <row r="339" spans="1:14" s="37" customFormat="1" ht="15.75" customHeight="1" x14ac:dyDescent="0.25">
      <c r="A339" s="78">
        <f t="shared" si="38"/>
        <v>8</v>
      </c>
      <c r="B339" s="79"/>
      <c r="C339" s="52">
        <v>2</v>
      </c>
      <c r="D339" s="54">
        <f>(53.91+0.75*(3.5+2.5+3.05))*(10.764)</f>
        <v>653.34788999999989</v>
      </c>
      <c r="E339" s="42">
        <v>0</v>
      </c>
      <c r="F339" s="42">
        <f t="shared" si="37"/>
        <v>1045.3566239999998</v>
      </c>
      <c r="G339" s="82"/>
      <c r="H339" s="83"/>
      <c r="I339" s="36"/>
      <c r="L339" s="70"/>
      <c r="M339" s="70"/>
      <c r="N339" s="36"/>
    </row>
    <row r="340" spans="1:14" s="37" customFormat="1" ht="15.75" customHeight="1" x14ac:dyDescent="0.25">
      <c r="A340" s="78">
        <f t="shared" si="38"/>
        <v>9</v>
      </c>
      <c r="B340" s="79"/>
      <c r="C340" s="52">
        <v>0</v>
      </c>
      <c r="D340" s="54">
        <f>(35.95+0.75*1.7)*(10.764)</f>
        <v>400.68989999999997</v>
      </c>
      <c r="E340" s="42">
        <v>0</v>
      </c>
      <c r="F340" s="42">
        <f t="shared" si="37"/>
        <v>641.10383999999999</v>
      </c>
      <c r="G340" s="82"/>
      <c r="H340" s="83"/>
      <c r="I340" s="36"/>
      <c r="L340" s="70"/>
      <c r="M340" s="70"/>
      <c r="N340" s="36"/>
    </row>
    <row r="341" spans="1:14" s="37" customFormat="1" ht="15.75" customHeight="1" x14ac:dyDescent="0.25">
      <c r="A341" s="78">
        <f t="shared" si="38"/>
        <v>10</v>
      </c>
      <c r="B341" s="79"/>
      <c r="C341" s="52">
        <v>1</v>
      </c>
      <c r="D341" s="54">
        <f>(36.6+0.75*(2.9+3.05))*(10.764)</f>
        <v>441.99674999999996</v>
      </c>
      <c r="E341" s="42">
        <v>0</v>
      </c>
      <c r="F341" s="42">
        <f t="shared" si="37"/>
        <v>707.19479999999999</v>
      </c>
      <c r="G341" s="84"/>
      <c r="H341" s="85"/>
      <c r="I341" s="36"/>
      <c r="L341" s="70"/>
      <c r="M341" s="70"/>
      <c r="N341" s="36"/>
    </row>
    <row r="342" spans="1:14" s="37" customFormat="1" x14ac:dyDescent="0.25">
      <c r="A342" s="86" t="s">
        <v>224</v>
      </c>
      <c r="B342" s="87"/>
      <c r="C342" s="87"/>
      <c r="D342" s="87"/>
      <c r="E342" s="87"/>
      <c r="F342" s="87"/>
      <c r="G342" s="87"/>
      <c r="H342" s="88"/>
      <c r="J342" s="36"/>
    </row>
    <row r="343" spans="1:14" s="37" customFormat="1" ht="15.75" customHeight="1" x14ac:dyDescent="0.25">
      <c r="A343" s="78">
        <v>1</v>
      </c>
      <c r="B343" s="79"/>
      <c r="C343" s="52">
        <v>2</v>
      </c>
      <c r="D343" s="54">
        <f>(52.7+0.75*(3.5+2.5+1.3))*(10.764)</f>
        <v>626.19569999999999</v>
      </c>
      <c r="E343" s="42">
        <v>0</v>
      </c>
      <c r="F343" s="42">
        <f>D343*(($F$182)+1)+(IF(E343&lt;101,E343,IF(E343&lt;201,E343/2,IF(E343&lt;=301,E343/3,E343/4))))</f>
        <v>1001.91312</v>
      </c>
      <c r="G343" s="80" t="str">
        <f>A342</f>
        <v>14th Floor (Part Refuge Area)</v>
      </c>
      <c r="H343" s="81"/>
      <c r="I343" s="36"/>
      <c r="L343" s="70"/>
      <c r="M343" s="70"/>
      <c r="N343" s="36"/>
    </row>
    <row r="344" spans="1:14" s="37" customFormat="1" ht="15.75" customHeight="1" x14ac:dyDescent="0.25">
      <c r="A344" s="78">
        <f t="shared" ref="A344:A352" si="39">A343+1</f>
        <v>2</v>
      </c>
      <c r="B344" s="79"/>
      <c r="C344" s="52">
        <v>3</v>
      </c>
      <c r="D344" s="54">
        <f>(71.28+0.75*(3.5+2.5)+0.6*3.1+0.4*(2.1+0.9))*(10.764)</f>
        <v>848.63375999999994</v>
      </c>
      <c r="E344" s="42">
        <v>0</v>
      </c>
      <c r="F344" s="42">
        <f>D344*(($F$182)+1)+(IF(E344&lt;101,E344,IF(E344&lt;201,E344/2,IF(E344&lt;=301,E344/3,E344/4))))</f>
        <v>1357.814016</v>
      </c>
      <c r="G344" s="82"/>
      <c r="H344" s="83"/>
      <c r="I344" s="36"/>
      <c r="L344" s="70"/>
      <c r="M344" s="70"/>
      <c r="N344" s="36"/>
    </row>
    <row r="345" spans="1:14" s="37" customFormat="1" ht="15.75" customHeight="1" x14ac:dyDescent="0.25">
      <c r="A345" s="78">
        <f t="shared" si="39"/>
        <v>3</v>
      </c>
      <c r="B345" s="79"/>
      <c r="C345" s="52">
        <v>2</v>
      </c>
      <c r="D345" s="54">
        <f>(53.91+0.75*(3+2.5+3.5))*(10.764)</f>
        <v>652.94423999999992</v>
      </c>
      <c r="E345" s="42">
        <v>0</v>
      </c>
      <c r="F345" s="42">
        <f>D345*(($F$182)+1)+(IF(E345&lt;101,E345,IF(E345&lt;201,E345/2,IF(E345&lt;=301,E345/3,E345/4))))</f>
        <v>1044.7107839999999</v>
      </c>
      <c r="G345" s="82"/>
      <c r="H345" s="83"/>
      <c r="I345" s="36"/>
      <c r="L345" s="70"/>
      <c r="M345" s="70"/>
      <c r="N345" s="36"/>
    </row>
    <row r="346" spans="1:14" s="37" customFormat="1" ht="15.75" customHeight="1" x14ac:dyDescent="0.25">
      <c r="A346" s="78">
        <f t="shared" si="39"/>
        <v>4</v>
      </c>
      <c r="B346" s="79"/>
      <c r="C346" s="52">
        <v>2</v>
      </c>
      <c r="D346" s="54">
        <f>(46.64+0.75*(3+1.7+2.95))*(10.764)</f>
        <v>563.79140999999993</v>
      </c>
      <c r="E346" s="42">
        <v>0</v>
      </c>
      <c r="F346" s="42">
        <f>D346*(($F$182)+1)+(IF(E346&lt;101,E346,IF(E346&lt;201,E346/2,IF(E346&lt;=301,E346/3,E346/4))))</f>
        <v>902.06625599999995</v>
      </c>
      <c r="G346" s="82"/>
      <c r="H346" s="83"/>
      <c r="I346" s="36"/>
      <c r="L346" s="70"/>
      <c r="M346" s="70"/>
      <c r="N346" s="36"/>
    </row>
    <row r="347" spans="1:14" s="37" customFormat="1" ht="15.75" customHeight="1" x14ac:dyDescent="0.25">
      <c r="A347" s="78">
        <f t="shared" si="39"/>
        <v>5</v>
      </c>
      <c r="B347" s="79"/>
      <c r="C347" s="91" t="s">
        <v>184</v>
      </c>
      <c r="D347" s="92"/>
      <c r="E347" s="92"/>
      <c r="F347" s="93"/>
      <c r="G347" s="82"/>
      <c r="H347" s="83"/>
      <c r="I347" s="36"/>
      <c r="L347" s="70"/>
      <c r="M347" s="70"/>
      <c r="N347" s="36"/>
    </row>
    <row r="348" spans="1:14" s="37" customFormat="1" ht="15.75" customHeight="1" x14ac:dyDescent="0.25">
      <c r="A348" s="78">
        <f t="shared" si="39"/>
        <v>6</v>
      </c>
      <c r="B348" s="79"/>
      <c r="C348" s="97"/>
      <c r="D348" s="98"/>
      <c r="E348" s="98"/>
      <c r="F348" s="99"/>
      <c r="G348" s="82"/>
      <c r="H348" s="83"/>
      <c r="I348" s="36"/>
      <c r="L348" s="70"/>
      <c r="M348" s="70"/>
      <c r="N348" s="36"/>
    </row>
    <row r="349" spans="1:14" s="37" customFormat="1" ht="15.75" customHeight="1" x14ac:dyDescent="0.25">
      <c r="A349" s="78">
        <f t="shared" si="39"/>
        <v>7</v>
      </c>
      <c r="B349" s="79"/>
      <c r="C349" s="94"/>
      <c r="D349" s="95"/>
      <c r="E349" s="95"/>
      <c r="F349" s="96"/>
      <c r="G349" s="82"/>
      <c r="H349" s="83"/>
      <c r="I349" s="36"/>
      <c r="L349" s="70"/>
      <c r="M349" s="70"/>
      <c r="N349" s="36"/>
    </row>
    <row r="350" spans="1:14" s="37" customFormat="1" ht="15.75" customHeight="1" x14ac:dyDescent="0.25">
      <c r="A350" s="78">
        <f t="shared" si="39"/>
        <v>8</v>
      </c>
      <c r="B350" s="79"/>
      <c r="C350" s="52">
        <v>2</v>
      </c>
      <c r="D350" s="54">
        <f>(53.91+0.75*(3.5+2.5+3.05))*(10.764)</f>
        <v>653.34788999999989</v>
      </c>
      <c r="E350" s="42">
        <v>0</v>
      </c>
      <c r="F350" s="42">
        <f>D350*(($F$182)+1)+(IF(E350&lt;101,E350,IF(E350&lt;201,E350/2,IF(E350&lt;=301,E350/3,E350/4))))</f>
        <v>1045.3566239999998</v>
      </c>
      <c r="G350" s="82"/>
      <c r="H350" s="83"/>
      <c r="I350" s="36"/>
      <c r="L350" s="70"/>
      <c r="M350" s="70"/>
      <c r="N350" s="36"/>
    </row>
    <row r="351" spans="1:14" s="37" customFormat="1" ht="15.75" customHeight="1" x14ac:dyDescent="0.25">
      <c r="A351" s="78">
        <f t="shared" si="39"/>
        <v>9</v>
      </c>
      <c r="B351" s="79"/>
      <c r="C351" s="52">
        <v>0</v>
      </c>
      <c r="D351" s="54">
        <f>(35.95+0.75*1.7)*(10.764)</f>
        <v>400.68989999999997</v>
      </c>
      <c r="E351" s="42">
        <v>0</v>
      </c>
      <c r="F351" s="42">
        <f>D351*(($F$182)+1)+(IF(E351&lt;101,E351,IF(E351&lt;201,E351/2,IF(E351&lt;=301,E351/3,E351/4))))</f>
        <v>641.10383999999999</v>
      </c>
      <c r="G351" s="82"/>
      <c r="H351" s="83"/>
      <c r="I351" s="36"/>
      <c r="L351" s="70"/>
      <c r="M351" s="70"/>
      <c r="N351" s="36"/>
    </row>
    <row r="352" spans="1:14" s="37" customFormat="1" ht="15.75" customHeight="1" x14ac:dyDescent="0.25">
      <c r="A352" s="78">
        <f t="shared" si="39"/>
        <v>10</v>
      </c>
      <c r="B352" s="79"/>
      <c r="C352" s="52">
        <v>1</v>
      </c>
      <c r="D352" s="54">
        <f>(36.6+0.75*(2.9+3.05))*(10.764)</f>
        <v>441.99674999999996</v>
      </c>
      <c r="E352" s="42">
        <v>0</v>
      </c>
      <c r="F352" s="42">
        <f>D352*(($F$182)+1)+(IF(E352&lt;101,E352,IF(E352&lt;201,E352/2,IF(E352&lt;=301,E352/3,E352/4))))</f>
        <v>707.19479999999999</v>
      </c>
      <c r="G352" s="84"/>
      <c r="H352" s="85"/>
      <c r="I352" s="36"/>
      <c r="L352" s="70"/>
      <c r="M352" s="70"/>
      <c r="N352" s="36"/>
    </row>
    <row r="353" spans="1:14" s="37" customFormat="1" x14ac:dyDescent="0.25">
      <c r="A353" s="86" t="s">
        <v>225</v>
      </c>
      <c r="B353" s="87"/>
      <c r="C353" s="87"/>
      <c r="D353" s="87"/>
      <c r="E353" s="87"/>
      <c r="F353" s="87"/>
      <c r="G353" s="87"/>
      <c r="H353" s="88"/>
      <c r="J353" s="36"/>
    </row>
    <row r="354" spans="1:14" s="37" customFormat="1" ht="15.75" customHeight="1" x14ac:dyDescent="0.25">
      <c r="A354" s="78">
        <v>1</v>
      </c>
      <c r="B354" s="79"/>
      <c r="C354" s="52">
        <v>2</v>
      </c>
      <c r="D354" s="54">
        <f>(52.7+0.75*(3.5+2.5+1.3))*(10.764)</f>
        <v>626.19569999999999</v>
      </c>
      <c r="E354" s="42">
        <v>0</v>
      </c>
      <c r="F354" s="42">
        <f t="shared" ref="F354:F363" si="40">D354*(($F$182)+1)+(IF(E354&lt;101,E354,IF(E354&lt;201,E354/2,IF(E354&lt;=301,E354/3,E354/4))))</f>
        <v>1001.91312</v>
      </c>
      <c r="G354" s="80" t="str">
        <f>A353</f>
        <v>22nd to 27th, 29th to 34th &amp; 36th to 40th Floor</v>
      </c>
      <c r="H354" s="81"/>
      <c r="I354" s="36"/>
      <c r="L354" s="70"/>
      <c r="M354" s="70"/>
      <c r="N354" s="36"/>
    </row>
    <row r="355" spans="1:14" s="37" customFormat="1" ht="15.75" customHeight="1" x14ac:dyDescent="0.25">
      <c r="A355" s="78">
        <f t="shared" ref="A355:A363" si="41">A354+1</f>
        <v>2</v>
      </c>
      <c r="B355" s="79"/>
      <c r="C355" s="52">
        <v>3</v>
      </c>
      <c r="D355" s="54">
        <f>(71.28+0.75*(3.5+2.5)+0.6*3.1+0.4*(2.1+0.9))*(10.764)</f>
        <v>848.63375999999994</v>
      </c>
      <c r="E355" s="42">
        <v>0</v>
      </c>
      <c r="F355" s="42">
        <f t="shared" si="40"/>
        <v>1357.814016</v>
      </c>
      <c r="G355" s="82"/>
      <c r="H355" s="83"/>
      <c r="I355" s="36"/>
      <c r="L355" s="70"/>
      <c r="M355" s="70"/>
      <c r="N355" s="36"/>
    </row>
    <row r="356" spans="1:14" s="37" customFormat="1" ht="15.75" customHeight="1" x14ac:dyDescent="0.25">
      <c r="A356" s="78">
        <f t="shared" si="41"/>
        <v>3</v>
      </c>
      <c r="B356" s="79"/>
      <c r="C356" s="52">
        <v>2</v>
      </c>
      <c r="D356" s="54">
        <f>(53.91+0.75*(3+2.5+3.5))*(10.764)</f>
        <v>652.94423999999992</v>
      </c>
      <c r="E356" s="42">
        <v>0</v>
      </c>
      <c r="F356" s="42">
        <f t="shared" si="40"/>
        <v>1044.7107839999999</v>
      </c>
      <c r="G356" s="82"/>
      <c r="H356" s="83"/>
      <c r="I356" s="36"/>
      <c r="L356" s="70"/>
      <c r="M356" s="70"/>
      <c r="N356" s="36"/>
    </row>
    <row r="357" spans="1:14" s="37" customFormat="1" ht="15.75" customHeight="1" x14ac:dyDescent="0.25">
      <c r="A357" s="78">
        <f t="shared" si="41"/>
        <v>4</v>
      </c>
      <c r="B357" s="79"/>
      <c r="C357" s="52">
        <v>0</v>
      </c>
      <c r="D357" s="54">
        <f>(35.95+0.75*(3+1.7))*(10.764)</f>
        <v>424.90890000000002</v>
      </c>
      <c r="E357" s="42">
        <v>0</v>
      </c>
      <c r="F357" s="42">
        <f t="shared" si="40"/>
        <v>679.85424000000012</v>
      </c>
      <c r="G357" s="82"/>
      <c r="H357" s="83"/>
      <c r="I357" s="36"/>
      <c r="L357" s="70"/>
      <c r="M357" s="70"/>
      <c r="N357" s="36"/>
    </row>
    <row r="358" spans="1:14" s="37" customFormat="1" ht="15.75" customHeight="1" x14ac:dyDescent="0.25">
      <c r="A358" s="78">
        <f t="shared" si="41"/>
        <v>5</v>
      </c>
      <c r="B358" s="79"/>
      <c r="C358" s="52">
        <v>1</v>
      </c>
      <c r="D358" s="54">
        <f>(36.6+0.75*(2.9+3.05))*(10.764)</f>
        <v>441.99674999999996</v>
      </c>
      <c r="E358" s="42">
        <v>0</v>
      </c>
      <c r="F358" s="42">
        <f t="shared" si="40"/>
        <v>707.19479999999999</v>
      </c>
      <c r="G358" s="82"/>
      <c r="H358" s="83"/>
      <c r="I358" s="36"/>
      <c r="L358" s="70"/>
      <c r="M358" s="70"/>
      <c r="N358" s="36"/>
    </row>
    <row r="359" spans="1:14" s="37" customFormat="1" ht="15.75" customHeight="1" x14ac:dyDescent="0.25">
      <c r="A359" s="78">
        <f t="shared" si="41"/>
        <v>6</v>
      </c>
      <c r="B359" s="79"/>
      <c r="C359" s="52">
        <v>2</v>
      </c>
      <c r="D359" s="54">
        <f>(52.7+0.75*(3.5+2.5+1.35))*(10.764)</f>
        <v>626.59935000000007</v>
      </c>
      <c r="E359" s="42">
        <v>0</v>
      </c>
      <c r="F359" s="42">
        <f t="shared" si="40"/>
        <v>1002.5589600000002</v>
      </c>
      <c r="G359" s="82"/>
      <c r="H359" s="83"/>
      <c r="I359" s="36"/>
      <c r="L359" s="70"/>
      <c r="M359" s="70"/>
      <c r="N359" s="36"/>
    </row>
    <row r="360" spans="1:14" s="37" customFormat="1" ht="15.75" customHeight="1" x14ac:dyDescent="0.25">
      <c r="A360" s="78">
        <f t="shared" si="41"/>
        <v>7</v>
      </c>
      <c r="B360" s="79"/>
      <c r="C360" s="52">
        <v>3</v>
      </c>
      <c r="D360" s="54">
        <f>(71.28+0.75*(3.5+2.5)+0.6*(3.1)+0.4*(2.1+0.9))*(10.764)</f>
        <v>848.63375999999994</v>
      </c>
      <c r="E360" s="42">
        <v>0</v>
      </c>
      <c r="F360" s="42">
        <f t="shared" si="40"/>
        <v>1357.814016</v>
      </c>
      <c r="G360" s="82"/>
      <c r="H360" s="83"/>
      <c r="I360" s="36"/>
      <c r="L360" s="70"/>
      <c r="M360" s="70"/>
      <c r="N360" s="36"/>
    </row>
    <row r="361" spans="1:14" s="37" customFormat="1" ht="15.75" customHeight="1" x14ac:dyDescent="0.25">
      <c r="A361" s="78">
        <f t="shared" si="41"/>
        <v>8</v>
      </c>
      <c r="B361" s="79"/>
      <c r="C361" s="52">
        <v>2</v>
      </c>
      <c r="D361" s="54">
        <f>(53.91+0.75*(3.5+2.5+3.05))*(10.764)</f>
        <v>653.34788999999989</v>
      </c>
      <c r="E361" s="42">
        <v>0</v>
      </c>
      <c r="F361" s="42">
        <f t="shared" si="40"/>
        <v>1045.3566239999998</v>
      </c>
      <c r="G361" s="82"/>
      <c r="H361" s="83"/>
      <c r="I361" s="36"/>
      <c r="L361" s="70"/>
      <c r="M361" s="70"/>
      <c r="N361" s="36"/>
    </row>
    <row r="362" spans="1:14" s="37" customFormat="1" ht="15.75" customHeight="1" x14ac:dyDescent="0.25">
      <c r="A362" s="78">
        <f t="shared" si="41"/>
        <v>9</v>
      </c>
      <c r="B362" s="79"/>
      <c r="C362" s="52">
        <v>0</v>
      </c>
      <c r="D362" s="54">
        <f>(35.95+0.75*1.7)*(10.764)</f>
        <v>400.68989999999997</v>
      </c>
      <c r="E362" s="42">
        <v>0</v>
      </c>
      <c r="F362" s="42">
        <f t="shared" si="40"/>
        <v>641.10383999999999</v>
      </c>
      <c r="G362" s="82"/>
      <c r="H362" s="83"/>
      <c r="I362" s="36"/>
      <c r="L362" s="70"/>
      <c r="M362" s="70"/>
      <c r="N362" s="36"/>
    </row>
    <row r="363" spans="1:14" s="37" customFormat="1" ht="15.75" customHeight="1" x14ac:dyDescent="0.25">
      <c r="A363" s="78">
        <f t="shared" si="41"/>
        <v>10</v>
      </c>
      <c r="B363" s="79"/>
      <c r="C363" s="52">
        <v>1</v>
      </c>
      <c r="D363" s="54">
        <f>(36.6+0.75*(2.9+3.05))*(10.764)</f>
        <v>441.99674999999996</v>
      </c>
      <c r="E363" s="42">
        <v>0</v>
      </c>
      <c r="F363" s="42">
        <f t="shared" si="40"/>
        <v>707.19479999999999</v>
      </c>
      <c r="G363" s="84"/>
      <c r="H363" s="85"/>
      <c r="I363" s="36"/>
      <c r="L363" s="70"/>
      <c r="M363" s="70"/>
      <c r="N363" s="36"/>
    </row>
    <row r="364" spans="1:14" s="37" customFormat="1" x14ac:dyDescent="0.25">
      <c r="A364" s="77" t="s">
        <v>226</v>
      </c>
      <c r="B364" s="77"/>
      <c r="C364" s="77"/>
      <c r="D364" s="77"/>
      <c r="E364" s="77"/>
      <c r="F364" s="77"/>
      <c r="G364" s="77"/>
      <c r="H364" s="77"/>
      <c r="J364" s="36"/>
    </row>
    <row r="365" spans="1:14" s="37" customFormat="1" ht="15.75" customHeight="1" x14ac:dyDescent="0.25">
      <c r="A365" s="89">
        <v>1</v>
      </c>
      <c r="B365" s="89"/>
      <c r="C365" s="52">
        <v>2</v>
      </c>
      <c r="D365" s="54">
        <f>(52.7+0.75*(3.5+2.5+1.3))*(10.764)</f>
        <v>626.19569999999999</v>
      </c>
      <c r="E365" s="61">
        <v>0</v>
      </c>
      <c r="F365" s="61">
        <f>D365*(($F$182)+1)+(IF(E365&lt;101,E365,IF(E365&lt;201,E365/2,IF(E365&lt;=301,E365/3,E365/4))))</f>
        <v>1001.91312</v>
      </c>
      <c r="G365" s="89" t="str">
        <f>A364</f>
        <v>21st &amp; 28th Floor (Part Refuge Area)</v>
      </c>
      <c r="H365" s="89"/>
      <c r="I365" s="36"/>
      <c r="L365" s="70"/>
      <c r="M365" s="70"/>
      <c r="N365" s="36"/>
    </row>
    <row r="366" spans="1:14" s="37" customFormat="1" ht="15.75" customHeight="1" x14ac:dyDescent="0.25">
      <c r="A366" s="89">
        <f t="shared" ref="A366:A374" si="42">A365+1</f>
        <v>2</v>
      </c>
      <c r="B366" s="89"/>
      <c r="C366" s="52">
        <v>3</v>
      </c>
      <c r="D366" s="54">
        <f>(71.28+0.75*(3.5+2.5)+0.6*3.1+0.4*(2.1+0.9))*(10.764)</f>
        <v>848.63375999999994</v>
      </c>
      <c r="E366" s="61">
        <v>0</v>
      </c>
      <c r="F366" s="61">
        <f>D366*(($F$182)+1)+(IF(E366&lt;101,E366,IF(E366&lt;201,E366/2,IF(E366&lt;=301,E366/3,E366/4))))</f>
        <v>1357.814016</v>
      </c>
      <c r="G366" s="89"/>
      <c r="H366" s="89"/>
      <c r="I366" s="36"/>
      <c r="L366" s="70"/>
      <c r="M366" s="70"/>
      <c r="N366" s="36"/>
    </row>
    <row r="367" spans="1:14" s="37" customFormat="1" ht="15.75" customHeight="1" x14ac:dyDescent="0.25">
      <c r="A367" s="89">
        <f t="shared" si="42"/>
        <v>3</v>
      </c>
      <c r="B367" s="89"/>
      <c r="C367" s="52">
        <v>2</v>
      </c>
      <c r="D367" s="54">
        <f>(53.91+0.75*(3+2.5+3.5))*(10.764)</f>
        <v>652.94423999999992</v>
      </c>
      <c r="E367" s="61">
        <v>0</v>
      </c>
      <c r="F367" s="61">
        <f>D367*(($F$182)+1)+(IF(E367&lt;101,E367,IF(E367&lt;201,E367/2,IF(E367&lt;=301,E367/3,E367/4))))</f>
        <v>1044.7107839999999</v>
      </c>
      <c r="G367" s="89"/>
      <c r="H367" s="89"/>
      <c r="I367" s="36"/>
      <c r="L367" s="70"/>
      <c r="M367" s="70"/>
      <c r="N367" s="36"/>
    </row>
    <row r="368" spans="1:14" s="37" customFormat="1" ht="15.75" customHeight="1" x14ac:dyDescent="0.25">
      <c r="A368" s="89">
        <f t="shared" si="42"/>
        <v>4</v>
      </c>
      <c r="B368" s="89"/>
      <c r="C368" s="52">
        <v>2</v>
      </c>
      <c r="D368" s="54">
        <f>(46.64+0.75*(3+1.7+2.95))*(10.764)</f>
        <v>563.79140999999993</v>
      </c>
      <c r="E368" s="61">
        <v>0</v>
      </c>
      <c r="F368" s="61">
        <f>D368*(($F$182)+1)+(IF(E368&lt;101,E368,IF(E368&lt;201,E368/2,IF(E368&lt;=301,E368/3,E368/4))))</f>
        <v>902.06625599999995</v>
      </c>
      <c r="G368" s="89"/>
      <c r="H368" s="89"/>
      <c r="I368" s="36"/>
      <c r="L368" s="70"/>
      <c r="M368" s="70"/>
      <c r="N368" s="36"/>
    </row>
    <row r="369" spans="1:14" s="37" customFormat="1" ht="15.75" customHeight="1" x14ac:dyDescent="0.25">
      <c r="A369" s="89">
        <f t="shared" si="42"/>
        <v>5</v>
      </c>
      <c r="B369" s="89"/>
      <c r="C369" s="90" t="s">
        <v>184</v>
      </c>
      <c r="D369" s="90"/>
      <c r="E369" s="90"/>
      <c r="F369" s="90"/>
      <c r="G369" s="89"/>
      <c r="H369" s="89"/>
      <c r="I369" s="36"/>
      <c r="L369" s="70"/>
      <c r="M369" s="70"/>
      <c r="N369" s="36"/>
    </row>
    <row r="370" spans="1:14" s="37" customFormat="1" ht="15.75" customHeight="1" x14ac:dyDescent="0.25">
      <c r="A370" s="89">
        <f t="shared" si="42"/>
        <v>6</v>
      </c>
      <c r="B370" s="89"/>
      <c r="C370" s="90"/>
      <c r="D370" s="90"/>
      <c r="E370" s="90"/>
      <c r="F370" s="90"/>
      <c r="G370" s="89"/>
      <c r="H370" s="89"/>
      <c r="I370" s="36"/>
      <c r="L370" s="70"/>
      <c r="M370" s="70"/>
      <c r="N370" s="36"/>
    </row>
    <row r="371" spans="1:14" s="37" customFormat="1" ht="15.75" customHeight="1" x14ac:dyDescent="0.25">
      <c r="A371" s="89">
        <f t="shared" si="42"/>
        <v>7</v>
      </c>
      <c r="B371" s="89"/>
      <c r="C371" s="90"/>
      <c r="D371" s="90"/>
      <c r="E371" s="90"/>
      <c r="F371" s="90"/>
      <c r="G371" s="89"/>
      <c r="H371" s="89"/>
      <c r="I371" s="36"/>
      <c r="L371" s="70"/>
      <c r="M371" s="70"/>
      <c r="N371" s="36"/>
    </row>
    <row r="372" spans="1:14" s="37" customFormat="1" ht="15.75" customHeight="1" x14ac:dyDescent="0.25">
      <c r="A372" s="89">
        <f t="shared" si="42"/>
        <v>8</v>
      </c>
      <c r="B372" s="89"/>
      <c r="C372" s="52">
        <v>2</v>
      </c>
      <c r="D372" s="54">
        <f>(53.91+0.75*(3.5+2.5+3.05))*(10.764)</f>
        <v>653.34788999999989</v>
      </c>
      <c r="E372" s="61">
        <v>0</v>
      </c>
      <c r="F372" s="61">
        <f>D372*(($F$182)+1)+(IF(E372&lt;101,E372,IF(E372&lt;201,E372/2,IF(E372&lt;=301,E372/3,E372/4))))</f>
        <v>1045.3566239999998</v>
      </c>
      <c r="G372" s="89"/>
      <c r="H372" s="89"/>
      <c r="I372" s="36"/>
      <c r="L372" s="70"/>
      <c r="M372" s="70"/>
      <c r="N372" s="36"/>
    </row>
    <row r="373" spans="1:14" s="37" customFormat="1" ht="15.75" customHeight="1" x14ac:dyDescent="0.25">
      <c r="A373" s="89">
        <f t="shared" si="42"/>
        <v>9</v>
      </c>
      <c r="B373" s="89"/>
      <c r="C373" s="52">
        <v>0</v>
      </c>
      <c r="D373" s="54">
        <f>(35.95+0.75*1.7)*(10.764)</f>
        <v>400.68989999999997</v>
      </c>
      <c r="E373" s="61">
        <v>0</v>
      </c>
      <c r="F373" s="61">
        <f>D373*(($F$182)+1)+(IF(E373&lt;101,E373,IF(E373&lt;201,E373/2,IF(E373&lt;=301,E373/3,E373/4))))</f>
        <v>641.10383999999999</v>
      </c>
      <c r="G373" s="89"/>
      <c r="H373" s="89"/>
      <c r="I373" s="36"/>
      <c r="L373" s="70"/>
      <c r="M373" s="70"/>
      <c r="N373" s="36"/>
    </row>
    <row r="374" spans="1:14" s="37" customFormat="1" ht="15.75" customHeight="1" x14ac:dyDescent="0.25">
      <c r="A374" s="89">
        <f t="shared" si="42"/>
        <v>10</v>
      </c>
      <c r="B374" s="89"/>
      <c r="C374" s="52">
        <v>1</v>
      </c>
      <c r="D374" s="54">
        <f>(36.6+0.75*(2.9+3.05))*(10.764)</f>
        <v>441.99674999999996</v>
      </c>
      <c r="E374" s="61">
        <v>0</v>
      </c>
      <c r="F374" s="61">
        <f>D374*(($F$182)+1)+(IF(E374&lt;101,E374,IF(E374&lt;201,E374/2,IF(E374&lt;=301,E374/3,E374/4))))</f>
        <v>707.19479999999999</v>
      </c>
      <c r="G374" s="89"/>
      <c r="H374" s="89"/>
      <c r="I374" s="36"/>
      <c r="L374" s="70"/>
      <c r="M374" s="70"/>
      <c r="N374" s="36"/>
    </row>
    <row r="375" spans="1:14" s="37" customFormat="1" x14ac:dyDescent="0.25">
      <c r="A375" s="86" t="s">
        <v>190</v>
      </c>
      <c r="B375" s="87"/>
      <c r="C375" s="87"/>
      <c r="D375" s="87"/>
      <c r="E375" s="87"/>
      <c r="F375" s="87"/>
      <c r="G375" s="87"/>
      <c r="H375" s="88"/>
      <c r="J375" s="36"/>
    </row>
    <row r="376" spans="1:14" s="37" customFormat="1" ht="15.75" customHeight="1" x14ac:dyDescent="0.25">
      <c r="A376" s="78">
        <v>1</v>
      </c>
      <c r="B376" s="79"/>
      <c r="C376" s="52">
        <v>2</v>
      </c>
      <c r="D376" s="54">
        <f>(52.7+0.75*(3.5+2.5+1.3))*(10.764)</f>
        <v>626.19569999999999</v>
      </c>
      <c r="E376" s="42">
        <v>0</v>
      </c>
      <c r="F376" s="42">
        <f>D376*(($F$182)+1)+(IF(E376&lt;101,E376,IF(E376&lt;201,E376/2,IF(E376&lt;=301,E376/3,E376/4))))</f>
        <v>1001.91312</v>
      </c>
      <c r="G376" s="80" t="str">
        <f>A375</f>
        <v>35th Floor (Part Refuge Area)</v>
      </c>
      <c r="H376" s="81"/>
      <c r="I376" s="36"/>
      <c r="L376" s="70"/>
      <c r="M376" s="70"/>
      <c r="N376" s="36"/>
    </row>
    <row r="377" spans="1:14" s="37" customFormat="1" ht="15.75" customHeight="1" x14ac:dyDescent="0.25">
      <c r="A377" s="78">
        <f t="shared" ref="A377:A385" si="43">A376+1</f>
        <v>2</v>
      </c>
      <c r="B377" s="79"/>
      <c r="C377" s="52">
        <v>3</v>
      </c>
      <c r="D377" s="54">
        <f>(71.28+0.75*(3.5+2.5)+0.6*3.1+0.4*(2.1+0.9))*(10.764)</f>
        <v>848.63375999999994</v>
      </c>
      <c r="E377" s="42">
        <v>0</v>
      </c>
      <c r="F377" s="42">
        <f>D377*(($F$182)+1)+(IF(E377&lt;101,E377,IF(E377&lt;201,E377/2,IF(E377&lt;=301,E377/3,E377/4))))</f>
        <v>1357.814016</v>
      </c>
      <c r="G377" s="82"/>
      <c r="H377" s="83"/>
      <c r="I377" s="36"/>
      <c r="L377" s="70"/>
      <c r="M377" s="70"/>
      <c r="N377" s="36"/>
    </row>
    <row r="378" spans="1:14" s="37" customFormat="1" ht="15.75" customHeight="1" x14ac:dyDescent="0.25">
      <c r="A378" s="78">
        <f t="shared" si="43"/>
        <v>3</v>
      </c>
      <c r="B378" s="79"/>
      <c r="C378" s="52">
        <v>2</v>
      </c>
      <c r="D378" s="54">
        <f>(53.91+0.75*(3+2.5+3.5))*(10.764)</f>
        <v>652.94423999999992</v>
      </c>
      <c r="E378" s="42">
        <v>0</v>
      </c>
      <c r="F378" s="42">
        <f>D378*(($F$182)+1)+(IF(E378&lt;101,E378,IF(E378&lt;201,E378/2,IF(E378&lt;=301,E378/3,E378/4))))</f>
        <v>1044.7107839999999</v>
      </c>
      <c r="G378" s="82"/>
      <c r="H378" s="83"/>
      <c r="I378" s="36"/>
      <c r="L378" s="70"/>
      <c r="M378" s="70"/>
      <c r="N378" s="36"/>
    </row>
    <row r="379" spans="1:14" s="37" customFormat="1" ht="15.75" customHeight="1" x14ac:dyDescent="0.25">
      <c r="A379" s="78">
        <f t="shared" si="43"/>
        <v>4</v>
      </c>
      <c r="B379" s="79"/>
      <c r="C379" s="52">
        <v>0</v>
      </c>
      <c r="D379" s="54">
        <f>(35.95+0.75*(3+1.7))*(10.764)</f>
        <v>424.90890000000002</v>
      </c>
      <c r="E379" s="42">
        <v>0</v>
      </c>
      <c r="F379" s="42">
        <f>D379*(($F$182)+1)+(IF(E379&lt;101,E379,IF(E379&lt;201,E379/2,IF(E379&lt;=301,E379/3,E379/4))))</f>
        <v>679.85424000000012</v>
      </c>
      <c r="G379" s="82"/>
      <c r="H379" s="83"/>
      <c r="I379" s="36"/>
      <c r="L379" s="70"/>
      <c r="M379" s="70"/>
      <c r="N379" s="36"/>
    </row>
    <row r="380" spans="1:14" s="37" customFormat="1" ht="15.75" customHeight="1" x14ac:dyDescent="0.25">
      <c r="A380" s="78">
        <f t="shared" si="43"/>
        <v>5</v>
      </c>
      <c r="B380" s="79"/>
      <c r="C380" s="52">
        <v>1</v>
      </c>
      <c r="D380" s="54">
        <f>(36.6+0.75*(2.9+3.05))*(10.764)</f>
        <v>441.99674999999996</v>
      </c>
      <c r="E380" s="42">
        <v>0</v>
      </c>
      <c r="F380" s="42">
        <f>D380*(($F$182)+1)+(IF(E380&lt;101,E380,IF(E380&lt;201,E380/2,IF(E380&lt;=301,E380/3,E380/4))))</f>
        <v>707.19479999999999</v>
      </c>
      <c r="G380" s="82"/>
      <c r="H380" s="83"/>
      <c r="I380" s="36"/>
      <c r="L380" s="70"/>
      <c r="M380" s="70"/>
      <c r="N380" s="36"/>
    </row>
    <row r="381" spans="1:14" s="37" customFormat="1" ht="15.75" customHeight="1" x14ac:dyDescent="0.25">
      <c r="A381" s="78">
        <f t="shared" si="43"/>
        <v>6</v>
      </c>
      <c r="B381" s="79"/>
      <c r="C381" s="80" t="s">
        <v>184</v>
      </c>
      <c r="D381" s="201"/>
      <c r="E381" s="201"/>
      <c r="F381" s="81"/>
      <c r="G381" s="82"/>
      <c r="H381" s="83"/>
      <c r="I381" s="36"/>
      <c r="L381" s="70"/>
      <c r="M381" s="70"/>
      <c r="N381" s="36"/>
    </row>
    <row r="382" spans="1:14" s="37" customFormat="1" ht="15.75" customHeight="1" x14ac:dyDescent="0.25">
      <c r="A382" s="78">
        <f t="shared" si="43"/>
        <v>7</v>
      </c>
      <c r="B382" s="79"/>
      <c r="C382" s="84"/>
      <c r="D382" s="202"/>
      <c r="E382" s="202"/>
      <c r="F382" s="85"/>
      <c r="G382" s="82"/>
      <c r="H382" s="83"/>
      <c r="I382" s="36"/>
      <c r="L382" s="70"/>
      <c r="M382" s="70"/>
      <c r="N382" s="36"/>
    </row>
    <row r="383" spans="1:14" s="37" customFormat="1" ht="15.75" customHeight="1" x14ac:dyDescent="0.25">
      <c r="A383" s="78">
        <f t="shared" si="43"/>
        <v>8</v>
      </c>
      <c r="B383" s="79"/>
      <c r="C383" s="52">
        <v>2</v>
      </c>
      <c r="D383" s="54">
        <f>(53.91+0.75*(3.5+2.5+3.05))*(10.764)</f>
        <v>653.34788999999989</v>
      </c>
      <c r="E383" s="42">
        <v>0</v>
      </c>
      <c r="F383" s="42">
        <f>D383*(($F$182)+1)+(IF(E383&lt;101,E383,IF(E383&lt;201,E383/2,IF(E383&lt;=301,E383/3,E383/4))))</f>
        <v>1045.3566239999998</v>
      </c>
      <c r="G383" s="82"/>
      <c r="H383" s="83"/>
      <c r="I383" s="36"/>
      <c r="L383" s="70"/>
      <c r="M383" s="70"/>
      <c r="N383" s="36"/>
    </row>
    <row r="384" spans="1:14" s="37" customFormat="1" ht="15.75" customHeight="1" x14ac:dyDescent="0.25">
      <c r="A384" s="78">
        <f t="shared" si="43"/>
        <v>9</v>
      </c>
      <c r="B384" s="79"/>
      <c r="C384" s="52">
        <v>0</v>
      </c>
      <c r="D384" s="54">
        <f>(35.95+0.75*1.7)*(10.764)</f>
        <v>400.68989999999997</v>
      </c>
      <c r="E384" s="42">
        <v>0</v>
      </c>
      <c r="F384" s="42">
        <f>D384*(($F$182)+1)+(IF(E384&lt;101,E384,IF(E384&lt;201,E384/2,IF(E384&lt;=301,E384/3,E384/4))))</f>
        <v>641.10383999999999</v>
      </c>
      <c r="G384" s="82"/>
      <c r="H384" s="83"/>
      <c r="I384" s="36"/>
      <c r="L384" s="70"/>
      <c r="M384" s="70"/>
      <c r="N384" s="36"/>
    </row>
    <row r="385" spans="1:14" s="37" customFormat="1" ht="15.75" customHeight="1" x14ac:dyDescent="0.25">
      <c r="A385" s="78">
        <f t="shared" si="43"/>
        <v>10</v>
      </c>
      <c r="B385" s="79"/>
      <c r="C385" s="52">
        <v>1</v>
      </c>
      <c r="D385" s="54">
        <f>(36.6+0.75*(2.9+3.05))*(10.764)</f>
        <v>441.99674999999996</v>
      </c>
      <c r="E385" s="42">
        <v>0</v>
      </c>
      <c r="F385" s="42">
        <f>D385*(($F$182)+1)+(IF(E385&lt;101,E385,IF(E385&lt;201,E385/2,IF(E385&lt;=301,E385/3,E385/4))))</f>
        <v>707.19479999999999</v>
      </c>
      <c r="G385" s="84"/>
      <c r="H385" s="85"/>
      <c r="I385" s="36"/>
      <c r="L385" s="70"/>
      <c r="M385" s="70"/>
      <c r="N385" s="36"/>
    </row>
    <row r="386" spans="1:14" s="37" customFormat="1" hidden="1" x14ac:dyDescent="0.25">
      <c r="A386" s="86" t="s">
        <v>119</v>
      </c>
      <c r="B386" s="87"/>
      <c r="C386" s="87"/>
      <c r="D386" s="87"/>
      <c r="E386" s="87"/>
      <c r="F386" s="87"/>
      <c r="G386" s="87"/>
      <c r="H386" s="88"/>
      <c r="J386" s="36"/>
    </row>
    <row r="387" spans="1:14" s="37" customFormat="1" ht="15.75" hidden="1" customHeight="1" x14ac:dyDescent="0.25">
      <c r="A387" s="78">
        <v>1</v>
      </c>
      <c r="B387" s="79"/>
      <c r="C387" s="52"/>
      <c r="D387" s="42"/>
      <c r="E387" s="42">
        <v>0</v>
      </c>
      <c r="F387" s="42">
        <f>D387*(($F$182)+1)+(IF(E387&lt;101,E387,IF(E387&lt;201,E387/2,IF(E387&lt;=301,E387/3,E387/4))))</f>
        <v>0</v>
      </c>
      <c r="G387" s="80" t="str">
        <f>A386</f>
        <v>Ground Floor</v>
      </c>
      <c r="H387" s="81"/>
      <c r="I387" s="36"/>
      <c r="L387" s="70"/>
      <c r="M387" s="70"/>
      <c r="N387" s="36"/>
    </row>
    <row r="388" spans="1:14" s="37" customFormat="1" ht="15.75" hidden="1" customHeight="1" x14ac:dyDescent="0.25">
      <c r="A388" s="78">
        <f t="shared" ref="A388:A390" si="44">A387+1</f>
        <v>2</v>
      </c>
      <c r="B388" s="79"/>
      <c r="C388" s="52"/>
      <c r="D388" s="42"/>
      <c r="E388" s="42">
        <v>0</v>
      </c>
      <c r="F388" s="42">
        <f>D388*(($F$182)+1)+(IF(E388&lt;101,E388,IF(E388&lt;201,E388/2,IF(E388&lt;=301,E388/3,E388/4))))</f>
        <v>0</v>
      </c>
      <c r="G388" s="82"/>
      <c r="H388" s="83"/>
      <c r="I388" s="36"/>
      <c r="L388" s="70"/>
      <c r="M388" s="70"/>
      <c r="N388" s="36"/>
    </row>
    <row r="389" spans="1:14" s="37" customFormat="1" ht="15.75" hidden="1" customHeight="1" x14ac:dyDescent="0.25">
      <c r="A389" s="78">
        <f t="shared" si="44"/>
        <v>3</v>
      </c>
      <c r="B389" s="79"/>
      <c r="C389" s="52"/>
      <c r="D389" s="42"/>
      <c r="E389" s="42">
        <v>0</v>
      </c>
      <c r="F389" s="42">
        <f>D389*(($F$182)+1)+(IF(E389&lt;101,E389,IF(E389&lt;201,E389/2,IF(E389&lt;=301,E389/3,E389/4))))</f>
        <v>0</v>
      </c>
      <c r="G389" s="82"/>
      <c r="H389" s="83"/>
      <c r="I389" s="36"/>
      <c r="L389" s="70"/>
      <c r="M389" s="70"/>
      <c r="N389" s="36"/>
    </row>
    <row r="390" spans="1:14" s="37" customFormat="1" ht="15.75" hidden="1" customHeight="1" x14ac:dyDescent="0.25">
      <c r="A390" s="78">
        <f t="shared" si="44"/>
        <v>4</v>
      </c>
      <c r="B390" s="79"/>
      <c r="C390" s="52"/>
      <c r="D390" s="42"/>
      <c r="E390" s="42">
        <v>0</v>
      </c>
      <c r="F390" s="42">
        <f>D390*(($F$182)+1)+(IF(E390&lt;101,E390,IF(E390&lt;201,E390/2,IF(E390&lt;=301,E390/3,E390/4))))</f>
        <v>0</v>
      </c>
      <c r="G390" s="84"/>
      <c r="H390" s="85"/>
      <c r="I390" s="36"/>
      <c r="L390" s="70"/>
      <c r="M390" s="70"/>
      <c r="N390" s="36"/>
    </row>
    <row r="391" spans="1:14" s="37" customFormat="1" hidden="1" x14ac:dyDescent="0.25">
      <c r="A391" s="77" t="s">
        <v>120</v>
      </c>
      <c r="B391" s="77"/>
      <c r="C391" s="77"/>
      <c r="D391" s="77"/>
      <c r="E391" s="77"/>
      <c r="F391" s="77"/>
      <c r="G391" s="77"/>
      <c r="H391" s="77"/>
      <c r="I391" s="36"/>
      <c r="L391" s="70"/>
      <c r="M391" s="70"/>
    </row>
    <row r="392" spans="1:14" s="37" customFormat="1" hidden="1" x14ac:dyDescent="0.25">
      <c r="A392" s="89">
        <f>LEFT(A391,SUM(LEN(A391)-LEN(SUBSTITUTE(A391,{"0","1","2","3","4","5","6","7","8","9"},""))))*100+1</f>
        <v>201</v>
      </c>
      <c r="B392" s="89"/>
      <c r="C392" s="52"/>
      <c r="D392" s="42"/>
      <c r="E392" s="42">
        <v>0</v>
      </c>
      <c r="F392" s="42">
        <f t="shared" ref="F392:F393" si="45">D392*(($F$182)+1)+(IF(E392&lt;101,E392,IF(E392&lt;201,E392/2,IF(E392&lt;=301,E392/3,E392/4))))</f>
        <v>0</v>
      </c>
      <c r="G392" s="80" t="str">
        <f>A391</f>
        <v>2nd Floor</v>
      </c>
      <c r="H392" s="81"/>
      <c r="I392" s="36"/>
      <c r="N392" s="36"/>
    </row>
    <row r="393" spans="1:14" s="37" customFormat="1" hidden="1" x14ac:dyDescent="0.25">
      <c r="A393" s="89">
        <f>A392+1</f>
        <v>202</v>
      </c>
      <c r="B393" s="89"/>
      <c r="C393" s="52"/>
      <c r="D393" s="42"/>
      <c r="E393" s="42">
        <v>0</v>
      </c>
      <c r="F393" s="42">
        <f t="shared" si="45"/>
        <v>0</v>
      </c>
      <c r="G393" s="82"/>
      <c r="H393" s="83"/>
      <c r="I393" s="36"/>
      <c r="N393" s="36"/>
    </row>
    <row r="394" spans="1:14" s="37" customFormat="1" hidden="1" x14ac:dyDescent="0.25">
      <c r="A394" s="89">
        <f>A393+1</f>
        <v>203</v>
      </c>
      <c r="B394" s="89"/>
      <c r="C394" s="52"/>
      <c r="D394" s="42"/>
      <c r="E394" s="42">
        <v>0</v>
      </c>
      <c r="F394" s="42">
        <f>D394*(($F$182)+1)+(IF(E394&lt;101,E394,IF(E394&lt;201,E394/2,IF(E394&lt;=301,E394/3,E394/4))))</f>
        <v>0</v>
      </c>
      <c r="G394" s="82"/>
      <c r="H394" s="83"/>
      <c r="I394" s="36"/>
      <c r="N394" s="36"/>
    </row>
    <row r="395" spans="1:14" s="37" customFormat="1" hidden="1" x14ac:dyDescent="0.25">
      <c r="A395" s="89">
        <f>A394+1</f>
        <v>204</v>
      </c>
      <c r="B395" s="89"/>
      <c r="C395" s="52"/>
      <c r="D395" s="42"/>
      <c r="E395" s="42">
        <v>0</v>
      </c>
      <c r="F395" s="42">
        <f>D395*(($F$182)+1)+(IF(E395&lt;101,E395,IF(E395&lt;201,E395/2,IF(E395&lt;=301,E395/3,E395/4))))</f>
        <v>0</v>
      </c>
      <c r="G395" s="82"/>
      <c r="H395" s="83"/>
      <c r="I395" s="36"/>
      <c r="N395" s="36"/>
    </row>
    <row r="396" spans="1:14" s="37" customFormat="1" hidden="1" x14ac:dyDescent="0.25">
      <c r="A396" s="89">
        <f>A395+1</f>
        <v>205</v>
      </c>
      <c r="B396" s="89"/>
      <c r="C396" s="52"/>
      <c r="D396" s="42"/>
      <c r="E396" s="42">
        <v>0</v>
      </c>
      <c r="F396" s="42">
        <f>D396*(($F$182)+1)+(IF(E396&lt;101,E396,IF(E396&lt;201,E396/2,IF(E396&lt;=301,E396/3,E396/4))))</f>
        <v>0</v>
      </c>
      <c r="G396" s="84"/>
      <c r="H396" s="85"/>
      <c r="I396" s="36"/>
      <c r="N396" s="36"/>
    </row>
    <row r="397" spans="1:14" s="37" customFormat="1" ht="15.75" hidden="1" customHeight="1" x14ac:dyDescent="0.25">
      <c r="A397" s="86" t="s">
        <v>156</v>
      </c>
      <c r="B397" s="87"/>
      <c r="C397" s="87"/>
      <c r="D397" s="87"/>
      <c r="E397" s="87"/>
      <c r="F397" s="87"/>
      <c r="G397" s="87"/>
      <c r="H397" s="88"/>
      <c r="I397" s="36"/>
    </row>
    <row r="398" spans="1:14" s="37" customFormat="1" ht="15.75" hidden="1" customHeight="1" x14ac:dyDescent="0.25">
      <c r="A398" s="78" t="str">
        <f ca="1">(SUMPRODUCT(MID(0&amp;(LEFT(A397,SUM(LEN(A397)-LEN(SUBSTITUTE(A397,{"0","1","2"},""))))), LARGE(INDEX(ISNUMBER(--MID((LEFT(A397,SUM(LEN(A397)-LEN(SUBSTITUTE(A397,{"0","1","2"},""))))), ROW(INDIRECT("1:"&amp;LEN((LEFT(A397,SUM(LEN(A397)-LEN(SUBSTITUTE(A397,{"0","1","2"},"")))))))), 1)) * ROW(INDIRECT("1:"&amp;LEN((LEFT(A397,SUM(LEN(A397)-LEN(SUBSTITUTE(A397,{"0","1","2"},"")))))))), 0), ROW(INDIRECT("1:"&amp;LEN((LEFT(A397,SUM(LEN(A397)-LEN(SUBSTITUTE(A397,{"0","1","2"},"")))))))))+1, 1) * 10^ROW(INDIRECT("1:"&amp;LEN((LEFT(A397,SUM(LEN(A397)-LEN(SUBSTITUTE(A397,{"0","1","2"},""))))))))/10))*100+1&amp;""&amp;" ,.., "&amp;""&amp;(SUMPRODUCT(MID(0&amp;(--TRIM(RIGHT(SUBSTITUTE(LEFT(A397,_xlfn.AGGREGATE(16,6,FIND({0,1,2,3,4,5,6,7,8,9},A397,ROW(INDIRECT("1:"&amp;LEN(A397)))),1))," ",REPT(" ",LEN(A397))),LEN(A397)))), LARGE(INDEX(ISNUMBER(--MID((--TRIM(RIGHT(SUBSTITUTE(LEFT(A397,_xlfn.AGGREGATE(16,6,FIND({0,1,2,3,4,5,6,7,8,9},A397,ROW(INDIRECT("1:"&amp;LEN(A397)))),1))," ",REPT(" ",LEN(A397))),LEN(A397)))), ROW(INDIRECT("1:"&amp;LEN((--TRIM(RIGHT(SUBSTITUTE(LEFT(A397,_xlfn.AGGREGATE(16,6,FIND({0,1,2,3,4,5,6,7,8,9},A397,ROW(INDIRECT("1:"&amp;LEN(A397)))),1))," ",REPT(" ",LEN(A397))),LEN(A397))))))), 1)) * ROW(INDIRECT("1:"&amp;LEN((--TRIM(RIGHT(SUBSTITUTE(LEFT(A397,_xlfn.AGGREGATE(16,6,FIND({0,1,2,3,4,5,6,7,8,9},A397,ROW(INDIRECT("1:"&amp;LEN(A397)))),1))," ",REPT(" ",LEN(A397))),LEN(A397))))))), 0), ROW(INDIRECT("1:"&amp;LEN((--TRIM(RIGHT(SUBSTITUTE(LEFT(A397,_xlfn.AGGREGATE(16,6,FIND({0,1,2,3,4,5,6,7,8,9},A397,ROW(INDIRECT("1:"&amp;LEN(A397)))),1))," ",REPT(" ",LEN(A397))),LEN(A397))))))))+1, 1) * 10^ROW(INDIRECT("1:"&amp;LEN((--TRIM(RIGHT(SUBSTITUTE(LEFT(A397,_xlfn.AGGREGATE(16,6,FIND({0,1,2,3,4,5,6,7,8,9},A397,ROW(INDIRECT("1:"&amp;LEN(A397)))),1))," ",REPT(" ",LEN(A397))),LEN(A397)))))))/10))*100+1</f>
        <v>301 ,.., 1501</v>
      </c>
      <c r="B398" s="79"/>
      <c r="C398" s="52"/>
      <c r="D398" s="42"/>
      <c r="E398" s="42">
        <v>0</v>
      </c>
      <c r="F398" s="42">
        <f>D398*(($F$182)+1)+(IF(E398&lt;101,E398,IF(E398&lt;201,E398/2,IF(E398&lt;=301,E398/3,E398/4))))</f>
        <v>0</v>
      </c>
      <c r="G398" s="80" t="str">
        <f>A397</f>
        <v>3rd, 5th, 7th, 9th, 11th, 13th, 15th Floor</v>
      </c>
      <c r="H398" s="81"/>
      <c r="I398" s="36"/>
    </row>
    <row r="399" spans="1:14" s="37" customFormat="1" ht="15.75" hidden="1" customHeight="1" x14ac:dyDescent="0.25">
      <c r="A399" s="78" t="str">
        <f ca="1">(SUMPRODUCT(MID(0&amp;(LEFT(A398,SUM(LEN(A398)-LEN(SUBSTITUTE(A398,{"0","1","2"},""))))), LARGE(INDEX(ISNUMBER(--MID((LEFT(A398,SUM(LEN(A398)-LEN(SUBSTITUTE(A398,{"0","1","2"},""))))), ROW(INDIRECT("1:"&amp;LEN((LEFT(A398,SUM(LEN(A398)-LEN(SUBSTITUTE(A398,{"0","1","2"},"")))))))), 1)) * ROW(INDIRECT("1:"&amp;LEN((LEFT(A398,SUM(LEN(A398)-LEN(SUBSTITUTE(A398,{"0","1","2"},"")))))))), 0), ROW(INDIRECT("1:"&amp;LEN((LEFT(A398,SUM(LEN(A398)-LEN(SUBSTITUTE(A398,{"0","1","2"},"")))))))))+1, 1) * 10^ROW(INDIRECT("1:"&amp;LEN((LEFT(A398,SUM(LEN(A398)-LEN(SUBSTITUTE(A398,{"0","1","2"},""))))))))/10))*1+1&amp;""&amp;" ,.., "&amp;""&amp;(SUMPRODUCT(MID(0&amp;(--TRIM(RIGHT(SUBSTITUTE(LEFT(A398,_xlfn.AGGREGATE(16,6,FIND({0,1,2,3,4,5,6,7,8,9},A398,ROW(INDIRECT("1:"&amp;LEN(A398)))),1))," ",REPT(" ",LEN(A398))),LEN(A398)))), LARGE(INDEX(ISNUMBER(--MID((--TRIM(RIGHT(SUBSTITUTE(LEFT(A398,_xlfn.AGGREGATE(16,6,FIND({0,1,2,3,4,5,6,7,8,9},A398,ROW(INDIRECT("1:"&amp;LEN(A398)))),1))," ",REPT(" ",LEN(A398))),LEN(A398)))), ROW(INDIRECT("1:"&amp;LEN((--TRIM(RIGHT(SUBSTITUTE(LEFT(A398,_xlfn.AGGREGATE(16,6,FIND({0,1,2,3,4,5,6,7,8,9},A398,ROW(INDIRECT("1:"&amp;LEN(A398)))),1))," ",REPT(" ",LEN(A398))),LEN(A398))))))), 1)) * ROW(INDIRECT("1:"&amp;LEN((--TRIM(RIGHT(SUBSTITUTE(LEFT(A398,_xlfn.AGGREGATE(16,6,FIND({0,1,2,3,4,5,6,7,8,9},A398,ROW(INDIRECT("1:"&amp;LEN(A398)))),1))," ",REPT(" ",LEN(A398))),LEN(A398))))))), 0), ROW(INDIRECT("1:"&amp;LEN((--TRIM(RIGHT(SUBSTITUTE(LEFT(A398,_xlfn.AGGREGATE(16,6,FIND({0,1,2,3,4,5,6,7,8,9},A398,ROW(INDIRECT("1:"&amp;LEN(A398)))),1))," ",REPT(" ",LEN(A398))),LEN(A398))))))))+1, 1) * 10^ROW(INDIRECT("1:"&amp;LEN((--TRIM(RIGHT(SUBSTITUTE(LEFT(A398,_xlfn.AGGREGATE(16,6,FIND({0,1,2,3,4,5,6,7,8,9},A398,ROW(INDIRECT("1:"&amp;LEN(A398)))),1))," ",REPT(" ",LEN(A398))),LEN(A398)))))))/10))*1+1</f>
        <v>302 ,.., 1502</v>
      </c>
      <c r="B399" s="79"/>
      <c r="C399" s="52"/>
      <c r="D399" s="42"/>
      <c r="E399" s="42">
        <v>0</v>
      </c>
      <c r="F399" s="42">
        <f>D399*(($F$182)+1)+(IF(E399&lt;101,E399,IF(E399&lt;201,E399/2,IF(E399&lt;=301,E399/3,E399/4))))</f>
        <v>0</v>
      </c>
      <c r="G399" s="82"/>
      <c r="H399" s="83"/>
      <c r="I399" s="36"/>
    </row>
    <row r="400" spans="1:14" s="37" customFormat="1" ht="15.75" hidden="1" customHeight="1" x14ac:dyDescent="0.25">
      <c r="A400" s="78" t="str">
        <f ca="1">(SUMPRODUCT(MID(0&amp;(LEFT(A399,SUM(LEN(A399)-LEN(SUBSTITUTE(A399,{"0","1","2"},""))))), LARGE(INDEX(ISNUMBER(--MID((LEFT(A399,SUM(LEN(A399)-LEN(SUBSTITUTE(A399,{"0","1","2"},""))))), ROW(INDIRECT("1:"&amp;LEN((LEFT(A399,SUM(LEN(A399)-LEN(SUBSTITUTE(A399,{"0","1","2"},"")))))))), 1)) * ROW(INDIRECT("1:"&amp;LEN((LEFT(A399,SUM(LEN(A399)-LEN(SUBSTITUTE(A399,{"0","1","2"},"")))))))), 0), ROW(INDIRECT("1:"&amp;LEN((LEFT(A399,SUM(LEN(A399)-LEN(SUBSTITUTE(A399,{"0","1","2"},"")))))))))+1, 1) * 10^ROW(INDIRECT("1:"&amp;LEN((LEFT(A399,SUM(LEN(A399)-LEN(SUBSTITUTE(A399,{"0","1","2"},""))))))))/10))*1+1&amp;""&amp;" ,.., "&amp;""&amp;(SUMPRODUCT(MID(0&amp;(--TRIM(RIGHT(SUBSTITUTE(LEFT(A399,_xlfn.AGGREGATE(16,6,FIND({0,1,2,3,4,5,6,7,8,9},A399,ROW(INDIRECT("1:"&amp;LEN(A399)))),1))," ",REPT(" ",LEN(A399))),LEN(A399)))), LARGE(INDEX(ISNUMBER(--MID((--TRIM(RIGHT(SUBSTITUTE(LEFT(A399,_xlfn.AGGREGATE(16,6,FIND({0,1,2,3,4,5,6,7,8,9},A399,ROW(INDIRECT("1:"&amp;LEN(A399)))),1))," ",REPT(" ",LEN(A399))),LEN(A399)))), ROW(INDIRECT("1:"&amp;LEN((--TRIM(RIGHT(SUBSTITUTE(LEFT(A399,_xlfn.AGGREGATE(16,6,FIND({0,1,2,3,4,5,6,7,8,9},A399,ROW(INDIRECT("1:"&amp;LEN(A399)))),1))," ",REPT(" ",LEN(A399))),LEN(A399))))))), 1)) * ROW(INDIRECT("1:"&amp;LEN((--TRIM(RIGHT(SUBSTITUTE(LEFT(A399,_xlfn.AGGREGATE(16,6,FIND({0,1,2,3,4,5,6,7,8,9},A399,ROW(INDIRECT("1:"&amp;LEN(A399)))),1))," ",REPT(" ",LEN(A399))),LEN(A399))))))), 0), ROW(INDIRECT("1:"&amp;LEN((--TRIM(RIGHT(SUBSTITUTE(LEFT(A399,_xlfn.AGGREGATE(16,6,FIND({0,1,2,3,4,5,6,7,8,9},A399,ROW(INDIRECT("1:"&amp;LEN(A399)))),1))," ",REPT(" ",LEN(A399))),LEN(A399))))))))+1, 1) * 10^ROW(INDIRECT("1:"&amp;LEN((--TRIM(RIGHT(SUBSTITUTE(LEFT(A399,_xlfn.AGGREGATE(16,6,FIND({0,1,2,3,4,5,6,7,8,9},A399,ROW(INDIRECT("1:"&amp;LEN(A399)))),1))," ",REPT(" ",LEN(A399))),LEN(A399)))))))/10))*1+1</f>
        <v>303 ,.., 1503</v>
      </c>
      <c r="B400" s="79"/>
      <c r="C400" s="52"/>
      <c r="D400" s="42"/>
      <c r="E400" s="42">
        <v>0</v>
      </c>
      <c r="F400" s="42">
        <f>D400*(($F$182)+1)+(IF(E400&lt;101,E400,IF(E400&lt;201,E400/2,IF(E400&lt;=301,E400/3,E400/4))))</f>
        <v>0</v>
      </c>
      <c r="G400" s="82"/>
      <c r="H400" s="83"/>
      <c r="I400" s="36"/>
    </row>
    <row r="401" spans="1:9" s="37" customFormat="1" ht="15.75" hidden="1" customHeight="1" x14ac:dyDescent="0.25">
      <c r="A401" s="78" t="str">
        <f ca="1">(SUMPRODUCT(MID(0&amp;(LEFT(A400,SUM(LEN(A400)-LEN(SUBSTITUTE(A400,{"0","1","2"},""))))), LARGE(INDEX(ISNUMBER(--MID((LEFT(A400,SUM(LEN(A400)-LEN(SUBSTITUTE(A400,{"0","1","2"},""))))), ROW(INDIRECT("1:"&amp;LEN((LEFT(A400,SUM(LEN(A400)-LEN(SUBSTITUTE(A400,{"0","1","2"},"")))))))), 1)) * ROW(INDIRECT("1:"&amp;LEN((LEFT(A400,SUM(LEN(A400)-LEN(SUBSTITUTE(A400,{"0","1","2"},"")))))))), 0), ROW(INDIRECT("1:"&amp;LEN((LEFT(A400,SUM(LEN(A400)-LEN(SUBSTITUTE(A400,{"0","1","2"},"")))))))))+1, 1) * 10^ROW(INDIRECT("1:"&amp;LEN((LEFT(A400,SUM(LEN(A400)-LEN(SUBSTITUTE(A400,{"0","1","2"},""))))))))/10))*1+1&amp;""&amp;" ,.., "&amp;""&amp;(SUMPRODUCT(MID(0&amp;(--TRIM(RIGHT(SUBSTITUTE(LEFT(A400,_xlfn.AGGREGATE(16,6,FIND({0,1,2,3,4,5,6,7,8,9},A400,ROW(INDIRECT("1:"&amp;LEN(A400)))),1))," ",REPT(" ",LEN(A400))),LEN(A400)))), LARGE(INDEX(ISNUMBER(--MID((--TRIM(RIGHT(SUBSTITUTE(LEFT(A400,_xlfn.AGGREGATE(16,6,FIND({0,1,2,3,4,5,6,7,8,9},A400,ROW(INDIRECT("1:"&amp;LEN(A400)))),1))," ",REPT(" ",LEN(A400))),LEN(A400)))), ROW(INDIRECT("1:"&amp;LEN((--TRIM(RIGHT(SUBSTITUTE(LEFT(A400,_xlfn.AGGREGATE(16,6,FIND({0,1,2,3,4,5,6,7,8,9},A400,ROW(INDIRECT("1:"&amp;LEN(A400)))),1))," ",REPT(" ",LEN(A400))),LEN(A400))))))), 1)) * ROW(INDIRECT("1:"&amp;LEN((--TRIM(RIGHT(SUBSTITUTE(LEFT(A400,_xlfn.AGGREGATE(16,6,FIND({0,1,2,3,4,5,6,7,8,9},A400,ROW(INDIRECT("1:"&amp;LEN(A400)))),1))," ",REPT(" ",LEN(A400))),LEN(A400))))))), 0), ROW(INDIRECT("1:"&amp;LEN((--TRIM(RIGHT(SUBSTITUTE(LEFT(A400,_xlfn.AGGREGATE(16,6,FIND({0,1,2,3,4,5,6,7,8,9},A400,ROW(INDIRECT("1:"&amp;LEN(A400)))),1))," ",REPT(" ",LEN(A400))),LEN(A400))))))))+1, 1) * 10^ROW(INDIRECT("1:"&amp;LEN((--TRIM(RIGHT(SUBSTITUTE(LEFT(A400,_xlfn.AGGREGATE(16,6,FIND({0,1,2,3,4,5,6,7,8,9},A400,ROW(INDIRECT("1:"&amp;LEN(A400)))),1))," ",REPT(" ",LEN(A400))),LEN(A400)))))))/10))*1+1</f>
        <v>304 ,.., 1504</v>
      </c>
      <c r="B401" s="79"/>
      <c r="C401" s="52"/>
      <c r="D401" s="42"/>
      <c r="E401" s="42">
        <v>0</v>
      </c>
      <c r="F401" s="42">
        <f>D401*(($F$182)+1)+(IF(E401&lt;101,E401,IF(E401&lt;201,E401/2,IF(E401&lt;=301,E401/3,E401/4))))</f>
        <v>0</v>
      </c>
      <c r="G401" s="82"/>
      <c r="H401" s="83"/>
      <c r="I401" s="36"/>
    </row>
    <row r="402" spans="1:9" s="37" customFormat="1" ht="15.75" hidden="1" customHeight="1" x14ac:dyDescent="0.25">
      <c r="A402" s="78" t="str">
        <f ca="1">(SUMPRODUCT(MID(0&amp;(LEFT(A401,SUM(LEN(A401)-LEN(SUBSTITUTE(A401,{"0","1","2"},""))))), LARGE(INDEX(ISNUMBER(--MID((LEFT(A401,SUM(LEN(A401)-LEN(SUBSTITUTE(A401,{"0","1","2"},""))))), ROW(INDIRECT("1:"&amp;LEN((LEFT(A401,SUM(LEN(A401)-LEN(SUBSTITUTE(A401,{"0","1","2"},"")))))))), 1)) * ROW(INDIRECT("1:"&amp;LEN((LEFT(A401,SUM(LEN(A401)-LEN(SUBSTITUTE(A401,{"0","1","2"},"")))))))), 0), ROW(INDIRECT("1:"&amp;LEN((LEFT(A401,SUM(LEN(A401)-LEN(SUBSTITUTE(A401,{"0","1","2"},"")))))))))+1, 1) * 10^ROW(INDIRECT("1:"&amp;LEN((LEFT(A401,SUM(LEN(A401)-LEN(SUBSTITUTE(A401,{"0","1","2"},""))))))))/10))*1+1&amp;""&amp;" ,.., "&amp;""&amp;(SUMPRODUCT(MID(0&amp;(--TRIM(RIGHT(SUBSTITUTE(LEFT(A401,_xlfn.AGGREGATE(16,6,FIND({0,1,2,3,4,5,6,7,8,9},A401,ROW(INDIRECT("1:"&amp;LEN(A401)))),1))," ",REPT(" ",LEN(A401))),LEN(A401)))), LARGE(INDEX(ISNUMBER(--MID((--TRIM(RIGHT(SUBSTITUTE(LEFT(A401,_xlfn.AGGREGATE(16,6,FIND({0,1,2,3,4,5,6,7,8,9},A401,ROW(INDIRECT("1:"&amp;LEN(A401)))),1))," ",REPT(" ",LEN(A401))),LEN(A401)))), ROW(INDIRECT("1:"&amp;LEN((--TRIM(RIGHT(SUBSTITUTE(LEFT(A401,_xlfn.AGGREGATE(16,6,FIND({0,1,2,3,4,5,6,7,8,9},A401,ROW(INDIRECT("1:"&amp;LEN(A401)))),1))," ",REPT(" ",LEN(A401))),LEN(A401))))))), 1)) * ROW(INDIRECT("1:"&amp;LEN((--TRIM(RIGHT(SUBSTITUTE(LEFT(A401,_xlfn.AGGREGATE(16,6,FIND({0,1,2,3,4,5,6,7,8,9},A401,ROW(INDIRECT("1:"&amp;LEN(A401)))),1))," ",REPT(" ",LEN(A401))),LEN(A401))))))), 0), ROW(INDIRECT("1:"&amp;LEN((--TRIM(RIGHT(SUBSTITUTE(LEFT(A401,_xlfn.AGGREGATE(16,6,FIND({0,1,2,3,4,5,6,7,8,9},A401,ROW(INDIRECT("1:"&amp;LEN(A401)))),1))," ",REPT(" ",LEN(A401))),LEN(A401))))))))+1, 1) * 10^ROW(INDIRECT("1:"&amp;LEN((--TRIM(RIGHT(SUBSTITUTE(LEFT(A401,_xlfn.AGGREGATE(16,6,FIND({0,1,2,3,4,5,6,7,8,9},A401,ROW(INDIRECT("1:"&amp;LEN(A401)))),1))," ",REPT(" ",LEN(A401))),LEN(A401)))))))/10))*1+1</f>
        <v>305 ,.., 1505</v>
      </c>
      <c r="B402" s="79"/>
      <c r="C402" s="52"/>
      <c r="D402" s="42"/>
      <c r="E402" s="42">
        <v>0</v>
      </c>
      <c r="F402" s="42">
        <f>D402*(($F$182)+1)+(IF(E402&lt;101,E402,IF(E402&lt;201,E402/2,IF(E402&lt;=301,E402/3,E402/4))))</f>
        <v>0</v>
      </c>
      <c r="G402" s="84"/>
      <c r="H402" s="85"/>
      <c r="I402" s="36"/>
    </row>
    <row r="403" spans="1:9" s="37" customFormat="1" hidden="1" x14ac:dyDescent="0.25">
      <c r="A403" s="86" t="s">
        <v>149</v>
      </c>
      <c r="B403" s="87"/>
      <c r="C403" s="87"/>
      <c r="D403" s="87"/>
      <c r="E403" s="87"/>
      <c r="F403" s="87"/>
      <c r="G403" s="87"/>
      <c r="H403" s="88"/>
      <c r="I403" s="36"/>
    </row>
    <row r="404" spans="1:9" s="37" customFormat="1" ht="15.75" hidden="1" customHeight="1" x14ac:dyDescent="0.25">
      <c r="A404" s="78" t="str">
        <f ca="1">(SUMPRODUCT(MID(0&amp;(LEFT(A403,SUM(LEN(A403)-LEN(SUBSTITUTE(A403,{"0","1","2"},""))))), LARGE(INDEX(ISNUMBER(--MID((LEFT(A403,SUM(LEN(A403)-LEN(SUBSTITUTE(A403,{"0","1","2"},""))))), ROW(INDIRECT("1:"&amp;LEN((LEFT(A403,SUM(LEN(A403)-LEN(SUBSTITUTE(A403,{"0","1","2"},"")))))))), 1)) * ROW(INDIRECT("1:"&amp;LEN((LEFT(A403,SUM(LEN(A403)-LEN(SUBSTITUTE(A403,{"0","1","2"},"")))))))), 0), ROW(INDIRECT("1:"&amp;LEN((LEFT(A403,SUM(LEN(A403)-LEN(SUBSTITUTE(A403,{"0","1","2"},"")))))))))+1, 1) * 10^ROW(INDIRECT("1:"&amp;LEN((LEFT(A403,SUM(LEN(A403)-LEN(SUBSTITUTE(A403,{"0","1","2"},""))))))))/10))*100+1&amp;""&amp;" to "&amp;""&amp;(SUMPRODUCT(MID(0&amp;(--TRIM(RIGHT(SUBSTITUTE(LEFT(A403,_xlfn.AGGREGATE(16,6,FIND({0,1,2,3,4,5,6,7,8,9},A403,ROW(INDIRECT("1:"&amp;LEN(A403)))),1))," ",REPT(" ",LEN(A403))),LEN(A403)))), LARGE(INDEX(ISNUMBER(--MID((--TRIM(RIGHT(SUBSTITUTE(LEFT(A403,_xlfn.AGGREGATE(16,6,FIND({0,1,2,3,4,5,6,7,8,9},A403,ROW(INDIRECT("1:"&amp;LEN(A403)))),1))," ",REPT(" ",LEN(A403))),LEN(A403)))), ROW(INDIRECT("1:"&amp;LEN((--TRIM(RIGHT(SUBSTITUTE(LEFT(A403,_xlfn.AGGREGATE(16,6,FIND({0,1,2,3,4,5,6,7,8,9},A403,ROW(INDIRECT("1:"&amp;LEN(A403)))),1))," ",REPT(" ",LEN(A403))),LEN(A403))))))), 1)) * ROW(INDIRECT("1:"&amp;LEN((--TRIM(RIGHT(SUBSTITUTE(LEFT(A403,_xlfn.AGGREGATE(16,6,FIND({0,1,2,3,4,5,6,7,8,9},A403,ROW(INDIRECT("1:"&amp;LEN(A403)))),1))," ",REPT(" ",LEN(A403))),LEN(A403))))))), 0), ROW(INDIRECT("1:"&amp;LEN((--TRIM(RIGHT(SUBSTITUTE(LEFT(A403,_xlfn.AGGREGATE(16,6,FIND({0,1,2,3,4,5,6,7,8,9},A403,ROW(INDIRECT("1:"&amp;LEN(A403)))),1))," ",REPT(" ",LEN(A403))),LEN(A403))))))))+1, 1) * 10^ROW(INDIRECT("1:"&amp;LEN((--TRIM(RIGHT(SUBSTITUTE(LEFT(A403,_xlfn.AGGREGATE(16,6,FIND({0,1,2,3,4,5,6,7,8,9},A403,ROW(INDIRECT("1:"&amp;LEN(A403)))),1))," ",REPT(" ",LEN(A403))),LEN(A403)))))))/10))*100+1</f>
        <v>201 to 501</v>
      </c>
      <c r="B404" s="79"/>
      <c r="C404" s="52"/>
      <c r="D404" s="42"/>
      <c r="E404" s="42">
        <v>0</v>
      </c>
      <c r="F404" s="42">
        <f>D404*(($F$182)+1)+(IF(E404&lt;101,E404,IF(E404&lt;201,E404/2,IF(E404&lt;=301,E404/3,E404/4))))</f>
        <v>0</v>
      </c>
      <c r="G404" s="80" t="str">
        <f>A403</f>
        <v>2nd to 5th Floor</v>
      </c>
      <c r="H404" s="81"/>
      <c r="I404" s="36"/>
    </row>
    <row r="405" spans="1:9" s="37" customFormat="1" ht="15.75" hidden="1" customHeight="1" x14ac:dyDescent="0.25">
      <c r="A405" s="78" t="str">
        <f ca="1">(SUMPRODUCT(MID(0&amp;(LEFT(A404,SUM(LEN(A404)-LEN(SUBSTITUTE(A404,{"0","1","2"},""))))), LARGE(INDEX(ISNUMBER(--MID((LEFT(A404,SUM(LEN(A404)-LEN(SUBSTITUTE(A404,{"0","1","2"},""))))), ROW(INDIRECT("1:"&amp;LEN((LEFT(A404,SUM(LEN(A404)-LEN(SUBSTITUTE(A404,{"0","1","2"},"")))))))), 1)) * ROW(INDIRECT("1:"&amp;LEN((LEFT(A404,SUM(LEN(A404)-LEN(SUBSTITUTE(A404,{"0","1","2"},"")))))))), 0), ROW(INDIRECT("1:"&amp;LEN((LEFT(A404,SUM(LEN(A404)-LEN(SUBSTITUTE(A404,{"0","1","2"},"")))))))))+1, 1) * 10^ROW(INDIRECT("1:"&amp;LEN((LEFT(A404,SUM(LEN(A404)-LEN(SUBSTITUTE(A404,{"0","1","2"},""))))))))/10))*1+1&amp;""&amp;" to "&amp;""&amp;(SUMPRODUCT(MID(0&amp;(--TRIM(RIGHT(SUBSTITUTE(LEFT(A404,_xlfn.AGGREGATE(16,6,FIND({0,1,2,3,4,5,6,7,8,9},A404,ROW(INDIRECT("1:"&amp;LEN(A404)))),1))," ",REPT(" ",LEN(A404))),LEN(A404)))), LARGE(INDEX(ISNUMBER(--MID((--TRIM(RIGHT(SUBSTITUTE(LEFT(A404,_xlfn.AGGREGATE(16,6,FIND({0,1,2,3,4,5,6,7,8,9},A404,ROW(INDIRECT("1:"&amp;LEN(A404)))),1))," ",REPT(" ",LEN(A404))),LEN(A404)))), ROW(INDIRECT("1:"&amp;LEN((--TRIM(RIGHT(SUBSTITUTE(LEFT(A404,_xlfn.AGGREGATE(16,6,FIND({0,1,2,3,4,5,6,7,8,9},A404,ROW(INDIRECT("1:"&amp;LEN(A404)))),1))," ",REPT(" ",LEN(A404))),LEN(A404))))))), 1)) * ROW(INDIRECT("1:"&amp;LEN((--TRIM(RIGHT(SUBSTITUTE(LEFT(A404,_xlfn.AGGREGATE(16,6,FIND({0,1,2,3,4,5,6,7,8,9},A404,ROW(INDIRECT("1:"&amp;LEN(A404)))),1))," ",REPT(" ",LEN(A404))),LEN(A404))))))), 0), ROW(INDIRECT("1:"&amp;LEN((--TRIM(RIGHT(SUBSTITUTE(LEFT(A404,_xlfn.AGGREGATE(16,6,FIND({0,1,2,3,4,5,6,7,8,9},A404,ROW(INDIRECT("1:"&amp;LEN(A404)))),1))," ",REPT(" ",LEN(A404))),LEN(A404))))))))+1, 1) * 10^ROW(INDIRECT("1:"&amp;LEN((--TRIM(RIGHT(SUBSTITUTE(LEFT(A404,_xlfn.AGGREGATE(16,6,FIND({0,1,2,3,4,5,6,7,8,9},A404,ROW(INDIRECT("1:"&amp;LEN(A404)))),1))," ",REPT(" ",LEN(A404))),LEN(A404)))))))/10))*1+1</f>
        <v>202 to 502</v>
      </c>
      <c r="B405" s="79"/>
      <c r="C405" s="52"/>
      <c r="D405" s="42"/>
      <c r="E405" s="42">
        <v>0</v>
      </c>
      <c r="F405" s="42">
        <f>D405*(($F$182)+1)+(IF(E405&lt;101,E405,IF(E405&lt;201,E405/2,IF(E405&lt;=301,E405/3,E405/4))))</f>
        <v>0</v>
      </c>
      <c r="G405" s="82"/>
      <c r="H405" s="83"/>
      <c r="I405" s="36"/>
    </row>
    <row r="406" spans="1:9" s="37" customFormat="1" ht="15.75" hidden="1" customHeight="1" x14ac:dyDescent="0.25">
      <c r="A406" s="78" t="str">
        <f ca="1">(SUMPRODUCT(MID(0&amp;(LEFT(A405,SUM(LEN(A405)-LEN(SUBSTITUTE(A405,{"0","1","2"},""))))), LARGE(INDEX(ISNUMBER(--MID((LEFT(A405,SUM(LEN(A405)-LEN(SUBSTITUTE(A405,{"0","1","2"},""))))), ROW(INDIRECT("1:"&amp;LEN((LEFT(A405,SUM(LEN(A405)-LEN(SUBSTITUTE(A405,{"0","1","2"},"")))))))), 1)) * ROW(INDIRECT("1:"&amp;LEN((LEFT(A405,SUM(LEN(A405)-LEN(SUBSTITUTE(A405,{"0","1","2"},"")))))))), 0), ROW(INDIRECT("1:"&amp;LEN((LEFT(A405,SUM(LEN(A405)-LEN(SUBSTITUTE(A405,{"0","1","2"},"")))))))))+1, 1) * 10^ROW(INDIRECT("1:"&amp;LEN((LEFT(A405,SUM(LEN(A405)-LEN(SUBSTITUTE(A405,{"0","1","2"},""))))))))/10))*1+1&amp;""&amp;" to "&amp;""&amp;(SUMPRODUCT(MID(0&amp;(--TRIM(RIGHT(SUBSTITUTE(LEFT(A405,_xlfn.AGGREGATE(16,6,FIND({0,1,2,3,4,5,6,7,8,9},A405,ROW(INDIRECT("1:"&amp;LEN(A405)))),1))," ",REPT(" ",LEN(A405))),LEN(A405)))), LARGE(INDEX(ISNUMBER(--MID((--TRIM(RIGHT(SUBSTITUTE(LEFT(A405,_xlfn.AGGREGATE(16,6,FIND({0,1,2,3,4,5,6,7,8,9},A405,ROW(INDIRECT("1:"&amp;LEN(A405)))),1))," ",REPT(" ",LEN(A405))),LEN(A405)))), ROW(INDIRECT("1:"&amp;LEN((--TRIM(RIGHT(SUBSTITUTE(LEFT(A405,_xlfn.AGGREGATE(16,6,FIND({0,1,2,3,4,5,6,7,8,9},A405,ROW(INDIRECT("1:"&amp;LEN(A405)))),1))," ",REPT(" ",LEN(A405))),LEN(A405))))))), 1)) * ROW(INDIRECT("1:"&amp;LEN((--TRIM(RIGHT(SUBSTITUTE(LEFT(A405,_xlfn.AGGREGATE(16,6,FIND({0,1,2,3,4,5,6,7,8,9},A405,ROW(INDIRECT("1:"&amp;LEN(A405)))),1))," ",REPT(" ",LEN(A405))),LEN(A405))))))), 0), ROW(INDIRECT("1:"&amp;LEN((--TRIM(RIGHT(SUBSTITUTE(LEFT(A405,_xlfn.AGGREGATE(16,6,FIND({0,1,2,3,4,5,6,7,8,9},A405,ROW(INDIRECT("1:"&amp;LEN(A405)))),1))," ",REPT(" ",LEN(A405))),LEN(A405))))))))+1, 1) * 10^ROW(INDIRECT("1:"&amp;LEN((--TRIM(RIGHT(SUBSTITUTE(LEFT(A405,_xlfn.AGGREGATE(16,6,FIND({0,1,2,3,4,5,6,7,8,9},A405,ROW(INDIRECT("1:"&amp;LEN(A405)))),1))," ",REPT(" ",LEN(A405))),LEN(A405)))))))/10))*1+1</f>
        <v>203 to 503</v>
      </c>
      <c r="B406" s="79"/>
      <c r="C406" s="52"/>
      <c r="D406" s="42"/>
      <c r="E406" s="42">
        <v>0</v>
      </c>
      <c r="F406" s="42">
        <f>D406*(($F$182)+1)+(IF(E406&lt;101,E406,IF(E406&lt;201,E406/2,IF(E406&lt;=301,E406/3,E406/4))))</f>
        <v>0</v>
      </c>
      <c r="G406" s="82"/>
      <c r="H406" s="83"/>
      <c r="I406" s="36"/>
    </row>
    <row r="407" spans="1:9" s="37" customFormat="1" ht="15.75" hidden="1" customHeight="1" x14ac:dyDescent="0.25">
      <c r="A407" s="78" t="str">
        <f ca="1">(SUMPRODUCT(MID(0&amp;(LEFT(A406,SUM(LEN(A406)-LEN(SUBSTITUTE(A406,{"0","1","2"},""))))), LARGE(INDEX(ISNUMBER(--MID((LEFT(A406,SUM(LEN(A406)-LEN(SUBSTITUTE(A406,{"0","1","2"},""))))), ROW(INDIRECT("1:"&amp;LEN((LEFT(A406,SUM(LEN(A406)-LEN(SUBSTITUTE(A406,{"0","1","2"},"")))))))), 1)) * ROW(INDIRECT("1:"&amp;LEN((LEFT(A406,SUM(LEN(A406)-LEN(SUBSTITUTE(A406,{"0","1","2"},"")))))))), 0), ROW(INDIRECT("1:"&amp;LEN((LEFT(A406,SUM(LEN(A406)-LEN(SUBSTITUTE(A406,{"0","1","2"},"")))))))))+1, 1) * 10^ROW(INDIRECT("1:"&amp;LEN((LEFT(A406,SUM(LEN(A406)-LEN(SUBSTITUTE(A406,{"0","1","2"},""))))))))/10))*1+1&amp;""&amp;" to "&amp;""&amp;(SUMPRODUCT(MID(0&amp;(--TRIM(RIGHT(SUBSTITUTE(LEFT(A406,_xlfn.AGGREGATE(16,6,FIND({0,1,2,3,4,5,6,7,8,9},A406,ROW(INDIRECT("1:"&amp;LEN(A406)))),1))," ",REPT(" ",LEN(A406))),LEN(A406)))), LARGE(INDEX(ISNUMBER(--MID((--TRIM(RIGHT(SUBSTITUTE(LEFT(A406,_xlfn.AGGREGATE(16,6,FIND({0,1,2,3,4,5,6,7,8,9},A406,ROW(INDIRECT("1:"&amp;LEN(A406)))),1))," ",REPT(" ",LEN(A406))),LEN(A406)))), ROW(INDIRECT("1:"&amp;LEN((--TRIM(RIGHT(SUBSTITUTE(LEFT(A406,_xlfn.AGGREGATE(16,6,FIND({0,1,2,3,4,5,6,7,8,9},A406,ROW(INDIRECT("1:"&amp;LEN(A406)))),1))," ",REPT(" ",LEN(A406))),LEN(A406))))))), 1)) * ROW(INDIRECT("1:"&amp;LEN((--TRIM(RIGHT(SUBSTITUTE(LEFT(A406,_xlfn.AGGREGATE(16,6,FIND({0,1,2,3,4,5,6,7,8,9},A406,ROW(INDIRECT("1:"&amp;LEN(A406)))),1))," ",REPT(" ",LEN(A406))),LEN(A406))))))), 0), ROW(INDIRECT("1:"&amp;LEN((--TRIM(RIGHT(SUBSTITUTE(LEFT(A406,_xlfn.AGGREGATE(16,6,FIND({0,1,2,3,4,5,6,7,8,9},A406,ROW(INDIRECT("1:"&amp;LEN(A406)))),1))," ",REPT(" ",LEN(A406))),LEN(A406))))))))+1, 1) * 10^ROW(INDIRECT("1:"&amp;LEN((--TRIM(RIGHT(SUBSTITUTE(LEFT(A406,_xlfn.AGGREGATE(16,6,FIND({0,1,2,3,4,5,6,7,8,9},A406,ROW(INDIRECT("1:"&amp;LEN(A406)))),1))," ",REPT(" ",LEN(A406))),LEN(A406)))))))/10))*1+1</f>
        <v>204 to 504</v>
      </c>
      <c r="B407" s="79"/>
      <c r="C407" s="52"/>
      <c r="D407" s="42"/>
      <c r="E407" s="42">
        <v>0</v>
      </c>
      <c r="F407" s="42">
        <f>D407*(($F$182)+1)+(IF(E407&lt;101,E407,IF(E407&lt;201,E407/2,IF(E407&lt;=301,E407/3,E407/4))))</f>
        <v>0</v>
      </c>
      <c r="G407" s="82"/>
      <c r="H407" s="83"/>
      <c r="I407" s="36"/>
    </row>
    <row r="408" spans="1:9" s="37" customFormat="1" ht="15.75" hidden="1" customHeight="1" x14ac:dyDescent="0.25">
      <c r="A408" s="78" t="str">
        <f ca="1">(SUMPRODUCT(MID(0&amp;(LEFT(A407,SUM(LEN(A407)-LEN(SUBSTITUTE(A407,{"0","1","2"},""))))), LARGE(INDEX(ISNUMBER(--MID((LEFT(A407,SUM(LEN(A407)-LEN(SUBSTITUTE(A407,{"0","1","2"},""))))), ROW(INDIRECT("1:"&amp;LEN((LEFT(A407,SUM(LEN(A407)-LEN(SUBSTITUTE(A407,{"0","1","2"},"")))))))), 1)) * ROW(INDIRECT("1:"&amp;LEN((LEFT(A407,SUM(LEN(A407)-LEN(SUBSTITUTE(A407,{"0","1","2"},"")))))))), 0), ROW(INDIRECT("1:"&amp;LEN((LEFT(A407,SUM(LEN(A407)-LEN(SUBSTITUTE(A407,{"0","1","2"},"")))))))))+1, 1) * 10^ROW(INDIRECT("1:"&amp;LEN((LEFT(A407,SUM(LEN(A407)-LEN(SUBSTITUTE(A407,{"0","1","2"},""))))))))/10))*1+1&amp;""&amp;" to "&amp;""&amp;(SUMPRODUCT(MID(0&amp;(--TRIM(RIGHT(SUBSTITUTE(LEFT(A407,_xlfn.AGGREGATE(16,6,FIND({0,1,2,3,4,5,6,7,8,9},A407,ROW(INDIRECT("1:"&amp;LEN(A407)))),1))," ",REPT(" ",LEN(A407))),LEN(A407)))), LARGE(INDEX(ISNUMBER(--MID((--TRIM(RIGHT(SUBSTITUTE(LEFT(A407,_xlfn.AGGREGATE(16,6,FIND({0,1,2,3,4,5,6,7,8,9},A407,ROW(INDIRECT("1:"&amp;LEN(A407)))),1))," ",REPT(" ",LEN(A407))),LEN(A407)))), ROW(INDIRECT("1:"&amp;LEN((--TRIM(RIGHT(SUBSTITUTE(LEFT(A407,_xlfn.AGGREGATE(16,6,FIND({0,1,2,3,4,5,6,7,8,9},A407,ROW(INDIRECT("1:"&amp;LEN(A407)))),1))," ",REPT(" ",LEN(A407))),LEN(A407))))))), 1)) * ROW(INDIRECT("1:"&amp;LEN((--TRIM(RIGHT(SUBSTITUTE(LEFT(A407,_xlfn.AGGREGATE(16,6,FIND({0,1,2,3,4,5,6,7,8,9},A407,ROW(INDIRECT("1:"&amp;LEN(A407)))),1))," ",REPT(" ",LEN(A407))),LEN(A407))))))), 0), ROW(INDIRECT("1:"&amp;LEN((--TRIM(RIGHT(SUBSTITUTE(LEFT(A407,_xlfn.AGGREGATE(16,6,FIND({0,1,2,3,4,5,6,7,8,9},A407,ROW(INDIRECT("1:"&amp;LEN(A407)))),1))," ",REPT(" ",LEN(A407))),LEN(A407))))))))+1, 1) * 10^ROW(INDIRECT("1:"&amp;LEN((--TRIM(RIGHT(SUBSTITUTE(LEFT(A407,_xlfn.AGGREGATE(16,6,FIND({0,1,2,3,4,5,6,7,8,9},A407,ROW(INDIRECT("1:"&amp;LEN(A407)))),1))," ",REPT(" ",LEN(A407))),LEN(A407)))))))/10))*1+1</f>
        <v>205 to 505</v>
      </c>
      <c r="B408" s="79"/>
      <c r="C408" s="52"/>
      <c r="D408" s="42"/>
      <c r="E408" s="42">
        <v>0</v>
      </c>
      <c r="F408" s="42">
        <f>D408*(($F$182)+1)+(IF(E408&lt;101,E408,IF(E408&lt;201,E408/2,IF(E408&lt;=301,E408/3,E408/4))))</f>
        <v>0</v>
      </c>
      <c r="G408" s="84"/>
      <c r="H408" s="85"/>
      <c r="I408" s="36"/>
    </row>
    <row r="409" spans="1:9" s="37" customFormat="1" hidden="1" x14ac:dyDescent="0.25">
      <c r="A409" s="86" t="s">
        <v>150</v>
      </c>
      <c r="B409" s="87"/>
      <c r="C409" s="87"/>
      <c r="D409" s="87"/>
      <c r="E409" s="87"/>
      <c r="F409" s="87"/>
      <c r="G409" s="87"/>
      <c r="H409" s="88"/>
      <c r="I409" s="36"/>
    </row>
    <row r="410" spans="1:9" s="37" customFormat="1" ht="15.75" hidden="1" customHeight="1" x14ac:dyDescent="0.25">
      <c r="A410" s="78" t="str">
        <f ca="1">(SUMPRODUCT(MID(0&amp;(LEFT(A409,SUM(LEN(A409)-LEN(SUBSTITUTE(A409,{"0","1","2"},""))))), LARGE(INDEX(ISNUMBER(--MID((LEFT(A409,SUM(LEN(A409)-LEN(SUBSTITUTE(A409,{"0","1","2"},""))))), ROW(INDIRECT("1:"&amp;LEN((LEFT(A409,SUM(LEN(A409)-LEN(SUBSTITUTE(A409,{"0","1","2"},"")))))))), 1)) * ROW(INDIRECT("1:"&amp;LEN((LEFT(A409,SUM(LEN(A409)-LEN(SUBSTITUTE(A409,{"0","1","2"},"")))))))), 0), ROW(INDIRECT("1:"&amp;LEN((LEFT(A409,SUM(LEN(A409)-LEN(SUBSTITUTE(A409,{"0","1","2"},"")))))))))+1, 1) * 10^ROW(INDIRECT("1:"&amp;LEN((LEFT(A409,SUM(LEN(A409)-LEN(SUBSTITUTE(A409,{"0","1","2"},""))))))))/10))*100+1&amp;""&amp;" &amp; "&amp;""&amp;(SUMPRODUCT(MID(0&amp;(--TRIM(RIGHT(SUBSTITUTE(LEFT(A409,_xlfn.AGGREGATE(16,6,FIND({0,1,2,3,4,5,6,7,8,9},A409,ROW(INDIRECT("1:"&amp;LEN(A409)))),1))," ",REPT(" ",LEN(A409))),LEN(A409)))), LARGE(INDEX(ISNUMBER(--MID((--TRIM(RIGHT(SUBSTITUTE(LEFT(A409,_xlfn.AGGREGATE(16,6,FIND({0,1,2,3,4,5,6,7,8,9},A409,ROW(INDIRECT("1:"&amp;LEN(A409)))),1))," ",REPT(" ",LEN(A409))),LEN(A409)))), ROW(INDIRECT("1:"&amp;LEN((--TRIM(RIGHT(SUBSTITUTE(LEFT(A409,_xlfn.AGGREGATE(16,6,FIND({0,1,2,3,4,5,6,7,8,9},A409,ROW(INDIRECT("1:"&amp;LEN(A409)))),1))," ",REPT(" ",LEN(A409))),LEN(A409))))))), 1)) * ROW(INDIRECT("1:"&amp;LEN((--TRIM(RIGHT(SUBSTITUTE(LEFT(A409,_xlfn.AGGREGATE(16,6,FIND({0,1,2,3,4,5,6,7,8,9},A409,ROW(INDIRECT("1:"&amp;LEN(A409)))),1))," ",REPT(" ",LEN(A409))),LEN(A409))))))), 0), ROW(INDIRECT("1:"&amp;LEN((--TRIM(RIGHT(SUBSTITUTE(LEFT(A409,_xlfn.AGGREGATE(16,6,FIND({0,1,2,3,4,5,6,7,8,9},A409,ROW(INDIRECT("1:"&amp;LEN(A409)))),1))," ",REPT(" ",LEN(A409))),LEN(A409))))))))+1, 1) * 10^ROW(INDIRECT("1:"&amp;LEN((--TRIM(RIGHT(SUBSTITUTE(LEFT(A409,_xlfn.AGGREGATE(16,6,FIND({0,1,2,3,4,5,6,7,8,9},A409,ROW(INDIRECT("1:"&amp;LEN(A409)))),1))," ",REPT(" ",LEN(A409))),LEN(A409)))))))/10))*100+1</f>
        <v>201 &amp; 501</v>
      </c>
      <c r="B410" s="79"/>
      <c r="C410" s="52"/>
      <c r="D410" s="42"/>
      <c r="E410" s="42">
        <v>0</v>
      </c>
      <c r="F410" s="42">
        <f>D410*(($F$182)+1)+(IF(E410&lt;101,E410,IF(E410&lt;201,E410/2,IF(E410&lt;=301,E410/3,E410/4))))</f>
        <v>0</v>
      </c>
      <c r="G410" s="80" t="str">
        <f>A409</f>
        <v>2nd &amp; 5th Floor</v>
      </c>
      <c r="H410" s="81"/>
      <c r="I410" s="36"/>
    </row>
    <row r="411" spans="1:9" s="37" customFormat="1" ht="15.75" hidden="1" customHeight="1" x14ac:dyDescent="0.25">
      <c r="A411" s="78" t="str">
        <f ca="1">(SUMPRODUCT(MID(0&amp;(LEFT(A410,SUM(LEN(A410)-LEN(SUBSTITUTE(A410,{"0","1","2"},""))))), LARGE(INDEX(ISNUMBER(--MID((LEFT(A410,SUM(LEN(A410)-LEN(SUBSTITUTE(A410,{"0","1","2"},""))))), ROW(INDIRECT("1:"&amp;LEN((LEFT(A410,SUM(LEN(A410)-LEN(SUBSTITUTE(A410,{"0","1","2"},"")))))))), 1)) * ROW(INDIRECT("1:"&amp;LEN((LEFT(A410,SUM(LEN(A410)-LEN(SUBSTITUTE(A410,{"0","1","2"},"")))))))), 0), ROW(INDIRECT("1:"&amp;LEN((LEFT(A410,SUM(LEN(A410)-LEN(SUBSTITUTE(A410,{"0","1","2"},"")))))))))+1, 1) * 10^ROW(INDIRECT("1:"&amp;LEN((LEFT(A410,SUM(LEN(A410)-LEN(SUBSTITUTE(A410,{"0","1","2"},""))))))))/10))*1+1&amp;""&amp;" &amp; "&amp;""&amp;(SUMPRODUCT(MID(0&amp;(--TRIM(RIGHT(SUBSTITUTE(LEFT(A410,_xlfn.AGGREGATE(16,6,FIND({0,1,2,3,4,5,6,7,8,9},A410,ROW(INDIRECT("1:"&amp;LEN(A410)))),1))," ",REPT(" ",LEN(A410))),LEN(A410)))), LARGE(INDEX(ISNUMBER(--MID((--TRIM(RIGHT(SUBSTITUTE(LEFT(A410,_xlfn.AGGREGATE(16,6,FIND({0,1,2,3,4,5,6,7,8,9},A410,ROW(INDIRECT("1:"&amp;LEN(A410)))),1))," ",REPT(" ",LEN(A410))),LEN(A410)))), ROW(INDIRECT("1:"&amp;LEN((--TRIM(RIGHT(SUBSTITUTE(LEFT(A410,_xlfn.AGGREGATE(16,6,FIND({0,1,2,3,4,5,6,7,8,9},A410,ROW(INDIRECT("1:"&amp;LEN(A410)))),1))," ",REPT(" ",LEN(A410))),LEN(A410))))))), 1)) * ROW(INDIRECT("1:"&amp;LEN((--TRIM(RIGHT(SUBSTITUTE(LEFT(A410,_xlfn.AGGREGATE(16,6,FIND({0,1,2,3,4,5,6,7,8,9},A410,ROW(INDIRECT("1:"&amp;LEN(A410)))),1))," ",REPT(" ",LEN(A410))),LEN(A410))))))), 0), ROW(INDIRECT("1:"&amp;LEN((--TRIM(RIGHT(SUBSTITUTE(LEFT(A410,_xlfn.AGGREGATE(16,6,FIND({0,1,2,3,4,5,6,7,8,9},A410,ROW(INDIRECT("1:"&amp;LEN(A410)))),1))," ",REPT(" ",LEN(A410))),LEN(A410))))))))+1, 1) * 10^ROW(INDIRECT("1:"&amp;LEN((--TRIM(RIGHT(SUBSTITUTE(LEFT(A410,_xlfn.AGGREGATE(16,6,FIND({0,1,2,3,4,5,6,7,8,9},A410,ROW(INDIRECT("1:"&amp;LEN(A410)))),1))," ",REPT(" ",LEN(A410))),LEN(A410)))))))/10))*1+1</f>
        <v>202 &amp; 502</v>
      </c>
      <c r="B411" s="79"/>
      <c r="C411" s="52"/>
      <c r="D411" s="42"/>
      <c r="E411" s="42">
        <v>0</v>
      </c>
      <c r="F411" s="42">
        <f>D411*(($F$182)+1)+(IF(E411&lt;101,E411,IF(E411&lt;201,E411/2,IF(E411&lt;=301,E411/3,E411/4))))</f>
        <v>0</v>
      </c>
      <c r="G411" s="82"/>
      <c r="H411" s="83"/>
      <c r="I411" s="36"/>
    </row>
    <row r="412" spans="1:9" s="37" customFormat="1" ht="15.75" hidden="1" customHeight="1" x14ac:dyDescent="0.25">
      <c r="A412" s="78" t="str">
        <f ca="1">(SUMPRODUCT(MID(0&amp;(LEFT(A411,SUM(LEN(A411)-LEN(SUBSTITUTE(A411,{"0","1","2"},""))))), LARGE(INDEX(ISNUMBER(--MID((LEFT(A411,SUM(LEN(A411)-LEN(SUBSTITUTE(A411,{"0","1","2"},""))))), ROW(INDIRECT("1:"&amp;LEN((LEFT(A411,SUM(LEN(A411)-LEN(SUBSTITUTE(A411,{"0","1","2"},"")))))))), 1)) * ROW(INDIRECT("1:"&amp;LEN((LEFT(A411,SUM(LEN(A411)-LEN(SUBSTITUTE(A411,{"0","1","2"},"")))))))), 0), ROW(INDIRECT("1:"&amp;LEN((LEFT(A411,SUM(LEN(A411)-LEN(SUBSTITUTE(A411,{"0","1","2"},"")))))))))+1, 1) * 10^ROW(INDIRECT("1:"&amp;LEN((LEFT(A411,SUM(LEN(A411)-LEN(SUBSTITUTE(A411,{"0","1","2"},""))))))))/10))*1+1&amp;""&amp;" &amp; "&amp;""&amp;(SUMPRODUCT(MID(0&amp;(--TRIM(RIGHT(SUBSTITUTE(LEFT(A411,_xlfn.AGGREGATE(16,6,FIND({0,1,2,3,4,5,6,7,8,9},A411,ROW(INDIRECT("1:"&amp;LEN(A411)))),1))," ",REPT(" ",LEN(A411))),LEN(A411)))), LARGE(INDEX(ISNUMBER(--MID((--TRIM(RIGHT(SUBSTITUTE(LEFT(A411,_xlfn.AGGREGATE(16,6,FIND({0,1,2,3,4,5,6,7,8,9},A411,ROW(INDIRECT("1:"&amp;LEN(A411)))),1))," ",REPT(" ",LEN(A411))),LEN(A411)))), ROW(INDIRECT("1:"&amp;LEN((--TRIM(RIGHT(SUBSTITUTE(LEFT(A411,_xlfn.AGGREGATE(16,6,FIND({0,1,2,3,4,5,6,7,8,9},A411,ROW(INDIRECT("1:"&amp;LEN(A411)))),1))," ",REPT(" ",LEN(A411))),LEN(A411))))))), 1)) * ROW(INDIRECT("1:"&amp;LEN((--TRIM(RIGHT(SUBSTITUTE(LEFT(A411,_xlfn.AGGREGATE(16,6,FIND({0,1,2,3,4,5,6,7,8,9},A411,ROW(INDIRECT("1:"&amp;LEN(A411)))),1))," ",REPT(" ",LEN(A411))),LEN(A411))))))), 0), ROW(INDIRECT("1:"&amp;LEN((--TRIM(RIGHT(SUBSTITUTE(LEFT(A411,_xlfn.AGGREGATE(16,6,FIND({0,1,2,3,4,5,6,7,8,9},A411,ROW(INDIRECT("1:"&amp;LEN(A411)))),1))," ",REPT(" ",LEN(A411))),LEN(A411))))))))+1, 1) * 10^ROW(INDIRECT("1:"&amp;LEN((--TRIM(RIGHT(SUBSTITUTE(LEFT(A411,_xlfn.AGGREGATE(16,6,FIND({0,1,2,3,4,5,6,7,8,9},A411,ROW(INDIRECT("1:"&amp;LEN(A411)))),1))," ",REPT(" ",LEN(A411))),LEN(A411)))))))/10))*1+1</f>
        <v>203 &amp; 503</v>
      </c>
      <c r="B412" s="79"/>
      <c r="C412" s="52"/>
      <c r="D412" s="42"/>
      <c r="E412" s="42">
        <v>0</v>
      </c>
      <c r="F412" s="42">
        <f>D412*(($F$182)+1)+(IF(E412&lt;101,E412,IF(E412&lt;201,E412/2,IF(E412&lt;=301,E412/3,E412/4))))</f>
        <v>0</v>
      </c>
      <c r="G412" s="82"/>
      <c r="H412" s="83"/>
      <c r="I412" s="36"/>
    </row>
    <row r="413" spans="1:9" s="37" customFormat="1" ht="15.75" hidden="1" customHeight="1" x14ac:dyDescent="0.25">
      <c r="A413" s="78" t="str">
        <f ca="1">(SUMPRODUCT(MID(0&amp;(LEFT(A412,SUM(LEN(A412)-LEN(SUBSTITUTE(A412,{"0","1","2"},""))))), LARGE(INDEX(ISNUMBER(--MID((LEFT(A412,SUM(LEN(A412)-LEN(SUBSTITUTE(A412,{"0","1","2"},""))))), ROW(INDIRECT("1:"&amp;LEN((LEFT(A412,SUM(LEN(A412)-LEN(SUBSTITUTE(A412,{"0","1","2"},"")))))))), 1)) * ROW(INDIRECT("1:"&amp;LEN((LEFT(A412,SUM(LEN(A412)-LEN(SUBSTITUTE(A412,{"0","1","2"},"")))))))), 0), ROW(INDIRECT("1:"&amp;LEN((LEFT(A412,SUM(LEN(A412)-LEN(SUBSTITUTE(A412,{"0","1","2"},"")))))))))+1, 1) * 10^ROW(INDIRECT("1:"&amp;LEN((LEFT(A412,SUM(LEN(A412)-LEN(SUBSTITUTE(A412,{"0","1","2"},""))))))))/10))*1+1&amp;""&amp;" &amp; "&amp;""&amp;(SUMPRODUCT(MID(0&amp;(--TRIM(RIGHT(SUBSTITUTE(LEFT(A412,_xlfn.AGGREGATE(16,6,FIND({0,1,2,3,4,5,6,7,8,9},A412,ROW(INDIRECT("1:"&amp;LEN(A412)))),1))," ",REPT(" ",LEN(A412))),LEN(A412)))), LARGE(INDEX(ISNUMBER(--MID((--TRIM(RIGHT(SUBSTITUTE(LEFT(A412,_xlfn.AGGREGATE(16,6,FIND({0,1,2,3,4,5,6,7,8,9},A412,ROW(INDIRECT("1:"&amp;LEN(A412)))),1))," ",REPT(" ",LEN(A412))),LEN(A412)))), ROW(INDIRECT("1:"&amp;LEN((--TRIM(RIGHT(SUBSTITUTE(LEFT(A412,_xlfn.AGGREGATE(16,6,FIND({0,1,2,3,4,5,6,7,8,9},A412,ROW(INDIRECT("1:"&amp;LEN(A412)))),1))," ",REPT(" ",LEN(A412))),LEN(A412))))))), 1)) * ROW(INDIRECT("1:"&amp;LEN((--TRIM(RIGHT(SUBSTITUTE(LEFT(A412,_xlfn.AGGREGATE(16,6,FIND({0,1,2,3,4,5,6,7,8,9},A412,ROW(INDIRECT("1:"&amp;LEN(A412)))),1))," ",REPT(" ",LEN(A412))),LEN(A412))))))), 0), ROW(INDIRECT("1:"&amp;LEN((--TRIM(RIGHT(SUBSTITUTE(LEFT(A412,_xlfn.AGGREGATE(16,6,FIND({0,1,2,3,4,5,6,7,8,9},A412,ROW(INDIRECT("1:"&amp;LEN(A412)))),1))," ",REPT(" ",LEN(A412))),LEN(A412))))))))+1, 1) * 10^ROW(INDIRECT("1:"&amp;LEN((--TRIM(RIGHT(SUBSTITUTE(LEFT(A412,_xlfn.AGGREGATE(16,6,FIND({0,1,2,3,4,5,6,7,8,9},A412,ROW(INDIRECT("1:"&amp;LEN(A412)))),1))," ",REPT(" ",LEN(A412))),LEN(A412)))))))/10))*1+1</f>
        <v>204 &amp; 504</v>
      </c>
      <c r="B413" s="79"/>
      <c r="C413" s="52"/>
      <c r="D413" s="42"/>
      <c r="E413" s="42">
        <v>0</v>
      </c>
      <c r="F413" s="42">
        <f>D413*(($F$182)+1)+(IF(E413&lt;101,E413,IF(E413&lt;201,E413/2,IF(E413&lt;=301,E413/3,E413/4))))</f>
        <v>0</v>
      </c>
      <c r="G413" s="82"/>
      <c r="H413" s="83"/>
      <c r="I413" s="36"/>
    </row>
    <row r="414" spans="1:9" s="37" customFormat="1" ht="15.75" hidden="1" customHeight="1" x14ac:dyDescent="0.25">
      <c r="A414" s="78" t="str">
        <f ca="1">(SUMPRODUCT(MID(0&amp;(LEFT(A413,SUM(LEN(A413)-LEN(SUBSTITUTE(A413,{"0","1","2"},""))))), LARGE(INDEX(ISNUMBER(--MID((LEFT(A413,SUM(LEN(A413)-LEN(SUBSTITUTE(A413,{"0","1","2"},""))))), ROW(INDIRECT("1:"&amp;LEN((LEFT(A413,SUM(LEN(A413)-LEN(SUBSTITUTE(A413,{"0","1","2"},"")))))))), 1)) * ROW(INDIRECT("1:"&amp;LEN((LEFT(A413,SUM(LEN(A413)-LEN(SUBSTITUTE(A413,{"0","1","2"},"")))))))), 0), ROW(INDIRECT("1:"&amp;LEN((LEFT(A413,SUM(LEN(A413)-LEN(SUBSTITUTE(A413,{"0","1","2"},"")))))))))+1, 1) * 10^ROW(INDIRECT("1:"&amp;LEN((LEFT(A413,SUM(LEN(A413)-LEN(SUBSTITUTE(A413,{"0","1","2"},""))))))))/10))*1+1&amp;""&amp;" &amp; "&amp;""&amp;(SUMPRODUCT(MID(0&amp;(--TRIM(RIGHT(SUBSTITUTE(LEFT(A413,_xlfn.AGGREGATE(16,6,FIND({0,1,2,3,4,5,6,7,8,9},A413,ROW(INDIRECT("1:"&amp;LEN(A413)))),1))," ",REPT(" ",LEN(A413))),LEN(A413)))), LARGE(INDEX(ISNUMBER(--MID((--TRIM(RIGHT(SUBSTITUTE(LEFT(A413,_xlfn.AGGREGATE(16,6,FIND({0,1,2,3,4,5,6,7,8,9},A413,ROW(INDIRECT("1:"&amp;LEN(A413)))),1))," ",REPT(" ",LEN(A413))),LEN(A413)))), ROW(INDIRECT("1:"&amp;LEN((--TRIM(RIGHT(SUBSTITUTE(LEFT(A413,_xlfn.AGGREGATE(16,6,FIND({0,1,2,3,4,5,6,7,8,9},A413,ROW(INDIRECT("1:"&amp;LEN(A413)))),1))," ",REPT(" ",LEN(A413))),LEN(A413))))))), 1)) * ROW(INDIRECT("1:"&amp;LEN((--TRIM(RIGHT(SUBSTITUTE(LEFT(A413,_xlfn.AGGREGATE(16,6,FIND({0,1,2,3,4,5,6,7,8,9},A413,ROW(INDIRECT("1:"&amp;LEN(A413)))),1))," ",REPT(" ",LEN(A413))),LEN(A413))))))), 0), ROW(INDIRECT("1:"&amp;LEN((--TRIM(RIGHT(SUBSTITUTE(LEFT(A413,_xlfn.AGGREGATE(16,6,FIND({0,1,2,3,4,5,6,7,8,9},A413,ROW(INDIRECT("1:"&amp;LEN(A413)))),1))," ",REPT(" ",LEN(A413))),LEN(A413))))))))+1, 1) * 10^ROW(INDIRECT("1:"&amp;LEN((--TRIM(RIGHT(SUBSTITUTE(LEFT(A413,_xlfn.AGGREGATE(16,6,FIND({0,1,2,3,4,5,6,7,8,9},A413,ROW(INDIRECT("1:"&amp;LEN(A413)))),1))," ",REPT(" ",LEN(A413))),LEN(A413)))))))/10))*1+1</f>
        <v>205 &amp; 505</v>
      </c>
      <c r="B414" s="79"/>
      <c r="C414" s="52"/>
      <c r="D414" s="42"/>
      <c r="E414" s="42">
        <v>0</v>
      </c>
      <c r="F414" s="42">
        <f>D414*(($F$182)+1)+(IF(E414&lt;101,E414,IF(E414&lt;201,E414/2,IF(E414&lt;=301,E414/3,E414/4))))</f>
        <v>0</v>
      </c>
      <c r="G414" s="84"/>
      <c r="H414" s="85"/>
      <c r="I414" s="36"/>
    </row>
    <row r="415" spans="1:9" s="35" customFormat="1" x14ac:dyDescent="0.25">
      <c r="A415" s="198" t="s">
        <v>70</v>
      </c>
      <c r="B415" s="198"/>
      <c r="C415" s="198"/>
      <c r="D415" s="198"/>
      <c r="E415" s="198"/>
      <c r="F415" s="198"/>
      <c r="G415" s="198"/>
      <c r="H415" s="198"/>
    </row>
    <row r="416" spans="1:9" s="35" customFormat="1" ht="67.5" customHeight="1" x14ac:dyDescent="0.25">
      <c r="A416" s="47" t="s">
        <v>159</v>
      </c>
      <c r="B416" s="74" t="s">
        <v>263</v>
      </c>
      <c r="C416" s="75"/>
      <c r="D416" s="75"/>
      <c r="E416" s="75"/>
      <c r="F416" s="75"/>
      <c r="G416" s="75"/>
      <c r="H416" s="76"/>
    </row>
    <row r="417" spans="1:15" s="35" customFormat="1" x14ac:dyDescent="0.25">
      <c r="A417" s="47" t="s">
        <v>159</v>
      </c>
      <c r="B417" s="74" t="str">
        <f>(IF(F181="Saleable area Loading :","We have considered Saleable area of Flats as per our Calculation.","We considered Saleable area of Flat as per Builder area Sheet."))</f>
        <v>We have considered Saleable area of Flats as per our Calculation.</v>
      </c>
      <c r="C417" s="75"/>
      <c r="D417" s="75"/>
      <c r="E417" s="75"/>
      <c r="F417" s="75"/>
      <c r="G417" s="75"/>
      <c r="H417" s="76"/>
    </row>
    <row r="418" spans="1:15" s="35" customFormat="1" x14ac:dyDescent="0.25">
      <c r="A418" s="47" t="s">
        <v>159</v>
      </c>
      <c r="B418" s="74" t="str">
        <f>(IF(F139="Saleable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18" s="75"/>
      <c r="D418" s="75"/>
      <c r="E418" s="75"/>
      <c r="F418" s="75"/>
      <c r="G418" s="75"/>
      <c r="H418" s="76"/>
    </row>
    <row r="419" spans="1:15" s="35" customFormat="1" x14ac:dyDescent="0.25">
      <c r="A419" s="47" t="s">
        <v>159</v>
      </c>
      <c r="B419" s="71" t="s">
        <v>126</v>
      </c>
      <c r="C419" s="72"/>
      <c r="D419" s="72"/>
      <c r="E419" s="72"/>
      <c r="F419" s="72"/>
      <c r="G419" s="72"/>
      <c r="H419" s="73"/>
    </row>
    <row r="420" spans="1:15" s="35" customFormat="1" x14ac:dyDescent="0.25">
      <c r="A420" s="47" t="s">
        <v>159</v>
      </c>
      <c r="B420" s="71" t="s">
        <v>196</v>
      </c>
      <c r="C420" s="72"/>
      <c r="D420" s="72"/>
      <c r="E420" s="72"/>
      <c r="F420" s="72"/>
      <c r="G420" s="72"/>
      <c r="H420" s="73"/>
    </row>
    <row r="421" spans="1:15" s="35" customFormat="1" x14ac:dyDescent="0.25">
      <c r="A421" s="47" t="s">
        <v>159</v>
      </c>
      <c r="B421" s="71" t="s">
        <v>158</v>
      </c>
      <c r="C421" s="72"/>
      <c r="D421" s="72"/>
      <c r="E421" s="72"/>
      <c r="F421" s="72"/>
      <c r="G421" s="72"/>
      <c r="H421" s="73"/>
    </row>
    <row r="422" spans="1:15" s="35" customFormat="1" x14ac:dyDescent="0.25">
      <c r="A422" s="47" t="s">
        <v>159</v>
      </c>
      <c r="B422" s="71" t="s">
        <v>127</v>
      </c>
      <c r="C422" s="72"/>
      <c r="D422" s="72"/>
      <c r="E422" s="72"/>
      <c r="F422" s="72"/>
      <c r="G422" s="72"/>
      <c r="H422" s="73"/>
    </row>
    <row r="423" spans="1:15" s="35" customFormat="1" ht="34.5" customHeight="1" x14ac:dyDescent="0.25">
      <c r="A423" s="47" t="s">
        <v>159</v>
      </c>
      <c r="B423" s="71" t="s">
        <v>160</v>
      </c>
      <c r="C423" s="72"/>
      <c r="D423" s="72"/>
      <c r="E423" s="72"/>
      <c r="F423" s="72"/>
      <c r="G423" s="72"/>
      <c r="H423" s="73"/>
    </row>
    <row r="424" spans="1:15" s="35" customFormat="1" x14ac:dyDescent="0.25">
      <c r="A424" s="47" t="s">
        <v>159</v>
      </c>
      <c r="B424" s="71" t="s">
        <v>128</v>
      </c>
      <c r="C424" s="72"/>
      <c r="D424" s="72"/>
      <c r="E424" s="72"/>
      <c r="F424" s="72"/>
      <c r="G424" s="72"/>
      <c r="H424" s="73"/>
    </row>
    <row r="425" spans="1:15" s="35" customFormat="1" x14ac:dyDescent="0.25">
      <c r="A425" s="47" t="s">
        <v>159</v>
      </c>
      <c r="B425" s="71" t="s">
        <v>239</v>
      </c>
      <c r="C425" s="72"/>
      <c r="D425" s="72"/>
      <c r="E425" s="72"/>
      <c r="F425" s="72"/>
      <c r="G425" s="72"/>
      <c r="H425" s="73"/>
    </row>
    <row r="426" spans="1:15" s="35" customFormat="1" x14ac:dyDescent="0.25">
      <c r="A426" s="59" t="s">
        <v>159</v>
      </c>
      <c r="B426" s="71" t="s">
        <v>248</v>
      </c>
      <c r="C426" s="72"/>
      <c r="D426" s="72"/>
      <c r="E426" s="72"/>
      <c r="F426" s="72"/>
      <c r="G426" s="72"/>
      <c r="H426" s="73"/>
      <c r="I426" s="71" t="s">
        <v>242</v>
      </c>
      <c r="J426" s="72"/>
      <c r="K426" s="72"/>
      <c r="L426" s="72"/>
      <c r="M426" s="72"/>
      <c r="N426" s="72"/>
      <c r="O426" s="73"/>
    </row>
    <row r="427" spans="1:15" s="35" customFormat="1" x14ac:dyDescent="0.25">
      <c r="A427" s="68" t="s">
        <v>159</v>
      </c>
      <c r="B427" s="71" t="s">
        <v>249</v>
      </c>
      <c r="C427" s="72"/>
      <c r="D427" s="72"/>
      <c r="E427" s="72"/>
      <c r="F427" s="72"/>
      <c r="G427" s="72"/>
      <c r="H427" s="73"/>
    </row>
    <row r="428" spans="1:15" s="35" customFormat="1" ht="32.25" customHeight="1" x14ac:dyDescent="0.25">
      <c r="A428" s="69" t="s">
        <v>159</v>
      </c>
      <c r="B428" s="71" t="s">
        <v>253</v>
      </c>
      <c r="C428" s="72"/>
      <c r="D428" s="72"/>
      <c r="E428" s="72"/>
      <c r="F428" s="72"/>
      <c r="G428" s="72"/>
      <c r="H428" s="73"/>
    </row>
    <row r="429" spans="1:15" s="35" customFormat="1" x14ac:dyDescent="0.25">
      <c r="A429" s="60" t="s">
        <v>159</v>
      </c>
      <c r="B429" s="71" t="s">
        <v>260</v>
      </c>
      <c r="C429" s="72"/>
      <c r="D429" s="72"/>
      <c r="E429" s="72"/>
      <c r="F429" s="72"/>
      <c r="G429" s="72"/>
      <c r="H429" s="73"/>
    </row>
    <row r="430" spans="1:15" x14ac:dyDescent="0.25">
      <c r="A430" s="126" t="s">
        <v>63</v>
      </c>
      <c r="B430" s="126"/>
      <c r="C430" s="126"/>
      <c r="D430" s="126"/>
      <c r="E430" s="126"/>
      <c r="F430" s="126"/>
      <c r="G430" s="126"/>
      <c r="H430" s="126"/>
    </row>
    <row r="431" spans="1:15" x14ac:dyDescent="0.25">
      <c r="A431" s="101" t="s">
        <v>64</v>
      </c>
      <c r="B431" s="101"/>
      <c r="C431" s="101"/>
      <c r="D431" s="101"/>
      <c r="E431" s="101"/>
      <c r="F431" s="101"/>
      <c r="G431" s="101"/>
      <c r="H431" s="101"/>
    </row>
    <row r="432" spans="1:15" ht="15.75" customHeight="1" x14ac:dyDescent="0.25">
      <c r="A432" s="102" t="s">
        <v>65</v>
      </c>
      <c r="B432" s="102"/>
      <c r="C432" s="102"/>
      <c r="D432" s="102"/>
      <c r="E432" s="102"/>
      <c r="F432" s="102"/>
      <c r="G432" s="102"/>
      <c r="H432" s="102"/>
    </row>
    <row r="433" spans="1:8" x14ac:dyDescent="0.25">
      <c r="A433" s="101" t="s">
        <v>66</v>
      </c>
      <c r="B433" s="101"/>
      <c r="C433" s="101"/>
      <c r="D433" s="101"/>
      <c r="E433" s="101"/>
      <c r="F433" s="101"/>
      <c r="G433" s="101"/>
      <c r="H433" s="101"/>
    </row>
    <row r="434" spans="1:8" x14ac:dyDescent="0.25">
      <c r="A434" s="101" t="s">
        <v>67</v>
      </c>
      <c r="B434" s="101"/>
      <c r="C434" s="101"/>
      <c r="D434" s="101"/>
      <c r="E434" s="101"/>
      <c r="F434" s="101"/>
      <c r="G434" s="101"/>
      <c r="H434" s="101"/>
    </row>
    <row r="435" spans="1:8" x14ac:dyDescent="0.25">
      <c r="A435" s="101" t="s">
        <v>129</v>
      </c>
      <c r="B435" s="101"/>
      <c r="C435" s="101"/>
      <c r="D435" s="101"/>
      <c r="E435" s="101"/>
      <c r="F435" s="101"/>
      <c r="G435" s="101"/>
      <c r="H435" s="101"/>
    </row>
    <row r="436" spans="1:8" x14ac:dyDescent="0.25">
      <c r="A436" s="127" t="s">
        <v>130</v>
      </c>
      <c r="B436" s="127"/>
      <c r="C436" s="127"/>
      <c r="D436" s="127"/>
      <c r="E436" s="127"/>
      <c r="F436" s="127"/>
      <c r="G436" s="127"/>
      <c r="H436" s="127"/>
    </row>
    <row r="437" spans="1:8" x14ac:dyDescent="0.25">
      <c r="A437" s="157" t="s">
        <v>78</v>
      </c>
      <c r="B437" s="157"/>
      <c r="C437" s="157" t="s">
        <v>252</v>
      </c>
      <c r="D437" s="157"/>
      <c r="E437" s="157" t="s">
        <v>106</v>
      </c>
      <c r="F437" s="157"/>
      <c r="G437" s="157" t="s">
        <v>251</v>
      </c>
      <c r="H437" s="157"/>
    </row>
    <row r="438" spans="1:8" x14ac:dyDescent="0.25">
      <c r="A438" s="156" t="s">
        <v>80</v>
      </c>
      <c r="B438" s="156"/>
      <c r="C438" s="156"/>
      <c r="D438" s="156"/>
      <c r="E438" s="156"/>
      <c r="F438" s="156"/>
      <c r="G438" s="156"/>
      <c r="H438" s="156"/>
    </row>
    <row r="439" spans="1:8" x14ac:dyDescent="0.25">
      <c r="A439" s="156"/>
      <c r="B439" s="156"/>
      <c r="C439" s="156"/>
      <c r="D439" s="156"/>
      <c r="E439" s="156"/>
      <c r="F439" s="156"/>
      <c r="G439" s="156"/>
      <c r="H439" s="156"/>
    </row>
    <row r="440" spans="1:8" x14ac:dyDescent="0.25">
      <c r="A440" s="156"/>
      <c r="B440" s="156"/>
      <c r="C440" s="156"/>
      <c r="D440" s="156"/>
      <c r="E440" s="156"/>
      <c r="F440" s="156"/>
      <c r="G440" s="156"/>
      <c r="H440" s="156"/>
    </row>
    <row r="441" spans="1:8" x14ac:dyDescent="0.25">
      <c r="A441" s="38" t="s">
        <v>68</v>
      </c>
      <c r="B441" s="39"/>
      <c r="C441" s="39"/>
      <c r="D441" s="38" t="str">
        <f>E8</f>
        <v>Auris Ilaria Tower A, B &amp; C</v>
      </c>
      <c r="F441" s="39"/>
      <c r="G441" s="39"/>
      <c r="H441" s="39"/>
    </row>
    <row r="442" spans="1:8" x14ac:dyDescent="0.25">
      <c r="A442" s="39"/>
      <c r="B442" s="39"/>
      <c r="C442" s="39"/>
      <c r="D442" s="39"/>
      <c r="E442" s="39"/>
      <c r="F442" s="39"/>
      <c r="G442" s="39"/>
      <c r="H442" s="39"/>
    </row>
    <row r="443" spans="1:8" x14ac:dyDescent="0.25">
      <c r="A443" s="39"/>
      <c r="B443" s="39"/>
      <c r="C443" s="39"/>
      <c r="D443" s="39"/>
      <c r="E443" s="39"/>
      <c r="F443" s="39"/>
      <c r="G443" s="39"/>
      <c r="H443" s="39"/>
    </row>
    <row r="444" spans="1:8" ht="15" customHeight="1" x14ac:dyDescent="0.25"/>
    <row r="484" spans="1:1" x14ac:dyDescent="0.25">
      <c r="A484" s="41" t="s">
        <v>173</v>
      </c>
    </row>
    <row r="526" spans="1:1" x14ac:dyDescent="0.25">
      <c r="A526" s="41" t="s">
        <v>69</v>
      </c>
    </row>
  </sheetData>
  <mergeCells count="831">
    <mergeCell ref="B428:H428"/>
    <mergeCell ref="C37:H37"/>
    <mergeCell ref="B426:H426"/>
    <mergeCell ref="B425:H425"/>
    <mergeCell ref="A136:B136"/>
    <mergeCell ref="C136:D136"/>
    <mergeCell ref="E136:F136"/>
    <mergeCell ref="G136:H136"/>
    <mergeCell ref="A130:B130"/>
    <mergeCell ref="C130:D130"/>
    <mergeCell ref="E130:F130"/>
    <mergeCell ref="G130:H130"/>
    <mergeCell ref="A131:B131"/>
    <mergeCell ref="C131:D131"/>
    <mergeCell ref="E131:F131"/>
    <mergeCell ref="G131:H131"/>
    <mergeCell ref="A135:B135"/>
    <mergeCell ref="C135:D135"/>
    <mergeCell ref="E135:F135"/>
    <mergeCell ref="G135:H135"/>
    <mergeCell ref="A385:B385"/>
    <mergeCell ref="A142:H142"/>
    <mergeCell ref="A184:H184"/>
    <mergeCell ref="A155:H155"/>
    <mergeCell ref="L385:M385"/>
    <mergeCell ref="C381:F382"/>
    <mergeCell ref="G376:H385"/>
    <mergeCell ref="G365:H374"/>
    <mergeCell ref="G354:H363"/>
    <mergeCell ref="G343:H352"/>
    <mergeCell ref="G332:H341"/>
    <mergeCell ref="G321:H330"/>
    <mergeCell ref="A380:B380"/>
    <mergeCell ref="L380:M380"/>
    <mergeCell ref="A381:B381"/>
    <mergeCell ref="L381:M381"/>
    <mergeCell ref="A382:B382"/>
    <mergeCell ref="L382:M382"/>
    <mergeCell ref="A383:B383"/>
    <mergeCell ref="L383:M383"/>
    <mergeCell ref="A384:B384"/>
    <mergeCell ref="L384:M384"/>
    <mergeCell ref="A373:B373"/>
    <mergeCell ref="L373:M373"/>
    <mergeCell ref="A374:B374"/>
    <mergeCell ref="L374:M374"/>
    <mergeCell ref="A375:H375"/>
    <mergeCell ref="A376:B376"/>
    <mergeCell ref="L376:M376"/>
    <mergeCell ref="A377:B377"/>
    <mergeCell ref="L377:M377"/>
    <mergeCell ref="A378:B378"/>
    <mergeCell ref="L378:M378"/>
    <mergeCell ref="A379:B379"/>
    <mergeCell ref="L379:M379"/>
    <mergeCell ref="A369:B369"/>
    <mergeCell ref="C369:F371"/>
    <mergeCell ref="L369:M369"/>
    <mergeCell ref="A370:B370"/>
    <mergeCell ref="L370:M370"/>
    <mergeCell ref="A371:B371"/>
    <mergeCell ref="L371:M371"/>
    <mergeCell ref="A372:B372"/>
    <mergeCell ref="L372:M372"/>
    <mergeCell ref="L368:M368"/>
    <mergeCell ref="A358:B358"/>
    <mergeCell ref="L358:M358"/>
    <mergeCell ref="A359:B359"/>
    <mergeCell ref="L359:M359"/>
    <mergeCell ref="A360:B360"/>
    <mergeCell ref="L360:M360"/>
    <mergeCell ref="A361:B361"/>
    <mergeCell ref="L361:M361"/>
    <mergeCell ref="A362:B362"/>
    <mergeCell ref="L362:M362"/>
    <mergeCell ref="A363:B363"/>
    <mergeCell ref="L363:M363"/>
    <mergeCell ref="A364:H364"/>
    <mergeCell ref="A365:B365"/>
    <mergeCell ref="L365:M365"/>
    <mergeCell ref="A366:B366"/>
    <mergeCell ref="L366:M366"/>
    <mergeCell ref="A367:B367"/>
    <mergeCell ref="L367:M367"/>
    <mergeCell ref="A368:B368"/>
    <mergeCell ref="A357:B357"/>
    <mergeCell ref="L357:M357"/>
    <mergeCell ref="A347:B347"/>
    <mergeCell ref="L347:M347"/>
    <mergeCell ref="A348:B348"/>
    <mergeCell ref="L348:M348"/>
    <mergeCell ref="A349:B349"/>
    <mergeCell ref="L349:M349"/>
    <mergeCell ref="A350:B350"/>
    <mergeCell ref="L350:M350"/>
    <mergeCell ref="A351:B351"/>
    <mergeCell ref="L351:M351"/>
    <mergeCell ref="A352:B352"/>
    <mergeCell ref="L352:M352"/>
    <mergeCell ref="C347:F349"/>
    <mergeCell ref="A353:H353"/>
    <mergeCell ref="A354:B354"/>
    <mergeCell ref="L354:M354"/>
    <mergeCell ref="A355:B355"/>
    <mergeCell ref="L355:M355"/>
    <mergeCell ref="A356:B356"/>
    <mergeCell ref="L356:M356"/>
    <mergeCell ref="A346:B346"/>
    <mergeCell ref="L346:M346"/>
    <mergeCell ref="A336:B336"/>
    <mergeCell ref="L336:M336"/>
    <mergeCell ref="A337:B337"/>
    <mergeCell ref="L337:M337"/>
    <mergeCell ref="A338:B338"/>
    <mergeCell ref="L338:M338"/>
    <mergeCell ref="A339:B339"/>
    <mergeCell ref="L339:M339"/>
    <mergeCell ref="A340:B340"/>
    <mergeCell ref="L340:M340"/>
    <mergeCell ref="A341:B341"/>
    <mergeCell ref="L341:M341"/>
    <mergeCell ref="A342:H342"/>
    <mergeCell ref="A343:B343"/>
    <mergeCell ref="L343:M343"/>
    <mergeCell ref="L344:M344"/>
    <mergeCell ref="A345:B345"/>
    <mergeCell ref="L345:M345"/>
    <mergeCell ref="L329:M329"/>
    <mergeCell ref="A330:B330"/>
    <mergeCell ref="L330:M330"/>
    <mergeCell ref="L332:M332"/>
    <mergeCell ref="A333:B333"/>
    <mergeCell ref="L333:M333"/>
    <mergeCell ref="A334:B334"/>
    <mergeCell ref="L334:M334"/>
    <mergeCell ref="A335:B335"/>
    <mergeCell ref="L335:M335"/>
    <mergeCell ref="A329:B329"/>
    <mergeCell ref="L323:M323"/>
    <mergeCell ref="A324:B324"/>
    <mergeCell ref="L324:M324"/>
    <mergeCell ref="A325:B325"/>
    <mergeCell ref="L325:M325"/>
    <mergeCell ref="L326:M326"/>
    <mergeCell ref="A327:B327"/>
    <mergeCell ref="L327:M327"/>
    <mergeCell ref="A328:B328"/>
    <mergeCell ref="L328:M328"/>
    <mergeCell ref="A323:B323"/>
    <mergeCell ref="L317:M317"/>
    <mergeCell ref="A318:B318"/>
    <mergeCell ref="L318:M318"/>
    <mergeCell ref="A319:B319"/>
    <mergeCell ref="L319:M319"/>
    <mergeCell ref="C318:F319"/>
    <mergeCell ref="G315:H319"/>
    <mergeCell ref="L321:M321"/>
    <mergeCell ref="A322:B322"/>
    <mergeCell ref="L322:M322"/>
    <mergeCell ref="A317:B317"/>
    <mergeCell ref="L311:M311"/>
    <mergeCell ref="A312:B312"/>
    <mergeCell ref="L312:M312"/>
    <mergeCell ref="A313:B313"/>
    <mergeCell ref="L313:M313"/>
    <mergeCell ref="C309:F310"/>
    <mergeCell ref="G309:H313"/>
    <mergeCell ref="L315:M315"/>
    <mergeCell ref="A316:B316"/>
    <mergeCell ref="L316:M316"/>
    <mergeCell ref="A311:B311"/>
    <mergeCell ref="L305:M305"/>
    <mergeCell ref="A306:B306"/>
    <mergeCell ref="L306:M306"/>
    <mergeCell ref="A307:B307"/>
    <mergeCell ref="L307:M307"/>
    <mergeCell ref="G303:H307"/>
    <mergeCell ref="L309:M309"/>
    <mergeCell ref="A310:B310"/>
    <mergeCell ref="L310:M310"/>
    <mergeCell ref="A305:B305"/>
    <mergeCell ref="L299:M299"/>
    <mergeCell ref="A300:B300"/>
    <mergeCell ref="L300:M300"/>
    <mergeCell ref="A301:B301"/>
    <mergeCell ref="L301:M301"/>
    <mergeCell ref="G297:H301"/>
    <mergeCell ref="A297:B297"/>
    <mergeCell ref="L303:M303"/>
    <mergeCell ref="A304:B304"/>
    <mergeCell ref="L304:M304"/>
    <mergeCell ref="A299:B299"/>
    <mergeCell ref="L177:M177"/>
    <mergeCell ref="L178:M178"/>
    <mergeCell ref="G158:H178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A167:B167"/>
    <mergeCell ref="L167:M167"/>
    <mergeCell ref="A168:B168"/>
    <mergeCell ref="L168:M168"/>
    <mergeCell ref="A169:B169"/>
    <mergeCell ref="L169:M169"/>
    <mergeCell ref="A170:B170"/>
    <mergeCell ref="L170:M170"/>
    <mergeCell ref="L171:M171"/>
    <mergeCell ref="A158:B158"/>
    <mergeCell ref="L165:M165"/>
    <mergeCell ref="L166:M166"/>
    <mergeCell ref="A171:B171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66:B166"/>
    <mergeCell ref="C87:H87"/>
    <mergeCell ref="F116:H116"/>
    <mergeCell ref="A121:E121"/>
    <mergeCell ref="A116:E116"/>
    <mergeCell ref="A82:B82"/>
    <mergeCell ref="F120:H120"/>
    <mergeCell ref="A114:E114"/>
    <mergeCell ref="F113:H113"/>
    <mergeCell ref="F118:H118"/>
    <mergeCell ref="A88:B88"/>
    <mergeCell ref="E88:F88"/>
    <mergeCell ref="G88:H88"/>
    <mergeCell ref="A89:B89"/>
    <mergeCell ref="E89:F98"/>
    <mergeCell ref="A99:B99"/>
    <mergeCell ref="C99:H99"/>
    <mergeCell ref="A101:B101"/>
    <mergeCell ref="C101:H101"/>
    <mergeCell ref="A102:B102"/>
    <mergeCell ref="E102:F102"/>
    <mergeCell ref="G102:H102"/>
    <mergeCell ref="A103:B103"/>
    <mergeCell ref="E103:F112"/>
    <mergeCell ref="G103:H112"/>
    <mergeCell ref="A413:B413"/>
    <mergeCell ref="A415:H415"/>
    <mergeCell ref="B417:H417"/>
    <mergeCell ref="A399:B399"/>
    <mergeCell ref="A138:H138"/>
    <mergeCell ref="A401:B401"/>
    <mergeCell ref="A398:B398"/>
    <mergeCell ref="B139:B140"/>
    <mergeCell ref="A144:H144"/>
    <mergeCell ref="E139:E140"/>
    <mergeCell ref="G139:H140"/>
    <mergeCell ref="A386:H386"/>
    <mergeCell ref="A163:B163"/>
    <mergeCell ref="A164:B164"/>
    <mergeCell ref="A165:B165"/>
    <mergeCell ref="A178:B178"/>
    <mergeCell ref="A294:B294"/>
    <mergeCell ref="A295:B295"/>
    <mergeCell ref="A195:B195"/>
    <mergeCell ref="A196:B196"/>
    <mergeCell ref="A202:B202"/>
    <mergeCell ref="A207:B207"/>
    <mergeCell ref="A201:B201"/>
    <mergeCell ref="C195:F195"/>
    <mergeCell ref="B421:H421"/>
    <mergeCell ref="F115:H115"/>
    <mergeCell ref="A115:E115"/>
    <mergeCell ref="D139:D140"/>
    <mergeCell ref="A117:E117"/>
    <mergeCell ref="A145:B145"/>
    <mergeCell ref="A146:B146"/>
    <mergeCell ref="A147:B147"/>
    <mergeCell ref="A148:B148"/>
    <mergeCell ref="A118:E118"/>
    <mergeCell ref="A124:E124"/>
    <mergeCell ref="A119:E119"/>
    <mergeCell ref="F119:H119"/>
    <mergeCell ref="A407:B407"/>
    <mergeCell ref="A408:B408"/>
    <mergeCell ref="C139:C140"/>
    <mergeCell ref="B419:H419"/>
    <mergeCell ref="B420:H420"/>
    <mergeCell ref="G410:H414"/>
    <mergeCell ref="A412:B412"/>
    <mergeCell ref="A409:H409"/>
    <mergeCell ref="A410:B410"/>
    <mergeCell ref="A411:B411"/>
    <mergeCell ref="A414:B414"/>
    <mergeCell ref="L189:M189"/>
    <mergeCell ref="L199:M199"/>
    <mergeCell ref="A296:H296"/>
    <mergeCell ref="A179:H179"/>
    <mergeCell ref="A289:H289"/>
    <mergeCell ref="A290:H290"/>
    <mergeCell ref="A291:H291"/>
    <mergeCell ref="A47:B47"/>
    <mergeCell ref="C47:H47"/>
    <mergeCell ref="C55:H55"/>
    <mergeCell ref="G89:H98"/>
    <mergeCell ref="A90:B90"/>
    <mergeCell ref="A91:B91"/>
    <mergeCell ref="A92:B92"/>
    <mergeCell ref="C134:D134"/>
    <mergeCell ref="E134:F134"/>
    <mergeCell ref="G134:H134"/>
    <mergeCell ref="G128:H128"/>
    <mergeCell ref="D62:H62"/>
    <mergeCell ref="D63:H63"/>
    <mergeCell ref="A61:C63"/>
    <mergeCell ref="A85:B85"/>
    <mergeCell ref="C85:H85"/>
    <mergeCell ref="A87:B87"/>
    <mergeCell ref="G404:H408"/>
    <mergeCell ref="L190:M190"/>
    <mergeCell ref="L191:M191"/>
    <mergeCell ref="L192:M192"/>
    <mergeCell ref="L193:M193"/>
    <mergeCell ref="L194:M194"/>
    <mergeCell ref="L195:M195"/>
    <mergeCell ref="L196:M196"/>
    <mergeCell ref="A315:B315"/>
    <mergeCell ref="A320:H320"/>
    <mergeCell ref="L293:M293"/>
    <mergeCell ref="L294:M294"/>
    <mergeCell ref="L295:M295"/>
    <mergeCell ref="A197:H197"/>
    <mergeCell ref="A198:B198"/>
    <mergeCell ref="A216:B216"/>
    <mergeCell ref="A228:B228"/>
    <mergeCell ref="A252:B252"/>
    <mergeCell ref="A219:B219"/>
    <mergeCell ref="A231:B231"/>
    <mergeCell ref="A243:B243"/>
    <mergeCell ref="A260:B260"/>
    <mergeCell ref="A230:B230"/>
    <mergeCell ref="A242:B242"/>
    <mergeCell ref="A388:B388"/>
    <mergeCell ref="L388:M388"/>
    <mergeCell ref="A389:B389"/>
    <mergeCell ref="L389:M389"/>
    <mergeCell ref="A402:B402"/>
    <mergeCell ref="A403:H403"/>
    <mergeCell ref="A397:H397"/>
    <mergeCell ref="A390:B390"/>
    <mergeCell ref="A387:B387"/>
    <mergeCell ref="L391:M391"/>
    <mergeCell ref="A396:B396"/>
    <mergeCell ref="A393:B393"/>
    <mergeCell ref="A394:B394"/>
    <mergeCell ref="G398:H402"/>
    <mergeCell ref="L387:M387"/>
    <mergeCell ref="A93:B93"/>
    <mergeCell ref="A94:B94"/>
    <mergeCell ref="A95:B95"/>
    <mergeCell ref="A96:B96"/>
    <mergeCell ref="A97:B97"/>
    <mergeCell ref="A98:B98"/>
    <mergeCell ref="A127:H127"/>
    <mergeCell ref="A125:E125"/>
    <mergeCell ref="F125:H125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C133:D133"/>
    <mergeCell ref="G133:H133"/>
    <mergeCell ref="A123:E123"/>
    <mergeCell ref="C129:D129"/>
    <mergeCell ref="E129:F129"/>
    <mergeCell ref="A113:E113"/>
    <mergeCell ref="F117:H117"/>
    <mergeCell ref="F121:H121"/>
    <mergeCell ref="C128:D128"/>
    <mergeCell ref="F124:H124"/>
    <mergeCell ref="F122:H122"/>
    <mergeCell ref="A128:B128"/>
    <mergeCell ref="A42:D42"/>
    <mergeCell ref="E42:H42"/>
    <mergeCell ref="E43:H43"/>
    <mergeCell ref="E44:H44"/>
    <mergeCell ref="E45:H45"/>
    <mergeCell ref="A43:D43"/>
    <mergeCell ref="A81:B81"/>
    <mergeCell ref="A74:B74"/>
    <mergeCell ref="A77:B77"/>
    <mergeCell ref="A73:B73"/>
    <mergeCell ref="A71:B71"/>
    <mergeCell ref="C71:H71"/>
    <mergeCell ref="A79:B79"/>
    <mergeCell ref="A66:C66"/>
    <mergeCell ref="D66:H66"/>
    <mergeCell ref="C73:H73"/>
    <mergeCell ref="A76:B76"/>
    <mergeCell ref="A78:B78"/>
    <mergeCell ref="E74:F74"/>
    <mergeCell ref="A67:C67"/>
    <mergeCell ref="D67:H67"/>
    <mergeCell ref="A70:C70"/>
    <mergeCell ref="D70:H70"/>
    <mergeCell ref="A68:C68"/>
    <mergeCell ref="A36:H36"/>
    <mergeCell ref="A35:B35"/>
    <mergeCell ref="C35:E35"/>
    <mergeCell ref="A40:D40"/>
    <mergeCell ref="E40:H40"/>
    <mergeCell ref="F32:H32"/>
    <mergeCell ref="F33:H33"/>
    <mergeCell ref="A39:H39"/>
    <mergeCell ref="A64:C64"/>
    <mergeCell ref="F35:H35"/>
    <mergeCell ref="A37:B37"/>
    <mergeCell ref="A38:B38"/>
    <mergeCell ref="C38:H38"/>
    <mergeCell ref="A44:D44"/>
    <mergeCell ref="A45:D45"/>
    <mergeCell ref="A46:H46"/>
    <mergeCell ref="D60:H60"/>
    <mergeCell ref="A60:C60"/>
    <mergeCell ref="G49:H49"/>
    <mergeCell ref="A54:B55"/>
    <mergeCell ref="G48:H48"/>
    <mergeCell ref="D61:H61"/>
    <mergeCell ref="C49:E49"/>
    <mergeCell ref="A56:B5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77:B17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A139:A140"/>
    <mergeCell ref="A141:H141"/>
    <mergeCell ref="D64:H64"/>
    <mergeCell ref="G74:H74"/>
    <mergeCell ref="F123:H123"/>
    <mergeCell ref="E128:F128"/>
    <mergeCell ref="A438:H440"/>
    <mergeCell ref="A437:B437"/>
    <mergeCell ref="E437:F437"/>
    <mergeCell ref="C437:D437"/>
    <mergeCell ref="G437:H437"/>
    <mergeCell ref="A433:H433"/>
    <mergeCell ref="A436:H436"/>
    <mergeCell ref="A434:H434"/>
    <mergeCell ref="A430:H430"/>
    <mergeCell ref="A431:H431"/>
    <mergeCell ref="C181:C182"/>
    <mergeCell ref="A275:H275"/>
    <mergeCell ref="A276:B276"/>
    <mergeCell ref="A281:B281"/>
    <mergeCell ref="A286:B286"/>
    <mergeCell ref="G186:H196"/>
    <mergeCell ref="A200:B200"/>
    <mergeCell ref="A249:B249"/>
    <mergeCell ref="A269:B269"/>
    <mergeCell ref="A189:B189"/>
    <mergeCell ref="A183:H183"/>
    <mergeCell ref="B181:B182"/>
    <mergeCell ref="C269:F270"/>
    <mergeCell ref="A271:B271"/>
    <mergeCell ref="A284:B284"/>
    <mergeCell ref="A254:B254"/>
    <mergeCell ref="A251:B251"/>
    <mergeCell ref="A285:B285"/>
    <mergeCell ref="A180:H180"/>
    <mergeCell ref="A181:A182"/>
    <mergeCell ref="A266:B266"/>
    <mergeCell ref="A156:H156"/>
    <mergeCell ref="A157:H157"/>
    <mergeCell ref="A137:H137"/>
    <mergeCell ref="A120:E120"/>
    <mergeCell ref="A122:E122"/>
    <mergeCell ref="A65:C65"/>
    <mergeCell ref="E75:F84"/>
    <mergeCell ref="G75:H84"/>
    <mergeCell ref="A83:B83"/>
    <mergeCell ref="A84:B84"/>
    <mergeCell ref="D65:H65"/>
    <mergeCell ref="D68:H68"/>
    <mergeCell ref="A69:C69"/>
    <mergeCell ref="D69:H69"/>
    <mergeCell ref="A75:B75"/>
    <mergeCell ref="A126:E126"/>
    <mergeCell ref="F126:H126"/>
    <mergeCell ref="A134:B134"/>
    <mergeCell ref="A129:B129"/>
    <mergeCell ref="A132:H132"/>
    <mergeCell ref="E133:F133"/>
    <mergeCell ref="C56:E56"/>
    <mergeCell ref="A49:B49"/>
    <mergeCell ref="A57:H57"/>
    <mergeCell ref="A58:C58"/>
    <mergeCell ref="A59:C59"/>
    <mergeCell ref="D59:H59"/>
    <mergeCell ref="G56:H56"/>
    <mergeCell ref="A52:B53"/>
    <mergeCell ref="C52:E52"/>
    <mergeCell ref="G52:H52"/>
    <mergeCell ref="C53:H53"/>
    <mergeCell ref="G54:H54"/>
    <mergeCell ref="D58:H58"/>
    <mergeCell ref="C54:E54"/>
    <mergeCell ref="A50:B51"/>
    <mergeCell ref="C50:E50"/>
    <mergeCell ref="G50:H50"/>
    <mergeCell ref="C51:H51"/>
    <mergeCell ref="E41:H41"/>
    <mergeCell ref="A41:D41"/>
    <mergeCell ref="A435:H435"/>
    <mergeCell ref="A432:H432"/>
    <mergeCell ref="A392:B392"/>
    <mergeCell ref="A133:B133"/>
    <mergeCell ref="D181:D182"/>
    <mergeCell ref="E181:E182"/>
    <mergeCell ref="G181:H182"/>
    <mergeCell ref="A80:B80"/>
    <mergeCell ref="F114:H114"/>
    <mergeCell ref="G129:H129"/>
    <mergeCell ref="A48:B48"/>
    <mergeCell ref="C48:E48"/>
    <mergeCell ref="A143:H143"/>
    <mergeCell ref="A149:B149"/>
    <mergeCell ref="A154:B154"/>
    <mergeCell ref="A190:B190"/>
    <mergeCell ref="A191:B191"/>
    <mergeCell ref="A192:B192"/>
    <mergeCell ref="A193:B193"/>
    <mergeCell ref="A194:B194"/>
    <mergeCell ref="G262:H274"/>
    <mergeCell ref="C268:F268"/>
    <mergeCell ref="L154:M154"/>
    <mergeCell ref="G145:H154"/>
    <mergeCell ref="A185:H185"/>
    <mergeCell ref="A186:B186"/>
    <mergeCell ref="L186:M186"/>
    <mergeCell ref="A187:B187"/>
    <mergeCell ref="L187:M187"/>
    <mergeCell ref="A188:B188"/>
    <mergeCell ref="L188:M188"/>
    <mergeCell ref="L148:M148"/>
    <mergeCell ref="L147:M147"/>
    <mergeCell ref="L146:M146"/>
    <mergeCell ref="L145:M145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L163:M163"/>
    <mergeCell ref="L164:M164"/>
    <mergeCell ref="L200:M200"/>
    <mergeCell ref="A218:B218"/>
    <mergeCell ref="L218:M218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L201:M201"/>
    <mergeCell ref="L207:M207"/>
    <mergeCell ref="A208:B208"/>
    <mergeCell ref="L208:M208"/>
    <mergeCell ref="G198:H208"/>
    <mergeCell ref="A209:H209"/>
    <mergeCell ref="A210:B210"/>
    <mergeCell ref="G210:H220"/>
    <mergeCell ref="L210:M210"/>
    <mergeCell ref="A211:B211"/>
    <mergeCell ref="L211:M211"/>
    <mergeCell ref="A212:B212"/>
    <mergeCell ref="L212:M212"/>
    <mergeCell ref="A213:B213"/>
    <mergeCell ref="L213:M213"/>
    <mergeCell ref="A214:B214"/>
    <mergeCell ref="L214:M214"/>
    <mergeCell ref="A215:B215"/>
    <mergeCell ref="L215:M215"/>
    <mergeCell ref="L216:M216"/>
    <mergeCell ref="A217:B217"/>
    <mergeCell ref="L217:M217"/>
    <mergeCell ref="L198:M198"/>
    <mergeCell ref="A199:B199"/>
    <mergeCell ref="L242:M242"/>
    <mergeCell ref="L219:M219"/>
    <mergeCell ref="A220:B220"/>
    <mergeCell ref="L220:M220"/>
    <mergeCell ref="C216:F218"/>
    <mergeCell ref="A221:H221"/>
    <mergeCell ref="A222:B222"/>
    <mergeCell ref="G222:H232"/>
    <mergeCell ref="L222:M222"/>
    <mergeCell ref="A223:B223"/>
    <mergeCell ref="L223:M223"/>
    <mergeCell ref="A224:B224"/>
    <mergeCell ref="L224:M224"/>
    <mergeCell ref="A225:B225"/>
    <mergeCell ref="L225:M225"/>
    <mergeCell ref="A226:B226"/>
    <mergeCell ref="L226:M226"/>
    <mergeCell ref="A227:B227"/>
    <mergeCell ref="L227:M227"/>
    <mergeCell ref="L228:M228"/>
    <mergeCell ref="A229:B229"/>
    <mergeCell ref="L229:M229"/>
    <mergeCell ref="L230:M230"/>
    <mergeCell ref="L254:M254"/>
    <mergeCell ref="A255:B255"/>
    <mergeCell ref="L231:M231"/>
    <mergeCell ref="A232:B232"/>
    <mergeCell ref="L232:M232"/>
    <mergeCell ref="C231:F232"/>
    <mergeCell ref="A233:H233"/>
    <mergeCell ref="A234:B234"/>
    <mergeCell ref="L234:M234"/>
    <mergeCell ref="A235:B235"/>
    <mergeCell ref="L235:M235"/>
    <mergeCell ref="A236:B236"/>
    <mergeCell ref="L236:M236"/>
    <mergeCell ref="A237:B237"/>
    <mergeCell ref="L237:M237"/>
    <mergeCell ref="A238:B238"/>
    <mergeCell ref="L238:M238"/>
    <mergeCell ref="A239:B239"/>
    <mergeCell ref="L239:M239"/>
    <mergeCell ref="A240:B240"/>
    <mergeCell ref="L240:M240"/>
    <mergeCell ref="A241:B241"/>
    <mergeCell ref="L241:M241"/>
    <mergeCell ref="G234:H246"/>
    <mergeCell ref="L252:M252"/>
    <mergeCell ref="A253:B253"/>
    <mergeCell ref="L253:M253"/>
    <mergeCell ref="L243:M243"/>
    <mergeCell ref="A244:B244"/>
    <mergeCell ref="L244:M244"/>
    <mergeCell ref="A245:B245"/>
    <mergeCell ref="L245:M245"/>
    <mergeCell ref="A246:B246"/>
    <mergeCell ref="L246:M246"/>
    <mergeCell ref="A247:H247"/>
    <mergeCell ref="A248:B248"/>
    <mergeCell ref="L248:M248"/>
    <mergeCell ref="L260:M260"/>
    <mergeCell ref="A261:H261"/>
    <mergeCell ref="A262:B262"/>
    <mergeCell ref="L262:M262"/>
    <mergeCell ref="A263:B263"/>
    <mergeCell ref="L263:M263"/>
    <mergeCell ref="A264:B264"/>
    <mergeCell ref="L264:M264"/>
    <mergeCell ref="A265:B265"/>
    <mergeCell ref="L265:M265"/>
    <mergeCell ref="G248:H260"/>
    <mergeCell ref="L255:M255"/>
    <mergeCell ref="A256:B256"/>
    <mergeCell ref="L256:M256"/>
    <mergeCell ref="A257:B257"/>
    <mergeCell ref="L257:M257"/>
    <mergeCell ref="A258:B258"/>
    <mergeCell ref="L258:M258"/>
    <mergeCell ref="A259:B259"/>
    <mergeCell ref="L259:M259"/>
    <mergeCell ref="L249:M249"/>
    <mergeCell ref="A250:B250"/>
    <mergeCell ref="L250:M250"/>
    <mergeCell ref="L251:M251"/>
    <mergeCell ref="L266:M266"/>
    <mergeCell ref="A267:B267"/>
    <mergeCell ref="L267:M267"/>
    <mergeCell ref="A268:B268"/>
    <mergeCell ref="L268:M268"/>
    <mergeCell ref="L298:M298"/>
    <mergeCell ref="L286:M286"/>
    <mergeCell ref="A287:B287"/>
    <mergeCell ref="L287:M287"/>
    <mergeCell ref="A288:B288"/>
    <mergeCell ref="L288:M288"/>
    <mergeCell ref="C283:F284"/>
    <mergeCell ref="G276:H288"/>
    <mergeCell ref="L276:M276"/>
    <mergeCell ref="A277:B277"/>
    <mergeCell ref="L277:M277"/>
    <mergeCell ref="A278:B278"/>
    <mergeCell ref="L278:M278"/>
    <mergeCell ref="A292:H292"/>
    <mergeCell ref="A293:B293"/>
    <mergeCell ref="G293:H295"/>
    <mergeCell ref="A298:B298"/>
    <mergeCell ref="L284:M284"/>
    <mergeCell ref="B429:H429"/>
    <mergeCell ref="L269:M269"/>
    <mergeCell ref="A270:B270"/>
    <mergeCell ref="L270:M270"/>
    <mergeCell ref="A302:H302"/>
    <mergeCell ref="L272:M272"/>
    <mergeCell ref="A273:B273"/>
    <mergeCell ref="L273:M273"/>
    <mergeCell ref="A274:B274"/>
    <mergeCell ref="L274:M274"/>
    <mergeCell ref="A279:B279"/>
    <mergeCell ref="L279:M279"/>
    <mergeCell ref="A280:B280"/>
    <mergeCell ref="L280:M280"/>
    <mergeCell ref="L281:M281"/>
    <mergeCell ref="A282:B282"/>
    <mergeCell ref="L282:M282"/>
    <mergeCell ref="A283:B283"/>
    <mergeCell ref="L283:M283"/>
    <mergeCell ref="L271:M271"/>
    <mergeCell ref="A272:B272"/>
    <mergeCell ref="B424:H424"/>
    <mergeCell ref="B422:H422"/>
    <mergeCell ref="B427:H427"/>
    <mergeCell ref="L285:M285"/>
    <mergeCell ref="L297:M297"/>
    <mergeCell ref="I426:O426"/>
    <mergeCell ref="B416:H416"/>
    <mergeCell ref="A391:H391"/>
    <mergeCell ref="A400:B400"/>
    <mergeCell ref="G387:H390"/>
    <mergeCell ref="G392:H396"/>
    <mergeCell ref="A331:H331"/>
    <mergeCell ref="A332:B332"/>
    <mergeCell ref="A344:B344"/>
    <mergeCell ref="A303:B303"/>
    <mergeCell ref="A308:H308"/>
    <mergeCell ref="A309:B309"/>
    <mergeCell ref="A314:H314"/>
    <mergeCell ref="A321:B321"/>
    <mergeCell ref="A326:B326"/>
    <mergeCell ref="B423:H423"/>
    <mergeCell ref="A404:B404"/>
    <mergeCell ref="A405:B405"/>
    <mergeCell ref="A406:B406"/>
    <mergeCell ref="A395:B395"/>
    <mergeCell ref="L390:M390"/>
    <mergeCell ref="B418:H418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440" max="16383" man="1"/>
    <brk id="483" max="16383" man="1"/>
    <brk id="52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7" t="s">
        <v>107</v>
      </c>
      <c r="C3" s="207"/>
      <c r="D3" s="207"/>
      <c r="E3" s="207"/>
      <c r="F3" s="207"/>
      <c r="G3" s="207"/>
      <c r="H3" s="207"/>
    </row>
    <row r="4" spans="1:9" x14ac:dyDescent="0.25">
      <c r="A4" s="2"/>
      <c r="B4" s="3" t="s">
        <v>108</v>
      </c>
      <c r="C4" s="3" t="s">
        <v>109</v>
      </c>
      <c r="D4" s="3" t="s">
        <v>71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2025-09-12T11:41:18Z</cp:lastPrinted>
  <dcterms:created xsi:type="dcterms:W3CDTF">2019-07-16T09:29:46Z</dcterms:created>
  <dcterms:modified xsi:type="dcterms:W3CDTF">2025-09-25T10:48:44Z</dcterms:modified>
</cp:coreProperties>
</file>