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ne 2025\10-06-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8" i="1" l="1"/>
  <c r="I178" i="1" l="1"/>
  <c r="D184" i="1" l="1"/>
  <c r="D180" i="1"/>
  <c r="D176" i="1"/>
  <c r="D174" i="1"/>
  <c r="D170" i="1"/>
  <c r="D182" i="1"/>
  <c r="D178" i="1"/>
  <c r="D172" i="1"/>
  <c r="D168" i="1"/>
  <c r="D164" i="1"/>
  <c r="D166" i="1" l="1"/>
  <c r="J164" i="1"/>
  <c r="K164" i="1"/>
  <c r="K165" i="1" l="1"/>
  <c r="K166" i="1" s="1"/>
  <c r="D212" i="1"/>
  <c r="F212" i="1" s="1"/>
  <c r="H212" i="1" s="1"/>
  <c r="F184" i="1"/>
  <c r="H184" i="1" s="1"/>
  <c r="D204" i="1"/>
  <c r="F204" i="1" s="1"/>
  <c r="H204" i="1" s="1"/>
  <c r="D202" i="1"/>
  <c r="F202" i="1" s="1"/>
  <c r="H202" i="1" s="1"/>
  <c r="F174" i="1"/>
  <c r="H174" i="1" s="1"/>
  <c r="D242" i="1"/>
  <c r="C144" i="1" s="1"/>
  <c r="D236" i="1"/>
  <c r="F236" i="1" s="1"/>
  <c r="H236" i="1" s="1"/>
  <c r="G143" i="1" s="1"/>
  <c r="D230" i="1"/>
  <c r="F230" i="1" s="1"/>
  <c r="H230" i="1" s="1"/>
  <c r="D228" i="1"/>
  <c r="F228" i="1" s="1"/>
  <c r="H228" i="1" s="1"/>
  <c r="D226" i="1"/>
  <c r="F226" i="1" s="1"/>
  <c r="H226" i="1" s="1"/>
  <c r="D224" i="1"/>
  <c r="F224" i="1" s="1"/>
  <c r="H224" i="1" s="1"/>
  <c r="D222" i="1"/>
  <c r="F222" i="1" s="1"/>
  <c r="H222" i="1" s="1"/>
  <c r="D220" i="1"/>
  <c r="F220" i="1" s="1"/>
  <c r="H220" i="1" s="1"/>
  <c r="D210" i="1"/>
  <c r="F210" i="1" s="1"/>
  <c r="H210" i="1" s="1"/>
  <c r="D208" i="1"/>
  <c r="F208" i="1" s="1"/>
  <c r="H208" i="1" s="1"/>
  <c r="D206" i="1"/>
  <c r="F206" i="1" s="1"/>
  <c r="H206" i="1" s="1"/>
  <c r="D200" i="1"/>
  <c r="F200" i="1" s="1"/>
  <c r="H200" i="1" s="1"/>
  <c r="D198" i="1"/>
  <c r="F198" i="1" s="1"/>
  <c r="H198" i="1" s="1"/>
  <c r="D196" i="1"/>
  <c r="F196" i="1" s="1"/>
  <c r="H196" i="1" s="1"/>
  <c r="D194" i="1"/>
  <c r="F194" i="1" s="1"/>
  <c r="H194" i="1" s="1"/>
  <c r="D192" i="1"/>
  <c r="F192" i="1" s="1"/>
  <c r="H192" i="1" s="1"/>
  <c r="F182" i="1"/>
  <c r="H182" i="1" s="1"/>
  <c r="F178" i="1"/>
  <c r="H178" i="1" s="1"/>
  <c r="F180" i="1"/>
  <c r="H180" i="1" s="1"/>
  <c r="F176" i="1"/>
  <c r="H176" i="1" s="1"/>
  <c r="F172" i="1"/>
  <c r="H172" i="1" s="1"/>
  <c r="F168" i="1"/>
  <c r="H168" i="1" s="1"/>
  <c r="F170" i="1"/>
  <c r="H170" i="1" s="1"/>
  <c r="I172" i="1" s="1"/>
  <c r="F166" i="1"/>
  <c r="F164" i="1"/>
  <c r="C143" i="1" l="1"/>
  <c r="H164" i="1"/>
  <c r="E140" i="1"/>
  <c r="E145" i="1" s="1"/>
  <c r="H166" i="1"/>
  <c r="G141" i="1"/>
  <c r="G142" i="1"/>
  <c r="C140" i="1"/>
  <c r="C145" i="1" s="1"/>
  <c r="F242" i="1"/>
  <c r="H242" i="1" s="1"/>
  <c r="G144" i="1" s="1"/>
  <c r="E141" i="1"/>
  <c r="C141" i="1"/>
  <c r="E142" i="1"/>
  <c r="C142" i="1"/>
  <c r="E143" i="1"/>
  <c r="G140" i="1" l="1"/>
  <c r="G145" i="1" s="1"/>
  <c r="E144" i="1"/>
  <c r="E44" i="1"/>
  <c r="F152" i="1" l="1"/>
  <c r="H152" i="1"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00" i="1"/>
  <c r="B275" i="1"/>
  <c r="B274" i="1"/>
  <c r="F271" i="1"/>
  <c r="H271" i="1" s="1"/>
  <c r="F270" i="1"/>
  <c r="H270" i="1" s="1"/>
  <c r="F269" i="1"/>
  <c r="H269" i="1" s="1"/>
  <c r="F268" i="1"/>
  <c r="H268" i="1" s="1"/>
  <c r="F267" i="1"/>
  <c r="H267" i="1" s="1"/>
  <c r="F265" i="1"/>
  <c r="H265" i="1" s="1"/>
  <c r="F264" i="1"/>
  <c r="H264" i="1" s="1"/>
  <c r="F263" i="1"/>
  <c r="H263" i="1" s="1"/>
  <c r="F262" i="1"/>
  <c r="H262" i="1" s="1"/>
  <c r="F261" i="1"/>
  <c r="H261" i="1" s="1"/>
  <c r="F259" i="1"/>
  <c r="H259" i="1" s="1"/>
  <c r="F258" i="1"/>
  <c r="H258" i="1" s="1"/>
  <c r="F257" i="1"/>
  <c r="H257" i="1" s="1"/>
  <c r="F256" i="1"/>
  <c r="H256" i="1" s="1"/>
  <c r="F255" i="1"/>
  <c r="H255" i="1" s="1"/>
  <c r="F253" i="1"/>
  <c r="H253" i="1" s="1"/>
  <c r="F252" i="1"/>
  <c r="H252" i="1" s="1"/>
  <c r="F251" i="1"/>
  <c r="H251" i="1" s="1"/>
  <c r="F250" i="1"/>
  <c r="H250" i="1" s="1"/>
  <c r="F249" i="1"/>
  <c r="H249" i="1" s="1"/>
  <c r="A249" i="1"/>
  <c r="A250" i="1" s="1"/>
  <c r="A251" i="1" s="1"/>
  <c r="A252" i="1" s="1"/>
  <c r="A253" i="1" s="1"/>
  <c r="F247" i="1"/>
  <c r="H247" i="1" s="1"/>
  <c r="F246" i="1"/>
  <c r="H246" i="1" s="1"/>
  <c r="F245" i="1"/>
  <c r="H245" i="1" s="1"/>
  <c r="A245" i="1"/>
  <c r="A246" i="1" s="1"/>
  <c r="A247" i="1" s="1"/>
  <c r="F244" i="1"/>
  <c r="H244" i="1" s="1"/>
  <c r="F155" i="1"/>
  <c r="H155" i="1" s="1"/>
  <c r="F154" i="1"/>
  <c r="H154" i="1" s="1"/>
  <c r="F153" i="1"/>
  <c r="H153" i="1" s="1"/>
  <c r="A153" i="1"/>
  <c r="A154" i="1" s="1"/>
  <c r="A155" i="1" s="1"/>
  <c r="G146" i="1"/>
  <c r="E146" i="1"/>
  <c r="C146" i="1"/>
  <c r="F132" i="1"/>
  <c r="C106" i="1"/>
  <c r="B107" i="1" s="1"/>
  <c r="J115" i="1" s="1"/>
  <c r="C92" i="1"/>
  <c r="D72" i="1"/>
  <c r="D65" i="1"/>
  <c r="K55" i="1"/>
  <c r="G52" i="1"/>
  <c r="C52" i="1"/>
  <c r="C53" i="1" s="1"/>
  <c r="E45" i="1"/>
  <c r="E46" i="1" s="1"/>
  <c r="S34" i="1"/>
  <c r="E32" i="1"/>
  <c r="E29" i="1"/>
  <c r="E27" i="1"/>
  <c r="C17" i="1"/>
  <c r="I16" i="1"/>
  <c r="Z14" i="1"/>
  <c r="E8" i="1"/>
  <c r="E3" i="1"/>
  <c r="B285" i="1" s="1"/>
  <c r="A255" i="1"/>
  <c r="H79" i="1"/>
  <c r="A261" i="1"/>
  <c r="H93" i="1"/>
  <c r="A267" i="1"/>
  <c r="I42" i="7" l="1"/>
  <c r="H42" i="7" s="1"/>
  <c r="L42" i="7"/>
  <c r="K42" i="7" s="1"/>
  <c r="E42" i="7"/>
  <c r="J86" i="1"/>
  <c r="J87" i="1"/>
  <c r="J92" i="1"/>
  <c r="J94" i="1" s="1"/>
  <c r="D101" i="1"/>
  <c r="D100" i="1"/>
  <c r="D105" i="1"/>
  <c r="D99" i="1"/>
  <c r="J95" i="1"/>
  <c r="D104" i="1"/>
  <c r="J97" i="1"/>
  <c r="C96" i="1" s="1"/>
  <c r="D98" i="1"/>
  <c r="D103" i="1"/>
  <c r="J96" i="1"/>
  <c r="D102" i="1"/>
  <c r="D87" i="1"/>
  <c r="J81" i="1"/>
  <c r="D86" i="1"/>
  <c r="D91" i="1"/>
  <c r="D85" i="1"/>
  <c r="D90" i="1"/>
  <c r="D84" i="1"/>
  <c r="J83" i="1"/>
  <c r="C82" i="1" s="1"/>
  <c r="D89" i="1"/>
  <c r="D88" i="1"/>
  <c r="J82" i="1"/>
  <c r="J78" i="1"/>
  <c r="J80" i="1" s="1"/>
  <c r="E44" i="7"/>
  <c r="D42" i="7"/>
  <c r="D44" i="7" s="1"/>
  <c r="L55" i="1"/>
  <c r="B93" i="1"/>
  <c r="J88" i="1"/>
  <c r="J117" i="1"/>
  <c r="J89" i="1"/>
  <c r="I53" i="1"/>
  <c r="J116" i="1"/>
  <c r="J84" i="1"/>
  <c r="J114" i="1"/>
  <c r="A268" i="1"/>
  <c r="A256" i="1"/>
  <c r="H107" i="1"/>
  <c r="A262" i="1"/>
  <c r="J85" i="1" l="1"/>
  <c r="J90" i="1" s="1"/>
  <c r="J91" i="1" s="1"/>
  <c r="C83" i="1"/>
  <c r="E82" i="1" s="1"/>
  <c r="J109" i="1"/>
  <c r="D118" i="1"/>
  <c r="D117" i="1"/>
  <c r="J112" i="1"/>
  <c r="J113" i="1" s="1"/>
  <c r="J118" i="1" s="1"/>
  <c r="J119" i="1" s="1"/>
  <c r="C111" i="1" s="1"/>
  <c r="D111" i="1" s="1"/>
  <c r="D116" i="1"/>
  <c r="D114" i="1"/>
  <c r="D112" i="1"/>
  <c r="J110" i="1"/>
  <c r="D119" i="1"/>
  <c r="D115" i="1"/>
  <c r="J106" i="1"/>
  <c r="J108" i="1" s="1"/>
  <c r="D113" i="1"/>
  <c r="J111" i="1"/>
  <c r="C110" i="1" s="1"/>
  <c r="D110" i="1" s="1"/>
  <c r="D82" i="1"/>
  <c r="D96" i="1"/>
  <c r="J101" i="1"/>
  <c r="J98" i="1"/>
  <c r="J99" i="1" s="1"/>
  <c r="J104" i="1" s="1"/>
  <c r="J105" i="1" s="1"/>
  <c r="C97" i="1" s="1"/>
  <c r="J103" i="1"/>
  <c r="J100" i="1"/>
  <c r="J102" i="1"/>
  <c r="A257" i="1"/>
  <c r="A269" i="1"/>
  <c r="A263" i="1"/>
  <c r="G82" i="1" l="1"/>
  <c r="D76" i="1" s="1"/>
  <c r="D77" i="1" s="1"/>
  <c r="D83" i="1"/>
  <c r="I79" i="1" s="1"/>
  <c r="I80" i="1" s="1"/>
  <c r="E110" i="1"/>
  <c r="J107" i="1"/>
  <c r="I107" i="1"/>
  <c r="I108" i="1" s="1"/>
  <c r="G110" i="1"/>
  <c r="J79" i="1"/>
  <c r="E96" i="1"/>
  <c r="D97" i="1"/>
  <c r="I93" i="1" s="1"/>
  <c r="J93" i="1"/>
  <c r="G96" i="1"/>
  <c r="A264" i="1"/>
  <c r="A270" i="1"/>
  <c r="A258" i="1"/>
  <c r="F77" i="1" l="1"/>
  <c r="I106" i="1"/>
  <c r="C108" i="1" s="1"/>
  <c r="I78" i="1"/>
  <c r="C80" i="1" s="1"/>
  <c r="I94" i="1"/>
  <c r="I92" i="1" s="1"/>
  <c r="C94" i="1" s="1"/>
  <c r="A259" i="1"/>
  <c r="A265" i="1"/>
  <c r="A271"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Building No. 
Tower No.
Wing 
Bunglow No., etc</t>
        </r>
      </text>
    </comment>
    <comment ref="E14"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C62" authorId="1" shapeId="0">
      <text>
        <r>
          <rPr>
            <b/>
            <sz val="9"/>
            <color indexed="81"/>
            <rFont val="Tahoma"/>
            <family val="2"/>
          </rPr>
          <t>SACHIN:</t>
        </r>
        <r>
          <rPr>
            <sz val="9"/>
            <color indexed="81"/>
            <rFont val="Tahoma"/>
            <family val="2"/>
          </rPr>
          <t xml:space="preserve">
Height from AMSL</t>
        </r>
      </text>
    </comment>
    <comment ref="D6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<sst xmlns="http://schemas.openxmlformats.org/spreadsheetml/2006/main" count="780" uniqueCount="447">
  <si>
    <t xml:space="preserve">Valuation Report </t>
  </si>
  <si>
    <t>Date:</t>
  </si>
  <si>
    <t>CPC Name:</t>
  </si>
  <si>
    <t>Date Of Property Visit</t>
  </si>
  <si>
    <t>Name of the builder group</t>
  </si>
  <si>
    <t>Name of the builder company</t>
  </si>
  <si>
    <t>Name of the Project</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</si>
  <si>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</si>
  <si>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</si>
  <si>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</si>
  <si>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</si>
  <si>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</si>
  <si>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</si>
  <si>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</si>
  <si>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</si>
  <si>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</si>
  <si>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</si>
  <si>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</si>
  <si>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</si>
  <si>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</si>
  <si>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</si>
  <si>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</si>
  <si>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</si>
  <si>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</si>
  <si>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</si>
  <si>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</si>
  <si>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</si>
  <si>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</si>
  <si>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</si>
  <si>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</si>
  <si>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</si>
  <si>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</si>
  <si>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</si>
  <si>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</si>
  <si>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</si>
  <si>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</si>
  <si>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</si>
  <si>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</si>
  <si>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</si>
  <si>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</si>
  <si>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</si>
  <si>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</si>
  <si>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</si>
  <si>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</si>
  <si>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</si>
  <si>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</si>
  <si>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</si>
  <si>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</si>
  <si>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</si>
  <si>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</si>
  <si>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</si>
  <si>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</si>
  <si>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</si>
  <si>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</si>
  <si>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</si>
  <si>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</si>
  <si>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</si>
  <si>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</si>
  <si>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</si>
  <si>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</si>
  <si>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</si>
  <si>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</si>
  <si>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</si>
  <si>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</si>
  <si>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</si>
  <si>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</si>
  <si>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</si>
  <si>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</si>
  <si>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</si>
  <si>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</si>
  <si>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</si>
  <si>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</si>
  <si>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</si>
  <si>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</si>
  <si>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</si>
  <si>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</si>
  <si>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</si>
  <si>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</si>
  <si>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</si>
  <si>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</si>
  <si>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</si>
  <si>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</si>
  <si>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</si>
  <si>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</si>
  <si>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</si>
  <si>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</si>
  <si>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</si>
  <si>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</si>
  <si>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</si>
  <si>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</si>
  <si>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</si>
  <si>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</si>
  <si>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</si>
  <si>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</si>
  <si>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</si>
  <si>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</si>
  <si>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</si>
  <si>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</si>
  <si>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</si>
  <si>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</si>
  <si>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</si>
  <si>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</si>
  <si>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</si>
  <si>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</si>
  <si>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</si>
  <si>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</si>
  <si>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</si>
  <si>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</si>
  <si>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</si>
  <si>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</si>
  <si>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</si>
  <si>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</si>
  <si>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</si>
  <si>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</si>
  <si>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</si>
  <si>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</si>
  <si>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</si>
  <si>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</si>
  <si>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</si>
  <si>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</si>
  <si>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</si>
  <si>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</si>
  <si>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</si>
  <si>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</si>
  <si>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</si>
  <si>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</si>
  <si>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</si>
  <si>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</si>
  <si>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</si>
  <si>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</si>
  <si>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</si>
  <si>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</si>
  <si>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</si>
  <si>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</si>
  <si>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</si>
  <si>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</si>
  <si>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</si>
  <si>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</si>
  <si>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</si>
  <si>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</si>
  <si>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</si>
  <si>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</si>
  <si>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</si>
  <si>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</si>
  <si>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</si>
  <si>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</si>
  <si>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</si>
  <si>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</si>
  <si>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</si>
  <si>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</si>
  <si>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</si>
  <si>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</si>
  <si>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</si>
  <si>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</si>
  <si>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</si>
  <si>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</si>
  <si>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</si>
  <si>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</si>
  <si>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</si>
  <si>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</si>
  <si>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</si>
  <si>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</si>
  <si>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</si>
  <si>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</si>
  <si>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</si>
  <si>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</si>
  <si>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</si>
  <si>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</si>
  <si>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</si>
  <si>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</si>
  <si>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</si>
  <si>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</si>
  <si>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</si>
  <si>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</si>
  <si>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</si>
  <si>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</si>
  <si>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</si>
  <si>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</si>
  <si>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</si>
  <si>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</si>
  <si>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</si>
  <si>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</si>
  <si>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</si>
  <si>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</si>
  <si>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</si>
  <si>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</si>
  <si>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</si>
  <si>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</si>
  <si>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</si>
  <si>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</si>
  <si>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</si>
  <si>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</si>
  <si>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</si>
  <si>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</si>
  <si>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</si>
  <si>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</si>
  <si>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</si>
  <si>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</si>
  <si>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</si>
  <si>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</si>
  <si>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</si>
  <si>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</si>
  <si>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</si>
  <si>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</si>
  <si>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</si>
  <si>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</si>
  <si>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</si>
  <si>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</si>
  <si>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</si>
  <si>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</si>
  <si>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</si>
  <si>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</si>
  <si>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</si>
  <si>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</si>
  <si>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</si>
  <si>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</si>
  <si>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</si>
  <si>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</si>
  <si>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</si>
  <si>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</si>
  <si>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</si>
  <si>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</si>
  <si>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</si>
  <si>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</si>
  <si>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</si>
  <si>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</si>
  <si>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</si>
  <si>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</si>
  <si>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</si>
  <si>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</si>
  <si>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</si>
  <si>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</si>
  <si>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</si>
  <si>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</si>
  <si>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</si>
  <si>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</si>
  <si>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</si>
  <si>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</si>
  <si>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</si>
  <si>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</si>
  <si>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</si>
  <si>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</si>
  <si>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</si>
  <si>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</si>
  <si>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</si>
  <si>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</si>
  <si>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</si>
  <si>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</si>
  <si>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</si>
  <si>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</si>
  <si>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</si>
  <si>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</si>
  <si>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</si>
  <si>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</si>
  <si>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</si>
  <si>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</si>
  <si>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</si>
  <si>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</si>
  <si>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</si>
  <si>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</si>
  <si>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</si>
  <si>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</si>
  <si>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</si>
  <si>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</si>
  <si>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</si>
  <si>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</si>
  <si>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</si>
  <si>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</si>
  <si>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</si>
  <si>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</si>
  <si>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</si>
  <si>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</si>
  <si>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</si>
  <si>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</si>
  <si>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</si>
  <si>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</si>
  <si>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</si>
  <si>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</si>
  <si>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</si>
  <si>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</si>
  <si>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</si>
  <si>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</si>
  <si>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</si>
  <si>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</si>
  <si>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</si>
  <si>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</si>
  <si>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</si>
  <si>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</si>
  <si>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</si>
  <si>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</si>
  <si>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</si>
  <si>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</si>
  <si>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</si>
  <si>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</si>
  <si>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</si>
  <si>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</si>
  <si>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</si>
  <si>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</si>
  <si>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</si>
  <si>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</si>
  <si>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</si>
  <si>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</si>
  <si>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</si>
  <si>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</si>
  <si>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</si>
  <si>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</si>
  <si>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</si>
  <si>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</si>
  <si>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</si>
  <si>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</si>
  <si>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</si>
  <si>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</si>
  <si>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</si>
  <si>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</si>
  <si>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</si>
  <si>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</si>
  <si>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</si>
  <si>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</si>
  <si>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</si>
  <si>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</si>
  <si>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</si>
  <si>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</si>
  <si>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</si>
  <si>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</si>
  <si>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</si>
  <si>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</si>
  <si>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</si>
  <si>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</si>
  <si>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</si>
  <si>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</si>
  <si>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</si>
  <si>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</si>
  <si>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</si>
  <si>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</si>
  <si>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</si>
  <si>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</si>
  <si>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</si>
  <si>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</si>
  <si>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</si>
  <si>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</si>
  <si>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</si>
  <si>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</si>
  <si>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</si>
  <si>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</si>
  <si>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</si>
  <si>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</si>
  <si>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</si>
  <si>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</si>
  <si>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</si>
  <si>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</si>
  <si>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</si>
  <si>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</si>
  <si>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</si>
  <si>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</si>
  <si>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</si>
  <si>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</si>
  <si>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</si>
  <si>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</si>
  <si>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</si>
  <si>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</si>
  <si>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</si>
  <si>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</si>
  <si>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</si>
  <si>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P51800077862</t>
  </si>
  <si>
    <t>V Hotels Ltd</t>
  </si>
  <si>
    <t>Avalon ­ Tower 1</t>
  </si>
  <si>
    <t>Mr. Rajendra Giri 9820248856</t>
  </si>
  <si>
    <t>Juhu</t>
  </si>
  <si>
    <t>Juhu Tara Road</t>
  </si>
  <si>
    <t>Uditi Tarang Housing Colony</t>
  </si>
  <si>
    <t>19.104188,72.826114</t>
  </si>
  <si>
    <t>https://maps.app.goo.gl/b9CVT3bayQk7961dA</t>
  </si>
  <si>
    <t>Kings Apartment</t>
  </si>
  <si>
    <t>KW/PVT/0206/20240619/AP/C</t>
  </si>
  <si>
    <t>This CC is granted for work up to Plinth Level.</t>
  </si>
  <si>
    <t>P-22152/2024/(859)/K/W Ward/JUHU-K/W/SRA- CFO/1/New</t>
  </si>
  <si>
    <t>SIA/MH/INFRA2/472183/2024</t>
  </si>
  <si>
    <t>JUHU/WEST/B/101723/807871</t>
  </si>
  <si>
    <t>Site Elevation = 6.01M
Permissible Top Elevation = 57.13M</t>
  </si>
  <si>
    <t xml:space="preserve">CRZ Noc No
Valid Up for: 
</t>
  </si>
  <si>
    <t>IA/MH/CRZ/487267/2024</t>
  </si>
  <si>
    <t>As per RERA - 30/09/2028</t>
  </si>
  <si>
    <t>As per visitor sheet</t>
  </si>
  <si>
    <t>13.40MT Wide DP Road</t>
  </si>
  <si>
    <t>27.45MT Wide Juhu Tara Road</t>
  </si>
  <si>
    <t>Other Plot</t>
  </si>
  <si>
    <t>Coastal Garden</t>
  </si>
  <si>
    <t>Birla Lane</t>
  </si>
  <si>
    <t>Kings Apartment / Juhu Hotel</t>
  </si>
  <si>
    <t>Wing A</t>
  </si>
  <si>
    <t>Basement Floor For Parking</t>
  </si>
  <si>
    <t>Upper Ground Floor For Parking</t>
  </si>
  <si>
    <t>1st Floor For Residential</t>
  </si>
  <si>
    <t>5BHK</t>
  </si>
  <si>
    <t>RERA Carpet area</t>
  </si>
  <si>
    <t>3rd Floor</t>
  </si>
  <si>
    <t>4th Floor</t>
  </si>
  <si>
    <t>5th &amp; 7th Floor</t>
  </si>
  <si>
    <t>6th &amp; 8th Floor</t>
  </si>
  <si>
    <t>9th Floor</t>
  </si>
  <si>
    <t>11th Floor</t>
  </si>
  <si>
    <t>12th Floor For Part Refuge Area</t>
  </si>
  <si>
    <t>Wing B</t>
  </si>
  <si>
    <t>Lower Ground Floor For Entrance Lobby, Gym, Indoor Game, Café, Basketball Court &amp; Parking</t>
  </si>
  <si>
    <t>Lower Ground Floor For Entrance Lobby, Board Room, Meeting Room 1, Meeting Room 2 &amp; Parking</t>
  </si>
  <si>
    <t>Upper Ground Floor For Society Office &amp; Parking</t>
  </si>
  <si>
    <t>Wing C</t>
  </si>
  <si>
    <t>Wing D</t>
  </si>
  <si>
    <t>Wing E</t>
  </si>
  <si>
    <t>Lower Ground Floor For Entrance Lobby, Security Office, Meter Room, Waiting Room &amp; Parking</t>
  </si>
  <si>
    <t>Lower Ground Floor For Entrance Lobby, Driver Room, Meter Room &amp; Parking</t>
  </si>
  <si>
    <t>Lower Ground Floor For Entrance Lobby, Store Room &amp; Parking</t>
  </si>
  <si>
    <t>We considered Gross carpet area = Net carpet + Balcony + Utility Area.</t>
  </si>
  <si>
    <t>Tushar Bhuwad</t>
  </si>
  <si>
    <t>Name / No of the Building As per RERA</t>
  </si>
  <si>
    <t>Name / No of the Building As per Approved Plan</t>
  </si>
  <si>
    <t>Approved Plans, CC, Airport Noc, Fire Noc, Airport Noc, CRZ Noc.</t>
  </si>
  <si>
    <t>Flats - 34</t>
  </si>
  <si>
    <t>2.1KM from Vile Parle Railway Station</t>
  </si>
  <si>
    <t>Vile Parle</t>
  </si>
  <si>
    <t xml:space="preserve">no info online(Only Wing A is Launched) </t>
  </si>
  <si>
    <t>13th Floor (Terrace Area)</t>
  </si>
  <si>
    <t>12th Floor For Refuge Area at midlanding of Staircase</t>
  </si>
  <si>
    <t>6th Floor For Refuge Area at midlanding of Staircase</t>
  </si>
  <si>
    <t>8th Floor For Refuge Area at midlanding of Staircase</t>
  </si>
  <si>
    <t>10th Floor For Refuge Area at midlanding of Staircase</t>
  </si>
  <si>
    <t>Duplex At 12th Floor</t>
  </si>
  <si>
    <t>7BHK (Duplex With 13th Floor)</t>
  </si>
  <si>
    <t>4BHK + 2.5BHK</t>
  </si>
  <si>
    <t>Tower 1</t>
  </si>
  <si>
    <t>01 Wing</t>
  </si>
  <si>
    <t>Wing A = B + LG + UG + 1st to 14th Floor</t>
  </si>
  <si>
    <t>Plot Area = 22212.90 Sq.mt
Sale Wing A = B + LG + UG &amp; Podium + 1st to 13th Floor (Height = 51.45m
Sale Wing  B &amp; C = B + LG + UG &amp; Podium + 1st to 13th Floor (Height = 51.45m)
Sale Wing D &amp; E = B + LG + UG &amp; Podium + 1st to 5th Floor (Height = 23.85m)
PTC Building = G + 1st to 17th Floor (Height = 50.70m)</t>
  </si>
  <si>
    <t xml:space="preserve">CTS No. 859
Wing A = B + LG + UG &amp; Podium + 1st to 13th Floor
PTC Wing = G + 1st to 17th Floor
Wing A, B &amp; C = B + LG + UG &amp; Podium + 1st to 13th Floor
Wing D &amp; E = B + LG + UG &amp; Podium + 1st to 5th Floor </t>
  </si>
  <si>
    <t>Gym, Indoor Game, Café, Basketball Court, Decorative Entrance, Landscaping &amp; Garden, etc.</t>
  </si>
  <si>
    <r>
      <t xml:space="preserve">Proposed Amenities :                                                                                                                                                                                                                         </t>
    </r>
    <r>
      <rPr>
        <b/>
        <sz val="12"/>
        <rFont val="Times New Roman"/>
        <family val="1"/>
      </rPr>
      <t xml:space="preserve">                                               </t>
    </r>
  </si>
  <si>
    <t>13th Floor  (As per builder 14th Floor)</t>
  </si>
  <si>
    <t>As per the approved plan, the project consists of Wing A to E &amp; PTC Wing. On Rera, only Wing A, i.e., Tower 1, is registered. So we have done APF for Wing A.</t>
  </si>
  <si>
    <t>Composite Building Wing A</t>
  </si>
  <si>
    <t>Tulip Hotel</t>
  </si>
  <si>
    <t>5BHK (Duplex With 13th Floor)</t>
  </si>
  <si>
    <t>Wing A = B + LG + UG + 1st to 13th Floor (Height = 51.45m)
PTC Wing = G + 1st to 17th Floor (Height = 50.70m)</t>
  </si>
  <si>
    <t xml:space="preserve">Wing A = B + LG  + UG + 1st to 13th Floor
Wing B = B + LG  + UG + G &amp; Podium + 1st to 13th Floor
Wing C = B + LG + UG &amp; Podium + 1st to 8th Floor
Wing D &amp; E = B + LG + UG &amp; Podium + 1st Floor
PTC Wing = G + 1st to 17th Floor
</t>
  </si>
  <si>
    <t>Rate given by confiramtion with sanjay 15/01/2025</t>
  </si>
  <si>
    <t>cost attched in valuation sheet</t>
  </si>
  <si>
    <t>Pooja Kawale</t>
  </si>
  <si>
    <t>Since internal visit were not permitted, we were unable to determine building progress from an external visit; so, we are maintaining the same progress as in the previous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</si>
</sst>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4"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7" fillId="0" borderId="0" xfId="1" applyFont="1"/>
    <xf numFmtId="0" fontId="7" fillId="0" borderId="1" xfId="1" applyFont="1" applyBorder="1" applyAlignment="1" applyProtection="1">
      <alignment horizontal="center" vertical="top"/>
      <protection locked="0"/>
    </xf>
    <xf numFmtId="0" fontId="7" fillId="0" borderId="0" xfId="1" applyFont="1" applyAlignment="1">
      <alignment wrapText="1"/>
    </xf>
    <xf numFmtId="0" fontId="17" fillId="0" borderId="0" xfId="1" applyFont="1" applyAlignment="1"/>
    <xf numFmtId="1" fontId="15" fillId="0" borderId="1" xfId="1" applyNumberFormat="1" applyFont="1" applyBorder="1" applyAlignment="1" applyProtection="1">
      <alignment horizontal="center" vertical="center" wrapText="1"/>
      <protection locked="0"/>
    </xf>
    <xf numFmtId="1" fontId="17" fillId="0" borderId="0" xfId="1" applyNumberFormat="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9" fontId="13" fillId="0" borderId="1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2" borderId="0" xfId="1" applyFont="1" applyFill="1"/>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6" borderId="8" xfId="1" applyNumberFormat="1" applyFont="1" applyFill="1" applyBorder="1" applyAlignment="1" applyProtection="1">
      <alignment horizontal="center" vertical="center" wrapText="1"/>
      <protection locked="0"/>
    </xf>
    <xf numFmtId="1" fontId="8" fillId="6" borderId="21" xfId="1" applyNumberFormat="1" applyFont="1" applyFill="1" applyBorder="1" applyAlignment="1" applyProtection="1">
      <alignment horizontal="center" vertical="center" wrapText="1"/>
      <protection locked="0"/>
    </xf>
    <xf numFmtId="1" fontId="8" fillId="6" borderId="9" xfId="1" applyNumberFormat="1" applyFont="1" applyFill="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7" borderId="1" xfId="1" applyFont="1" applyFill="1" applyBorder="1" applyAlignment="1" applyProtection="1">
      <alignment horizontal="left" vertical="top"/>
      <protection locked="0"/>
    </xf>
    <xf numFmtId="0" fontId="12" fillId="7" borderId="1" xfId="1" applyFont="1" applyFill="1" applyBorder="1" applyAlignment="1" applyProtection="1">
      <alignment horizontal="lef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64" fontId="6" fillId="0" borderId="1"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0" fillId="0" borderId="32"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 fontId="6"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0" fillId="0" borderId="32"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25" fillId="2" borderId="15" xfId="0" applyFont="1" applyFill="1" applyBorder="1"/>
    <xf numFmtId="0" fontId="26" fillId="0" borderId="9" xfId="0" applyFont="1" applyBorder="1"/>
    <xf numFmtId="0" fontId="8" fillId="0" borderId="1"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8</xdr:col>
      <xdr:colOff>983877</xdr:colOff>
      <xdr:row>309</xdr:row>
      <xdr:rowOff>98612</xdr:rowOff>
    </xdr:from>
    <xdr:to>
      <xdr:col>17</xdr:col>
      <xdr:colOff>401996</xdr:colOff>
      <xdr:row>335</xdr:row>
      <xdr:rowOff>40820</xdr:rowOff>
    </xdr:to>
    <xdr:pic>
      <xdr:nvPicPr>
        <xdr:cNvPr id="15" name="Picture 14"/>
        <xdr:cNvPicPr>
          <a:picLocks noChangeAspect="1"/>
        </xdr:cNvPicPr>
      </xdr:nvPicPr>
      <xdr:blipFill>
        <a:blip xmlns:r="http://schemas.openxmlformats.org/officeDocument/2006/relationships" r:embed="rId1"/>
        <a:stretch>
          <a:fillRect/>
        </a:stretch>
      </xdr:blipFill>
      <xdr:spPr>
        <a:xfrm>
          <a:off x="7292789" y="50648347"/>
          <a:ext cx="6847619" cy="5186560"/>
        </a:xfrm>
        <a:prstGeom prst="rect">
          <a:avLst/>
        </a:prstGeom>
      </xdr:spPr>
    </xdr:pic>
    <xdr:clientData/>
  </xdr:twoCellAnchor>
  <xdr:twoCellAnchor editAs="oneCell">
    <xdr:from>
      <xdr:col>2</xdr:col>
      <xdr:colOff>207629</xdr:colOff>
      <xdr:row>366</xdr:row>
      <xdr:rowOff>143466</xdr:rowOff>
    </xdr:from>
    <xdr:to>
      <xdr:col>5</xdr:col>
      <xdr:colOff>532688</xdr:colOff>
      <xdr:row>382</xdr:row>
      <xdr:rowOff>107729</xdr:rowOff>
    </xdr:to>
    <xdr:pic>
      <xdr:nvPicPr>
        <xdr:cNvPr id="16" name="Picture 15"/>
        <xdr:cNvPicPr>
          <a:picLocks noChangeAspect="1"/>
        </xdr:cNvPicPr>
      </xdr:nvPicPr>
      <xdr:blipFill>
        <a:blip xmlns:r="http://schemas.openxmlformats.org/officeDocument/2006/relationships" r:embed="rId2"/>
        <a:stretch>
          <a:fillRect/>
        </a:stretch>
      </xdr:blipFill>
      <xdr:spPr>
        <a:xfrm>
          <a:off x="1765247" y="62392142"/>
          <a:ext cx="2880000" cy="3191557"/>
        </a:xfrm>
        <a:prstGeom prst="rect">
          <a:avLst/>
        </a:prstGeom>
        <a:ln>
          <a:solidFill>
            <a:schemeClr val="tx1"/>
          </a:solidFill>
        </a:ln>
      </xdr:spPr>
    </xdr:pic>
    <xdr:clientData/>
  </xdr:twoCellAnchor>
  <xdr:twoCellAnchor>
    <xdr:from>
      <xdr:col>1</xdr:col>
      <xdr:colOff>549088</xdr:colOff>
      <xdr:row>343</xdr:row>
      <xdr:rowOff>11206</xdr:rowOff>
    </xdr:from>
    <xdr:to>
      <xdr:col>6</xdr:col>
      <xdr:colOff>240366</xdr:colOff>
      <xdr:row>365</xdr:row>
      <xdr:rowOff>98051</xdr:rowOff>
    </xdr:to>
    <xdr:grpSp>
      <xdr:nvGrpSpPr>
        <xdr:cNvPr id="29" name="Group 28"/>
        <xdr:cNvGrpSpPr/>
      </xdr:nvGrpSpPr>
      <xdr:grpSpPr>
        <a:xfrm>
          <a:off x="1349188" y="43483306"/>
          <a:ext cx="3977528" cy="4417545"/>
          <a:chOff x="1538287" y="2309812"/>
          <a:chExt cx="3781425" cy="4524375"/>
        </a:xfrm>
      </xdr:grpSpPr>
      <xdr:grpSp>
        <xdr:nvGrpSpPr>
          <xdr:cNvPr id="30" name="Group 29"/>
          <xdr:cNvGrpSpPr/>
        </xdr:nvGrpSpPr>
        <xdr:grpSpPr>
          <a:xfrm>
            <a:off x="1538287" y="2309812"/>
            <a:ext cx="3781425" cy="4524375"/>
            <a:chOff x="0" y="0"/>
            <a:chExt cx="3781425" cy="4524375"/>
          </a:xfrm>
        </xdr:grpSpPr>
        <xdr:pic>
          <xdr:nvPicPr>
            <xdr:cNvPr id="33" name="Picture 32"/>
            <xdr:cNvPicPr>
              <a:picLocks noChangeAspect="1"/>
            </xdr:cNvPicPr>
          </xdr:nvPicPr>
          <xdr:blipFill>
            <a:blip xmlns:r="http://schemas.openxmlformats.org/officeDocument/2006/relationships" r:embed="rId3"/>
            <a:stretch>
              <a:fillRect/>
            </a:stretch>
          </xdr:blipFill>
          <xdr:spPr>
            <a:xfrm>
              <a:off x="0" y="0"/>
              <a:ext cx="3781425" cy="4524375"/>
            </a:xfrm>
            <a:prstGeom prst="rect">
              <a:avLst/>
            </a:prstGeom>
            <a:ln>
              <a:solidFill>
                <a:schemeClr val="tx1"/>
              </a:solidFill>
            </a:ln>
          </xdr:spPr>
        </xdr:pic>
        <xdr:sp macro="" textlink="">
          <xdr:nvSpPr>
            <xdr:cNvPr id="34" name="Rectangle 33"/>
            <xdr:cNvSpPr/>
          </xdr:nvSpPr>
          <xdr:spPr>
            <a:xfrm>
              <a:off x="2671034" y="2720056"/>
              <a:ext cx="504825" cy="121335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5" name="Rectangle 34"/>
            <xdr:cNvSpPr/>
          </xdr:nvSpPr>
          <xdr:spPr>
            <a:xfrm>
              <a:off x="2177184" y="2208867"/>
              <a:ext cx="504825" cy="121335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Rectangle 35"/>
            <xdr:cNvSpPr/>
          </xdr:nvSpPr>
          <xdr:spPr>
            <a:xfrm>
              <a:off x="1667143" y="1720146"/>
              <a:ext cx="504825" cy="121335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Rectangle 36"/>
            <xdr:cNvSpPr/>
          </xdr:nvSpPr>
          <xdr:spPr>
            <a:xfrm>
              <a:off x="1174767" y="1277650"/>
              <a:ext cx="504825" cy="121335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8" name="Rectangle 37"/>
            <xdr:cNvSpPr/>
          </xdr:nvSpPr>
          <xdr:spPr>
            <a:xfrm>
              <a:off x="680410" y="800805"/>
              <a:ext cx="504825" cy="121335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9" name="TextBox 102"/>
            <xdr:cNvSpPr txBox="1"/>
          </xdr:nvSpPr>
          <xdr:spPr>
            <a:xfrm>
              <a:off x="2658674" y="2446544"/>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A</a:t>
              </a:r>
              <a:endParaRPr lang="en-IN" sz="1400" b="1"/>
            </a:p>
          </xdr:txBody>
        </xdr:sp>
        <xdr:sp macro="" textlink="">
          <xdr:nvSpPr>
            <xdr:cNvPr id="40" name="TextBox 109"/>
            <xdr:cNvSpPr txBox="1"/>
          </xdr:nvSpPr>
          <xdr:spPr>
            <a:xfrm>
              <a:off x="2142036" y="1939060"/>
              <a:ext cx="7152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B</a:t>
              </a:r>
              <a:endParaRPr lang="en-IN" sz="1400" b="1"/>
            </a:p>
          </xdr:txBody>
        </xdr:sp>
        <xdr:sp macro="" textlink="">
          <xdr:nvSpPr>
            <xdr:cNvPr id="41" name="TextBox 110"/>
            <xdr:cNvSpPr txBox="1"/>
          </xdr:nvSpPr>
          <xdr:spPr>
            <a:xfrm>
              <a:off x="1649399" y="1407483"/>
              <a:ext cx="70884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C</a:t>
              </a:r>
              <a:endParaRPr lang="en-IN" sz="1400" b="1"/>
            </a:p>
          </xdr:txBody>
        </xdr:sp>
        <xdr:sp macro="" textlink="">
          <xdr:nvSpPr>
            <xdr:cNvPr id="42" name="TextBox 111"/>
            <xdr:cNvSpPr txBox="1"/>
          </xdr:nvSpPr>
          <xdr:spPr>
            <a:xfrm>
              <a:off x="1125578" y="968880"/>
              <a:ext cx="72808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D</a:t>
              </a:r>
              <a:endParaRPr lang="en-IN" sz="1400" b="1"/>
            </a:p>
          </xdr:txBody>
        </xdr:sp>
        <xdr:sp macro="" textlink="">
          <xdr:nvSpPr>
            <xdr:cNvPr id="43" name="TextBox 112"/>
            <xdr:cNvSpPr txBox="1"/>
          </xdr:nvSpPr>
          <xdr:spPr>
            <a:xfrm>
              <a:off x="478354" y="2028348"/>
              <a:ext cx="70243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E</a:t>
              </a:r>
              <a:endParaRPr lang="en-IN" sz="1400" b="1"/>
            </a:p>
          </xdr:txBody>
        </xdr:sp>
      </xdr:grpSp>
      <xdr:sp macro="" textlink="">
        <xdr:nvSpPr>
          <xdr:cNvPr id="31" name="Rectangle 30"/>
          <xdr:cNvSpPr/>
        </xdr:nvSpPr>
        <xdr:spPr>
          <a:xfrm>
            <a:off x="3027907" y="2633325"/>
            <a:ext cx="1192389" cy="55809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2" name="TextBox 113"/>
          <xdr:cNvSpPr txBox="1"/>
        </xdr:nvSpPr>
        <xdr:spPr>
          <a:xfrm>
            <a:off x="3155296" y="2613614"/>
            <a:ext cx="88870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PTC Wing</a:t>
            </a:r>
            <a:endParaRPr lang="en-IN" sz="1400" b="1"/>
          </a:p>
        </xdr:txBody>
      </xdr:sp>
    </xdr:grpSp>
    <xdr:clientData/>
  </xdr:twoCellAnchor>
  <xdr:twoCellAnchor editAs="oneCell">
    <xdr:from>
      <xdr:col>11</xdr:col>
      <xdr:colOff>156401</xdr:colOff>
      <xdr:row>65</xdr:row>
      <xdr:rowOff>127508</xdr:rowOff>
    </xdr:from>
    <xdr:to>
      <xdr:col>20</xdr:col>
      <xdr:colOff>545306</xdr:colOff>
      <xdr:row>80</xdr:row>
      <xdr:rowOff>138324</xdr:rowOff>
    </xdr:to>
    <xdr:pic>
      <xdr:nvPicPr>
        <xdr:cNvPr id="44" name="Picture 43"/>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148001" y="15872333"/>
          <a:ext cx="7189755" cy="3135016"/>
        </a:xfrm>
        <a:prstGeom prst="rect">
          <a:avLst/>
        </a:prstGeom>
        <a:ln>
          <a:solidFill>
            <a:schemeClr val="tx1"/>
          </a:solidFill>
        </a:ln>
      </xdr:spPr>
    </xdr:pic>
    <xdr:clientData/>
  </xdr:twoCellAnchor>
  <xdr:twoCellAnchor editAs="oneCell">
    <xdr:from>
      <xdr:col>1</xdr:col>
      <xdr:colOff>429297</xdr:colOff>
      <xdr:row>386</xdr:row>
      <xdr:rowOff>190500</xdr:rowOff>
    </xdr:from>
    <xdr:to>
      <xdr:col>5</xdr:col>
      <xdr:colOff>678738</xdr:colOff>
      <xdr:row>395</xdr:row>
      <xdr:rowOff>37855</xdr:rowOff>
    </xdr:to>
    <xdr:pic>
      <xdr:nvPicPr>
        <xdr:cNvPr id="45" name="Picture 44"/>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191297" y="67941265"/>
          <a:ext cx="3600000" cy="1662707"/>
        </a:xfrm>
        <a:prstGeom prst="rect">
          <a:avLst/>
        </a:prstGeom>
        <a:ln>
          <a:solidFill>
            <a:schemeClr val="tx1"/>
          </a:solidFill>
        </a:ln>
      </xdr:spPr>
    </xdr:pic>
    <xdr:clientData/>
  </xdr:twoCellAnchor>
  <xdr:twoCellAnchor>
    <xdr:from>
      <xdr:col>0</xdr:col>
      <xdr:colOff>537883</xdr:colOff>
      <xdr:row>396</xdr:row>
      <xdr:rowOff>174850</xdr:rowOff>
    </xdr:from>
    <xdr:to>
      <xdr:col>6</xdr:col>
      <xdr:colOff>725736</xdr:colOff>
      <xdr:row>412</xdr:row>
      <xdr:rowOff>184416</xdr:rowOff>
    </xdr:to>
    <xdr:grpSp>
      <xdr:nvGrpSpPr>
        <xdr:cNvPr id="46" name="Group 45"/>
        <xdr:cNvGrpSpPr/>
      </xdr:nvGrpSpPr>
      <xdr:grpSpPr>
        <a:xfrm>
          <a:off x="537883" y="54080000"/>
          <a:ext cx="5274203" cy="3159166"/>
          <a:chOff x="875327" y="3976632"/>
          <a:chExt cx="5040000" cy="3236860"/>
        </a:xfrm>
      </xdr:grpSpPr>
      <xdr:pic>
        <xdr:nvPicPr>
          <xdr:cNvPr id="47" name="Picture 46"/>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875327" y="3980597"/>
            <a:ext cx="5040000" cy="3232895"/>
          </a:xfrm>
          <a:prstGeom prst="rect">
            <a:avLst/>
          </a:prstGeom>
          <a:ln>
            <a:solidFill>
              <a:schemeClr val="tx1"/>
            </a:solidFill>
          </a:ln>
        </xdr:spPr>
      </xdr:pic>
      <xdr:sp macro="" textlink="">
        <xdr:nvSpPr>
          <xdr:cNvPr id="48" name="Rectangle 47"/>
          <xdr:cNvSpPr/>
        </xdr:nvSpPr>
        <xdr:spPr>
          <a:xfrm rot="21200694">
            <a:off x="2312756" y="4666185"/>
            <a:ext cx="2155919" cy="126826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9" name="TextBox 131"/>
          <xdr:cNvSpPr txBox="1"/>
        </xdr:nvSpPr>
        <xdr:spPr>
          <a:xfrm>
            <a:off x="888223" y="3976632"/>
            <a:ext cx="1477520" cy="369332"/>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Avalon Tower</a:t>
            </a:r>
            <a:endParaRPr lang="en-IN" b="1"/>
          </a:p>
        </xdr:txBody>
      </xdr:sp>
      <xdr:cxnSp macro="">
        <xdr:nvCxnSpPr>
          <xdr:cNvPr id="50" name="Straight Arrow Connector 49"/>
          <xdr:cNvCxnSpPr>
            <a:stCxn id="49" idx="3"/>
            <a:endCxn id="48" idx="0"/>
          </xdr:cNvCxnSpPr>
        </xdr:nvCxnSpPr>
        <xdr:spPr>
          <a:xfrm>
            <a:off x="2365743" y="4161298"/>
            <a:ext cx="951482" cy="50916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13607</xdr:colOff>
      <xdr:row>31</xdr:row>
      <xdr:rowOff>27214</xdr:rowOff>
    </xdr:from>
    <xdr:to>
      <xdr:col>12</xdr:col>
      <xdr:colOff>21321</xdr:colOff>
      <xdr:row>40</xdr:row>
      <xdr:rowOff>57964</xdr:rowOff>
    </xdr:to>
    <xdr:pic>
      <xdr:nvPicPr>
        <xdr:cNvPr id="51" name="Picture 50"/>
        <xdr:cNvPicPr>
          <a:picLocks noChangeAspect="1"/>
        </xdr:cNvPicPr>
      </xdr:nvPicPr>
      <xdr:blipFill>
        <a:blip xmlns:r="http://schemas.openxmlformats.org/officeDocument/2006/relationships" r:embed="rId7"/>
        <a:stretch>
          <a:fillRect/>
        </a:stretch>
      </xdr:blipFill>
      <xdr:spPr>
        <a:xfrm>
          <a:off x="6327321" y="7783285"/>
          <a:ext cx="3600000" cy="1854108"/>
        </a:xfrm>
        <a:prstGeom prst="rect">
          <a:avLst/>
        </a:prstGeom>
        <a:ln>
          <a:solidFill>
            <a:schemeClr val="tx1"/>
          </a:solidFill>
        </a:ln>
      </xdr:spPr>
    </xdr:pic>
    <xdr:clientData/>
  </xdr:twoCellAnchor>
  <xdr:twoCellAnchor editAs="oneCell">
    <xdr:from>
      <xdr:col>8</xdr:col>
      <xdr:colOff>54427</xdr:colOff>
      <xdr:row>40</xdr:row>
      <xdr:rowOff>108856</xdr:rowOff>
    </xdr:from>
    <xdr:to>
      <xdr:col>12</xdr:col>
      <xdr:colOff>62141</xdr:colOff>
      <xdr:row>49</xdr:row>
      <xdr:rowOff>112934</xdr:rowOff>
    </xdr:to>
    <xdr:pic>
      <xdr:nvPicPr>
        <xdr:cNvPr id="52" name="Picture 51"/>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368141" y="9688285"/>
          <a:ext cx="3600000" cy="1841043"/>
        </a:xfrm>
        <a:prstGeom prst="rect">
          <a:avLst/>
        </a:prstGeom>
        <a:ln>
          <a:solidFill>
            <a:schemeClr val="tx1"/>
          </a:solidFill>
        </a:ln>
      </xdr:spPr>
    </xdr:pic>
    <xdr:clientData/>
  </xdr:twoCellAnchor>
  <xdr:twoCellAnchor editAs="oneCell">
    <xdr:from>
      <xdr:col>12</xdr:col>
      <xdr:colOff>122462</xdr:colOff>
      <xdr:row>40</xdr:row>
      <xdr:rowOff>122464</xdr:rowOff>
    </xdr:from>
    <xdr:to>
      <xdr:col>16</xdr:col>
      <xdr:colOff>497569</xdr:colOff>
      <xdr:row>47</xdr:row>
      <xdr:rowOff>124016</xdr:rowOff>
    </xdr:to>
    <xdr:pic>
      <xdr:nvPicPr>
        <xdr:cNvPr id="53" name="Picture 52"/>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028462" y="9701893"/>
          <a:ext cx="3600000" cy="1430303"/>
        </a:xfrm>
        <a:prstGeom prst="rect">
          <a:avLst/>
        </a:prstGeom>
        <a:ln>
          <a:solidFill>
            <a:schemeClr val="tx1"/>
          </a:solidFill>
        </a:ln>
      </xdr:spPr>
    </xdr:pic>
    <xdr:clientData/>
  </xdr:twoCellAnchor>
  <xdr:twoCellAnchor editAs="oneCell">
    <xdr:from>
      <xdr:col>12</xdr:col>
      <xdr:colOff>217715</xdr:colOff>
      <xdr:row>48</xdr:row>
      <xdr:rowOff>149679</xdr:rowOff>
    </xdr:from>
    <xdr:to>
      <xdr:col>15</xdr:col>
      <xdr:colOff>612264</xdr:colOff>
      <xdr:row>60</xdr:row>
      <xdr:rowOff>127457</xdr:rowOff>
    </xdr:to>
    <xdr:pic>
      <xdr:nvPicPr>
        <xdr:cNvPr id="54" name="Picture 53"/>
        <xdr:cNvPicPr>
          <a:picLocks noChangeAspect="1"/>
        </xdr:cNvPicPr>
      </xdr:nvPicPr>
      <xdr:blipFill>
        <a:blip xmlns:r="http://schemas.openxmlformats.org/officeDocument/2006/relationships" r:embed="rId10"/>
        <a:stretch>
          <a:fillRect/>
        </a:stretch>
      </xdr:blipFill>
      <xdr:spPr>
        <a:xfrm>
          <a:off x="10123715" y="11361965"/>
          <a:ext cx="2843835" cy="3600000"/>
        </a:xfrm>
        <a:prstGeom prst="rect">
          <a:avLst/>
        </a:prstGeom>
        <a:ln>
          <a:solidFill>
            <a:schemeClr val="tx1"/>
          </a:solidFill>
        </a:ln>
      </xdr:spPr>
    </xdr:pic>
    <xdr:clientData/>
  </xdr:twoCellAnchor>
  <xdr:twoCellAnchor editAs="oneCell">
    <xdr:from>
      <xdr:col>8</xdr:col>
      <xdr:colOff>81643</xdr:colOff>
      <xdr:row>56</xdr:row>
      <xdr:rowOff>204107</xdr:rowOff>
    </xdr:from>
    <xdr:to>
      <xdr:col>12</xdr:col>
      <xdr:colOff>89357</xdr:colOff>
      <xdr:row>57</xdr:row>
      <xdr:rowOff>256501</xdr:rowOff>
    </xdr:to>
    <xdr:pic>
      <xdr:nvPicPr>
        <xdr:cNvPr id="55" name="Picture 54"/>
        <xdr:cNvPicPr>
          <a:picLocks noChangeAspect="1"/>
        </xdr:cNvPicPr>
      </xdr:nvPicPr>
      <xdr:blipFill>
        <a:blip xmlns:r="http://schemas.openxmlformats.org/officeDocument/2006/relationships" r:embed="rId11"/>
        <a:stretch>
          <a:fillRect/>
        </a:stretch>
      </xdr:blipFill>
      <xdr:spPr>
        <a:xfrm>
          <a:off x="6395357" y="13688786"/>
          <a:ext cx="3600000" cy="487822"/>
        </a:xfrm>
        <a:prstGeom prst="rect">
          <a:avLst/>
        </a:prstGeom>
        <a:ln>
          <a:solidFill>
            <a:schemeClr val="tx1"/>
          </a:solidFill>
        </a:ln>
      </xdr:spPr>
    </xdr:pic>
    <xdr:clientData/>
  </xdr:twoCellAnchor>
  <xdr:twoCellAnchor editAs="oneCell">
    <xdr:from>
      <xdr:col>8</xdr:col>
      <xdr:colOff>68034</xdr:colOff>
      <xdr:row>49</xdr:row>
      <xdr:rowOff>136072</xdr:rowOff>
    </xdr:from>
    <xdr:to>
      <xdr:col>12</xdr:col>
      <xdr:colOff>75748</xdr:colOff>
      <xdr:row>56</xdr:row>
      <xdr:rowOff>315692</xdr:rowOff>
    </xdr:to>
    <xdr:pic>
      <xdr:nvPicPr>
        <xdr:cNvPr id="56" name="Picture 55"/>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6381748" y="11552465"/>
          <a:ext cx="3600000" cy="2038356"/>
        </a:xfrm>
        <a:prstGeom prst="rect">
          <a:avLst/>
        </a:prstGeom>
        <a:ln>
          <a:solidFill>
            <a:schemeClr val="tx1"/>
          </a:solidFill>
        </a:ln>
      </xdr:spPr>
    </xdr:pic>
    <xdr:clientData/>
  </xdr:twoCellAnchor>
  <xdr:twoCellAnchor editAs="oneCell">
    <xdr:from>
      <xdr:col>8</xdr:col>
      <xdr:colOff>81642</xdr:colOff>
      <xdr:row>57</xdr:row>
      <xdr:rowOff>340178</xdr:rowOff>
    </xdr:from>
    <xdr:to>
      <xdr:col>12</xdr:col>
      <xdr:colOff>89356</xdr:colOff>
      <xdr:row>62</xdr:row>
      <xdr:rowOff>45638</xdr:rowOff>
    </xdr:to>
    <xdr:pic>
      <xdr:nvPicPr>
        <xdr:cNvPr id="57" name="Picture 56"/>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395356" y="14260285"/>
          <a:ext cx="3600000" cy="1504323"/>
        </a:xfrm>
        <a:prstGeom prst="rect">
          <a:avLst/>
        </a:prstGeom>
        <a:ln>
          <a:solidFill>
            <a:schemeClr val="tx1"/>
          </a:solidFill>
        </a:ln>
      </xdr:spPr>
    </xdr:pic>
    <xdr:clientData/>
  </xdr:twoCellAnchor>
  <xdr:twoCellAnchor editAs="oneCell">
    <xdr:from>
      <xdr:col>8</xdr:col>
      <xdr:colOff>95250</xdr:colOff>
      <xdr:row>60</xdr:row>
      <xdr:rowOff>68036</xdr:rowOff>
    </xdr:from>
    <xdr:to>
      <xdr:col>12</xdr:col>
      <xdr:colOff>102964</xdr:colOff>
      <xdr:row>66</xdr:row>
      <xdr:rowOff>65485</xdr:rowOff>
    </xdr:to>
    <xdr:pic>
      <xdr:nvPicPr>
        <xdr:cNvPr id="58" name="Picture 57"/>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6408964" y="15825107"/>
          <a:ext cx="3600000" cy="1472464"/>
        </a:xfrm>
        <a:prstGeom prst="rect">
          <a:avLst/>
        </a:prstGeom>
        <a:ln>
          <a:solidFill>
            <a:schemeClr val="tx1"/>
          </a:solidFill>
        </a:ln>
      </xdr:spPr>
    </xdr:pic>
    <xdr:clientData/>
  </xdr:twoCellAnchor>
  <xdr:twoCellAnchor editAs="oneCell">
    <xdr:from>
      <xdr:col>12</xdr:col>
      <xdr:colOff>372836</xdr:colOff>
      <xdr:row>60</xdr:row>
      <xdr:rowOff>96611</xdr:rowOff>
    </xdr:from>
    <xdr:to>
      <xdr:col>17</xdr:col>
      <xdr:colOff>138343</xdr:colOff>
      <xdr:row>65</xdr:row>
      <xdr:rowOff>29452</xdr:rowOff>
    </xdr:to>
    <xdr:pic>
      <xdr:nvPicPr>
        <xdr:cNvPr id="59" name="Picture 58"/>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0288361" y="14784161"/>
          <a:ext cx="3594557" cy="1199666"/>
        </a:xfrm>
        <a:prstGeom prst="rect">
          <a:avLst/>
        </a:prstGeom>
        <a:ln>
          <a:solidFill>
            <a:schemeClr val="tx1"/>
          </a:solidFill>
        </a:ln>
      </xdr:spPr>
    </xdr:pic>
    <xdr:clientData/>
  </xdr:twoCellAnchor>
  <xdr:twoCellAnchor editAs="oneCell">
    <xdr:from>
      <xdr:col>8</xdr:col>
      <xdr:colOff>66675</xdr:colOff>
      <xdr:row>145</xdr:row>
      <xdr:rowOff>38101</xdr:rowOff>
    </xdr:from>
    <xdr:to>
      <xdr:col>14</xdr:col>
      <xdr:colOff>240348</xdr:colOff>
      <xdr:row>146</xdr:row>
      <xdr:rowOff>51289</xdr:rowOff>
    </xdr:to>
    <xdr:pic>
      <xdr:nvPicPr>
        <xdr:cNvPr id="60" name="Picture 59"/>
        <xdr:cNvPicPr>
          <a:picLocks noChangeAspect="1"/>
        </xdr:cNvPicPr>
      </xdr:nvPicPr>
      <xdr:blipFill>
        <a:blip xmlns:r="http://schemas.openxmlformats.org/officeDocument/2006/relationships" r:embed="rId16"/>
        <a:stretch>
          <a:fillRect/>
        </a:stretch>
      </xdr:blipFill>
      <xdr:spPr>
        <a:xfrm>
          <a:off x="6381750" y="27222451"/>
          <a:ext cx="5402898" cy="222738"/>
        </a:xfrm>
        <a:prstGeom prst="rect">
          <a:avLst/>
        </a:prstGeom>
        <a:ln>
          <a:solidFill>
            <a:schemeClr val="tx1"/>
          </a:solidFill>
        </a:ln>
      </xdr:spPr>
    </xdr:pic>
    <xdr:clientData/>
  </xdr:twoCellAnchor>
  <xdr:twoCellAnchor editAs="oneCell">
    <xdr:from>
      <xdr:col>8</xdr:col>
      <xdr:colOff>66675</xdr:colOff>
      <xdr:row>16</xdr:row>
      <xdr:rowOff>9525</xdr:rowOff>
    </xdr:from>
    <xdr:to>
      <xdr:col>12</xdr:col>
      <xdr:colOff>66225</xdr:colOff>
      <xdr:row>17</xdr:row>
      <xdr:rowOff>120782</xdr:rowOff>
    </xdr:to>
    <xdr:pic>
      <xdr:nvPicPr>
        <xdr:cNvPr id="63" name="Picture 62"/>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6381750" y="4057650"/>
          <a:ext cx="3600000" cy="530357"/>
        </a:xfrm>
        <a:prstGeom prst="rect">
          <a:avLst/>
        </a:prstGeom>
        <a:ln>
          <a:solidFill>
            <a:schemeClr val="tx1"/>
          </a:solidFill>
        </a:ln>
      </xdr:spPr>
    </xdr:pic>
    <xdr:clientData/>
  </xdr:twoCellAnchor>
  <xdr:twoCellAnchor editAs="oneCell">
    <xdr:from>
      <xdr:col>11</xdr:col>
      <xdr:colOff>709613</xdr:colOff>
      <xdr:row>78</xdr:row>
      <xdr:rowOff>95983</xdr:rowOff>
    </xdr:from>
    <xdr:to>
      <xdr:col>15</xdr:col>
      <xdr:colOff>710082</xdr:colOff>
      <xdr:row>145</xdr:row>
      <xdr:rowOff>153730</xdr:rowOff>
    </xdr:to>
    <xdr:pic>
      <xdr:nvPicPr>
        <xdr:cNvPr id="64" name="Picture 63"/>
        <xdr:cNvPicPr>
          <a:picLocks noChangeAspect="1"/>
        </xdr:cNvPicPr>
      </xdr:nvPicPr>
      <xdr:blipFill>
        <a:blip xmlns:r="http://schemas.openxmlformats.org/officeDocument/2006/relationships" r:embed="rId18"/>
        <a:stretch>
          <a:fillRect/>
        </a:stretch>
      </xdr:blipFill>
      <xdr:spPr>
        <a:xfrm>
          <a:off x="9701213" y="18564958"/>
          <a:ext cx="3362794" cy="4267797"/>
        </a:xfrm>
        <a:prstGeom prst="rect">
          <a:avLst/>
        </a:prstGeom>
      </xdr:spPr>
    </xdr:pic>
    <xdr:clientData/>
  </xdr:twoCellAnchor>
  <xdr:twoCellAnchor editAs="oneCell">
    <xdr:from>
      <xdr:col>12</xdr:col>
      <xdr:colOff>130888</xdr:colOff>
      <xdr:row>82</xdr:row>
      <xdr:rowOff>133350</xdr:rowOff>
    </xdr:from>
    <xdr:to>
      <xdr:col>17</xdr:col>
      <xdr:colOff>21870</xdr:colOff>
      <xdr:row>160</xdr:row>
      <xdr:rowOff>148376</xdr:rowOff>
    </xdr:to>
    <xdr:pic>
      <xdr:nvPicPr>
        <xdr:cNvPr id="65" name="Picture 64"/>
        <xdr:cNvPicPr>
          <a:picLocks noChangeAspect="1"/>
        </xdr:cNvPicPr>
      </xdr:nvPicPr>
      <xdr:blipFill>
        <a:blip xmlns:r="http://schemas.openxmlformats.org/officeDocument/2006/relationships" r:embed="rId19"/>
        <a:stretch>
          <a:fillRect/>
        </a:stretch>
      </xdr:blipFill>
      <xdr:spPr>
        <a:xfrm>
          <a:off x="10046413" y="19402425"/>
          <a:ext cx="3720032" cy="5234726"/>
        </a:xfrm>
        <a:prstGeom prst="rect">
          <a:avLst/>
        </a:prstGeom>
      </xdr:spPr>
    </xdr:pic>
    <xdr:clientData/>
  </xdr:twoCellAnchor>
  <xdr:twoCellAnchor editAs="oneCell">
    <xdr:from>
      <xdr:col>10</xdr:col>
      <xdr:colOff>692273</xdr:colOff>
      <xdr:row>162</xdr:row>
      <xdr:rowOff>33728</xdr:rowOff>
    </xdr:from>
    <xdr:to>
      <xdr:col>15</xdr:col>
      <xdr:colOff>202234</xdr:colOff>
      <xdr:row>184</xdr:row>
      <xdr:rowOff>177293</xdr:rowOff>
    </xdr:to>
    <xdr:pic>
      <xdr:nvPicPr>
        <xdr:cNvPr id="66" name="Picture 65"/>
        <xdr:cNvPicPr>
          <a:picLocks noChangeAspect="1"/>
        </xdr:cNvPicPr>
      </xdr:nvPicPr>
      <xdr:blipFill>
        <a:blip xmlns:r="http://schemas.openxmlformats.org/officeDocument/2006/relationships" r:embed="rId20"/>
        <a:stretch>
          <a:fillRect/>
        </a:stretch>
      </xdr:blipFill>
      <xdr:spPr>
        <a:xfrm>
          <a:off x="8931398" y="25132103"/>
          <a:ext cx="3624761" cy="4934640"/>
        </a:xfrm>
        <a:prstGeom prst="rect">
          <a:avLst/>
        </a:prstGeom>
      </xdr:spPr>
    </xdr:pic>
    <xdr:clientData/>
  </xdr:twoCellAnchor>
  <xdr:twoCellAnchor editAs="oneCell">
    <xdr:from>
      <xdr:col>12</xdr:col>
      <xdr:colOff>168613</xdr:colOff>
      <xdr:row>168</xdr:row>
      <xdr:rowOff>171220</xdr:rowOff>
    </xdr:from>
    <xdr:to>
      <xdr:col>15</xdr:col>
      <xdr:colOff>416638</xdr:colOff>
      <xdr:row>183</xdr:row>
      <xdr:rowOff>524113</xdr:rowOff>
    </xdr:to>
    <xdr:pic>
      <xdr:nvPicPr>
        <xdr:cNvPr id="67" name="Picture 66"/>
        <xdr:cNvPicPr>
          <a:picLocks noChangeAspect="1"/>
        </xdr:cNvPicPr>
      </xdr:nvPicPr>
      <xdr:blipFill>
        <a:blip xmlns:r="http://schemas.openxmlformats.org/officeDocument/2006/relationships" r:embed="rId21"/>
        <a:stretch>
          <a:fillRect/>
        </a:stretch>
      </xdr:blipFill>
      <xdr:spPr>
        <a:xfrm>
          <a:off x="10084138" y="26469745"/>
          <a:ext cx="2686425" cy="3353268"/>
        </a:xfrm>
        <a:prstGeom prst="rect">
          <a:avLst/>
        </a:prstGeom>
      </xdr:spPr>
    </xdr:pic>
    <xdr:clientData/>
  </xdr:twoCellAnchor>
  <xdr:twoCellAnchor editAs="oneCell">
    <xdr:from>
      <xdr:col>11</xdr:col>
      <xdr:colOff>611571</xdr:colOff>
      <xdr:row>163</xdr:row>
      <xdr:rowOff>16027</xdr:rowOff>
    </xdr:from>
    <xdr:to>
      <xdr:col>18</xdr:col>
      <xdr:colOff>345582</xdr:colOff>
      <xdr:row>169</xdr:row>
      <xdr:rowOff>187668</xdr:rowOff>
    </xdr:to>
    <xdr:pic>
      <xdr:nvPicPr>
        <xdr:cNvPr id="68" name="Picture 67"/>
        <xdr:cNvPicPr>
          <a:picLocks noChangeAspect="1"/>
        </xdr:cNvPicPr>
      </xdr:nvPicPr>
      <xdr:blipFill>
        <a:blip xmlns:r="http://schemas.openxmlformats.org/officeDocument/2006/relationships" r:embed="rId22"/>
        <a:stretch>
          <a:fillRect/>
        </a:stretch>
      </xdr:blipFill>
      <xdr:spPr>
        <a:xfrm>
          <a:off x="9603171" y="25314427"/>
          <a:ext cx="5096586" cy="1371791"/>
        </a:xfrm>
        <a:prstGeom prst="rect">
          <a:avLst/>
        </a:prstGeom>
      </xdr:spPr>
    </xdr:pic>
    <xdr:clientData/>
  </xdr:twoCellAnchor>
  <xdr:twoCellAnchor>
    <xdr:from>
      <xdr:col>0</xdr:col>
      <xdr:colOff>107950</xdr:colOff>
      <xdr:row>300</xdr:row>
      <xdr:rowOff>82550</xdr:rowOff>
    </xdr:from>
    <xdr:to>
      <xdr:col>7</xdr:col>
      <xdr:colOff>651196</xdr:colOff>
      <xdr:row>323</xdr:row>
      <xdr:rowOff>11525</xdr:rowOff>
    </xdr:to>
    <xdr:grpSp>
      <xdr:nvGrpSpPr>
        <xdr:cNvPr id="3" name="Group 2"/>
        <xdr:cNvGrpSpPr/>
      </xdr:nvGrpSpPr>
      <xdr:grpSpPr>
        <a:xfrm>
          <a:off x="107950" y="35096450"/>
          <a:ext cx="6397946" cy="4450175"/>
          <a:chOff x="107950" y="35096450"/>
          <a:chExt cx="6397946" cy="4450175"/>
        </a:xfrm>
      </xdr:grpSpPr>
      <xdr:pic>
        <xdr:nvPicPr>
          <xdr:cNvPr id="72" name="Picture 7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888146" y="37386625"/>
            <a:ext cx="1617750" cy="2160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07950" y="37386625"/>
            <a:ext cx="2876000" cy="2160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128840" y="37386625"/>
            <a:ext cx="1617750" cy="216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70996" y="35096450"/>
            <a:ext cx="2876000" cy="2160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391886" y="35096450"/>
            <a:ext cx="287600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11207</xdr:colOff>
      <xdr:row>15</xdr:row>
      <xdr:rowOff>89647</xdr:rowOff>
    </xdr:from>
    <xdr:to>
      <xdr:col>6</xdr:col>
      <xdr:colOff>15773</xdr:colOff>
      <xdr:row>34</xdr:row>
      <xdr:rowOff>70147</xdr:rowOff>
    </xdr:to>
    <xdr:pic>
      <xdr:nvPicPr>
        <xdr:cNvPr id="3" name="Picture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93913" y="2958353"/>
          <a:ext cx="6403125" cy="360000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9CVT3bayQk7961d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6"/>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269531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09" t="s">
        <v>166</v>
      </c>
      <c r="B1" s="209"/>
      <c r="C1" s="209"/>
      <c r="D1" s="209"/>
      <c r="E1" s="209"/>
      <c r="F1" s="209"/>
      <c r="G1" s="209"/>
      <c r="H1" s="209"/>
    </row>
    <row r="2" spans="1:26" ht="16.5" customHeight="1" x14ac:dyDescent="0.35">
      <c r="A2" s="210" t="s">
        <v>0</v>
      </c>
      <c r="B2" s="210"/>
      <c r="C2" s="210"/>
      <c r="D2" s="210"/>
      <c r="E2" s="210"/>
      <c r="F2" s="210"/>
      <c r="G2" s="210"/>
      <c r="H2" s="210"/>
    </row>
    <row r="3" spans="1:26" x14ac:dyDescent="0.35">
      <c r="A3" s="127" t="s">
        <v>1</v>
      </c>
      <c r="B3" s="127"/>
      <c r="C3" s="127"/>
      <c r="D3" s="127"/>
      <c r="E3" s="127" t="str">
        <f ca="1">TEXT(TODAY(),"DD/MM/YYYY")</f>
        <v>10/06/2025</v>
      </c>
      <c r="F3" s="127"/>
      <c r="G3" s="127"/>
      <c r="H3" s="127"/>
      <c r="K3" s="59" t="s">
        <v>241</v>
      </c>
      <c r="L3" s="55" t="s">
        <v>239</v>
      </c>
      <c r="M3" s="55" t="s">
        <v>244</v>
      </c>
      <c r="N3" s="55" t="s">
        <v>242</v>
      </c>
      <c r="O3" s="55" t="s">
        <v>347</v>
      </c>
      <c r="P3" s="55" t="s">
        <v>245</v>
      </c>
    </row>
    <row r="4" spans="1:26" ht="15" customHeight="1" x14ac:dyDescent="0.35">
      <c r="A4" s="127" t="s">
        <v>238</v>
      </c>
      <c r="B4" s="127"/>
      <c r="C4" s="127"/>
      <c r="D4" s="127"/>
      <c r="E4" s="177" t="s">
        <v>239</v>
      </c>
      <c r="F4" s="177"/>
      <c r="G4" s="177"/>
      <c r="H4" s="177"/>
      <c r="K4" s="54" t="s">
        <v>240</v>
      </c>
      <c r="L4" s="55" t="s">
        <v>173</v>
      </c>
      <c r="M4" s="55" t="s">
        <v>249</v>
      </c>
      <c r="N4" s="55" t="s">
        <v>251</v>
      </c>
      <c r="O4" s="55" t="s">
        <v>348</v>
      </c>
      <c r="P4" s="55"/>
    </row>
    <row r="5" spans="1:26" ht="15" customHeight="1" x14ac:dyDescent="0.35">
      <c r="A5" s="127" t="s">
        <v>2</v>
      </c>
      <c r="B5" s="127"/>
      <c r="C5" s="127"/>
      <c r="D5" s="127"/>
      <c r="E5" s="177" t="s">
        <v>173</v>
      </c>
      <c r="F5" s="177"/>
      <c r="G5" s="177"/>
      <c r="H5" s="177"/>
      <c r="K5" s="54"/>
      <c r="L5" s="55" t="s">
        <v>246</v>
      </c>
      <c r="M5" s="55" t="s">
        <v>250</v>
      </c>
      <c r="N5" s="55" t="s">
        <v>252</v>
      </c>
      <c r="O5" s="55" t="s">
        <v>349</v>
      </c>
      <c r="P5" s="55"/>
    </row>
    <row r="6" spans="1:26" x14ac:dyDescent="0.35">
      <c r="A6" s="127" t="s">
        <v>3</v>
      </c>
      <c r="B6" s="127"/>
      <c r="C6" s="127"/>
      <c r="D6" s="127"/>
      <c r="E6" s="211">
        <v>45817</v>
      </c>
      <c r="F6" s="127"/>
      <c r="G6" s="127"/>
      <c r="H6" s="127"/>
      <c r="K6" s="54"/>
      <c r="L6" s="55" t="s">
        <v>247</v>
      </c>
      <c r="M6" s="55" t="s">
        <v>362</v>
      </c>
      <c r="N6" s="55"/>
      <c r="O6" s="55" t="s">
        <v>350</v>
      </c>
      <c r="P6" s="55"/>
    </row>
    <row r="7" spans="1:26" ht="16.5" customHeight="1" x14ac:dyDescent="0.35">
      <c r="A7" s="127" t="s">
        <v>4</v>
      </c>
      <c r="B7" s="127"/>
      <c r="C7" s="127"/>
      <c r="D7" s="127"/>
      <c r="E7" s="127" t="s">
        <v>364</v>
      </c>
      <c r="F7" s="127"/>
      <c r="G7" s="127"/>
      <c r="H7" s="127"/>
      <c r="K7" s="54"/>
      <c r="L7" s="55" t="s">
        <v>248</v>
      </c>
      <c r="M7" s="55"/>
      <c r="N7" s="55"/>
      <c r="O7" s="55" t="s">
        <v>350</v>
      </c>
      <c r="P7" s="55"/>
    </row>
    <row r="8" spans="1:26" ht="15" customHeight="1" x14ac:dyDescent="0.35">
      <c r="A8" s="127" t="s">
        <v>5</v>
      </c>
      <c r="B8" s="127"/>
      <c r="C8" s="127"/>
      <c r="D8" s="127"/>
      <c r="E8" s="127" t="str">
        <f>E7</f>
        <v>V Hotels Ltd</v>
      </c>
      <c r="F8" s="127"/>
      <c r="G8" s="127"/>
      <c r="H8" s="127"/>
      <c r="K8" s="54"/>
      <c r="L8" s="55"/>
      <c r="M8" s="55"/>
      <c r="N8" s="55"/>
      <c r="O8" s="55" t="s">
        <v>351</v>
      </c>
      <c r="P8" s="55"/>
    </row>
    <row r="9" spans="1:26" x14ac:dyDescent="0.35">
      <c r="A9" s="127" t="s">
        <v>6</v>
      </c>
      <c r="B9" s="127"/>
      <c r="C9" s="127"/>
      <c r="D9" s="127"/>
      <c r="E9" s="146" t="s">
        <v>365</v>
      </c>
      <c r="F9" s="146"/>
      <c r="G9" s="146"/>
      <c r="H9" s="146"/>
      <c r="K9" s="54"/>
      <c r="L9" s="55"/>
      <c r="M9" s="55"/>
      <c r="N9" s="55"/>
      <c r="O9" s="55" t="s">
        <v>352</v>
      </c>
      <c r="P9" s="55"/>
    </row>
    <row r="10" spans="1:26" x14ac:dyDescent="0.35">
      <c r="A10" s="127" t="s">
        <v>169</v>
      </c>
      <c r="B10" s="127"/>
      <c r="C10" s="127"/>
      <c r="D10" s="127"/>
      <c r="E10" s="127" t="s">
        <v>366</v>
      </c>
      <c r="F10" s="127"/>
      <c r="G10" s="127"/>
      <c r="H10" s="127"/>
      <c r="K10" s="54"/>
      <c r="L10" s="55"/>
      <c r="M10" s="55"/>
      <c r="N10" s="55"/>
      <c r="O10" s="55" t="s">
        <v>353</v>
      </c>
      <c r="P10" s="55"/>
    </row>
    <row r="11" spans="1:26" x14ac:dyDescent="0.35">
      <c r="A11" s="127" t="s">
        <v>170</v>
      </c>
      <c r="B11" s="127"/>
      <c r="C11" s="127"/>
      <c r="D11" s="127"/>
      <c r="E11" s="127" t="s">
        <v>366</v>
      </c>
      <c r="F11" s="127"/>
      <c r="G11" s="127"/>
      <c r="H11" s="127"/>
      <c r="O11" s="55" t="s">
        <v>354</v>
      </c>
    </row>
    <row r="12" spans="1:26" x14ac:dyDescent="0.35">
      <c r="A12" s="127" t="s">
        <v>414</v>
      </c>
      <c r="B12" s="127"/>
      <c r="C12" s="127"/>
      <c r="D12" s="127"/>
      <c r="E12" s="127" t="s">
        <v>429</v>
      </c>
      <c r="F12" s="127"/>
      <c r="G12" s="127"/>
      <c r="H12" s="127"/>
    </row>
    <row r="13" spans="1:26" x14ac:dyDescent="0.35">
      <c r="A13" s="127" t="s">
        <v>415</v>
      </c>
      <c r="B13" s="127"/>
      <c r="C13" s="127"/>
      <c r="D13" s="127"/>
      <c r="E13" s="127" t="s">
        <v>438</v>
      </c>
      <c r="F13" s="127"/>
      <c r="G13" s="127"/>
      <c r="H13" s="127"/>
    </row>
    <row r="14" spans="1:26" x14ac:dyDescent="0.35">
      <c r="A14" s="177" t="s">
        <v>174</v>
      </c>
      <c r="B14" s="177"/>
      <c r="C14" s="177"/>
      <c r="D14" s="177"/>
      <c r="E14" s="127" t="s">
        <v>439</v>
      </c>
      <c r="F14" s="127"/>
      <c r="G14" s="127"/>
      <c r="H14" s="127"/>
      <c r="S14" s="55" t="s">
        <v>184</v>
      </c>
      <c r="T14" s="55" t="s">
        <v>193</v>
      </c>
      <c r="U14" s="55" t="s">
        <v>175</v>
      </c>
      <c r="V14" s="55" t="s">
        <v>198</v>
      </c>
      <c r="W14" s="55" t="s">
        <v>216</v>
      </c>
      <c r="X14"/>
      <c r="Y14" t="s">
        <v>198</v>
      </c>
      <c r="Z14" t="e">
        <f ca="1">OFFSET($S$14,1,MATCH($G21,$S$14:$W$14,0)-1,15,1)</f>
        <v>#VALUE!</v>
      </c>
    </row>
    <row r="15" spans="1:26" ht="33.75" customHeight="1" x14ac:dyDescent="0.35">
      <c r="A15" s="138" t="s">
        <v>284</v>
      </c>
      <c r="B15" s="138"/>
      <c r="C15" s="138"/>
      <c r="D15" s="138"/>
      <c r="E15" s="212" t="s">
        <v>416</v>
      </c>
      <c r="F15" s="212"/>
      <c r="G15" s="212"/>
      <c r="H15" s="212"/>
      <c r="S15" s="55" t="s">
        <v>184</v>
      </c>
      <c r="T15" s="55" t="s">
        <v>191</v>
      </c>
      <c r="U15" s="55" t="s">
        <v>213</v>
      </c>
      <c r="V15" s="55" t="s">
        <v>199</v>
      </c>
      <c r="W15" s="55" t="s">
        <v>217</v>
      </c>
      <c r="X15"/>
      <c r="Y15"/>
      <c r="Z15"/>
    </row>
    <row r="16" spans="1:26" x14ac:dyDescent="0.35">
      <c r="A16" s="138" t="s">
        <v>7</v>
      </c>
      <c r="B16" s="138"/>
      <c r="C16" s="138"/>
      <c r="D16" s="138"/>
      <c r="E16" s="212" t="s">
        <v>363</v>
      </c>
      <c r="F16" s="177"/>
      <c r="G16" s="177"/>
      <c r="H16" s="177"/>
      <c r="I16" s="169" t="e">
        <f ca="1">OFFSET($D$5,1,MATCH($J14,$D$5:$H$5,0)-1,15,1)</f>
        <v>#N/A</v>
      </c>
      <c r="J16" s="170"/>
      <c r="K16" s="170"/>
      <c r="L16" s="170"/>
      <c r="M16" s="170"/>
      <c r="N16" s="170"/>
      <c r="O16" s="170"/>
      <c r="P16" s="170"/>
      <c r="S16" s="55" t="s">
        <v>185</v>
      </c>
      <c r="T16" s="55" t="s">
        <v>192</v>
      </c>
      <c r="U16" s="55" t="s">
        <v>214</v>
      </c>
      <c r="V16" s="55" t="s">
        <v>200</v>
      </c>
      <c r="W16" s="55" t="s">
        <v>230</v>
      </c>
      <c r="X16"/>
      <c r="Y16"/>
      <c r="Z16"/>
    </row>
    <row r="17" spans="1:26" ht="33" customHeight="1" x14ac:dyDescent="0.35">
      <c r="A17" s="152" t="s">
        <v>8</v>
      </c>
      <c r="B17" s="152"/>
      <c r="C17" s="152" t="str">
        <f>CONCATENATE((IF(OR(E9="",E9="NA"),"",E9)),", ",(IF(OR(A18="",A18="NA"),"",A18)),".",(IF(OR(C18="",C18="NA"),"",C18)),", near ",(IF(OR(C23="",C23="NA"),"",C23)),", ",(IF(OR(C20="",C20="NA"),"",C20)),", ",(IF(OR(C19="",C19="NA"),"",C19)),", ",(IF(OR(G20="",G20="NA"),"",G20)),", ",(IF(OR(C21="",C21="NA"),"",C21)),", ",(IF(OR(C22="",C22="NA"),"",C22)),", ",(IF(OR(G21="",G21="NA"),"",G21))," - ",(IF(OR(G22="",G22="NA"),"",G22)),".")</f>
        <v>Avalon ­ Tower 1, CTS No.859, near Kings Apartment, Juhu Tara Road, Uditi Tarang Housing Colony, Juhu, Vile Parle, Mumbai, Mumbai - 400049.</v>
      </c>
      <c r="D17" s="152"/>
      <c r="E17" s="152"/>
      <c r="F17" s="152"/>
      <c r="G17" s="152"/>
      <c r="H17" s="152"/>
      <c r="S17" s="55" t="s">
        <v>186</v>
      </c>
      <c r="T17" s="55" t="s">
        <v>194</v>
      </c>
      <c r="U17" s="55" t="s">
        <v>215</v>
      </c>
      <c r="V17" s="55" t="s">
        <v>201</v>
      </c>
      <c r="W17" s="55" t="s">
        <v>218</v>
      </c>
      <c r="X17"/>
      <c r="Y17"/>
      <c r="Z17"/>
    </row>
    <row r="18" spans="1:26" x14ac:dyDescent="0.35">
      <c r="A18" s="212" t="s">
        <v>179</v>
      </c>
      <c r="B18" s="212"/>
      <c r="C18" s="212">
        <v>859</v>
      </c>
      <c r="D18" s="212"/>
      <c r="E18" s="212"/>
      <c r="F18" s="212"/>
      <c r="G18" s="212"/>
      <c r="H18" s="212"/>
      <c r="S18" s="55" t="s">
        <v>187</v>
      </c>
      <c r="T18" s="55" t="s">
        <v>195</v>
      </c>
      <c r="U18" s="55" t="s">
        <v>175</v>
      </c>
      <c r="V18" s="55" t="s">
        <v>202</v>
      </c>
      <c r="W18" s="55" t="s">
        <v>219</v>
      </c>
      <c r="X18"/>
      <c r="Y18"/>
      <c r="Z18"/>
    </row>
    <row r="19" spans="1:26" ht="15.75" customHeight="1" x14ac:dyDescent="0.35">
      <c r="A19" s="213" t="s">
        <v>164</v>
      </c>
      <c r="B19" s="213"/>
      <c r="C19" s="213" t="s">
        <v>369</v>
      </c>
      <c r="D19" s="213"/>
      <c r="E19" s="213"/>
      <c r="F19" s="213"/>
      <c r="G19" s="213"/>
      <c r="H19" s="213"/>
      <c r="S19" s="55" t="s">
        <v>188</v>
      </c>
      <c r="T19" s="55" t="s">
        <v>193</v>
      </c>
      <c r="U19" s="55"/>
      <c r="V19" s="55" t="s">
        <v>203</v>
      </c>
      <c r="W19" s="55" t="s">
        <v>220</v>
      </c>
      <c r="X19"/>
      <c r="Y19"/>
      <c r="Z19"/>
    </row>
    <row r="20" spans="1:26" ht="15.75" customHeight="1" x14ac:dyDescent="0.35">
      <c r="A20" s="152" t="s">
        <v>9</v>
      </c>
      <c r="B20" s="152"/>
      <c r="C20" s="127" t="s">
        <v>368</v>
      </c>
      <c r="D20" s="127"/>
      <c r="E20" s="152" t="s">
        <v>69</v>
      </c>
      <c r="F20" s="152"/>
      <c r="G20" s="213" t="s">
        <v>367</v>
      </c>
      <c r="H20" s="213"/>
      <c r="S20" s="55" t="s">
        <v>189</v>
      </c>
      <c r="T20" s="55" t="s">
        <v>196</v>
      </c>
      <c r="U20" s="55"/>
      <c r="V20" s="55" t="s">
        <v>204</v>
      </c>
      <c r="W20" s="55" t="s">
        <v>221</v>
      </c>
      <c r="X20"/>
      <c r="Y20"/>
      <c r="Z20"/>
    </row>
    <row r="21" spans="1:26" x14ac:dyDescent="0.35">
      <c r="A21" s="138" t="s">
        <v>11</v>
      </c>
      <c r="B21" s="138"/>
      <c r="C21" s="213" t="s">
        <v>419</v>
      </c>
      <c r="D21" s="213"/>
      <c r="E21" s="152" t="s">
        <v>10</v>
      </c>
      <c r="F21" s="152"/>
      <c r="G21" s="214" t="s">
        <v>175</v>
      </c>
      <c r="H21" s="214"/>
      <c r="S21" s="55" t="s">
        <v>190</v>
      </c>
      <c r="T21" s="55" t="s">
        <v>197</v>
      </c>
      <c r="U21" s="55"/>
      <c r="V21" s="55" t="s">
        <v>205</v>
      </c>
      <c r="W21" s="55" t="s">
        <v>222</v>
      </c>
      <c r="X21"/>
      <c r="Y21"/>
      <c r="Z21"/>
    </row>
    <row r="22" spans="1:26" x14ac:dyDescent="0.35">
      <c r="A22" s="138" t="s">
        <v>70</v>
      </c>
      <c r="B22" s="138"/>
      <c r="C22" s="212" t="s">
        <v>175</v>
      </c>
      <c r="D22" s="212"/>
      <c r="E22" s="152" t="s">
        <v>12</v>
      </c>
      <c r="F22" s="152"/>
      <c r="G22" s="213">
        <v>400049</v>
      </c>
      <c r="H22" s="213"/>
      <c r="S22" s="55"/>
      <c r="T22" s="55"/>
      <c r="U22" s="55"/>
      <c r="V22" s="55" t="s">
        <v>206</v>
      </c>
      <c r="W22" s="55" t="s">
        <v>223</v>
      </c>
      <c r="X22"/>
      <c r="Y22"/>
      <c r="Z22"/>
    </row>
    <row r="23" spans="1:26" ht="32.25" customHeight="1" x14ac:dyDescent="0.35">
      <c r="A23" s="138" t="s">
        <v>120</v>
      </c>
      <c r="B23" s="138"/>
      <c r="C23" s="213" t="s">
        <v>372</v>
      </c>
      <c r="D23" s="213"/>
      <c r="E23" s="152" t="s">
        <v>13</v>
      </c>
      <c r="F23" s="152"/>
      <c r="G23" s="212" t="s">
        <v>418</v>
      </c>
      <c r="H23" s="212"/>
      <c r="S23" s="55"/>
      <c r="T23" s="55"/>
      <c r="U23" s="55"/>
      <c r="V23" s="55" t="s">
        <v>207</v>
      </c>
      <c r="W23" s="55" t="s">
        <v>224</v>
      </c>
      <c r="X23"/>
      <c r="Y23"/>
      <c r="Z23"/>
    </row>
    <row r="24" spans="1:26" ht="15" customHeight="1" x14ac:dyDescent="0.35">
      <c r="A24" s="152" t="s">
        <v>72</v>
      </c>
      <c r="B24" s="152"/>
      <c r="C24" s="152"/>
      <c r="D24" s="152"/>
      <c r="E24" s="127" t="s">
        <v>14</v>
      </c>
      <c r="F24" s="127"/>
      <c r="G24" s="127"/>
      <c r="H24" s="127"/>
      <c r="S24" s="55"/>
      <c r="T24" s="55"/>
      <c r="U24" s="55"/>
      <c r="V24" s="55" t="s">
        <v>208</v>
      </c>
      <c r="W24" s="55" t="s">
        <v>225</v>
      </c>
      <c r="X24"/>
      <c r="Y24"/>
      <c r="Z24"/>
    </row>
    <row r="25" spans="1:26" ht="18.75" customHeight="1" x14ac:dyDescent="0.35">
      <c r="A25" s="152"/>
      <c r="B25" s="152"/>
      <c r="C25" s="152"/>
      <c r="D25" s="152"/>
      <c r="E25" s="127"/>
      <c r="F25" s="127"/>
      <c r="G25" s="127"/>
      <c r="H25" s="127"/>
      <c r="S25" s="55"/>
      <c r="T25" s="55"/>
      <c r="U25" s="55"/>
      <c r="V25" s="55" t="s">
        <v>209</v>
      </c>
      <c r="W25" s="55" t="s">
        <v>226</v>
      </c>
      <c r="X25"/>
      <c r="Y25"/>
      <c r="Z25"/>
    </row>
    <row r="26" spans="1:26" ht="15" customHeight="1" x14ac:dyDescent="0.35">
      <c r="A26" s="152" t="s">
        <v>15</v>
      </c>
      <c r="B26" s="152"/>
      <c r="C26" s="152"/>
      <c r="D26" s="152"/>
      <c r="E26" s="213" t="s">
        <v>16</v>
      </c>
      <c r="F26" s="213"/>
      <c r="G26" s="213"/>
      <c r="H26" s="213"/>
      <c r="S26" s="55"/>
      <c r="T26" s="55"/>
      <c r="U26" s="55"/>
      <c r="V26" s="55" t="s">
        <v>210</v>
      </c>
      <c r="W26" s="55" t="s">
        <v>227</v>
      </c>
      <c r="X26"/>
      <c r="Y26"/>
      <c r="Z26"/>
    </row>
    <row r="27" spans="1:26" ht="15" customHeight="1" x14ac:dyDescent="0.35">
      <c r="A27" s="138" t="s">
        <v>17</v>
      </c>
      <c r="B27" s="138"/>
      <c r="C27" s="138"/>
      <c r="D27" s="138"/>
      <c r="E27" s="213" t="str">
        <f>IF(AND(G21="Mumbai"),"Upper Class","Middle Class")</f>
        <v>Upper Class</v>
      </c>
      <c r="F27" s="213"/>
      <c r="G27" s="213"/>
      <c r="H27" s="213"/>
      <c r="S27" s="55"/>
      <c r="T27" s="55"/>
      <c r="U27" s="55"/>
      <c r="V27" s="55" t="s">
        <v>211</v>
      </c>
      <c r="W27" s="55" t="s">
        <v>228</v>
      </c>
      <c r="X27"/>
      <c r="Y27"/>
      <c r="Z27"/>
    </row>
    <row r="28" spans="1:26" x14ac:dyDescent="0.35">
      <c r="A28" s="138" t="s">
        <v>18</v>
      </c>
      <c r="B28" s="138"/>
      <c r="C28" s="138"/>
      <c r="D28" s="138"/>
      <c r="E28" s="213" t="s">
        <v>19</v>
      </c>
      <c r="F28" s="213"/>
      <c r="G28" s="213"/>
      <c r="H28" s="213"/>
      <c r="S28" s="55"/>
      <c r="T28" s="55"/>
      <c r="U28" s="55"/>
      <c r="V28" s="55" t="s">
        <v>212</v>
      </c>
      <c r="W28" s="55" t="s">
        <v>229</v>
      </c>
      <c r="X28"/>
      <c r="Y28"/>
      <c r="Z28"/>
    </row>
    <row r="29" spans="1:26" ht="15.75" customHeight="1" x14ac:dyDescent="0.35">
      <c r="A29" s="138" t="s">
        <v>20</v>
      </c>
      <c r="B29" s="138"/>
      <c r="C29" s="138"/>
      <c r="D29" s="138"/>
      <c r="E29" s="213" t="str">
        <f>IF(AND(G21="Mumbai"),"Developed","Developing")</f>
        <v>Developed</v>
      </c>
      <c r="F29" s="213"/>
      <c r="G29" s="213"/>
      <c r="H29" s="213"/>
    </row>
    <row r="30" spans="1:26" x14ac:dyDescent="0.35">
      <c r="A30" s="138" t="s">
        <v>21</v>
      </c>
      <c r="B30" s="138"/>
      <c r="C30" s="138"/>
      <c r="D30" s="138"/>
      <c r="E30" s="213" t="s">
        <v>22</v>
      </c>
      <c r="F30" s="213"/>
      <c r="G30" s="213"/>
      <c r="H30" s="213"/>
    </row>
    <row r="31" spans="1:26" ht="15.75" customHeight="1" x14ac:dyDescent="0.35">
      <c r="A31" s="138" t="s">
        <v>77</v>
      </c>
      <c r="B31" s="138"/>
      <c r="C31" s="138"/>
      <c r="D31" s="138"/>
      <c r="E31" s="213" t="s">
        <v>78</v>
      </c>
      <c r="F31" s="213"/>
      <c r="G31" s="213"/>
      <c r="H31" s="213"/>
    </row>
    <row r="32" spans="1:26" ht="15" customHeight="1" x14ac:dyDescent="0.35">
      <c r="A32" s="138" t="s">
        <v>29</v>
      </c>
      <c r="B32" s="138"/>
      <c r="C32" s="138"/>
      <c r="D32" s="138"/>
      <c r="E32" s="213"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2" s="213"/>
      <c r="G32" s="213"/>
      <c r="H32" s="213"/>
    </row>
    <row r="33" spans="1:19" ht="15.75" customHeight="1" x14ac:dyDescent="0.35">
      <c r="A33" s="138" t="s">
        <v>89</v>
      </c>
      <c r="B33" s="138"/>
      <c r="C33" s="138"/>
      <c r="D33" s="138"/>
      <c r="E33" s="213" t="s">
        <v>30</v>
      </c>
      <c r="F33" s="213"/>
      <c r="G33" s="213"/>
      <c r="H33" s="213"/>
    </row>
    <row r="34" spans="1:19" s="22" customFormat="1" x14ac:dyDescent="0.35">
      <c r="A34" s="218" t="s">
        <v>90</v>
      </c>
      <c r="B34" s="218"/>
      <c r="C34" s="217" t="s">
        <v>176</v>
      </c>
      <c r="D34" s="217"/>
      <c r="E34" s="217"/>
      <c r="F34" s="217" t="s">
        <v>28</v>
      </c>
      <c r="G34" s="217"/>
      <c r="H34" s="217"/>
      <c r="S34" s="22" t="e">
        <f ca="1">OFFSET($S$14,1,MATCH($G21,$S$14:$W$14,0)-1,15,1)</f>
        <v>#VALUE!</v>
      </c>
    </row>
    <row r="35" spans="1:19" s="22" customFormat="1" x14ac:dyDescent="0.35">
      <c r="A35" s="215" t="s">
        <v>23</v>
      </c>
      <c r="B35" s="215" t="s">
        <v>27</v>
      </c>
      <c r="C35" s="216" t="s">
        <v>384</v>
      </c>
      <c r="D35" s="216"/>
      <c r="E35" s="216"/>
      <c r="F35" s="216" t="s">
        <v>368</v>
      </c>
      <c r="G35" s="216"/>
      <c r="H35" s="216"/>
    </row>
    <row r="36" spans="1:19" x14ac:dyDescent="0.35">
      <c r="A36" s="215" t="s">
        <v>24</v>
      </c>
      <c r="B36" s="215" t="s">
        <v>27</v>
      </c>
      <c r="C36" s="216" t="s">
        <v>385</v>
      </c>
      <c r="D36" s="216"/>
      <c r="E36" s="216"/>
      <c r="F36" s="216" t="s">
        <v>386</v>
      </c>
      <c r="G36" s="216"/>
      <c r="H36" s="216"/>
    </row>
    <row r="37" spans="1:19" s="22" customFormat="1" x14ac:dyDescent="0.35">
      <c r="A37" s="215" t="s">
        <v>26</v>
      </c>
      <c r="B37" s="215" t="s">
        <v>27</v>
      </c>
      <c r="C37" s="216" t="s">
        <v>383</v>
      </c>
      <c r="D37" s="216"/>
      <c r="E37" s="216"/>
      <c r="F37" s="216" t="s">
        <v>387</v>
      </c>
      <c r="G37" s="216"/>
      <c r="H37" s="216"/>
    </row>
    <row r="38" spans="1:19" x14ac:dyDescent="0.35">
      <c r="A38" s="215" t="s">
        <v>25</v>
      </c>
      <c r="B38" s="215" t="s">
        <v>27</v>
      </c>
      <c r="C38" s="216" t="s">
        <v>385</v>
      </c>
      <c r="D38" s="216"/>
      <c r="E38" s="216"/>
      <c r="F38" s="216" t="s">
        <v>388</v>
      </c>
      <c r="G38" s="216"/>
      <c r="H38" s="216"/>
    </row>
    <row r="39" spans="1:19" x14ac:dyDescent="0.35">
      <c r="A39" s="138" t="s">
        <v>285</v>
      </c>
      <c r="B39" s="138"/>
      <c r="C39" s="138"/>
      <c r="D39" s="138"/>
      <c r="E39" s="138"/>
      <c r="F39" s="138"/>
      <c r="G39" s="138"/>
      <c r="H39" s="138"/>
    </row>
    <row r="40" spans="1:19" ht="15.75" customHeight="1" x14ac:dyDescent="0.35">
      <c r="A40" s="138" t="s">
        <v>167</v>
      </c>
      <c r="B40" s="138"/>
      <c r="C40" s="206" t="s">
        <v>370</v>
      </c>
      <c r="D40" s="206"/>
      <c r="E40" s="206"/>
      <c r="F40" s="206"/>
      <c r="G40" s="206"/>
      <c r="H40" s="206"/>
    </row>
    <row r="41" spans="1:19" x14ac:dyDescent="0.35">
      <c r="A41" s="138" t="s">
        <v>163</v>
      </c>
      <c r="B41" s="138"/>
      <c r="C41" s="239" t="s">
        <v>371</v>
      </c>
      <c r="D41" s="213"/>
      <c r="E41" s="213"/>
      <c r="F41" s="213"/>
      <c r="G41" s="213"/>
      <c r="H41" s="213"/>
    </row>
    <row r="42" spans="1:19" x14ac:dyDescent="0.35">
      <c r="A42" s="206" t="s">
        <v>31</v>
      </c>
      <c r="B42" s="206"/>
      <c r="C42" s="206"/>
      <c r="D42" s="206"/>
      <c r="E42" s="206"/>
      <c r="F42" s="206"/>
      <c r="G42" s="206"/>
      <c r="H42" s="206"/>
    </row>
    <row r="43" spans="1:19" x14ac:dyDescent="0.35">
      <c r="A43" s="138" t="s">
        <v>32</v>
      </c>
      <c r="B43" s="138"/>
      <c r="C43" s="138"/>
      <c r="D43" s="138"/>
      <c r="E43" s="224">
        <v>19951.169999999998</v>
      </c>
      <c r="F43" s="224"/>
      <c r="G43" s="224"/>
      <c r="H43" s="224"/>
    </row>
    <row r="44" spans="1:19" x14ac:dyDescent="0.35">
      <c r="A44" s="138" t="s">
        <v>33</v>
      </c>
      <c r="B44" s="138"/>
      <c r="C44" s="138"/>
      <c r="D44" s="138"/>
      <c r="E44" s="160">
        <f>29326.27/E43</f>
        <v>1.4699022663833752</v>
      </c>
      <c r="F44" s="160"/>
      <c r="G44" s="160"/>
      <c r="H44" s="160"/>
    </row>
    <row r="45" spans="1:19" x14ac:dyDescent="0.35">
      <c r="A45" s="138" t="s">
        <v>34</v>
      </c>
      <c r="B45" s="138"/>
      <c r="C45" s="138"/>
      <c r="D45" s="138"/>
      <c r="E45" s="160">
        <f>E47/E43-E44</f>
        <v>1.862417592552216</v>
      </c>
      <c r="F45" s="160"/>
      <c r="G45" s="160"/>
      <c r="H45" s="160"/>
    </row>
    <row r="46" spans="1:19" x14ac:dyDescent="0.35">
      <c r="A46" s="138" t="s">
        <v>35</v>
      </c>
      <c r="B46" s="138"/>
      <c r="C46" s="138"/>
      <c r="D46" s="138"/>
      <c r="E46" s="160">
        <f>E44+E45</f>
        <v>3.3323198589355911</v>
      </c>
      <c r="F46" s="160"/>
      <c r="G46" s="160"/>
      <c r="H46" s="160"/>
    </row>
    <row r="47" spans="1:19" x14ac:dyDescent="0.35">
      <c r="A47" s="138" t="s">
        <v>88</v>
      </c>
      <c r="B47" s="138"/>
      <c r="C47" s="138"/>
      <c r="D47" s="138"/>
      <c r="E47" s="220">
        <v>66483.679999999993</v>
      </c>
      <c r="F47" s="220"/>
      <c r="G47" s="220"/>
      <c r="H47" s="220"/>
    </row>
    <row r="48" spans="1:19" x14ac:dyDescent="0.35">
      <c r="A48" s="127" t="s">
        <v>36</v>
      </c>
      <c r="B48" s="127"/>
      <c r="C48" s="127"/>
      <c r="D48" s="127"/>
      <c r="E48" s="177" t="s">
        <v>430</v>
      </c>
      <c r="F48" s="177"/>
      <c r="G48" s="177"/>
      <c r="H48" s="177"/>
    </row>
    <row r="49" spans="1:24" x14ac:dyDescent="0.35">
      <c r="A49" s="206" t="s">
        <v>37</v>
      </c>
      <c r="B49" s="206"/>
      <c r="C49" s="206"/>
      <c r="D49" s="206"/>
      <c r="E49" s="206"/>
      <c r="F49" s="206"/>
      <c r="G49" s="206"/>
      <c r="H49" s="206"/>
    </row>
    <row r="50" spans="1:24" ht="33.75" customHeight="1" x14ac:dyDescent="0.35">
      <c r="A50" s="161" t="s">
        <v>152</v>
      </c>
      <c r="B50" s="162"/>
      <c r="C50" s="221" t="s">
        <v>259</v>
      </c>
      <c r="D50" s="222"/>
      <c r="E50" s="222"/>
      <c r="F50" s="222"/>
      <c r="G50" s="222"/>
      <c r="H50" s="223"/>
      <c r="R50" t="s">
        <v>258</v>
      </c>
      <c r="S50" s="60" t="s">
        <v>175</v>
      </c>
      <c r="T50" s="60" t="s">
        <v>184</v>
      </c>
      <c r="U50" s="60" t="s">
        <v>198</v>
      </c>
      <c r="V50" s="60" t="s">
        <v>193</v>
      </c>
    </row>
    <row r="51" spans="1:24" ht="15.75" customHeight="1" x14ac:dyDescent="0.35">
      <c r="A51" s="161" t="s">
        <v>38</v>
      </c>
      <c r="B51" s="162"/>
      <c r="C51" s="161" t="s">
        <v>373</v>
      </c>
      <c r="D51" s="164"/>
      <c r="E51" s="162"/>
      <c r="F51" s="18" t="s">
        <v>39</v>
      </c>
      <c r="G51" s="133">
        <v>45505</v>
      </c>
      <c r="H51" s="134"/>
      <c r="R51"/>
      <c r="S51" s="60" t="s">
        <v>259</v>
      </c>
      <c r="T51" s="60" t="s">
        <v>264</v>
      </c>
      <c r="U51" s="60" t="s">
        <v>275</v>
      </c>
      <c r="V51" s="60" t="s">
        <v>280</v>
      </c>
    </row>
    <row r="52" spans="1:24" x14ac:dyDescent="0.35">
      <c r="A52" s="161" t="s">
        <v>40</v>
      </c>
      <c r="B52" s="162"/>
      <c r="C52" s="161" t="str">
        <f>C51</f>
        <v>KW/PVT/0206/20240619/AP/C</v>
      </c>
      <c r="D52" s="164"/>
      <c r="E52" s="162"/>
      <c r="F52" s="18" t="s">
        <v>39</v>
      </c>
      <c r="G52" s="133">
        <f>G51</f>
        <v>45505</v>
      </c>
      <c r="H52" s="134"/>
      <c r="R52"/>
      <c r="S52" s="60" t="s">
        <v>260</v>
      </c>
      <c r="T52" s="60" t="s">
        <v>265</v>
      </c>
      <c r="U52" s="60" t="s">
        <v>273</v>
      </c>
      <c r="V52" s="60" t="s">
        <v>281</v>
      </c>
    </row>
    <row r="53" spans="1:24" s="23" customFormat="1" ht="15.75" customHeight="1" x14ac:dyDescent="0.35">
      <c r="A53" s="225" t="s">
        <v>156</v>
      </c>
      <c r="B53" s="226"/>
      <c r="C53" s="161" t="str">
        <f>C52</f>
        <v>KW/PVT/0206/20240619/AP/C</v>
      </c>
      <c r="D53" s="164"/>
      <c r="E53" s="162"/>
      <c r="F53" s="18" t="s">
        <v>39</v>
      </c>
      <c r="G53" s="133">
        <v>45594</v>
      </c>
      <c r="H53" s="134"/>
      <c r="I53" s="22" t="str">
        <f ca="1">IF(G53&gt;EDATE(E3,-48),"NO REMARK","CC REMARK FOR CC")</f>
        <v>NO REMARK</v>
      </c>
      <c r="J53" s="93"/>
      <c r="R53"/>
      <c r="S53" s="60" t="s">
        <v>261</v>
      </c>
      <c r="T53" s="60" t="s">
        <v>266</v>
      </c>
      <c r="U53" s="60" t="s">
        <v>263</v>
      </c>
      <c r="V53" s="60" t="s">
        <v>282</v>
      </c>
    </row>
    <row r="54" spans="1:24" s="23" customFormat="1" x14ac:dyDescent="0.35">
      <c r="A54" s="227"/>
      <c r="B54" s="228"/>
      <c r="C54" s="161" t="s">
        <v>374</v>
      </c>
      <c r="D54" s="164"/>
      <c r="E54" s="164"/>
      <c r="F54" s="164"/>
      <c r="G54" s="164"/>
      <c r="H54" s="162"/>
      <c r="R54"/>
      <c r="S54" s="60" t="s">
        <v>262</v>
      </c>
      <c r="T54" s="60" t="s">
        <v>269</v>
      </c>
      <c r="U54" s="60" t="s">
        <v>276</v>
      </c>
      <c r="V54" s="84" t="s">
        <v>357</v>
      </c>
    </row>
    <row r="55" spans="1:24" s="23" customFormat="1" ht="32.25" customHeight="1" x14ac:dyDescent="0.35">
      <c r="A55" s="180" t="s">
        <v>286</v>
      </c>
      <c r="B55" s="181"/>
      <c r="C55" s="161" t="s">
        <v>375</v>
      </c>
      <c r="D55" s="164"/>
      <c r="E55" s="162"/>
      <c r="F55" s="18" t="s">
        <v>39</v>
      </c>
      <c r="G55" s="133">
        <v>45530</v>
      </c>
      <c r="H55" s="134"/>
      <c r="K55" s="94">
        <f>EDATE(G53,-48)</f>
        <v>44133</v>
      </c>
      <c r="L55" s="23" t="str">
        <f ca="1">IF(G53&gt;EDATE(E3,-48),"NO REMARK","CC REMARK FOR CC")</f>
        <v>NO REMARK</v>
      </c>
      <c r="R55"/>
      <c r="S55" s="60" t="s">
        <v>261</v>
      </c>
      <c r="T55" s="60" t="s">
        <v>266</v>
      </c>
      <c r="U55" s="60" t="s">
        <v>263</v>
      </c>
      <c r="V55" s="60" t="s">
        <v>282</v>
      </c>
    </row>
    <row r="56" spans="1:24" s="23" customFormat="1" ht="15.75" customHeight="1" x14ac:dyDescent="0.35">
      <c r="A56" s="182"/>
      <c r="B56" s="183"/>
      <c r="C56" s="243" t="s">
        <v>441</v>
      </c>
      <c r="D56" s="244"/>
      <c r="E56" s="244"/>
      <c r="F56" s="244"/>
      <c r="G56" s="244"/>
      <c r="H56" s="245"/>
      <c r="R56"/>
      <c r="S56" s="60" t="s">
        <v>263</v>
      </c>
      <c r="T56" s="60" t="s">
        <v>267</v>
      </c>
      <c r="U56" s="60" t="s">
        <v>277</v>
      </c>
      <c r="V56" s="85"/>
      <c r="W56" s="21"/>
      <c r="X56" s="21"/>
    </row>
    <row r="57" spans="1:24" s="23" customFormat="1" ht="34.5" customHeight="1" x14ac:dyDescent="0.35">
      <c r="A57" s="180" t="s">
        <v>287</v>
      </c>
      <c r="B57" s="181"/>
      <c r="C57" s="161" t="s">
        <v>376</v>
      </c>
      <c r="D57" s="164"/>
      <c r="E57" s="162"/>
      <c r="F57" s="18" t="s">
        <v>39</v>
      </c>
      <c r="G57" s="133">
        <v>45566</v>
      </c>
      <c r="H57" s="134"/>
      <c r="R57"/>
      <c r="S57" s="85"/>
      <c r="T57" s="60" t="s">
        <v>268</v>
      </c>
      <c r="U57" s="60" t="s">
        <v>278</v>
      </c>
      <c r="V57" s="85"/>
      <c r="W57" s="21"/>
      <c r="X57" s="21"/>
    </row>
    <row r="58" spans="1:24" s="23" customFormat="1" ht="39" customHeight="1" x14ac:dyDescent="0.35">
      <c r="A58" s="182"/>
      <c r="B58" s="183"/>
      <c r="C58" s="161" t="s">
        <v>432</v>
      </c>
      <c r="D58" s="164"/>
      <c r="E58" s="164"/>
      <c r="F58" s="164"/>
      <c r="G58" s="164"/>
      <c r="H58" s="162"/>
      <c r="R58"/>
      <c r="S58" s="85"/>
      <c r="T58" s="60" t="s">
        <v>270</v>
      </c>
      <c r="U58" s="60" t="s">
        <v>279</v>
      </c>
      <c r="V58" s="85"/>
      <c r="W58" s="21"/>
      <c r="X58" s="21"/>
    </row>
    <row r="59" spans="1:24" s="23" customFormat="1" ht="15.75" customHeight="1" x14ac:dyDescent="0.35">
      <c r="A59" s="180" t="s">
        <v>360</v>
      </c>
      <c r="B59" s="181"/>
      <c r="C59" s="161" t="s">
        <v>377</v>
      </c>
      <c r="D59" s="164"/>
      <c r="E59" s="162"/>
      <c r="F59" s="18" t="s">
        <v>39</v>
      </c>
      <c r="G59" s="133">
        <v>45250</v>
      </c>
      <c r="H59" s="134"/>
      <c r="R59"/>
      <c r="S59" s="85"/>
      <c r="T59" s="60" t="s">
        <v>271</v>
      </c>
      <c r="U59" s="85" t="s">
        <v>301</v>
      </c>
      <c r="V59" s="85"/>
      <c r="W59" s="21"/>
      <c r="X59" s="21"/>
    </row>
    <row r="60" spans="1:24" s="23" customFormat="1" ht="33.75" customHeight="1" x14ac:dyDescent="0.35">
      <c r="A60" s="182"/>
      <c r="B60" s="183"/>
      <c r="C60" s="152" t="s">
        <v>378</v>
      </c>
      <c r="D60" s="152"/>
      <c r="E60" s="152"/>
      <c r="F60" s="18" t="s">
        <v>361</v>
      </c>
      <c r="G60" s="133">
        <v>48171</v>
      </c>
      <c r="H60" s="134"/>
      <c r="R60"/>
      <c r="S60" s="85"/>
      <c r="T60" s="60" t="s">
        <v>272</v>
      </c>
      <c r="U60" s="85"/>
      <c r="V60" s="85"/>
      <c r="W60" s="21"/>
      <c r="X60" s="21"/>
    </row>
    <row r="61" spans="1:24" s="23" customFormat="1" ht="15.75" customHeight="1" x14ac:dyDescent="0.35">
      <c r="A61" s="180" t="s">
        <v>379</v>
      </c>
      <c r="B61" s="181"/>
      <c r="C61" s="161" t="s">
        <v>380</v>
      </c>
      <c r="D61" s="164"/>
      <c r="E61" s="162"/>
      <c r="F61" s="18" t="s">
        <v>39</v>
      </c>
      <c r="G61" s="133">
        <v>45540</v>
      </c>
      <c r="H61" s="134"/>
      <c r="R61"/>
      <c r="S61" s="85"/>
      <c r="T61" s="60" t="s">
        <v>271</v>
      </c>
      <c r="U61" s="85" t="s">
        <v>301</v>
      </c>
      <c r="V61" s="85"/>
      <c r="W61" s="21"/>
      <c r="X61" s="21"/>
    </row>
    <row r="62" spans="1:24" s="23" customFormat="1" ht="36.75" customHeight="1" x14ac:dyDescent="0.35">
      <c r="A62" s="182"/>
      <c r="B62" s="183"/>
      <c r="C62" s="161" t="s">
        <v>433</v>
      </c>
      <c r="D62" s="164"/>
      <c r="E62" s="164"/>
      <c r="F62" s="164"/>
      <c r="G62" s="164"/>
      <c r="H62" s="162"/>
      <c r="R62"/>
      <c r="S62" s="85"/>
      <c r="T62" s="60" t="s">
        <v>272</v>
      </c>
      <c r="U62" s="85"/>
      <c r="V62" s="85"/>
      <c r="W62" s="21"/>
      <c r="X62" s="21"/>
    </row>
    <row r="63" spans="1:24" x14ac:dyDescent="0.35">
      <c r="A63" s="173" t="s">
        <v>41</v>
      </c>
      <c r="B63" s="174"/>
      <c r="C63" s="173" t="s">
        <v>102</v>
      </c>
      <c r="D63" s="175"/>
      <c r="E63" s="174"/>
      <c r="F63" s="45" t="s">
        <v>39</v>
      </c>
      <c r="G63" s="178" t="s">
        <v>27</v>
      </c>
      <c r="H63" s="179"/>
      <c r="R63"/>
      <c r="S63" s="85"/>
      <c r="T63" s="60" t="s">
        <v>274</v>
      </c>
      <c r="U63" s="85"/>
      <c r="V63" s="85"/>
    </row>
    <row r="64" spans="1:24" x14ac:dyDescent="0.35">
      <c r="A64" s="207" t="s">
        <v>43</v>
      </c>
      <c r="B64" s="207"/>
      <c r="C64" s="207"/>
      <c r="D64" s="207"/>
      <c r="E64" s="207"/>
      <c r="F64" s="207"/>
      <c r="G64" s="207"/>
      <c r="H64" s="207"/>
      <c r="S64" s="85"/>
      <c r="T64" s="60" t="s">
        <v>283</v>
      </c>
      <c r="U64" s="85"/>
      <c r="V64" s="85"/>
    </row>
    <row r="65" spans="1:19" x14ac:dyDescent="0.35">
      <c r="A65" s="152" t="s">
        <v>87</v>
      </c>
      <c r="B65" s="152"/>
      <c r="C65" s="152"/>
      <c r="D65" s="138">
        <f>E47</f>
        <v>66483.679999999993</v>
      </c>
      <c r="E65" s="138"/>
      <c r="F65" s="138"/>
      <c r="G65" s="138"/>
      <c r="H65" s="138"/>
      <c r="R65"/>
    </row>
    <row r="66" spans="1:19" x14ac:dyDescent="0.35">
      <c r="A66" s="213" t="s">
        <v>44</v>
      </c>
      <c r="B66" s="127"/>
      <c r="C66" s="127"/>
      <c r="D66" s="177" t="s">
        <v>417</v>
      </c>
      <c r="E66" s="177"/>
      <c r="F66" s="177"/>
      <c r="G66" s="177"/>
      <c r="H66" s="177"/>
      <c r="I66" s="24"/>
      <c r="R66"/>
    </row>
    <row r="67" spans="1:19" ht="16.5" customHeight="1" x14ac:dyDescent="0.35">
      <c r="A67" s="213" t="s">
        <v>45</v>
      </c>
      <c r="B67" s="213"/>
      <c r="C67" s="213"/>
      <c r="D67" s="212" t="s">
        <v>442</v>
      </c>
      <c r="E67" s="177"/>
      <c r="F67" s="177"/>
      <c r="G67" s="177"/>
      <c r="H67" s="177"/>
      <c r="R67"/>
    </row>
    <row r="68" spans="1:19" ht="15.75" customHeight="1" x14ac:dyDescent="0.35">
      <c r="A68" s="213" t="s">
        <v>85</v>
      </c>
      <c r="B68" s="213"/>
      <c r="C68" s="213"/>
      <c r="D68" s="127" t="s">
        <v>431</v>
      </c>
      <c r="E68" s="127"/>
      <c r="F68" s="127"/>
      <c r="G68" s="127"/>
      <c r="H68" s="127"/>
      <c r="I68" s="100" t="s">
        <v>382</v>
      </c>
      <c r="R68"/>
    </row>
    <row r="69" spans="1:19" ht="15.75" hidden="1" customHeight="1" x14ac:dyDescent="0.35">
      <c r="A69" s="213"/>
      <c r="B69" s="213"/>
      <c r="C69" s="213"/>
      <c r="D69" s="163" t="s">
        <v>302</v>
      </c>
      <c r="E69" s="163"/>
      <c r="F69" s="163"/>
      <c r="G69" s="163"/>
      <c r="H69" s="163"/>
      <c r="R69"/>
    </row>
    <row r="70" spans="1:19" ht="15.75" hidden="1" customHeight="1" x14ac:dyDescent="0.35">
      <c r="A70" s="213"/>
      <c r="B70" s="213"/>
      <c r="C70" s="213"/>
      <c r="D70" s="163" t="s">
        <v>171</v>
      </c>
      <c r="E70" s="163"/>
      <c r="F70" s="163"/>
      <c r="G70" s="163"/>
      <c r="H70" s="163"/>
      <c r="S70"/>
    </row>
    <row r="71" spans="1:19" ht="15.75" customHeight="1" x14ac:dyDescent="0.35">
      <c r="A71" s="138" t="s">
        <v>42</v>
      </c>
      <c r="B71" s="138"/>
      <c r="C71" s="138"/>
      <c r="D71" s="212" t="s">
        <v>381</v>
      </c>
      <c r="E71" s="212"/>
      <c r="F71" s="212"/>
      <c r="G71" s="212"/>
      <c r="H71" s="212"/>
      <c r="J71" s="25"/>
      <c r="K71" s="24"/>
      <c r="N71" s="24"/>
      <c r="S71"/>
    </row>
    <row r="72" spans="1:19" ht="15.75" customHeight="1" x14ac:dyDescent="0.35">
      <c r="A72" s="138" t="s">
        <v>83</v>
      </c>
      <c r="B72" s="138"/>
      <c r="C72" s="138"/>
      <c r="D72" s="219" t="str">
        <f>(IF(G63="NA","60 Years After Completion",IF(G63&lt;&gt;"NA",""&amp;60-ROUNDDOWN((E3-G63)/360,0)&amp;" Years"," ")))</f>
        <v>60 Years After Completion</v>
      </c>
      <c r="E72" s="219"/>
      <c r="F72" s="219"/>
      <c r="G72" s="219"/>
      <c r="H72" s="219"/>
      <c r="N72" s="24"/>
      <c r="S72"/>
    </row>
    <row r="73" spans="1:19" ht="15.75" customHeight="1" x14ac:dyDescent="0.35">
      <c r="A73" s="138" t="s">
        <v>84</v>
      </c>
      <c r="B73" s="138"/>
      <c r="C73" s="138"/>
      <c r="D73" s="152" t="s">
        <v>22</v>
      </c>
      <c r="E73" s="152"/>
      <c r="F73" s="152"/>
      <c r="G73" s="152"/>
      <c r="H73" s="152"/>
      <c r="J73" s="26"/>
      <c r="K73" s="26"/>
      <c r="S73"/>
    </row>
    <row r="74" spans="1:19" ht="38.5" customHeight="1" x14ac:dyDescent="0.35">
      <c r="A74" s="155" t="s">
        <v>435</v>
      </c>
      <c r="B74" s="155"/>
      <c r="C74" s="155"/>
      <c r="D74" s="156" t="s">
        <v>434</v>
      </c>
      <c r="E74" s="156"/>
      <c r="F74" s="156"/>
      <c r="G74" s="156"/>
      <c r="H74" s="156"/>
      <c r="I74" s="103" t="s">
        <v>420</v>
      </c>
      <c r="J74" s="102"/>
      <c r="S74"/>
    </row>
    <row r="75" spans="1:19" x14ac:dyDescent="0.35">
      <c r="A75" s="152" t="s">
        <v>148</v>
      </c>
      <c r="B75" s="152"/>
      <c r="C75" s="152"/>
      <c r="D75" s="152" t="s">
        <v>27</v>
      </c>
      <c r="E75" s="152"/>
      <c r="F75" s="152"/>
      <c r="G75" s="152"/>
      <c r="H75" s="152"/>
      <c r="I75" s="27"/>
      <c r="J75" s="27"/>
      <c r="K75" s="27"/>
      <c r="L75" s="27"/>
      <c r="M75" s="27"/>
      <c r="N75" s="27"/>
    </row>
    <row r="76" spans="1:19" ht="15.75" customHeight="1" x14ac:dyDescent="0.35">
      <c r="A76" s="138" t="s">
        <v>82</v>
      </c>
      <c r="B76" s="138"/>
      <c r="C76" s="138"/>
      <c r="D76" s="213" t="str">
        <f ca="1">(IF(G82&gt;95%,"Nothing",IF(G82&gt;0%,"Cement, Aggregate, Steel, etc",IF(G82=0%,"Work not yet Started"))))</f>
        <v>Cement, Aggregate, Steel, etc</v>
      </c>
      <c r="E76" s="213"/>
      <c r="F76" s="213"/>
      <c r="G76" s="213"/>
      <c r="H76" s="213"/>
      <c r="J76" s="26"/>
      <c r="S76"/>
    </row>
    <row r="77" spans="1:19" ht="33.75" customHeight="1" thickBot="1" x14ac:dyDescent="0.4">
      <c r="A77" s="152" t="s">
        <v>115</v>
      </c>
      <c r="B77" s="152"/>
      <c r="C77" s="152"/>
      <c r="D77" s="213" t="str">
        <f ca="1">(IF(D76="Nothing","Yes",IF(D76="Cement, Aggregate, Steel, etc","Under Construction",IF(D76="Work not yet Started","Work not yet Started"))))</f>
        <v>Under Construction</v>
      </c>
      <c r="E77" s="213"/>
      <c r="F77" s="213" t="str">
        <f ca="1">(IF(D76="Nothing","Yes",IF(D76="Cement, Aggregate, Steel, etc","Under Construction",IF(D76="Work not yet Started","Work not yet Started"))))</f>
        <v>Under Construction</v>
      </c>
      <c r="G77" s="213"/>
      <c r="H77" s="213"/>
      <c r="S77"/>
    </row>
    <row r="78" spans="1:19" ht="15.75" customHeight="1" x14ac:dyDescent="0.35">
      <c r="A78" s="258" t="s">
        <v>138</v>
      </c>
      <c r="B78" s="258"/>
      <c r="C78" s="258" t="str">
        <f>D68</f>
        <v>Wing A = B + LG + UG + 1st to 14th Floor</v>
      </c>
      <c r="D78" s="258"/>
      <c r="E78" s="258"/>
      <c r="F78" s="258"/>
      <c r="G78" s="258"/>
      <c r="H78" s="258"/>
      <c r="I78" s="256" t="str">
        <f ca="1">IF(D91=100%,"All work Completed. Possession granted to the Building.",IF(D90=100%,"All work Completed, Waiting for OC",I79&amp;""&amp;I80&amp;""&amp;J79&amp;""&amp;J78&amp;" "&amp;J80))</f>
        <v xml:space="preserve">Excavation Completed, Footing work is process </v>
      </c>
      <c r="J78" s="49" t="str">
        <f ca="1">(IF(C84=(D79+F79+H79),"",IF(C84&gt;0,", RCC upto "&amp;C84&amp;" Slab","")))&amp;(IF(C85=H79,"",IF(C85&gt;0,", Brickwork upto "&amp;C85&amp;" Floor","")))&amp;(IF(C86=H79,"",IF(C86&gt;0,", Internal Plaster upto "&amp;C86&amp;" Floor","")))&amp;(IF(C87=H79,"",IF(C87&gt;0,", External Plaster upto "&amp;C87&amp;" Floor","")))&amp;(IF(C88=H79,"",IF(C88&gt;0,", Flooring upto "&amp;C88&amp;" Floor","")))&amp;(IF(C89=H79,"",IF(C89&gt;0,", Painting upto "&amp;C89&amp;" Floor","")))&amp;(IF(C90=H79,"",IF(C90&gt;0,", Finishing upto "&amp;C90&amp;" Floor","")))&amp;(IF(C91=H79,"",IF(C91&gt;0,", Possession upto "&amp;C91&amp;" Floor","")))</f>
        <v/>
      </c>
      <c r="S78"/>
    </row>
    <row r="79" spans="1:19" x14ac:dyDescent="0.35">
      <c r="A79" s="112" t="s">
        <v>140</v>
      </c>
      <c r="B79" s="112">
        <v>1</v>
      </c>
      <c r="C79" s="112" t="s">
        <v>68</v>
      </c>
      <c r="D79" s="112">
        <v>2</v>
      </c>
      <c r="E79" s="112" t="s">
        <v>67</v>
      </c>
      <c r="F79" s="101">
        <v>0</v>
      </c>
      <c r="G79" s="47" t="s">
        <v>76</v>
      </c>
      <c r="H79" s="112">
        <f ca="1">--TRIM(RIGHT(SUBSTITUTE(LEFT(C78,_xlfn.AGGREGATE(16,6,FIND({0,1,2,3,4,5,6,7,8,9},C78,ROW(INDIRECT("1:"&amp;LEN(C78)))),1))," ",REPT(" ",LEN(C78))),LEN(C78)))</f>
        <v>14</v>
      </c>
      <c r="I79" s="257" t="str">
        <f ca="1">IF(D82=100%,"Excavation","")&amp;IF(D83=100%,", Plinth","")&amp;IF(D84=100%,", RCC Slab","")&amp;IF(D85=100%,", Brickwork","")&amp;IF(D86=100%,", Internal Plaster","")&amp;IF(D87=100%,", External Plaster","")&amp;IF(D88=100%,", Flooring","")&amp;IF(D89=100%,", Painting","")&amp;IF(D90=100%,", Building common Amenities","")</f>
        <v>Excavation</v>
      </c>
      <c r="J79" s="51" t="str">
        <f ca="1">(IF(C82=0,"Work not yet Started.",IF(D82=25%,"Piling work in process",IF(D82=50%,"Excavation work in process",IF(D82=100%,"","0")))))&amp;(IF(C83=0%,"",IF(C83=J84,", Footing work is process",IF(C83=J85,", Footing work Completed",IF(C83=J86,", 1st Basement Completed",IF(C83=J87,", 1st &amp; 2nd Basement Completed",IF(C83=J88,", 1st to 3rd Basement Completed",IF(C83=J89,", 1st to 4th Basement Completed",IF(C83=J90,", Plinth work is process",IF(C83=J91,"","0"))))))))))</f>
        <v>, Footing work is process</v>
      </c>
      <c r="S79"/>
    </row>
    <row r="80" spans="1:19" x14ac:dyDescent="0.35">
      <c r="A80" s="145" t="s">
        <v>86</v>
      </c>
      <c r="B80" s="146"/>
      <c r="C80" s="153" t="str">
        <f ca="1">I78</f>
        <v xml:space="preserve">Excavation Completed, Footing work is process </v>
      </c>
      <c r="D80" s="153"/>
      <c r="E80" s="153"/>
      <c r="F80" s="153"/>
      <c r="G80" s="153"/>
      <c r="H80" s="154"/>
      <c r="I80" s="50" t="str">
        <f ca="1">IF(I79&lt;&gt;""," Completed","")</f>
        <v xml:space="preserve"> Completed</v>
      </c>
      <c r="J80" s="51" t="str">
        <f ca="1">IF(J78&lt;&gt;"","Completed","")</f>
        <v/>
      </c>
      <c r="S80"/>
    </row>
    <row r="81" spans="1:19" ht="15.75" customHeight="1" x14ac:dyDescent="0.35">
      <c r="A81" s="135" t="s">
        <v>46</v>
      </c>
      <c r="B81" s="136"/>
      <c r="C81" s="43" t="s">
        <v>137</v>
      </c>
      <c r="D81" s="43" t="s">
        <v>79</v>
      </c>
      <c r="E81" s="136" t="s">
        <v>81</v>
      </c>
      <c r="F81" s="136"/>
      <c r="G81" s="136" t="s">
        <v>80</v>
      </c>
      <c r="H81" s="166"/>
      <c r="I81" s="13" t="s">
        <v>139</v>
      </c>
      <c r="J81" s="28">
        <f ca="1">H79*25%</f>
        <v>3.5</v>
      </c>
      <c r="S81"/>
    </row>
    <row r="82" spans="1:19" x14ac:dyDescent="0.35">
      <c r="A82" s="135" t="s">
        <v>126</v>
      </c>
      <c r="B82" s="136"/>
      <c r="C82" s="96">
        <f ca="1">J83</f>
        <v>14</v>
      </c>
      <c r="D82" s="19">
        <f ca="1">((100/H79)*C82)/100</f>
        <v>1</v>
      </c>
      <c r="E82" s="231">
        <f ca="1">(((C83/H79*10)+(40/(D79+F79+H79)*C84)+(7.5/(H79)*C85)+(7.5/(H79)*C86)+(10/H79*C87)+(10/H79*C88)+(5/H79*C89)+(5/H79*C90)+(5/H79*C91))/100)</f>
        <v>2.5000000000000001E-2</v>
      </c>
      <c r="F82" s="246"/>
      <c r="G82" s="231">
        <f ca="1">((((C82/H79)*20)+((C83/H79)*25)+(30/(H79+F79+D79)*C84)+(5/H79*C85)+(5/H79*C86)+(5/H79*C87)+(5/H79*C88)+(0/H79*C89)+(0/H79*C90)+(5/H79*C91))/100)</f>
        <v>0.26250000000000001</v>
      </c>
      <c r="H82" s="232"/>
      <c r="I82" s="13" t="s">
        <v>97</v>
      </c>
      <c r="J82" s="29">
        <f ca="1">H79*50%</f>
        <v>7</v>
      </c>
    </row>
    <row r="83" spans="1:19" x14ac:dyDescent="0.35">
      <c r="A83" s="135" t="s">
        <v>47</v>
      </c>
      <c r="B83" s="136"/>
      <c r="C83" s="113">
        <f ca="1">J84</f>
        <v>3.5</v>
      </c>
      <c r="D83" s="19">
        <f ca="1">((100/H79)*C83)/100</f>
        <v>0.25</v>
      </c>
      <c r="E83" s="233"/>
      <c r="F83" s="247"/>
      <c r="G83" s="233"/>
      <c r="H83" s="234"/>
      <c r="I83" s="13" t="s">
        <v>98</v>
      </c>
      <c r="J83" s="29">
        <f ca="1">H79</f>
        <v>14</v>
      </c>
      <c r="S83"/>
    </row>
    <row r="84" spans="1:19" ht="15.75" customHeight="1" x14ac:dyDescent="0.35">
      <c r="A84" s="135" t="s">
        <v>127</v>
      </c>
      <c r="B84" s="136"/>
      <c r="C84" s="43">
        <v>0</v>
      </c>
      <c r="D84" s="19">
        <f ca="1">((100/(D79+F79+H79))*C84)/100</f>
        <v>0</v>
      </c>
      <c r="E84" s="233"/>
      <c r="F84" s="247"/>
      <c r="G84" s="233"/>
      <c r="H84" s="234"/>
      <c r="I84" s="13" t="s">
        <v>99</v>
      </c>
      <c r="J84" s="30">
        <f ca="1">(IF(B79&gt;1,(H79/(B79+2)),H79/4))</f>
        <v>3.5</v>
      </c>
      <c r="S84"/>
    </row>
    <row r="85" spans="1:19" ht="15.75" customHeight="1" x14ac:dyDescent="0.35">
      <c r="A85" s="135" t="s">
        <v>134</v>
      </c>
      <c r="B85" s="136" t="s">
        <v>128</v>
      </c>
      <c r="C85" s="43">
        <v>0</v>
      </c>
      <c r="D85" s="19">
        <f ca="1">((100/H79)*C85)/100</f>
        <v>0</v>
      </c>
      <c r="E85" s="233"/>
      <c r="F85" s="247"/>
      <c r="G85" s="233"/>
      <c r="H85" s="234"/>
      <c r="I85" s="13" t="s">
        <v>100</v>
      </c>
      <c r="J85" s="30">
        <f ca="1">(IF(B79&gt;1,(H79/(B79+2)+J84),H79/4+J84))</f>
        <v>7</v>
      </c>
    </row>
    <row r="86" spans="1:19" ht="15.75" customHeight="1" x14ac:dyDescent="0.35">
      <c r="A86" s="135" t="s">
        <v>135</v>
      </c>
      <c r="B86" s="136" t="s">
        <v>128</v>
      </c>
      <c r="C86" s="43">
        <v>0</v>
      </c>
      <c r="D86" s="19">
        <f ca="1">((100/H79)*C86)/100</f>
        <v>0</v>
      </c>
      <c r="E86" s="233"/>
      <c r="F86" s="247"/>
      <c r="G86" s="233"/>
      <c r="H86" s="234"/>
      <c r="I86" s="13" t="s">
        <v>146</v>
      </c>
      <c r="J86" s="30">
        <f>(IF(B79&gt;1,(H79/(B79+2)+J85),0))</f>
        <v>0</v>
      </c>
    </row>
    <row r="87" spans="1:19" ht="15" customHeight="1" x14ac:dyDescent="0.35">
      <c r="A87" s="135" t="s">
        <v>133</v>
      </c>
      <c r="B87" s="136" t="s">
        <v>130</v>
      </c>
      <c r="C87" s="64">
        <v>0</v>
      </c>
      <c r="D87" s="19">
        <f ca="1">((100/(H79))*C87)/100</f>
        <v>0</v>
      </c>
      <c r="E87" s="233"/>
      <c r="F87" s="247"/>
      <c r="G87" s="233"/>
      <c r="H87" s="234"/>
      <c r="I87" s="13" t="s">
        <v>141</v>
      </c>
      <c r="J87" s="30">
        <f>(IF(B79&gt;2,(H79/(B79+2)+J86),0))</f>
        <v>0</v>
      </c>
    </row>
    <row r="88" spans="1:19" ht="15.75" customHeight="1" x14ac:dyDescent="0.35">
      <c r="A88" s="135" t="s">
        <v>129</v>
      </c>
      <c r="B88" s="136" t="s">
        <v>129</v>
      </c>
      <c r="C88" s="43">
        <v>0</v>
      </c>
      <c r="D88" s="19">
        <f ca="1">((100/H79)*C88)/100</f>
        <v>0</v>
      </c>
      <c r="E88" s="233"/>
      <c r="F88" s="247"/>
      <c r="G88" s="233"/>
      <c r="H88" s="234"/>
      <c r="I88" s="13" t="s">
        <v>142</v>
      </c>
      <c r="J88" s="31">
        <f>(IF(B79&gt;3,(H79/(B79+2)+J87),0))</f>
        <v>0</v>
      </c>
    </row>
    <row r="89" spans="1:19" ht="15.75" customHeight="1" x14ac:dyDescent="0.35">
      <c r="A89" s="135" t="s">
        <v>136</v>
      </c>
      <c r="B89" s="136"/>
      <c r="C89" s="43">
        <v>0</v>
      </c>
      <c r="D89" s="19">
        <f ca="1">((100/H79)*C89)/100</f>
        <v>0</v>
      </c>
      <c r="E89" s="233"/>
      <c r="F89" s="247"/>
      <c r="G89" s="233"/>
      <c r="H89" s="234"/>
      <c r="I89" s="13" t="s">
        <v>143</v>
      </c>
      <c r="J89" s="30">
        <f>(IF(B79&gt;4,(H79/(B79+2)+J88),0))</f>
        <v>0</v>
      </c>
    </row>
    <row r="90" spans="1:19" ht="15.75" customHeight="1" x14ac:dyDescent="0.35">
      <c r="A90" s="135" t="s">
        <v>131</v>
      </c>
      <c r="B90" s="136" t="s">
        <v>131</v>
      </c>
      <c r="C90" s="43">
        <v>0</v>
      </c>
      <c r="D90" s="19">
        <f ca="1">((100/(H79))*C90)/100</f>
        <v>0</v>
      </c>
      <c r="E90" s="233"/>
      <c r="F90" s="247"/>
      <c r="G90" s="233"/>
      <c r="H90" s="234"/>
      <c r="I90" s="13" t="s">
        <v>147</v>
      </c>
      <c r="J90" s="30">
        <f ca="1">(IF(B79=1,(H79/(B79+3)+J85),IF(B79=0,(H79/4+J85),IF(B79&gt;1,0))))</f>
        <v>10.5</v>
      </c>
    </row>
    <row r="91" spans="1:19" ht="16" thickBot="1" x14ac:dyDescent="0.4">
      <c r="A91" s="167" t="s">
        <v>132</v>
      </c>
      <c r="B91" s="168"/>
      <c r="C91" s="44">
        <v>0</v>
      </c>
      <c r="D91" s="20">
        <f ca="1">((100/(H79))*C91)/100</f>
        <v>0</v>
      </c>
      <c r="E91" s="235"/>
      <c r="F91" s="248"/>
      <c r="G91" s="235"/>
      <c r="H91" s="236"/>
      <c r="I91" s="15" t="s">
        <v>101</v>
      </c>
      <c r="J91" s="32">
        <f ca="1">(IF(B79&gt;1.5,(H79/(B79+2)+J85+MAX(0,J86-J85)+MAX(0,J87-J86)+MAX(0,J88-J87)+MAX(0,J89-J88)+MAX(0,J90-J89)),IF(B79=1,(H79/(B79+3)+J90),IF(B79=0,H79/4+J90))))</f>
        <v>14</v>
      </c>
    </row>
    <row r="92" spans="1:19" ht="15.75" hidden="1" customHeight="1" x14ac:dyDescent="0.35">
      <c r="A92" s="147" t="s">
        <v>138</v>
      </c>
      <c r="B92" s="148"/>
      <c r="C92" s="149" t="str">
        <f>D69</f>
        <v>B Wing = 1B + G + 1st to 19th Floor</v>
      </c>
      <c r="D92" s="150"/>
      <c r="E92" s="150"/>
      <c r="F92" s="150"/>
      <c r="G92" s="150"/>
      <c r="H92" s="151"/>
      <c r="I92" s="48" t="str">
        <f ca="1">IF(D105=100%,"All work Completed. Possession granted to the Building.",IF(D104=100%,"All work Completed, Waiting for OC",I93&amp;""&amp;I94&amp;""&amp;J93&amp;""&amp;J92&amp;" "&amp;J94))</f>
        <v xml:space="preserve">Excavation, Plinth Completed </v>
      </c>
      <c r="J92" s="49"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c>
      <c r="S92"/>
    </row>
    <row r="93" spans="1:19" hidden="1" x14ac:dyDescent="0.35">
      <c r="A93" s="16" t="s">
        <v>140</v>
      </c>
      <c r="B93" s="52">
        <f>IF(AND(ISNUMBER(SEARCH("1B",C92))),1,IF(AND(ISNUMBER(SEARCH("2B",C92))),2,IF(AND(ISNUMBER(SEARCH("3B",C92))),3,IF(AND(ISNUMBER(SEARCH("4B",C92))),4,IF(ISNUMBER(SEARCH("5B",C92)),5,0)))))</f>
        <v>1</v>
      </c>
      <c r="C93" s="52" t="s">
        <v>68</v>
      </c>
      <c r="D93" s="52">
        <v>1</v>
      </c>
      <c r="E93" s="52" t="s">
        <v>67</v>
      </c>
      <c r="F93" s="14">
        <v>0</v>
      </c>
      <c r="G93" s="47" t="s">
        <v>76</v>
      </c>
      <c r="H93" s="17">
        <f ca="1">--TRIM(RIGHT(SUBSTITUTE(LEFT(C92,_xlfn.AGGREGATE(16,6,FIND({0,1,2,3,4,5,6,7,8,9},C92,ROW(INDIRECT("1:"&amp;LEN(C92)))),1))," ",REPT(" ",LEN(C92))),LEN(C92)))</f>
        <v>19</v>
      </c>
      <c r="I93" s="50" t="str">
        <f ca="1">IF(D96=100%,"Excavation","")&amp;IF(D97=100%,", Plinth","")&amp;IF(D98=100%,", RCC Slab","")&amp;IF(D99=100%,", Brickwork","")&amp;IF(D100=100%,", Internal Plaster","")&amp;IF(D101=100%,", External Plaster","")&amp;IF(D102=100%,", Flooring","")&amp;IF(D103=100%,", Painting","")&amp;IF(D104=100%,", Building common Amenities","")</f>
        <v>Excavation, Plinth</v>
      </c>
      <c r="J93" s="51" t="str">
        <f ca="1">(IF(C96=0,"Work not yet Started.",IF(D96=25%,"Piling work in process",IF(D96=50%,"Excavation work in process",IF(D96=100%,"","0")))))&amp;(IF(C97=0%,"",IF(C97=J98,", Footing work is process",IF(C97=J99,", Footing work Completed",IF(C97=J100,", 1st Basement Completed",IF(C97=J101,", 1st &amp; 2nd Basement Completed",IF(C97=J102,", 1st to 3rd Basement Completed",IF(C97=J103,", 1st to 4th Basement Completed",IF(C97=J104,", Plinth work is process",IF(C97=J105,"","0"))))))))))</f>
        <v/>
      </c>
      <c r="S93"/>
    </row>
    <row r="94" spans="1:19" ht="36.75" hidden="1" customHeight="1" x14ac:dyDescent="0.35">
      <c r="A94" s="145" t="s">
        <v>86</v>
      </c>
      <c r="B94" s="146"/>
      <c r="C94" s="153" t="str">
        <f ca="1">I92</f>
        <v xml:space="preserve">Excavation, Plinth Completed </v>
      </c>
      <c r="D94" s="153"/>
      <c r="E94" s="153"/>
      <c r="F94" s="153"/>
      <c r="G94" s="153"/>
      <c r="H94" s="154"/>
      <c r="I94" s="50" t="str">
        <f ca="1">IF(I93&lt;&gt;""," Completed","")</f>
        <v xml:space="preserve"> Completed</v>
      </c>
      <c r="J94" s="51" t="str">
        <f ca="1">IF(J92&lt;&gt;"","Completed","")</f>
        <v/>
      </c>
      <c r="S94"/>
    </row>
    <row r="95" spans="1:19" ht="15.75" hidden="1" customHeight="1" x14ac:dyDescent="0.35">
      <c r="A95" s="135" t="s">
        <v>46</v>
      </c>
      <c r="B95" s="136"/>
      <c r="C95" s="87" t="s">
        <v>137</v>
      </c>
      <c r="D95" s="87" t="s">
        <v>79</v>
      </c>
      <c r="E95" s="136" t="s">
        <v>81</v>
      </c>
      <c r="F95" s="136"/>
      <c r="G95" s="136" t="s">
        <v>80</v>
      </c>
      <c r="H95" s="166"/>
      <c r="I95" s="13" t="s">
        <v>139</v>
      </c>
      <c r="J95" s="28">
        <f ca="1">H93*25%</f>
        <v>4.75</v>
      </c>
      <c r="S95"/>
    </row>
    <row r="96" spans="1:19" hidden="1" x14ac:dyDescent="0.35">
      <c r="A96" s="135" t="s">
        <v>126</v>
      </c>
      <c r="B96" s="136"/>
      <c r="C96" s="65">
        <f ca="1">J97</f>
        <v>19</v>
      </c>
      <c r="D96" s="19">
        <f ca="1">((100/H93)*C96)/100</f>
        <v>1</v>
      </c>
      <c r="E96" s="231">
        <f ca="1">(((C97/H93*10)+(40/(D93+F93+H93)*C98)+(7.5/(H93)*C99)+(7.5/(H93)*C100)+(10/H93*C101)+(10/H93*C102)+(5/H93*C103)+(5/H93*C104)+(5/H93*C105))/100)</f>
        <v>0.1</v>
      </c>
      <c r="F96" s="246"/>
      <c r="G96" s="231">
        <f ca="1">((((C96/H93)*20)+((C97/H93)*25)+(30/(H93+F93+D93)*C98)+(5/H93*C99)+(5/H93*C100)+(5/H93*C101)+(5/H93*C102)+(0/H93*C103)+(0/H93*C104)+(5/H93*C105))/100)</f>
        <v>0.45</v>
      </c>
      <c r="H96" s="232"/>
      <c r="I96" s="13" t="s">
        <v>97</v>
      </c>
      <c r="J96" s="29">
        <f ca="1">H93*50%</f>
        <v>9.5</v>
      </c>
    </row>
    <row r="97" spans="1:19" hidden="1" x14ac:dyDescent="0.35">
      <c r="A97" s="135" t="s">
        <v>47</v>
      </c>
      <c r="B97" s="136"/>
      <c r="C97" s="87">
        <f ca="1">J105</f>
        <v>19</v>
      </c>
      <c r="D97" s="19">
        <f ca="1">((100/H93)*C97)/100</f>
        <v>1</v>
      </c>
      <c r="E97" s="233"/>
      <c r="F97" s="247"/>
      <c r="G97" s="233"/>
      <c r="H97" s="234"/>
      <c r="I97" s="13" t="s">
        <v>98</v>
      </c>
      <c r="J97" s="29">
        <f ca="1">H93</f>
        <v>19</v>
      </c>
      <c r="S97"/>
    </row>
    <row r="98" spans="1:19" ht="15.75" hidden="1" customHeight="1" x14ac:dyDescent="0.35">
      <c r="A98" s="135" t="s">
        <v>127</v>
      </c>
      <c r="B98" s="136"/>
      <c r="C98" s="87">
        <v>0</v>
      </c>
      <c r="D98" s="19">
        <f ca="1">((100/(D93+F93+H93))*C98)/100</f>
        <v>0</v>
      </c>
      <c r="E98" s="233"/>
      <c r="F98" s="247"/>
      <c r="G98" s="233"/>
      <c r="H98" s="234"/>
      <c r="I98" s="13" t="s">
        <v>99</v>
      </c>
      <c r="J98" s="30">
        <f ca="1">(IF(B93&gt;1,(H93/(B93+2)),H93/4))</f>
        <v>4.75</v>
      </c>
      <c r="S98"/>
    </row>
    <row r="99" spans="1:19" ht="15.75" hidden="1" customHeight="1" x14ac:dyDescent="0.35">
      <c r="A99" s="135" t="s">
        <v>134</v>
      </c>
      <c r="B99" s="136" t="s">
        <v>128</v>
      </c>
      <c r="C99" s="87">
        <v>0</v>
      </c>
      <c r="D99" s="19">
        <f ca="1">((100/H93)*C99)/100</f>
        <v>0</v>
      </c>
      <c r="E99" s="233"/>
      <c r="F99" s="247"/>
      <c r="G99" s="233"/>
      <c r="H99" s="234"/>
      <c r="I99" s="13" t="s">
        <v>100</v>
      </c>
      <c r="J99" s="30">
        <f ca="1">(IF(B93&gt;1,(H93/(B93+2)+J98),H93/4+J98))</f>
        <v>9.5</v>
      </c>
    </row>
    <row r="100" spans="1:19" ht="15.75" hidden="1" customHeight="1" x14ac:dyDescent="0.35">
      <c r="A100" s="135" t="s">
        <v>135</v>
      </c>
      <c r="B100" s="136" t="s">
        <v>128</v>
      </c>
      <c r="C100" s="87">
        <v>0</v>
      </c>
      <c r="D100" s="19">
        <f ca="1">((100/H93)*C100)/100</f>
        <v>0</v>
      </c>
      <c r="E100" s="233"/>
      <c r="F100" s="247"/>
      <c r="G100" s="233"/>
      <c r="H100" s="234"/>
      <c r="I100" s="13" t="s">
        <v>146</v>
      </c>
      <c r="J100" s="30">
        <f>(IF(B93&gt;1,(H93/(B93+2)+J99),0))</f>
        <v>0</v>
      </c>
    </row>
    <row r="101" spans="1:19" ht="15" hidden="1" customHeight="1" x14ac:dyDescent="0.35">
      <c r="A101" s="135" t="s">
        <v>133</v>
      </c>
      <c r="B101" s="136" t="s">
        <v>130</v>
      </c>
      <c r="C101" s="87">
        <v>0</v>
      </c>
      <c r="D101" s="19">
        <f ca="1">((100/(H93))*C101)/100</f>
        <v>0</v>
      </c>
      <c r="E101" s="233"/>
      <c r="F101" s="247"/>
      <c r="G101" s="233"/>
      <c r="H101" s="234"/>
      <c r="I101" s="13" t="s">
        <v>141</v>
      </c>
      <c r="J101" s="30">
        <f>(IF(B93&gt;2,(H93/(B93+2)+J100),0))</f>
        <v>0</v>
      </c>
    </row>
    <row r="102" spans="1:19" ht="15.75" hidden="1" customHeight="1" x14ac:dyDescent="0.35">
      <c r="A102" s="135" t="s">
        <v>129</v>
      </c>
      <c r="B102" s="136" t="s">
        <v>129</v>
      </c>
      <c r="C102" s="87">
        <v>0</v>
      </c>
      <c r="D102" s="19">
        <f ca="1">((100/H93)*C102)/100</f>
        <v>0</v>
      </c>
      <c r="E102" s="233"/>
      <c r="F102" s="247"/>
      <c r="G102" s="233"/>
      <c r="H102" s="234"/>
      <c r="I102" s="13" t="s">
        <v>142</v>
      </c>
      <c r="J102" s="31">
        <f>(IF(B93&gt;3,(H93/(B93+2)+J101),0))</f>
        <v>0</v>
      </c>
    </row>
    <row r="103" spans="1:19" ht="15.75" hidden="1" customHeight="1" x14ac:dyDescent="0.35">
      <c r="A103" s="135" t="s">
        <v>136</v>
      </c>
      <c r="B103" s="136"/>
      <c r="C103" s="87">
        <v>0</v>
      </c>
      <c r="D103" s="19">
        <f ca="1">((100/H93)*C103)/100</f>
        <v>0</v>
      </c>
      <c r="E103" s="233"/>
      <c r="F103" s="247"/>
      <c r="G103" s="233"/>
      <c r="H103" s="234"/>
      <c r="I103" s="13" t="s">
        <v>143</v>
      </c>
      <c r="J103" s="30">
        <f>(IF(B93&gt;4,(H93/(B93+2)+J102),0))</f>
        <v>0</v>
      </c>
    </row>
    <row r="104" spans="1:19" ht="15.75" hidden="1" customHeight="1" x14ac:dyDescent="0.35">
      <c r="A104" s="135" t="s">
        <v>131</v>
      </c>
      <c r="B104" s="136" t="s">
        <v>131</v>
      </c>
      <c r="C104" s="87">
        <v>0</v>
      </c>
      <c r="D104" s="19">
        <f ca="1">((100/(H93))*C104)/100</f>
        <v>0</v>
      </c>
      <c r="E104" s="233"/>
      <c r="F104" s="247"/>
      <c r="G104" s="233"/>
      <c r="H104" s="234"/>
      <c r="I104" s="13" t="s">
        <v>147</v>
      </c>
      <c r="J104" s="30">
        <f ca="1">(IF(B93=1,(H93/(B93+3)+J99),IF(B93=0,(H93/4+J99),IF(B93&gt;1,0))))</f>
        <v>14.25</v>
      </c>
    </row>
    <row r="105" spans="1:19" ht="16" hidden="1" thickBot="1" x14ac:dyDescent="0.4">
      <c r="A105" s="167" t="s">
        <v>132</v>
      </c>
      <c r="B105" s="168"/>
      <c r="C105" s="86">
        <v>0</v>
      </c>
      <c r="D105" s="20">
        <f ca="1">((100/(H93))*C105)/100</f>
        <v>0</v>
      </c>
      <c r="E105" s="235"/>
      <c r="F105" s="248"/>
      <c r="G105" s="235"/>
      <c r="H105" s="236"/>
      <c r="I105" s="15" t="s">
        <v>101</v>
      </c>
      <c r="J105" s="32">
        <f ca="1">(IF(B93&gt;1.5,(H93/(B93+2)+J99+MAX(0,J100-J99)+MAX(0,J101-J100)+MAX(0,J102-J101)+MAX(0,J103-J102)+MAX(0,J104-J103)),IF(B93=1,(H93/(B93+3)+J104),IF(B93=0,H93/4+J104))))</f>
        <v>19</v>
      </c>
    </row>
    <row r="106" spans="1:19" ht="15.75" hidden="1" customHeight="1" x14ac:dyDescent="0.35">
      <c r="A106" s="147" t="s">
        <v>138</v>
      </c>
      <c r="B106" s="148"/>
      <c r="C106" s="149" t="str">
        <f>D70</f>
        <v>C Wing = 1B + G + 1st to 20th Floor</v>
      </c>
      <c r="D106" s="150"/>
      <c r="E106" s="150"/>
      <c r="F106" s="150"/>
      <c r="G106" s="150"/>
      <c r="H106" s="151"/>
      <c r="I106" s="48" t="str">
        <f ca="1">IF(D119=100%,"All work Completed. Possession granted to the Building.",IF(D118=100%,"All work Completed, Waiting for OC",I107&amp;""&amp;I108&amp;""&amp;J107&amp;""&amp;J106&amp;" "&amp;J108))</f>
        <v xml:space="preserve">Excavation, Plinth Completed </v>
      </c>
      <c r="J106" s="49" t="str">
        <f ca="1">(IF(C112=(D107+F107+H107),"",IF(C112&gt;0,", RCC upto "&amp;C112&amp;" Slab","")))&amp;(IF(C113=H107,"",IF(C113&gt;0,", Brickwork upto "&amp;C113&amp;" Floor","")))&amp;(IF(C114=H107,"",IF(C114&gt;0,", Internal Plaster upto "&amp;C114&amp;" Floor","")))&amp;(IF(C115=H107,"",IF(C115&gt;0,", External Plaster upto "&amp;C115&amp;" Floor","")))&amp;(IF(C116=H107,"",IF(C116&gt;0,", Flooring upto "&amp;C116&amp;" Floor","")))&amp;(IF(C117=H107,"",IF(C117&gt;0,", Painting upto "&amp;C117&amp;" Floor","")))&amp;(IF(C118=H107,"",IF(C118&gt;0,", Finishing upto "&amp;C118&amp;" Floor","")))&amp;(IF(C119=H107,"",IF(C119&gt;0,", Possession upto "&amp;C119&amp;" Floor","")))</f>
        <v/>
      </c>
      <c r="S106"/>
    </row>
    <row r="107" spans="1:19" hidden="1" x14ac:dyDescent="0.35">
      <c r="A107" s="16" t="s">
        <v>140</v>
      </c>
      <c r="B107" s="52">
        <f>IF(AND(ISNUMBER(SEARCH("1B",C106))),1,IF(AND(ISNUMBER(SEARCH("2B",C106))),2,IF(AND(ISNUMBER(SEARCH("3B",C106))),3,IF(AND(ISNUMBER(SEARCH("4B",C106))),4,IF(ISNUMBER(SEARCH("5B",C106)),5,0)))))</f>
        <v>1</v>
      </c>
      <c r="C107" s="52" t="s">
        <v>68</v>
      </c>
      <c r="D107" s="52">
        <v>1</v>
      </c>
      <c r="E107" s="52" t="s">
        <v>67</v>
      </c>
      <c r="F107" s="14">
        <v>0</v>
      </c>
      <c r="G107" s="47" t="s">
        <v>76</v>
      </c>
      <c r="H107" s="17">
        <f ca="1">--TRIM(RIGHT(SUBSTITUTE(LEFT(C106,_xlfn.AGGREGATE(16,6,FIND({0,1,2,3,4,5,6,7,8,9},C106,ROW(INDIRECT("1:"&amp;LEN(C106)))),1))," ",REPT(" ",LEN(C106))),LEN(C106)))</f>
        <v>20</v>
      </c>
      <c r="I107" s="50" t="str">
        <f ca="1">IF(D110=100%,"Excavation","")&amp;IF(D111=100%,", Plinth","")&amp;IF(D112=100%,", RCC Slab","")&amp;IF(D113=100%,", Brickwork","")&amp;IF(D114=100%,", Internal Plaster","")&amp;IF(D115=100%,", External Plaster","")&amp;IF(D116=100%,", Flooring","")&amp;IF(D117=100%,", Painting","")&amp;IF(D118=100%,", Building common Amenities","")</f>
        <v>Excavation, Plinth</v>
      </c>
      <c r="J107" s="51" t="str">
        <f ca="1">(IF(C110=0,"Work not yet Started.",IF(D110=25%,"Piling work in process",IF(D110=50%,"Excavation work in process",IF(D110=100%,"","0")))))&amp;(IF(C111=0%,"",IF(C111=J112,", Footing work is process",IF(C111=J113,", Footing work Completed",IF(C111=J114,", 1st Basement Completed",IF(C111=J115,", 1st &amp; 2nd Basement Completed",IF(C111=J116,", 1st to 3rd Basement Completed",IF(C111=J117,", 1st to 4th Basement Completed",IF(C111=J118,", Plinth work is process",IF(C111=J119,"","0"))))))))))</f>
        <v/>
      </c>
      <c r="S107"/>
    </row>
    <row r="108" spans="1:19" hidden="1" x14ac:dyDescent="0.35">
      <c r="A108" s="145" t="s">
        <v>86</v>
      </c>
      <c r="B108" s="146"/>
      <c r="C108" s="153" t="str">
        <f ca="1">I106</f>
        <v xml:space="preserve">Excavation, Plinth Completed </v>
      </c>
      <c r="D108" s="153"/>
      <c r="E108" s="153"/>
      <c r="F108" s="153"/>
      <c r="G108" s="153"/>
      <c r="H108" s="154"/>
      <c r="I108" s="50" t="str">
        <f ca="1">IF(I107&lt;&gt;""," Completed","")</f>
        <v xml:space="preserve"> Completed</v>
      </c>
      <c r="J108" s="51" t="str">
        <f ca="1">IF(J106&lt;&gt;"","Completed","")</f>
        <v/>
      </c>
      <c r="S108"/>
    </row>
    <row r="109" spans="1:19" ht="15.75" hidden="1" customHeight="1" x14ac:dyDescent="0.35">
      <c r="A109" s="135" t="s">
        <v>46</v>
      </c>
      <c r="B109" s="136"/>
      <c r="C109" s="87" t="s">
        <v>137</v>
      </c>
      <c r="D109" s="87" t="s">
        <v>79</v>
      </c>
      <c r="E109" s="136" t="s">
        <v>81</v>
      </c>
      <c r="F109" s="136"/>
      <c r="G109" s="136" t="s">
        <v>80</v>
      </c>
      <c r="H109" s="166"/>
      <c r="I109" s="13" t="s">
        <v>139</v>
      </c>
      <c r="J109" s="28">
        <f ca="1">H107*25%</f>
        <v>5</v>
      </c>
      <c r="S109"/>
    </row>
    <row r="110" spans="1:19" hidden="1" x14ac:dyDescent="0.35">
      <c r="A110" s="135" t="s">
        <v>126</v>
      </c>
      <c r="B110" s="136"/>
      <c r="C110" s="65">
        <f ca="1">J111</f>
        <v>20</v>
      </c>
      <c r="D110" s="19">
        <f ca="1">((100/H107)*C110)/100</f>
        <v>1</v>
      </c>
      <c r="E110" s="231">
        <f ca="1">(((C111/H107*10)+(40/(D107+F107+H107)*C112)+(7.5/(H107)*C113)+(7.5/(H107)*C114)+(10/H107*C115)+(10/H107*C116)+(5/H107*C117)+(5/H107*C118)+(5/H107*C119))/100)</f>
        <v>0.1</v>
      </c>
      <c r="F110" s="246"/>
      <c r="G110" s="231">
        <f ca="1">((((C110/H107)*20)+((C111/H107)*25)+(30/(H107+F107+D107)*C112)+(5/H107*C113)+(5/H107*C114)+(5/H107*C115)+(5/H107*C116)+(0/H107*C117)+(0/H107*C118)+(5/H107*C119))/100)</f>
        <v>0.45</v>
      </c>
      <c r="H110" s="232"/>
      <c r="I110" s="13" t="s">
        <v>97</v>
      </c>
      <c r="J110" s="29">
        <f ca="1">H107*50%</f>
        <v>10</v>
      </c>
    </row>
    <row r="111" spans="1:19" hidden="1" x14ac:dyDescent="0.35">
      <c r="A111" s="135" t="s">
        <v>47</v>
      </c>
      <c r="B111" s="136"/>
      <c r="C111" s="87">
        <f ca="1">J119</f>
        <v>20</v>
      </c>
      <c r="D111" s="19">
        <f ca="1">((100/H107)*C111)/100</f>
        <v>1</v>
      </c>
      <c r="E111" s="233"/>
      <c r="F111" s="247"/>
      <c r="G111" s="233"/>
      <c r="H111" s="234"/>
      <c r="I111" s="13" t="s">
        <v>98</v>
      </c>
      <c r="J111" s="29">
        <f ca="1">H107</f>
        <v>20</v>
      </c>
      <c r="S111"/>
    </row>
    <row r="112" spans="1:19" ht="15.75" hidden="1" customHeight="1" x14ac:dyDescent="0.35">
      <c r="A112" s="135" t="s">
        <v>127</v>
      </c>
      <c r="B112" s="136"/>
      <c r="C112" s="87">
        <v>0</v>
      </c>
      <c r="D112" s="19">
        <f ca="1">((100/(D107+F107+H107))*C112)/100</f>
        <v>0</v>
      </c>
      <c r="E112" s="233"/>
      <c r="F112" s="247"/>
      <c r="G112" s="233"/>
      <c r="H112" s="234"/>
      <c r="I112" s="13" t="s">
        <v>99</v>
      </c>
      <c r="J112" s="30">
        <f ca="1">(IF(B107&gt;1,(H107/(B107+2)),H107/4))</f>
        <v>5</v>
      </c>
      <c r="S112"/>
    </row>
    <row r="113" spans="1:22" ht="15.75" hidden="1" customHeight="1" x14ac:dyDescent="0.35">
      <c r="A113" s="135" t="s">
        <v>134</v>
      </c>
      <c r="B113" s="136" t="s">
        <v>128</v>
      </c>
      <c r="C113" s="87">
        <v>0</v>
      </c>
      <c r="D113" s="19">
        <f ca="1">((100/H107)*C113)/100</f>
        <v>0</v>
      </c>
      <c r="E113" s="233"/>
      <c r="F113" s="247"/>
      <c r="G113" s="233"/>
      <c r="H113" s="234"/>
      <c r="I113" s="13" t="s">
        <v>100</v>
      </c>
      <c r="J113" s="30">
        <f ca="1">(IF(B107&gt;1,(H107/(B107+2)+J112),H107/4+J112))</f>
        <v>10</v>
      </c>
    </row>
    <row r="114" spans="1:22" ht="15.75" hidden="1" customHeight="1" x14ac:dyDescent="0.35">
      <c r="A114" s="135" t="s">
        <v>135</v>
      </c>
      <c r="B114" s="136" t="s">
        <v>128</v>
      </c>
      <c r="C114" s="87">
        <v>0</v>
      </c>
      <c r="D114" s="19">
        <f ca="1">((100/H107)*C114)/100</f>
        <v>0</v>
      </c>
      <c r="E114" s="233"/>
      <c r="F114" s="247"/>
      <c r="G114" s="233"/>
      <c r="H114" s="234"/>
      <c r="I114" s="13" t="s">
        <v>146</v>
      </c>
      <c r="J114" s="30">
        <f>(IF(B107&gt;1,(H107/(B107+2)+J113),0))</f>
        <v>0</v>
      </c>
    </row>
    <row r="115" spans="1:22" ht="15" hidden="1" customHeight="1" x14ac:dyDescent="0.35">
      <c r="A115" s="135" t="s">
        <v>133</v>
      </c>
      <c r="B115" s="136" t="s">
        <v>130</v>
      </c>
      <c r="C115" s="87">
        <v>0</v>
      </c>
      <c r="D115" s="19">
        <f ca="1">((100/(H107))*C115)/100</f>
        <v>0</v>
      </c>
      <c r="E115" s="233"/>
      <c r="F115" s="247"/>
      <c r="G115" s="233"/>
      <c r="H115" s="234"/>
      <c r="I115" s="13" t="s">
        <v>141</v>
      </c>
      <c r="J115" s="30">
        <f>(IF(B107&gt;2,(H107/(B107+2)+J114),0))</f>
        <v>0</v>
      </c>
    </row>
    <row r="116" spans="1:22" ht="15.75" hidden="1" customHeight="1" x14ac:dyDescent="0.35">
      <c r="A116" s="135" t="s">
        <v>129</v>
      </c>
      <c r="B116" s="136" t="s">
        <v>129</v>
      </c>
      <c r="C116" s="87">
        <v>0</v>
      </c>
      <c r="D116" s="19">
        <f ca="1">((100/H107)*C116)/100</f>
        <v>0</v>
      </c>
      <c r="E116" s="233"/>
      <c r="F116" s="247"/>
      <c r="G116" s="233"/>
      <c r="H116" s="234"/>
      <c r="I116" s="13" t="s">
        <v>142</v>
      </c>
      <c r="J116" s="31">
        <f>(IF(B107&gt;3,(H107/(B107+2)+J115),0))</f>
        <v>0</v>
      </c>
    </row>
    <row r="117" spans="1:22" ht="15.75" hidden="1" customHeight="1" x14ac:dyDescent="0.35">
      <c r="A117" s="135" t="s">
        <v>136</v>
      </c>
      <c r="B117" s="136"/>
      <c r="C117" s="87">
        <v>0</v>
      </c>
      <c r="D117" s="19">
        <f ca="1">((100/H107)*C117)/100</f>
        <v>0</v>
      </c>
      <c r="E117" s="233"/>
      <c r="F117" s="247"/>
      <c r="G117" s="233"/>
      <c r="H117" s="234"/>
      <c r="I117" s="13" t="s">
        <v>143</v>
      </c>
      <c r="J117" s="30">
        <f>(IF(B107&gt;4,(H107/(B107+2)+J116),0))</f>
        <v>0</v>
      </c>
    </row>
    <row r="118" spans="1:22" ht="15.75" hidden="1" customHeight="1" x14ac:dyDescent="0.35">
      <c r="A118" s="135" t="s">
        <v>131</v>
      </c>
      <c r="B118" s="136" t="s">
        <v>131</v>
      </c>
      <c r="C118" s="87">
        <v>0</v>
      </c>
      <c r="D118" s="19">
        <f ca="1">((100/(H107))*C118)/100</f>
        <v>0</v>
      </c>
      <c r="E118" s="233"/>
      <c r="F118" s="247"/>
      <c r="G118" s="233"/>
      <c r="H118" s="234"/>
      <c r="I118" s="13" t="s">
        <v>147</v>
      </c>
      <c r="J118" s="30">
        <f ca="1">(IF(B107=1,(H107/(B107+3)+J113),IF(B107=0,(H107/4+J113),IF(B107&gt;1,0))))</f>
        <v>15</v>
      </c>
    </row>
    <row r="119" spans="1:22" ht="16" hidden="1" thickBot="1" x14ac:dyDescent="0.4">
      <c r="A119" s="167" t="s">
        <v>132</v>
      </c>
      <c r="B119" s="168"/>
      <c r="C119" s="86">
        <v>0</v>
      </c>
      <c r="D119" s="20">
        <f ca="1">((100/(H107))*C119)/100</f>
        <v>0</v>
      </c>
      <c r="E119" s="235"/>
      <c r="F119" s="248"/>
      <c r="G119" s="235"/>
      <c r="H119" s="236"/>
      <c r="I119" s="15" t="s">
        <v>101</v>
      </c>
      <c r="J119" s="32">
        <f ca="1">(IF(B107&gt;1.5,(H107/(B107+2)+J113+MAX(0,J114-J113)+MAX(0,J115-J114)+MAX(0,J116-J115)+MAX(0,J117-J116)+MAX(0,J118-J117)),IF(B107=1,(H107/(B107+3)+J118),IF(B107=0,H107/4+J118))))</f>
        <v>20</v>
      </c>
    </row>
    <row r="120" spans="1:22" x14ac:dyDescent="0.35">
      <c r="A120" s="195" t="s">
        <v>158</v>
      </c>
      <c r="B120" s="195"/>
      <c r="C120" s="195"/>
      <c r="D120" s="195"/>
      <c r="E120" s="195"/>
      <c r="F120" s="201" t="s">
        <v>162</v>
      </c>
      <c r="G120" s="201"/>
      <c r="H120" s="201"/>
      <c r="R120" t="s">
        <v>258</v>
      </c>
      <c r="S120" t="s">
        <v>175</v>
      </c>
      <c r="T120" t="s">
        <v>184</v>
      </c>
      <c r="U120" t="s">
        <v>198</v>
      </c>
      <c r="V120" t="s">
        <v>193</v>
      </c>
    </row>
    <row r="121" spans="1:22" x14ac:dyDescent="0.35">
      <c r="A121" s="138" t="s">
        <v>160</v>
      </c>
      <c r="B121" s="138"/>
      <c r="C121" s="138"/>
      <c r="D121" s="138"/>
      <c r="E121" s="138"/>
      <c r="F121" s="137">
        <v>100000</v>
      </c>
      <c r="G121" s="137"/>
      <c r="H121" s="137"/>
      <c r="I121" s="110" t="s">
        <v>443</v>
      </c>
      <c r="R121"/>
      <c r="S121">
        <v>800000</v>
      </c>
      <c r="T121">
        <v>150000</v>
      </c>
      <c r="U121">
        <v>100000</v>
      </c>
      <c r="V121">
        <v>100000</v>
      </c>
    </row>
    <row r="122" spans="1:22" hidden="1" x14ac:dyDescent="0.35">
      <c r="A122" s="138" t="s">
        <v>159</v>
      </c>
      <c r="B122" s="138"/>
      <c r="C122" s="138"/>
      <c r="D122" s="138"/>
      <c r="E122" s="138"/>
      <c r="F122" s="137"/>
      <c r="G122" s="137"/>
      <c r="H122" s="137"/>
      <c r="R122"/>
      <c r="S122">
        <v>900000</v>
      </c>
      <c r="T122">
        <v>200000</v>
      </c>
      <c r="U122">
        <v>150000</v>
      </c>
      <c r="V122">
        <v>150000</v>
      </c>
    </row>
    <row r="123" spans="1:22" hidden="1" x14ac:dyDescent="0.35">
      <c r="A123" s="138" t="s">
        <v>161</v>
      </c>
      <c r="B123" s="138"/>
      <c r="C123" s="138"/>
      <c r="D123" s="138"/>
      <c r="E123" s="138"/>
      <c r="F123" s="137"/>
      <c r="G123" s="137"/>
      <c r="H123" s="137"/>
      <c r="R123"/>
      <c r="S123">
        <v>1000000</v>
      </c>
      <c r="T123">
        <v>250000</v>
      </c>
      <c r="U123">
        <v>200000</v>
      </c>
      <c r="V123">
        <v>200000</v>
      </c>
    </row>
    <row r="124" spans="1:22" s="33" customFormat="1" hidden="1" x14ac:dyDescent="0.35">
      <c r="A124" s="138" t="s">
        <v>178</v>
      </c>
      <c r="B124" s="138"/>
      <c r="C124" s="138"/>
      <c r="D124" s="138"/>
      <c r="E124" s="138"/>
      <c r="F124" s="137"/>
      <c r="G124" s="137"/>
      <c r="H124" s="137"/>
      <c r="R124"/>
      <c r="S124">
        <v>1100000</v>
      </c>
      <c r="T124">
        <v>300000</v>
      </c>
      <c r="U124">
        <v>250000</v>
      </c>
      <c r="V124" s="23">
        <v>250000</v>
      </c>
    </row>
    <row r="125" spans="1:22" s="33" customFormat="1" hidden="1" x14ac:dyDescent="0.35">
      <c r="A125" s="138" t="s">
        <v>91</v>
      </c>
      <c r="B125" s="138"/>
      <c r="C125" s="138"/>
      <c r="D125" s="138"/>
      <c r="E125" s="138"/>
      <c r="F125" s="137"/>
      <c r="G125" s="137"/>
      <c r="H125" s="137"/>
      <c r="R125"/>
      <c r="S125">
        <v>1200000</v>
      </c>
      <c r="T125">
        <v>350000</v>
      </c>
      <c r="U125">
        <v>300000</v>
      </c>
      <c r="V125">
        <v>300000</v>
      </c>
    </row>
    <row r="126" spans="1:22" s="33" customFormat="1" hidden="1" x14ac:dyDescent="0.35">
      <c r="A126" s="138" t="s">
        <v>92</v>
      </c>
      <c r="B126" s="138"/>
      <c r="C126" s="138"/>
      <c r="D126" s="138"/>
      <c r="E126" s="138"/>
      <c r="F126" s="137"/>
      <c r="G126" s="137"/>
      <c r="H126" s="137"/>
      <c r="R126"/>
      <c r="S126">
        <v>1300000</v>
      </c>
      <c r="T126">
        <v>400000</v>
      </c>
      <c r="U126">
        <v>350000</v>
      </c>
      <c r="V126" s="23">
        <v>400000</v>
      </c>
    </row>
    <row r="127" spans="1:22" s="33" customFormat="1" hidden="1" x14ac:dyDescent="0.35">
      <c r="A127" s="138" t="s">
        <v>93</v>
      </c>
      <c r="B127" s="138"/>
      <c r="C127" s="138"/>
      <c r="D127" s="138"/>
      <c r="E127" s="138"/>
      <c r="F127" s="137"/>
      <c r="G127" s="137"/>
      <c r="H127" s="137"/>
      <c r="R127"/>
      <c r="S127">
        <v>1400000</v>
      </c>
      <c r="T127">
        <v>500000</v>
      </c>
      <c r="U127">
        <v>400000</v>
      </c>
      <c r="V127"/>
    </row>
    <row r="128" spans="1:22" s="33" customFormat="1" hidden="1" x14ac:dyDescent="0.35">
      <c r="A128" s="138" t="s">
        <v>94</v>
      </c>
      <c r="B128" s="138"/>
      <c r="C128" s="138"/>
      <c r="D128" s="138"/>
      <c r="E128" s="138"/>
      <c r="F128" s="137"/>
      <c r="G128" s="137"/>
      <c r="H128" s="137"/>
      <c r="R128"/>
      <c r="S128">
        <v>1500000</v>
      </c>
      <c r="T128">
        <v>600000</v>
      </c>
      <c r="U128">
        <v>500000</v>
      </c>
      <c r="V128" s="23"/>
    </row>
    <row r="129" spans="1:22" s="33" customFormat="1" hidden="1" x14ac:dyDescent="0.35">
      <c r="A129" s="138" t="s">
        <v>95</v>
      </c>
      <c r="B129" s="138"/>
      <c r="C129" s="138"/>
      <c r="D129" s="138"/>
      <c r="E129" s="138"/>
      <c r="F129" s="137"/>
      <c r="G129" s="137"/>
      <c r="H129" s="137"/>
      <c r="R129"/>
      <c r="S129">
        <v>1600000</v>
      </c>
      <c r="T129">
        <v>700000</v>
      </c>
      <c r="U129">
        <v>600000</v>
      </c>
      <c r="V129"/>
    </row>
    <row r="130" spans="1:22" s="33" customFormat="1" hidden="1" x14ac:dyDescent="0.35">
      <c r="A130" s="138" t="s">
        <v>96</v>
      </c>
      <c r="B130" s="138"/>
      <c r="C130" s="138"/>
      <c r="D130" s="138"/>
      <c r="E130" s="138"/>
      <c r="F130" s="137"/>
      <c r="G130" s="137"/>
      <c r="H130" s="137"/>
      <c r="R130"/>
      <c r="S130">
        <v>1700000</v>
      </c>
      <c r="T130">
        <v>800000</v>
      </c>
      <c r="U130"/>
      <c r="V130" s="23"/>
    </row>
    <row r="131" spans="1:22" x14ac:dyDescent="0.35">
      <c r="A131" s="138" t="s">
        <v>48</v>
      </c>
      <c r="B131" s="138"/>
      <c r="C131" s="138"/>
      <c r="D131" s="138"/>
      <c r="E131" s="138"/>
      <c r="F131" s="137">
        <v>1500000</v>
      </c>
      <c r="G131" s="137"/>
      <c r="H131" s="137"/>
      <c r="I131" s="21" t="s">
        <v>444</v>
      </c>
      <c r="R131"/>
      <c r="S131">
        <v>1800000</v>
      </c>
      <c r="T131">
        <v>900000</v>
      </c>
      <c r="U131"/>
    </row>
    <row r="132" spans="1:22" s="34" customFormat="1" x14ac:dyDescent="0.35">
      <c r="A132" s="206" t="s">
        <v>49</v>
      </c>
      <c r="B132" s="206"/>
      <c r="C132" s="206"/>
      <c r="D132" s="206"/>
      <c r="E132" s="206"/>
      <c r="F132" s="137">
        <f>F121*0.8</f>
        <v>80000</v>
      </c>
      <c r="G132" s="137"/>
      <c r="H132" s="137"/>
      <c r="R132" s="21"/>
      <c r="S132" s="21"/>
      <c r="T132">
        <v>1000000</v>
      </c>
      <c r="U132"/>
      <c r="V132" s="21"/>
    </row>
    <row r="133" spans="1:22" s="35" customFormat="1" ht="15.75" hidden="1" customHeight="1" x14ac:dyDescent="0.35">
      <c r="A133" s="205" t="s">
        <v>71</v>
      </c>
      <c r="B133" s="205"/>
      <c r="C133" s="205"/>
      <c r="D133" s="205"/>
      <c r="E133" s="205"/>
      <c r="F133" s="205"/>
      <c r="G133" s="205"/>
      <c r="H133" s="205"/>
      <c r="R133"/>
      <c r="S133" s="21"/>
      <c r="T133"/>
      <c r="U133"/>
      <c r="V133" s="21"/>
    </row>
    <row r="134" spans="1:22" s="35" customFormat="1" ht="15.75" hidden="1" customHeight="1" x14ac:dyDescent="0.35">
      <c r="A134" s="172" t="s">
        <v>50</v>
      </c>
      <c r="B134" s="172"/>
      <c r="C134" s="176" t="s">
        <v>74</v>
      </c>
      <c r="D134" s="176"/>
      <c r="E134" s="139" t="s">
        <v>51</v>
      </c>
      <c r="F134" s="139"/>
      <c r="G134" s="172" t="s">
        <v>52</v>
      </c>
      <c r="H134" s="172"/>
      <c r="R134"/>
      <c r="S134" s="21"/>
      <c r="T134"/>
      <c r="U134" s="21"/>
      <c r="V134" s="21"/>
    </row>
    <row r="135" spans="1:22" s="35" customFormat="1" hidden="1" x14ac:dyDescent="0.35">
      <c r="A135" s="128"/>
      <c r="B135" s="128"/>
      <c r="C135" s="130"/>
      <c r="D135" s="130"/>
      <c r="E135" s="240"/>
      <c r="F135" s="240"/>
      <c r="G135" s="187"/>
      <c r="H135" s="187"/>
      <c r="R135"/>
      <c r="S135" s="21"/>
      <c r="T135"/>
      <c r="U135" s="21"/>
      <c r="V135" s="21"/>
    </row>
    <row r="136" spans="1:22" s="35" customFormat="1" hidden="1" x14ac:dyDescent="0.35">
      <c r="A136" s="128"/>
      <c r="B136" s="128"/>
      <c r="C136" s="130"/>
      <c r="D136" s="130"/>
      <c r="E136" s="240"/>
      <c r="F136" s="240"/>
      <c r="G136" s="187"/>
      <c r="H136" s="187"/>
      <c r="R136"/>
      <c r="S136" s="21"/>
      <c r="T136"/>
      <c r="U136" s="21"/>
      <c r="V136" s="21"/>
    </row>
    <row r="137" spans="1:22" s="35" customFormat="1" hidden="1" x14ac:dyDescent="0.35">
      <c r="A137" s="205" t="s">
        <v>151</v>
      </c>
      <c r="B137" s="205"/>
      <c r="C137" s="176"/>
      <c r="D137" s="176"/>
      <c r="E137" s="139"/>
      <c r="F137" s="139"/>
      <c r="G137" s="172"/>
      <c r="H137" s="172"/>
      <c r="R137"/>
      <c r="S137" s="21"/>
      <c r="T137"/>
      <c r="U137" s="21"/>
      <c r="V137" s="21"/>
    </row>
    <row r="138" spans="1:22" s="35" customFormat="1" x14ac:dyDescent="0.35">
      <c r="A138" s="205" t="s">
        <v>66</v>
      </c>
      <c r="B138" s="205"/>
      <c r="C138" s="205"/>
      <c r="D138" s="205"/>
      <c r="E138" s="205"/>
      <c r="F138" s="205"/>
      <c r="G138" s="205"/>
      <c r="H138" s="205"/>
      <c r="T138"/>
    </row>
    <row r="139" spans="1:22" s="35" customFormat="1" ht="15.75" customHeight="1" x14ac:dyDescent="0.35">
      <c r="A139" s="172" t="s">
        <v>50</v>
      </c>
      <c r="B139" s="172"/>
      <c r="C139" s="176" t="s">
        <v>74</v>
      </c>
      <c r="D139" s="176"/>
      <c r="E139" s="139" t="s">
        <v>51</v>
      </c>
      <c r="F139" s="139"/>
      <c r="G139" s="172" t="s">
        <v>52</v>
      </c>
      <c r="H139" s="172"/>
      <c r="T139"/>
    </row>
    <row r="140" spans="1:22" s="35" customFormat="1" x14ac:dyDescent="0.35">
      <c r="A140" s="128" t="s">
        <v>389</v>
      </c>
      <c r="B140" s="128"/>
      <c r="C140" s="129">
        <f>COUNT(D164)+COUNT(D166)+COUNT(D168)+COUNT(D170)+COUNT(D172)*2+COUNT(D174)+COUNT(D176)+COUNT(D178)+COUNT(D180)+COUNT(D182)+COUNT(D184)</f>
        <v>12</v>
      </c>
      <c r="D140" s="129"/>
      <c r="E140" s="129">
        <f>SUM(F164)+SUM(F166)+SUM(F168)+SUM(F170)+SUM(F172)*2+SUM(F174)+SUM(F176)+SUM(F178)+SUM(F180)+SUM(F182)+SUM(F184)</f>
        <v>106235.40564000001</v>
      </c>
      <c r="F140" s="129"/>
      <c r="G140" s="129">
        <f t="shared" ref="G140" si="0">SUM(H164)+SUM(H166)+SUM(H168)+SUM(H170)+SUM(H172)*2+SUM(H174)+SUM(H176)+SUM(H178)+SUM(H180)+SUM(H182)+SUM(H184)</f>
        <v>159353.10846000002</v>
      </c>
      <c r="H140" s="129"/>
      <c r="T140"/>
    </row>
    <row r="141" spans="1:22" s="35" customFormat="1" hidden="1" x14ac:dyDescent="0.35">
      <c r="A141" s="128" t="s">
        <v>402</v>
      </c>
      <c r="B141" s="128"/>
      <c r="C141" s="129">
        <f>COUNT(D192)+COUNT(D194)+COUNT(D196)+COUNT(D198)+COUNT(D200)*2+COUNT(D202)+COUNT(D204)+COUNT(D206)+COUNT(D208)+COUNT(D210)+COUNT(D212)</f>
        <v>12</v>
      </c>
      <c r="D141" s="129"/>
      <c r="E141" s="129">
        <f t="shared" ref="E141" si="1">SUM(F192)+SUM(F194)+SUM(F196)+SUM(F198)+SUM(F200)*2+SUM(F202)+SUM(F204)+SUM(F206)+SUM(F208)+SUM(F210)+SUM(F212)</f>
        <v>158719.91615999999</v>
      </c>
      <c r="F141" s="129"/>
      <c r="G141" s="129">
        <f t="shared" ref="G141" si="2">SUM(H192)+SUM(H194)+SUM(H196)+SUM(H198)+SUM(H200)*2+SUM(H202)+SUM(H204)+SUM(H206)+SUM(H208)+SUM(H210)+SUM(H212)</f>
        <v>238079.87424</v>
      </c>
      <c r="H141" s="129"/>
      <c r="T141"/>
    </row>
    <row r="142" spans="1:22" s="35" customFormat="1" hidden="1" x14ac:dyDescent="0.35">
      <c r="A142" s="128" t="s">
        <v>406</v>
      </c>
      <c r="B142" s="128"/>
      <c r="C142" s="129">
        <f>COUNT(D220)+COUNT(D222)+COUNT(D224)+COUNT(D226)+COUNT(D228)*2+COUNT(D230)*2</f>
        <v>8</v>
      </c>
      <c r="D142" s="129"/>
      <c r="E142" s="129">
        <f t="shared" ref="E142" si="3">SUM(F220)+SUM(F222)+SUM(F224)+SUM(F226)+SUM(F228)*2+SUM(F230)*2</f>
        <v>97443.90863999998</v>
      </c>
      <c r="F142" s="129"/>
      <c r="G142" s="129">
        <f t="shared" ref="G142" si="4">SUM(H220)+SUM(H222)+SUM(H224)+SUM(H226)+SUM(H228)*2+SUM(H230)*2</f>
        <v>146165.86296</v>
      </c>
      <c r="H142" s="129"/>
      <c r="T142"/>
    </row>
    <row r="143" spans="1:22" s="35" customFormat="1" hidden="1" x14ac:dyDescent="0.35">
      <c r="A143" s="128" t="s">
        <v>407</v>
      </c>
      <c r="B143" s="128"/>
      <c r="C143" s="129">
        <f>COUNT(D236)</f>
        <v>1</v>
      </c>
      <c r="D143" s="130"/>
      <c r="E143" s="129">
        <f t="shared" ref="E143" si="5">SUM(F236)</f>
        <v>12565.570679999999</v>
      </c>
      <c r="F143" s="130"/>
      <c r="G143" s="129">
        <f t="shared" ref="G143" si="6">SUM(H236)</f>
        <v>18848.356019999999</v>
      </c>
      <c r="H143" s="130"/>
      <c r="T143"/>
    </row>
    <row r="144" spans="1:22" s="35" customFormat="1" hidden="1" x14ac:dyDescent="0.35">
      <c r="A144" s="128" t="s">
        <v>408</v>
      </c>
      <c r="B144" s="128"/>
      <c r="C144" s="129">
        <f>COUNT(D242)</f>
        <v>1</v>
      </c>
      <c r="D144" s="130"/>
      <c r="E144" s="129">
        <f t="shared" ref="E144" si="7">SUM(F242)</f>
        <v>12565.570679999999</v>
      </c>
      <c r="F144" s="130"/>
      <c r="G144" s="129">
        <f t="shared" ref="G144" si="8">SUM(H242)</f>
        <v>18848.356019999999</v>
      </c>
      <c r="H144" s="130"/>
      <c r="T144"/>
    </row>
    <row r="145" spans="1:20" s="35" customFormat="1" ht="16" thickBot="1" x14ac:dyDescent="0.4">
      <c r="A145" s="249" t="s">
        <v>151</v>
      </c>
      <c r="B145" s="249"/>
      <c r="C145" s="188">
        <f>C140</f>
        <v>12</v>
      </c>
      <c r="D145" s="189"/>
      <c r="E145" s="188">
        <f>E140</f>
        <v>106235.40564000001</v>
      </c>
      <c r="F145" s="189"/>
      <c r="G145" s="188">
        <f>G140</f>
        <v>159353.10846000002</v>
      </c>
      <c r="H145" s="189"/>
      <c r="T145"/>
    </row>
    <row r="146" spans="1:20" s="35" customFormat="1" ht="16" thickBot="1" x14ac:dyDescent="0.4">
      <c r="A146" s="193" t="s">
        <v>168</v>
      </c>
      <c r="B146" s="194"/>
      <c r="C146" s="208">
        <f>C137+C145</f>
        <v>12</v>
      </c>
      <c r="D146" s="208"/>
      <c r="E146" s="250">
        <f>E137+E145</f>
        <v>106235.40564000001</v>
      </c>
      <c r="F146" s="250"/>
      <c r="G146" s="241">
        <f>G137+G145</f>
        <v>159353.10846000002</v>
      </c>
      <c r="H146" s="242"/>
      <c r="T146"/>
    </row>
    <row r="147" spans="1:20" s="34" customFormat="1" x14ac:dyDescent="0.35">
      <c r="A147" s="140" t="s">
        <v>53</v>
      </c>
      <c r="B147" s="140"/>
      <c r="C147" s="140"/>
      <c r="D147" s="140"/>
      <c r="E147" s="140"/>
      <c r="F147" s="140"/>
      <c r="G147" s="140"/>
      <c r="H147" s="140"/>
      <c r="T147" s="35"/>
    </row>
    <row r="148" spans="1:20" x14ac:dyDescent="0.35">
      <c r="A148" s="171" t="s">
        <v>177</v>
      </c>
      <c r="B148" s="171"/>
      <c r="C148" s="171"/>
      <c r="D148" s="171"/>
      <c r="E148" s="171"/>
      <c r="F148" s="171"/>
      <c r="G148" s="171"/>
      <c r="H148" s="171"/>
      <c r="T148" s="35"/>
    </row>
    <row r="149" spans="1:20" ht="47.25" hidden="1" customHeight="1" x14ac:dyDescent="0.35">
      <c r="A149" s="143" t="s">
        <v>118</v>
      </c>
      <c r="B149" s="237" t="s">
        <v>180</v>
      </c>
      <c r="C149" s="143" t="s">
        <v>54</v>
      </c>
      <c r="D149" s="237" t="s">
        <v>237</v>
      </c>
      <c r="E149" s="229" t="s">
        <v>157</v>
      </c>
      <c r="F149" s="143" t="s">
        <v>55</v>
      </c>
      <c r="G149" s="196" t="s">
        <v>56</v>
      </c>
      <c r="H149" s="73" t="s">
        <v>149</v>
      </c>
      <c r="T149" s="35"/>
    </row>
    <row r="150" spans="1:20" s="37" customFormat="1" hidden="1" x14ac:dyDescent="0.35">
      <c r="A150" s="144"/>
      <c r="B150" s="238"/>
      <c r="C150" s="144"/>
      <c r="D150" s="238"/>
      <c r="E150" s="230"/>
      <c r="F150" s="144"/>
      <c r="G150" s="197"/>
      <c r="H150" s="58">
        <v>0.45</v>
      </c>
      <c r="T150" s="35"/>
    </row>
    <row r="151" spans="1:20" s="37" customFormat="1" hidden="1" x14ac:dyDescent="0.35">
      <c r="A151" s="114" t="s">
        <v>116</v>
      </c>
      <c r="B151" s="115"/>
      <c r="C151" s="115"/>
      <c r="D151" s="115"/>
      <c r="E151" s="115"/>
      <c r="F151" s="115"/>
      <c r="G151" s="115"/>
      <c r="H151" s="116"/>
      <c r="J151" s="36"/>
      <c r="T151" s="35"/>
    </row>
    <row r="152" spans="1:20" s="37" customFormat="1" ht="15.75" hidden="1" customHeight="1" x14ac:dyDescent="0.35">
      <c r="A152" s="117">
        <v>1</v>
      </c>
      <c r="B152" s="118"/>
      <c r="C152" s="42"/>
      <c r="D152" s="42">
        <v>0</v>
      </c>
      <c r="E152" s="42">
        <v>0</v>
      </c>
      <c r="F152" s="66">
        <f>D152+(IF(E152&lt;201,E152,IF(E152&lt;301,E152/2,E152/3)))</f>
        <v>0</v>
      </c>
      <c r="G152" s="67">
        <v>0</v>
      </c>
      <c r="H152" s="66">
        <f>(F152+(IF(G152&lt;101,G152,IF(G152&lt;201,G152/2,IF(G152&lt;=301,G152/3,G152/4)))))*(($H$150)+1)</f>
        <v>0</v>
      </c>
      <c r="I152" s="36"/>
      <c r="L152" s="120"/>
      <c r="M152" s="120"/>
      <c r="N152" s="36"/>
      <c r="T152" s="35"/>
    </row>
    <row r="153" spans="1:20" s="37" customFormat="1" ht="15.75" hidden="1" customHeight="1" x14ac:dyDescent="0.35">
      <c r="A153" s="117">
        <f>A152+1</f>
        <v>2</v>
      </c>
      <c r="B153" s="118"/>
      <c r="C153" s="42"/>
      <c r="D153" s="42"/>
      <c r="E153" s="42">
        <v>0</v>
      </c>
      <c r="F153" s="66">
        <f>D153+(IF(E153&lt;201,E153,IF(E153&lt;301,E153/2,E153/3)))</f>
        <v>0</v>
      </c>
      <c r="G153" s="56">
        <v>0</v>
      </c>
      <c r="H153" s="66">
        <f>(F153+(IF(G153&lt;101,G153,IF(G153&lt;201,G153/2,IF(G153&lt;=301,G153/3,G153/4)))))*(($H$150)+1)</f>
        <v>0</v>
      </c>
      <c r="I153" s="36"/>
      <c r="L153" s="120"/>
      <c r="M153" s="120"/>
      <c r="N153" s="36"/>
      <c r="T153" s="34"/>
    </row>
    <row r="154" spans="1:20" s="37" customFormat="1" ht="15.75" hidden="1" customHeight="1" x14ac:dyDescent="0.35">
      <c r="A154" s="117">
        <f>A153+1</f>
        <v>3</v>
      </c>
      <c r="B154" s="118"/>
      <c r="C154" s="42"/>
      <c r="D154" s="42"/>
      <c r="E154" s="42">
        <v>0</v>
      </c>
      <c r="F154" s="66">
        <f>D154+(IF(E154&lt;201,E154,IF(E154&lt;301,E154/2,E154/3)))</f>
        <v>0</v>
      </c>
      <c r="G154" s="56">
        <v>0</v>
      </c>
      <c r="H154" s="66">
        <f>(F154+(IF(G154&lt;101,G154,IF(G154&lt;201,G154/2,IF(G154&lt;=301,G154/3,G154/4)))))*(($H$150)+1)</f>
        <v>0</v>
      </c>
      <c r="I154" s="36"/>
      <c r="L154" s="120"/>
      <c r="M154" s="120"/>
      <c r="N154" s="36"/>
      <c r="T154" s="21"/>
    </row>
    <row r="155" spans="1:20" s="37" customFormat="1" ht="15.75" hidden="1" customHeight="1" x14ac:dyDescent="0.35">
      <c r="A155" s="117">
        <f>A154+1</f>
        <v>4</v>
      </c>
      <c r="B155" s="118"/>
      <c r="C155" s="42"/>
      <c r="D155" s="42"/>
      <c r="E155" s="42">
        <v>0</v>
      </c>
      <c r="F155" s="66">
        <f>D155+(IF(E155&lt;201,E155,IF(E155&lt;301,E155/2,E155/3)))</f>
        <v>0</v>
      </c>
      <c r="G155" s="56">
        <v>0</v>
      </c>
      <c r="H155" s="66">
        <f>(F155+(IF(G155&lt;101,G155,IF(G155&lt;201,G155/2,IF(G155&lt;=301,G155/3,G155/4)))))*(($H$150)+1)</f>
        <v>0</v>
      </c>
      <c r="I155" s="36"/>
      <c r="L155" s="120"/>
      <c r="M155" s="120"/>
      <c r="N155" s="36"/>
      <c r="T155" s="21"/>
    </row>
    <row r="156" spans="1:20" s="37" customFormat="1" hidden="1" x14ac:dyDescent="0.35">
      <c r="A156" s="117"/>
      <c r="B156" s="119"/>
      <c r="C156" s="119"/>
      <c r="D156" s="119"/>
      <c r="E156" s="119"/>
      <c r="F156" s="119"/>
      <c r="G156" s="119"/>
      <c r="H156" s="118"/>
      <c r="I156" s="36"/>
      <c r="N156" s="36"/>
    </row>
    <row r="157" spans="1:20" ht="47.25" customHeight="1" x14ac:dyDescent="0.35">
      <c r="A157" s="141" t="s">
        <v>119</v>
      </c>
      <c r="B157" s="185" t="s">
        <v>181</v>
      </c>
      <c r="C157" s="143" t="s">
        <v>54</v>
      </c>
      <c r="D157" s="185" t="s">
        <v>394</v>
      </c>
      <c r="E157" s="185" t="s">
        <v>236</v>
      </c>
      <c r="F157" s="143" t="s">
        <v>55</v>
      </c>
      <c r="G157" s="196" t="s">
        <v>56</v>
      </c>
      <c r="H157" s="72" t="s">
        <v>149</v>
      </c>
      <c r="I157" s="98">
        <v>10.763999999999999</v>
      </c>
      <c r="T157" s="37"/>
    </row>
    <row r="158" spans="1:20" s="37" customFormat="1" x14ac:dyDescent="0.35">
      <c r="A158" s="142"/>
      <c r="B158" s="186"/>
      <c r="C158" s="144"/>
      <c r="D158" s="186"/>
      <c r="E158" s="186"/>
      <c r="F158" s="144"/>
      <c r="G158" s="197"/>
      <c r="H158" s="107">
        <v>0.5</v>
      </c>
      <c r="I158" s="36"/>
    </row>
    <row r="159" spans="1:20" s="99" customFormat="1" x14ac:dyDescent="0.35">
      <c r="A159" s="121" t="s">
        <v>389</v>
      </c>
      <c r="B159" s="122"/>
      <c r="C159" s="122"/>
      <c r="D159" s="122"/>
      <c r="E159" s="122"/>
      <c r="F159" s="122"/>
      <c r="G159" s="122"/>
      <c r="H159" s="123"/>
      <c r="J159" s="36"/>
    </row>
    <row r="160" spans="1:20" s="99" customFormat="1" x14ac:dyDescent="0.35">
      <c r="A160" s="114" t="s">
        <v>390</v>
      </c>
      <c r="B160" s="115"/>
      <c r="C160" s="115"/>
      <c r="D160" s="115"/>
      <c r="E160" s="115"/>
      <c r="F160" s="115"/>
      <c r="G160" s="115"/>
      <c r="H160" s="116"/>
      <c r="J160" s="36"/>
    </row>
    <row r="161" spans="1:14" s="99" customFormat="1" x14ac:dyDescent="0.35">
      <c r="A161" s="114" t="s">
        <v>403</v>
      </c>
      <c r="B161" s="115"/>
      <c r="C161" s="115"/>
      <c r="D161" s="115"/>
      <c r="E161" s="115"/>
      <c r="F161" s="115"/>
      <c r="G161" s="115"/>
      <c r="H161" s="116"/>
      <c r="J161" s="36"/>
    </row>
    <row r="162" spans="1:14" s="99" customFormat="1" x14ac:dyDescent="0.35">
      <c r="A162" s="114" t="s">
        <v>391</v>
      </c>
      <c r="B162" s="115"/>
      <c r="C162" s="115"/>
      <c r="D162" s="115"/>
      <c r="E162" s="115"/>
      <c r="F162" s="115"/>
      <c r="G162" s="115"/>
      <c r="H162" s="116"/>
      <c r="J162" s="36"/>
    </row>
    <row r="163" spans="1:14" s="99" customFormat="1" x14ac:dyDescent="0.35">
      <c r="A163" s="131" t="s">
        <v>392</v>
      </c>
      <c r="B163" s="131"/>
      <c r="C163" s="131"/>
      <c r="D163" s="131"/>
      <c r="E163" s="131"/>
      <c r="F163" s="131"/>
      <c r="G163" s="131"/>
      <c r="H163" s="131"/>
      <c r="J163" s="36"/>
    </row>
    <row r="164" spans="1:14" s="99" customFormat="1" ht="15.75" customHeight="1" x14ac:dyDescent="0.35">
      <c r="A164" s="132">
        <v>1</v>
      </c>
      <c r="B164" s="132"/>
      <c r="C164" s="109" t="s">
        <v>393</v>
      </c>
      <c r="D164" s="109">
        <f>(771.64)*10.764</f>
        <v>8305.9329600000001</v>
      </c>
      <c r="E164" s="109">
        <v>0</v>
      </c>
      <c r="F164" s="109">
        <f>D164+E164</f>
        <v>8305.9329600000001</v>
      </c>
      <c r="G164" s="109">
        <v>0</v>
      </c>
      <c r="H164" s="109">
        <f>F164*(($H$158)+1)+(IF(G164&lt;101,G164,IF(G164&lt;201,G164/2,IF(G164&lt;=301,G164/3,G164/4))))</f>
        <v>12458.899440000001</v>
      </c>
      <c r="I164" s="36"/>
      <c r="J164" s="99">
        <f>6.3*8.4+7.2*11.5+7.2*11.5+4.6*4+1.5*2+3.35*2+5.35*3.4+2.85*1.2+5.2*3.15+1.65*0.3+2.7*7.35+9.25*8.2+4.25*4.4+1.8*1.7+2.05*0.7+1.35*1+6.36*4.7+2.7*5.15+5.55*4.15+4.9*0.6+3.25*1.7+0.8*1+1.3*1.9+0.82*0.85+1.3*1.9+3*2.7+2.03*1.2+3*2.4+2.6*1.2+2.6*1.5+1.45*4+3.55*1.75+1.3*2+2.1*2+5.2*6.2+8.25*1.5+2.8*1+2.8*1.4+1.86*1.32+5.2*6.2+1.8*1.7+1.8*1.7+1.2*3.8+2.8*1+2.8*1.14+1.86*1.32+5.2*6.2+5.2*6.2+1.45*4+2.65*1.5+3.55*1.75+2.1*2+1.3*2+1*2.2+2.25*2.35+1.5*8+2.3*2.2+5*2.35+1.95*1.3+2.75*2.3</f>
        <v>768.22739999999976</v>
      </c>
      <c r="K164" s="99">
        <f>5.25*2.45*4+7.2*3.7</f>
        <v>78.09</v>
      </c>
      <c r="L164" s="120"/>
      <c r="M164" s="120"/>
      <c r="N164" s="36"/>
    </row>
    <row r="165" spans="1:14" s="99" customFormat="1" x14ac:dyDescent="0.35">
      <c r="A165" s="131" t="s">
        <v>117</v>
      </c>
      <c r="B165" s="131"/>
      <c r="C165" s="131"/>
      <c r="D165" s="131"/>
      <c r="E165" s="131"/>
      <c r="F165" s="131"/>
      <c r="G165" s="131"/>
      <c r="H165" s="131"/>
      <c r="J165" s="36"/>
      <c r="K165" s="99">
        <f>J164+K164</f>
        <v>846.31739999999979</v>
      </c>
    </row>
    <row r="166" spans="1:14" s="99" customFormat="1" ht="15.75" customHeight="1" x14ac:dyDescent="0.35">
      <c r="A166" s="132">
        <v>1</v>
      </c>
      <c r="B166" s="132"/>
      <c r="C166" s="111" t="s">
        <v>393</v>
      </c>
      <c r="D166" s="111">
        <f>(770.14)*10.764</f>
        <v>8289.7869599999995</v>
      </c>
      <c r="E166" s="111">
        <v>0</v>
      </c>
      <c r="F166" s="111">
        <f>D166+E166</f>
        <v>8289.7869599999995</v>
      </c>
      <c r="G166" s="111">
        <v>0</v>
      </c>
      <c r="H166" s="111">
        <f>F166*(($H$158)+1)+(IF(G166&lt;101,G166,IF(G166&lt;201,G166/2,IF(G166&lt;=301,G166/3,G166/4))))</f>
        <v>12434.68044</v>
      </c>
      <c r="I166" s="36"/>
      <c r="K166" s="99">
        <f>K165*10.764</f>
        <v>9109.7604935999971</v>
      </c>
      <c r="L166" s="120"/>
      <c r="M166" s="120"/>
      <c r="N166" s="36"/>
    </row>
    <row r="167" spans="1:14" s="99" customFormat="1" x14ac:dyDescent="0.35">
      <c r="A167" s="131" t="s">
        <v>395</v>
      </c>
      <c r="B167" s="131"/>
      <c r="C167" s="131"/>
      <c r="D167" s="131"/>
      <c r="E167" s="131"/>
      <c r="F167" s="131"/>
      <c r="G167" s="131"/>
      <c r="H167" s="131"/>
      <c r="J167" s="36"/>
    </row>
    <row r="168" spans="1:14" s="99" customFormat="1" ht="15.75" customHeight="1" x14ac:dyDescent="0.35">
      <c r="A168" s="132">
        <v>1</v>
      </c>
      <c r="B168" s="132"/>
      <c r="C168" s="111" t="s">
        <v>393</v>
      </c>
      <c r="D168" s="111">
        <f>(771.64)*10.764</f>
        <v>8305.9329600000001</v>
      </c>
      <c r="E168" s="111">
        <v>0</v>
      </c>
      <c r="F168" s="111">
        <f>D168+E168</f>
        <v>8305.9329600000001</v>
      </c>
      <c r="G168" s="111">
        <v>0</v>
      </c>
      <c r="H168" s="111">
        <f>F168*(($H$158)+1)+(IF(G168&lt;101,G168,IF(G168&lt;201,G168/2,IF(G168&lt;=301,G168/3,G168/4))))</f>
        <v>12458.899440000001</v>
      </c>
      <c r="I168" s="36"/>
      <c r="L168" s="120"/>
      <c r="M168" s="120"/>
      <c r="N168" s="36"/>
    </row>
    <row r="169" spans="1:14" s="99" customFormat="1" x14ac:dyDescent="0.35">
      <c r="A169" s="131" t="s">
        <v>396</v>
      </c>
      <c r="B169" s="131"/>
      <c r="C169" s="131"/>
      <c r="D169" s="131"/>
      <c r="E169" s="131"/>
      <c r="F169" s="131"/>
      <c r="G169" s="131"/>
      <c r="H169" s="131"/>
      <c r="J169" s="36"/>
    </row>
    <row r="170" spans="1:14" s="99" customFormat="1" ht="15.75" customHeight="1" x14ac:dyDescent="0.35">
      <c r="A170" s="132">
        <v>1</v>
      </c>
      <c r="B170" s="132"/>
      <c r="C170" s="111" t="s">
        <v>393</v>
      </c>
      <c r="D170" s="111">
        <f>(770.14)*10.764</f>
        <v>8289.7869599999995</v>
      </c>
      <c r="E170" s="111">
        <v>0</v>
      </c>
      <c r="F170" s="111">
        <f>D170+E170</f>
        <v>8289.7869599999995</v>
      </c>
      <c r="G170" s="111">
        <v>0</v>
      </c>
      <c r="H170" s="111">
        <f>F170*(($H$158)+1)+(IF(G170&lt;101,G170,IF(G170&lt;201,G170/2,IF(G170&lt;=301,G170/3,G170/4))))</f>
        <v>12434.68044</v>
      </c>
      <c r="I170" s="36"/>
      <c r="L170" s="120"/>
      <c r="M170" s="120"/>
      <c r="N170" s="36"/>
    </row>
    <row r="171" spans="1:14" s="99" customFormat="1" x14ac:dyDescent="0.35">
      <c r="A171" s="131" t="s">
        <v>397</v>
      </c>
      <c r="B171" s="131"/>
      <c r="C171" s="131"/>
      <c r="D171" s="131"/>
      <c r="E171" s="131"/>
      <c r="F171" s="131"/>
      <c r="G171" s="131"/>
      <c r="H171" s="131"/>
      <c r="J171" s="36"/>
    </row>
    <row r="172" spans="1:14" s="99" customFormat="1" ht="15.75" customHeight="1" x14ac:dyDescent="0.35">
      <c r="A172" s="132">
        <v>1</v>
      </c>
      <c r="B172" s="132"/>
      <c r="C172" s="111" t="s">
        <v>393</v>
      </c>
      <c r="D172" s="111">
        <f>(771.64)*10.764</f>
        <v>8305.9329600000001</v>
      </c>
      <c r="E172" s="111">
        <v>0</v>
      </c>
      <c r="F172" s="111">
        <f>D172+E172</f>
        <v>8305.9329600000001</v>
      </c>
      <c r="G172" s="111">
        <v>0</v>
      </c>
      <c r="H172" s="111">
        <f>F172*(($H$158)+1)+(IF(G172&lt;101,G172,IF(G172&lt;201,G172/2,IF(G172&lt;=301,G172/3,G172/4))))</f>
        <v>12458.899440000001</v>
      </c>
      <c r="I172" s="36">
        <f>1350000000/H170</f>
        <v>108567.32559505968</v>
      </c>
      <c r="L172" s="120"/>
      <c r="M172" s="120"/>
      <c r="N172" s="36"/>
    </row>
    <row r="173" spans="1:14" s="99" customFormat="1" x14ac:dyDescent="0.35">
      <c r="A173" s="131" t="s">
        <v>423</v>
      </c>
      <c r="B173" s="131"/>
      <c r="C173" s="131"/>
      <c r="D173" s="131"/>
      <c r="E173" s="131"/>
      <c r="F173" s="131"/>
      <c r="G173" s="131"/>
      <c r="H173" s="131"/>
      <c r="J173" s="36"/>
    </row>
    <row r="174" spans="1:14" s="99" customFormat="1" ht="15.75" customHeight="1" x14ac:dyDescent="0.35">
      <c r="A174" s="132">
        <v>1</v>
      </c>
      <c r="B174" s="132"/>
      <c r="C174" s="111" t="s">
        <v>393</v>
      </c>
      <c r="D174" s="111">
        <f>(770.14)*10.764</f>
        <v>8289.7869599999995</v>
      </c>
      <c r="E174" s="111">
        <v>0</v>
      </c>
      <c r="F174" s="111">
        <f>D174+E174</f>
        <v>8289.7869599999995</v>
      </c>
      <c r="G174" s="111">
        <v>0</v>
      </c>
      <c r="H174" s="111">
        <f>F174*(($H$158)+1)+(IF(G174&lt;101,G174,IF(G174&lt;201,G174/2,IF(G174&lt;=301,G174/3,G174/4))))</f>
        <v>12434.68044</v>
      </c>
      <c r="I174" s="36"/>
      <c r="L174" s="120"/>
      <c r="M174" s="120"/>
      <c r="N174" s="36"/>
    </row>
    <row r="175" spans="1:14" s="99" customFormat="1" x14ac:dyDescent="0.35">
      <c r="A175" s="131" t="s">
        <v>424</v>
      </c>
      <c r="B175" s="131"/>
      <c r="C175" s="131"/>
      <c r="D175" s="131"/>
      <c r="E175" s="131"/>
      <c r="F175" s="131"/>
      <c r="G175" s="131"/>
      <c r="H175" s="131"/>
      <c r="J175" s="36"/>
    </row>
    <row r="176" spans="1:14" s="99" customFormat="1" ht="15.75" customHeight="1" x14ac:dyDescent="0.35">
      <c r="A176" s="132">
        <v>1</v>
      </c>
      <c r="B176" s="132"/>
      <c r="C176" s="111" t="s">
        <v>393</v>
      </c>
      <c r="D176" s="111">
        <f>(770.14)*10.764</f>
        <v>8289.7869599999995</v>
      </c>
      <c r="E176" s="111">
        <v>0</v>
      </c>
      <c r="F176" s="111">
        <f>D176+E176</f>
        <v>8289.7869599999995</v>
      </c>
      <c r="G176" s="111">
        <v>0</v>
      </c>
      <c r="H176" s="111">
        <f>F176*(($H$158)+1)+(IF(G176&lt;101,G176,IF(G176&lt;201,G176/2,IF(G176&lt;=301,G176/3,G176/4))))</f>
        <v>12434.68044</v>
      </c>
      <c r="I176" s="36"/>
      <c r="L176" s="120"/>
      <c r="M176" s="120"/>
      <c r="N176" s="36"/>
    </row>
    <row r="177" spans="1:14" s="99" customFormat="1" x14ac:dyDescent="0.35">
      <c r="A177" s="114" t="s">
        <v>399</v>
      </c>
      <c r="B177" s="115"/>
      <c r="C177" s="115"/>
      <c r="D177" s="115"/>
      <c r="E177" s="115"/>
      <c r="F177" s="115"/>
      <c r="G177" s="115"/>
      <c r="H177" s="116"/>
      <c r="J177" s="36"/>
    </row>
    <row r="178" spans="1:14" s="99" customFormat="1" ht="15.75" customHeight="1" x14ac:dyDescent="0.35">
      <c r="A178" s="117">
        <v>1</v>
      </c>
      <c r="B178" s="118"/>
      <c r="C178" s="98" t="s">
        <v>393</v>
      </c>
      <c r="D178" s="106">
        <f>(771.64)*10.764</f>
        <v>8305.9329600000001</v>
      </c>
      <c r="E178" s="98">
        <v>0</v>
      </c>
      <c r="F178" s="98">
        <f>D178+E178</f>
        <v>8305.9329600000001</v>
      </c>
      <c r="G178" s="98">
        <v>0</v>
      </c>
      <c r="H178" s="98">
        <f>F178*(($H$158)+1)+(IF(G178&lt;101,G178,IF(G178&lt;201,G178/2,IF(G178&lt;=301,G178/3,G178/4))))</f>
        <v>12458.899440000001</v>
      </c>
      <c r="I178" s="36">
        <f>1505000000/43000</f>
        <v>35000</v>
      </c>
      <c r="L178" s="120"/>
      <c r="M178" s="120"/>
      <c r="N178" s="36"/>
    </row>
    <row r="179" spans="1:14" s="99" customFormat="1" x14ac:dyDescent="0.35">
      <c r="A179" s="114" t="s">
        <v>425</v>
      </c>
      <c r="B179" s="115"/>
      <c r="C179" s="115"/>
      <c r="D179" s="115"/>
      <c r="E179" s="115"/>
      <c r="F179" s="115"/>
      <c r="G179" s="115"/>
      <c r="H179" s="116"/>
      <c r="J179" s="36"/>
    </row>
    <row r="180" spans="1:14" s="99" customFormat="1" ht="15.75" customHeight="1" x14ac:dyDescent="0.35">
      <c r="A180" s="117">
        <v>1</v>
      </c>
      <c r="B180" s="118"/>
      <c r="C180" s="98" t="s">
        <v>393</v>
      </c>
      <c r="D180" s="106">
        <f>(770.14)*10.764</f>
        <v>8289.7869599999995</v>
      </c>
      <c r="E180" s="98">
        <v>0</v>
      </c>
      <c r="F180" s="98">
        <f>D180+E180</f>
        <v>8289.7869599999995</v>
      </c>
      <c r="G180" s="98">
        <v>0</v>
      </c>
      <c r="H180" s="98">
        <f>F180*(($H$158)+1)+(IF(G180&lt;101,G180,IF(G180&lt;201,G180/2,IF(G180&lt;=301,G180/3,G180/4))))</f>
        <v>12434.68044</v>
      </c>
      <c r="I180" s="36"/>
      <c r="L180" s="120"/>
      <c r="M180" s="120"/>
      <c r="N180" s="36"/>
    </row>
    <row r="181" spans="1:14" s="99" customFormat="1" x14ac:dyDescent="0.35">
      <c r="A181" s="114" t="s">
        <v>400</v>
      </c>
      <c r="B181" s="115"/>
      <c r="C181" s="115"/>
      <c r="D181" s="115"/>
      <c r="E181" s="115"/>
      <c r="F181" s="115"/>
      <c r="G181" s="115"/>
      <c r="H181" s="116"/>
      <c r="J181" s="36"/>
    </row>
    <row r="182" spans="1:14" s="99" customFormat="1" ht="15.75" customHeight="1" x14ac:dyDescent="0.35">
      <c r="A182" s="117">
        <v>1</v>
      </c>
      <c r="B182" s="118"/>
      <c r="C182" s="98" t="s">
        <v>393</v>
      </c>
      <c r="D182" s="106">
        <f>(771.64)*10.764</f>
        <v>8305.9329600000001</v>
      </c>
      <c r="E182" s="98">
        <v>0</v>
      </c>
      <c r="F182" s="98">
        <f>D182+E182</f>
        <v>8305.9329600000001</v>
      </c>
      <c r="G182" s="98">
        <v>0</v>
      </c>
      <c r="H182" s="98">
        <f>F182*(($H$158)+1)+(IF(G182&lt;101,G182,IF(G182&lt;201,G182/2,IF(G182&lt;=301,G182/3,G182/4))))</f>
        <v>12458.899440000001</v>
      </c>
      <c r="I182" s="36"/>
      <c r="L182" s="120"/>
      <c r="M182" s="120"/>
      <c r="N182" s="36"/>
    </row>
    <row r="183" spans="1:14" s="99" customFormat="1" x14ac:dyDescent="0.35">
      <c r="A183" s="114" t="s">
        <v>422</v>
      </c>
      <c r="B183" s="115"/>
      <c r="C183" s="115"/>
      <c r="D183" s="115"/>
      <c r="E183" s="115"/>
      <c r="F183" s="115"/>
      <c r="G183" s="115"/>
      <c r="H183" s="116"/>
      <c r="J183" s="36"/>
    </row>
    <row r="184" spans="1:14" s="99" customFormat="1" ht="46.5" customHeight="1" x14ac:dyDescent="0.35">
      <c r="A184" s="117">
        <v>1</v>
      </c>
      <c r="B184" s="118"/>
      <c r="C184" s="108" t="s">
        <v>440</v>
      </c>
      <c r="D184" s="98">
        <f>(771.14+617.83)*10.764</f>
        <v>14950.873079999999</v>
      </c>
      <c r="E184" s="98">
        <v>0</v>
      </c>
      <c r="F184" s="98">
        <f>D184+E184</f>
        <v>14950.873079999999</v>
      </c>
      <c r="G184" s="98">
        <v>0</v>
      </c>
      <c r="H184" s="98">
        <f>F184*(($H$158)+1)+(IF(G184&lt;101,G184,IF(G184&lt;201,G184/2,IF(G184&lt;=301,G184/3,G184/4))))</f>
        <v>22426.30962</v>
      </c>
      <c r="I184" s="105" t="s">
        <v>428</v>
      </c>
      <c r="L184" s="120"/>
      <c r="M184" s="120"/>
      <c r="N184" s="36"/>
    </row>
    <row r="185" spans="1:14" s="99" customFormat="1" x14ac:dyDescent="0.35">
      <c r="A185" s="114" t="s">
        <v>436</v>
      </c>
      <c r="B185" s="115"/>
      <c r="C185" s="115"/>
      <c r="D185" s="115"/>
      <c r="E185" s="115"/>
      <c r="F185" s="115"/>
      <c r="G185" s="115"/>
      <c r="H185" s="116"/>
      <c r="J185" s="36"/>
    </row>
    <row r="186" spans="1:14" s="99" customFormat="1" ht="15.75" customHeight="1" x14ac:dyDescent="0.35">
      <c r="A186" s="117">
        <v>1</v>
      </c>
      <c r="B186" s="118"/>
      <c r="C186" s="117" t="s">
        <v>426</v>
      </c>
      <c r="D186" s="119"/>
      <c r="E186" s="119"/>
      <c r="F186" s="119"/>
      <c r="G186" s="119"/>
      <c r="H186" s="118"/>
      <c r="I186" s="36"/>
      <c r="L186" s="120"/>
      <c r="M186" s="120"/>
      <c r="N186" s="36"/>
    </row>
    <row r="187" spans="1:14" s="99" customFormat="1" hidden="1" x14ac:dyDescent="0.35">
      <c r="A187" s="121" t="s">
        <v>402</v>
      </c>
      <c r="B187" s="122"/>
      <c r="C187" s="122"/>
      <c r="D187" s="122"/>
      <c r="E187" s="122"/>
      <c r="F187" s="122"/>
      <c r="G187" s="122"/>
      <c r="H187" s="123"/>
      <c r="J187" s="36"/>
    </row>
    <row r="188" spans="1:14" s="99" customFormat="1" hidden="1" x14ac:dyDescent="0.35">
      <c r="A188" s="114" t="s">
        <v>390</v>
      </c>
      <c r="B188" s="115"/>
      <c r="C188" s="115"/>
      <c r="D188" s="115"/>
      <c r="E188" s="115"/>
      <c r="F188" s="115"/>
      <c r="G188" s="115"/>
      <c r="H188" s="116"/>
      <c r="J188" s="36"/>
    </row>
    <row r="189" spans="1:14" s="99" customFormat="1" ht="32.25" hidden="1" customHeight="1" x14ac:dyDescent="0.35">
      <c r="A189" s="114" t="s">
        <v>404</v>
      </c>
      <c r="B189" s="115"/>
      <c r="C189" s="115"/>
      <c r="D189" s="115"/>
      <c r="E189" s="115"/>
      <c r="F189" s="115"/>
      <c r="G189" s="115"/>
      <c r="H189" s="116"/>
      <c r="J189" s="36"/>
    </row>
    <row r="190" spans="1:14" s="99" customFormat="1" hidden="1" x14ac:dyDescent="0.35">
      <c r="A190" s="114" t="s">
        <v>405</v>
      </c>
      <c r="B190" s="115"/>
      <c r="C190" s="115"/>
      <c r="D190" s="115"/>
      <c r="E190" s="115"/>
      <c r="F190" s="115"/>
      <c r="G190" s="115"/>
      <c r="H190" s="116"/>
      <c r="J190" s="36"/>
    </row>
    <row r="191" spans="1:14" s="99" customFormat="1" hidden="1" x14ac:dyDescent="0.35">
      <c r="A191" s="114" t="s">
        <v>392</v>
      </c>
      <c r="B191" s="115"/>
      <c r="C191" s="115"/>
      <c r="D191" s="115"/>
      <c r="E191" s="115"/>
      <c r="F191" s="115"/>
      <c r="G191" s="115"/>
      <c r="H191" s="116"/>
      <c r="J191" s="36"/>
    </row>
    <row r="192" spans="1:14" s="99" customFormat="1" ht="15.75" hidden="1" customHeight="1" x14ac:dyDescent="0.35">
      <c r="A192" s="117">
        <v>1</v>
      </c>
      <c r="B192" s="118"/>
      <c r="C192" s="98" t="s">
        <v>393</v>
      </c>
      <c r="D192" s="98">
        <f>(1167.37)*10.764</f>
        <v>12565.570679999999</v>
      </c>
      <c r="E192" s="98">
        <v>0</v>
      </c>
      <c r="F192" s="98">
        <f>D192+E192</f>
        <v>12565.570679999999</v>
      </c>
      <c r="G192" s="98">
        <v>0</v>
      </c>
      <c r="H192" s="98">
        <f>F192*(($H$158)+1)+(IF(G192&lt;101,G192,IF(G192&lt;201,G192/2,IF(G192&lt;=301,G192/3,G192/4))))</f>
        <v>18848.356019999999</v>
      </c>
      <c r="I192" s="36"/>
      <c r="L192" s="120"/>
      <c r="M192" s="120"/>
      <c r="N192" s="36"/>
    </row>
    <row r="193" spans="1:14" s="99" customFormat="1" hidden="1" x14ac:dyDescent="0.35">
      <c r="A193" s="114" t="s">
        <v>117</v>
      </c>
      <c r="B193" s="115"/>
      <c r="C193" s="115"/>
      <c r="D193" s="115"/>
      <c r="E193" s="115"/>
      <c r="F193" s="115"/>
      <c r="G193" s="115"/>
      <c r="H193" s="116"/>
      <c r="J193" s="36"/>
    </row>
    <row r="194" spans="1:14" s="99" customFormat="1" ht="15.75" hidden="1" customHeight="1" x14ac:dyDescent="0.35">
      <c r="A194" s="117">
        <v>1</v>
      </c>
      <c r="B194" s="118"/>
      <c r="C194" s="98" t="s">
        <v>393</v>
      </c>
      <c r="D194" s="98">
        <f>(1095.82)*10.764</f>
        <v>11795.406479999998</v>
      </c>
      <c r="E194" s="98">
        <v>0</v>
      </c>
      <c r="F194" s="98">
        <f>D194+E194</f>
        <v>11795.406479999998</v>
      </c>
      <c r="G194" s="98">
        <v>0</v>
      </c>
      <c r="H194" s="98">
        <f>F194*(($H$158)+1)+(IF(G194&lt;101,G194,IF(G194&lt;201,G194/2,IF(G194&lt;=301,G194/3,G194/4))))</f>
        <v>17693.109719999997</v>
      </c>
      <c r="I194" s="36"/>
      <c r="L194" s="120"/>
      <c r="M194" s="120"/>
      <c r="N194" s="36"/>
    </row>
    <row r="195" spans="1:14" s="99" customFormat="1" hidden="1" x14ac:dyDescent="0.35">
      <c r="A195" s="114" t="s">
        <v>395</v>
      </c>
      <c r="B195" s="115"/>
      <c r="C195" s="115"/>
      <c r="D195" s="115"/>
      <c r="E195" s="115"/>
      <c r="F195" s="115"/>
      <c r="G195" s="115"/>
      <c r="H195" s="116"/>
      <c r="J195" s="36"/>
    </row>
    <row r="196" spans="1:14" s="99" customFormat="1" ht="15.75" hidden="1" customHeight="1" x14ac:dyDescent="0.35">
      <c r="A196" s="117">
        <v>1</v>
      </c>
      <c r="B196" s="118"/>
      <c r="C196" s="98" t="s">
        <v>393</v>
      </c>
      <c r="D196" s="98">
        <f>(1167.37)*10.764</f>
        <v>12565.570679999999</v>
      </c>
      <c r="E196" s="98">
        <v>0</v>
      </c>
      <c r="F196" s="98">
        <f>D196+E196</f>
        <v>12565.570679999999</v>
      </c>
      <c r="G196" s="98">
        <v>0</v>
      </c>
      <c r="H196" s="98">
        <f>F196*(($H$158)+1)+(IF(G196&lt;101,G196,IF(G196&lt;201,G196/2,IF(G196&lt;=301,G196/3,G196/4))))</f>
        <v>18848.356019999999</v>
      </c>
      <c r="I196" s="36"/>
      <c r="L196" s="120"/>
      <c r="M196" s="120"/>
      <c r="N196" s="36"/>
    </row>
    <row r="197" spans="1:14" s="99" customFormat="1" hidden="1" x14ac:dyDescent="0.35">
      <c r="A197" s="114" t="s">
        <v>396</v>
      </c>
      <c r="B197" s="115"/>
      <c r="C197" s="115"/>
      <c r="D197" s="115"/>
      <c r="E197" s="115"/>
      <c r="F197" s="115"/>
      <c r="G197" s="115"/>
      <c r="H197" s="116"/>
      <c r="J197" s="36"/>
    </row>
    <row r="198" spans="1:14" s="99" customFormat="1" ht="15.75" hidden="1" customHeight="1" x14ac:dyDescent="0.35">
      <c r="A198" s="117">
        <v>1</v>
      </c>
      <c r="B198" s="118"/>
      <c r="C198" s="98" t="s">
        <v>393</v>
      </c>
      <c r="D198" s="98">
        <f>(1095.82)*10.764</f>
        <v>11795.406479999998</v>
      </c>
      <c r="E198" s="98">
        <v>0</v>
      </c>
      <c r="F198" s="98">
        <f>D198+E198</f>
        <v>11795.406479999998</v>
      </c>
      <c r="G198" s="98">
        <v>0</v>
      </c>
      <c r="H198" s="98">
        <f>F198*(($H$158)+1)+(IF(G198&lt;101,G198,IF(G198&lt;201,G198/2,IF(G198&lt;=301,G198/3,G198/4))))</f>
        <v>17693.109719999997</v>
      </c>
      <c r="I198" s="36"/>
      <c r="L198" s="120"/>
      <c r="M198" s="120"/>
      <c r="N198" s="36"/>
    </row>
    <row r="199" spans="1:14" s="99" customFormat="1" hidden="1" x14ac:dyDescent="0.35">
      <c r="A199" s="114" t="s">
        <v>397</v>
      </c>
      <c r="B199" s="115"/>
      <c r="C199" s="115"/>
      <c r="D199" s="115"/>
      <c r="E199" s="115"/>
      <c r="F199" s="115"/>
      <c r="G199" s="115"/>
      <c r="H199" s="116"/>
      <c r="J199" s="36"/>
    </row>
    <row r="200" spans="1:14" s="99" customFormat="1" ht="15.75" hidden="1" customHeight="1" x14ac:dyDescent="0.35">
      <c r="A200" s="117">
        <v>1</v>
      </c>
      <c r="B200" s="118"/>
      <c r="C200" s="98" t="s">
        <v>393</v>
      </c>
      <c r="D200" s="98">
        <f>(1167.37)*10.764</f>
        <v>12565.570679999999</v>
      </c>
      <c r="E200" s="98">
        <v>0</v>
      </c>
      <c r="F200" s="98">
        <f>D200+E200</f>
        <v>12565.570679999999</v>
      </c>
      <c r="G200" s="98">
        <v>0</v>
      </c>
      <c r="H200" s="98">
        <f>F200*(($H$158)+1)+(IF(G200&lt;101,G200,IF(G200&lt;201,G200/2,IF(G200&lt;=301,G200/3,G200/4))))</f>
        <v>18848.356019999999</v>
      </c>
      <c r="I200" s="36"/>
      <c r="L200" s="120"/>
      <c r="M200" s="120"/>
      <c r="N200" s="36"/>
    </row>
    <row r="201" spans="1:14" s="99" customFormat="1" hidden="1" x14ac:dyDescent="0.35">
      <c r="A201" s="114" t="s">
        <v>423</v>
      </c>
      <c r="B201" s="115"/>
      <c r="C201" s="115"/>
      <c r="D201" s="115"/>
      <c r="E201" s="115"/>
      <c r="F201" s="115"/>
      <c r="G201" s="115"/>
      <c r="H201" s="116"/>
      <c r="J201" s="36"/>
    </row>
    <row r="202" spans="1:14" s="99" customFormat="1" ht="15.75" hidden="1" customHeight="1" x14ac:dyDescent="0.35">
      <c r="A202" s="117">
        <v>1</v>
      </c>
      <c r="B202" s="118"/>
      <c r="C202" s="98" t="s">
        <v>393</v>
      </c>
      <c r="D202" s="98">
        <f>(1095.82)*10.764</f>
        <v>11795.406479999998</v>
      </c>
      <c r="E202" s="98">
        <v>0</v>
      </c>
      <c r="F202" s="98">
        <f>D202+E202</f>
        <v>11795.406479999998</v>
      </c>
      <c r="G202" s="98">
        <v>0</v>
      </c>
      <c r="H202" s="98">
        <f>F202*(($H$158)+1)+(IF(G202&lt;101,G202,IF(G202&lt;201,G202/2,IF(G202&lt;=301,G202/3,G202/4))))</f>
        <v>17693.109719999997</v>
      </c>
      <c r="I202" s="36"/>
      <c r="L202" s="120"/>
      <c r="M202" s="120"/>
      <c r="N202" s="36"/>
    </row>
    <row r="203" spans="1:14" s="99" customFormat="1" hidden="1" x14ac:dyDescent="0.35">
      <c r="A203" s="114" t="s">
        <v>424</v>
      </c>
      <c r="B203" s="115"/>
      <c r="C203" s="115"/>
      <c r="D203" s="115"/>
      <c r="E203" s="115"/>
      <c r="F203" s="115"/>
      <c r="G203" s="115"/>
      <c r="H203" s="116"/>
      <c r="J203" s="36"/>
    </row>
    <row r="204" spans="1:14" s="99" customFormat="1" ht="15.75" hidden="1" customHeight="1" x14ac:dyDescent="0.35">
      <c r="A204" s="117">
        <v>1</v>
      </c>
      <c r="B204" s="118"/>
      <c r="C204" s="98" t="s">
        <v>393</v>
      </c>
      <c r="D204" s="98">
        <f>(1095.82)*10.764</f>
        <v>11795.406479999998</v>
      </c>
      <c r="E204" s="98">
        <v>0</v>
      </c>
      <c r="F204" s="98">
        <f>D204+E204</f>
        <v>11795.406479999998</v>
      </c>
      <c r="G204" s="98">
        <v>0</v>
      </c>
      <c r="H204" s="98">
        <f>F204*(($H$158)+1)+(IF(G204&lt;101,G204,IF(G204&lt;201,G204/2,IF(G204&lt;=301,G204/3,G204/4))))</f>
        <v>17693.109719999997</v>
      </c>
      <c r="I204" s="36"/>
      <c r="L204" s="120"/>
      <c r="M204" s="120"/>
      <c r="N204" s="36"/>
    </row>
    <row r="205" spans="1:14" s="99" customFormat="1" hidden="1" x14ac:dyDescent="0.35">
      <c r="A205" s="114" t="s">
        <v>399</v>
      </c>
      <c r="B205" s="115"/>
      <c r="C205" s="115"/>
      <c r="D205" s="115"/>
      <c r="E205" s="115"/>
      <c r="F205" s="115"/>
      <c r="G205" s="115"/>
      <c r="H205" s="116"/>
      <c r="J205" s="36"/>
    </row>
    <row r="206" spans="1:14" s="99" customFormat="1" ht="15.75" hidden="1" customHeight="1" x14ac:dyDescent="0.35">
      <c r="A206" s="117">
        <v>1</v>
      </c>
      <c r="B206" s="118"/>
      <c r="C206" s="98" t="s">
        <v>393</v>
      </c>
      <c r="D206" s="98">
        <f>(1167.37)*10.764</f>
        <v>12565.570679999999</v>
      </c>
      <c r="E206" s="98">
        <v>0</v>
      </c>
      <c r="F206" s="98">
        <f>D206+E206</f>
        <v>12565.570679999999</v>
      </c>
      <c r="G206" s="98">
        <v>0</v>
      </c>
      <c r="H206" s="98">
        <f>F206*(($H$158)+1)+(IF(G206&lt;101,G206,IF(G206&lt;201,G206/2,IF(G206&lt;=301,G206/3,G206/4))))</f>
        <v>18848.356019999999</v>
      </c>
      <c r="I206" s="36"/>
      <c r="L206" s="120"/>
      <c r="M206" s="120"/>
      <c r="N206" s="36"/>
    </row>
    <row r="207" spans="1:14" s="99" customFormat="1" hidden="1" x14ac:dyDescent="0.35">
      <c r="A207" s="114" t="s">
        <v>425</v>
      </c>
      <c r="B207" s="115"/>
      <c r="C207" s="115"/>
      <c r="D207" s="115"/>
      <c r="E207" s="115"/>
      <c r="F207" s="115"/>
      <c r="G207" s="115"/>
      <c r="H207" s="116"/>
      <c r="J207" s="36"/>
    </row>
    <row r="208" spans="1:14" s="99" customFormat="1" ht="15.75" hidden="1" customHeight="1" x14ac:dyDescent="0.35">
      <c r="A208" s="117">
        <v>1</v>
      </c>
      <c r="B208" s="118"/>
      <c r="C208" s="98" t="s">
        <v>393</v>
      </c>
      <c r="D208" s="98">
        <f>(1095.82)*10.764</f>
        <v>11795.406479999998</v>
      </c>
      <c r="E208" s="98">
        <v>0</v>
      </c>
      <c r="F208" s="98">
        <f>D208+E208</f>
        <v>11795.406479999998</v>
      </c>
      <c r="G208" s="98">
        <v>0</v>
      </c>
      <c r="H208" s="98">
        <f>F208*(($H$158)+1)+(IF(G208&lt;101,G208,IF(G208&lt;201,G208/2,IF(G208&lt;=301,G208/3,G208/4))))</f>
        <v>17693.109719999997</v>
      </c>
      <c r="I208" s="36"/>
      <c r="L208" s="120"/>
      <c r="M208" s="120"/>
      <c r="N208" s="36"/>
    </row>
    <row r="209" spans="1:14" s="99" customFormat="1" hidden="1" x14ac:dyDescent="0.35">
      <c r="A209" s="114" t="s">
        <v>400</v>
      </c>
      <c r="B209" s="115"/>
      <c r="C209" s="115"/>
      <c r="D209" s="115"/>
      <c r="E209" s="115"/>
      <c r="F209" s="115"/>
      <c r="G209" s="115"/>
      <c r="H209" s="116"/>
      <c r="J209" s="36"/>
    </row>
    <row r="210" spans="1:14" s="99" customFormat="1" ht="15.75" hidden="1" customHeight="1" x14ac:dyDescent="0.35">
      <c r="A210" s="117">
        <v>1</v>
      </c>
      <c r="B210" s="118"/>
      <c r="C210" s="98" t="s">
        <v>393</v>
      </c>
      <c r="D210" s="98">
        <f>(1167.37)*10.764</f>
        <v>12565.570679999999</v>
      </c>
      <c r="E210" s="98">
        <v>0</v>
      </c>
      <c r="F210" s="98">
        <f>D210+E210</f>
        <v>12565.570679999999</v>
      </c>
      <c r="G210" s="98">
        <v>0</v>
      </c>
      <c r="H210" s="98">
        <f>F210*(($H$158)+1)+(IF(G210&lt;101,G210,IF(G210&lt;201,G210/2,IF(G210&lt;=301,G210/3,G210/4))))</f>
        <v>18848.356019999999</v>
      </c>
      <c r="I210" s="36"/>
      <c r="L210" s="120"/>
      <c r="M210" s="120"/>
      <c r="N210" s="36"/>
    </row>
    <row r="211" spans="1:14" s="99" customFormat="1" hidden="1" x14ac:dyDescent="0.35">
      <c r="A211" s="114" t="s">
        <v>401</v>
      </c>
      <c r="B211" s="115"/>
      <c r="C211" s="115"/>
      <c r="D211" s="115"/>
      <c r="E211" s="115"/>
      <c r="F211" s="115"/>
      <c r="G211" s="115"/>
      <c r="H211" s="116"/>
      <c r="J211" s="36"/>
    </row>
    <row r="212" spans="1:14" s="99" customFormat="1" ht="60" hidden="1" customHeight="1" x14ac:dyDescent="0.35">
      <c r="A212" s="117">
        <v>1</v>
      </c>
      <c r="B212" s="118"/>
      <c r="C212" s="104" t="s">
        <v>427</v>
      </c>
      <c r="D212" s="98">
        <f>(1095.82+1166.3)*10.764</f>
        <v>24349.459679999996</v>
      </c>
      <c r="E212" s="98">
        <v>0</v>
      </c>
      <c r="F212" s="98">
        <f>D212+E212</f>
        <v>24349.459679999996</v>
      </c>
      <c r="G212" s="98">
        <v>0</v>
      </c>
      <c r="H212" s="98">
        <f>F212*(($H$158)+1)+(IF(G212&lt;101,G212,IF(G212&lt;201,G212/2,IF(G212&lt;=301,G212/3,G212/4))))</f>
        <v>36524.189519999993</v>
      </c>
      <c r="I212" s="105" t="s">
        <v>428</v>
      </c>
      <c r="L212" s="120"/>
      <c r="M212" s="120"/>
      <c r="N212" s="36"/>
    </row>
    <row r="213" spans="1:14" s="99" customFormat="1" hidden="1" x14ac:dyDescent="0.35">
      <c r="A213" s="114" t="s">
        <v>421</v>
      </c>
      <c r="B213" s="115"/>
      <c r="C213" s="115"/>
      <c r="D213" s="115"/>
      <c r="E213" s="115"/>
      <c r="F213" s="115"/>
      <c r="G213" s="115"/>
      <c r="H213" s="116"/>
      <c r="J213" s="36"/>
    </row>
    <row r="214" spans="1:14" s="99" customFormat="1" ht="15.75" hidden="1" customHeight="1" x14ac:dyDescent="0.35">
      <c r="A214" s="117">
        <v>1</v>
      </c>
      <c r="B214" s="118"/>
      <c r="C214" s="117" t="s">
        <v>426</v>
      </c>
      <c r="D214" s="119"/>
      <c r="E214" s="119"/>
      <c r="F214" s="119"/>
      <c r="G214" s="119"/>
      <c r="H214" s="118"/>
      <c r="I214" s="36"/>
      <c r="L214" s="120"/>
      <c r="M214" s="120"/>
      <c r="N214" s="36"/>
    </row>
    <row r="215" spans="1:14" s="99" customFormat="1" hidden="1" x14ac:dyDescent="0.35">
      <c r="A215" s="121" t="s">
        <v>406</v>
      </c>
      <c r="B215" s="122"/>
      <c r="C215" s="122"/>
      <c r="D215" s="122"/>
      <c r="E215" s="122"/>
      <c r="F215" s="122"/>
      <c r="G215" s="122"/>
      <c r="H215" s="123"/>
      <c r="J215" s="36"/>
    </row>
    <row r="216" spans="1:14" s="99" customFormat="1" hidden="1" x14ac:dyDescent="0.35">
      <c r="A216" s="114" t="s">
        <v>390</v>
      </c>
      <c r="B216" s="115"/>
      <c r="C216" s="115"/>
      <c r="D216" s="115"/>
      <c r="E216" s="115"/>
      <c r="F216" s="115"/>
      <c r="G216" s="115"/>
      <c r="H216" s="116"/>
      <c r="J216" s="36"/>
    </row>
    <row r="217" spans="1:14" s="99" customFormat="1" hidden="1" x14ac:dyDescent="0.35">
      <c r="A217" s="114" t="s">
        <v>409</v>
      </c>
      <c r="B217" s="115"/>
      <c r="C217" s="115"/>
      <c r="D217" s="115"/>
      <c r="E217" s="115"/>
      <c r="F217" s="115"/>
      <c r="G217" s="115"/>
      <c r="H217" s="116"/>
      <c r="J217" s="36"/>
    </row>
    <row r="218" spans="1:14" s="99" customFormat="1" hidden="1" x14ac:dyDescent="0.35">
      <c r="A218" s="114" t="s">
        <v>391</v>
      </c>
      <c r="B218" s="115"/>
      <c r="C218" s="115"/>
      <c r="D218" s="115"/>
      <c r="E218" s="115"/>
      <c r="F218" s="115"/>
      <c r="G218" s="115"/>
      <c r="H218" s="116"/>
      <c r="J218" s="36"/>
    </row>
    <row r="219" spans="1:14" s="99" customFormat="1" hidden="1" x14ac:dyDescent="0.35">
      <c r="A219" s="114" t="s">
        <v>392</v>
      </c>
      <c r="B219" s="115"/>
      <c r="C219" s="115"/>
      <c r="D219" s="115"/>
      <c r="E219" s="115"/>
      <c r="F219" s="115"/>
      <c r="G219" s="115"/>
      <c r="H219" s="116"/>
      <c r="J219" s="36"/>
    </row>
    <row r="220" spans="1:14" s="99" customFormat="1" ht="15.75" hidden="1" customHeight="1" x14ac:dyDescent="0.35">
      <c r="A220" s="117">
        <v>1</v>
      </c>
      <c r="B220" s="118"/>
      <c r="C220" s="98" t="s">
        <v>393</v>
      </c>
      <c r="D220" s="98">
        <f>(1167.37)*10.764</f>
        <v>12565.570679999999</v>
      </c>
      <c r="E220" s="98">
        <v>0</v>
      </c>
      <c r="F220" s="98">
        <f>D220+E220</f>
        <v>12565.570679999999</v>
      </c>
      <c r="G220" s="98">
        <v>0</v>
      </c>
      <c r="H220" s="98">
        <f>F220*(($H$158)+1)+(IF(G220&lt;101,G220,IF(G220&lt;201,G220/2,IF(G220&lt;=301,G220/3,G220/4))))</f>
        <v>18848.356019999999</v>
      </c>
      <c r="I220" s="36"/>
      <c r="L220" s="120"/>
      <c r="M220" s="120"/>
      <c r="N220" s="36"/>
    </row>
    <row r="221" spans="1:14" s="99" customFormat="1" hidden="1" x14ac:dyDescent="0.35">
      <c r="A221" s="114" t="s">
        <v>117</v>
      </c>
      <c r="B221" s="115"/>
      <c r="C221" s="115"/>
      <c r="D221" s="115"/>
      <c r="E221" s="115"/>
      <c r="F221" s="115"/>
      <c r="G221" s="115"/>
      <c r="H221" s="116"/>
      <c r="J221" s="36"/>
    </row>
    <row r="222" spans="1:14" s="99" customFormat="1" ht="15.75" hidden="1" customHeight="1" x14ac:dyDescent="0.35">
      <c r="A222" s="117">
        <v>1</v>
      </c>
      <c r="B222" s="118"/>
      <c r="C222" s="98" t="s">
        <v>393</v>
      </c>
      <c r="D222" s="98">
        <f>(1095.82)*10.764</f>
        <v>11795.406479999998</v>
      </c>
      <c r="E222" s="98">
        <v>0</v>
      </c>
      <c r="F222" s="98">
        <f>D222+E222</f>
        <v>11795.406479999998</v>
      </c>
      <c r="G222" s="98">
        <v>0</v>
      </c>
      <c r="H222" s="98">
        <f>F222*(($H$158)+1)+(IF(G222&lt;101,G222,IF(G222&lt;201,G222/2,IF(G222&lt;=301,G222/3,G222/4))))</f>
        <v>17693.109719999997</v>
      </c>
      <c r="I222" s="36"/>
      <c r="L222" s="120"/>
      <c r="M222" s="120"/>
      <c r="N222" s="36"/>
    </row>
    <row r="223" spans="1:14" s="99" customFormat="1" hidden="1" x14ac:dyDescent="0.35">
      <c r="A223" s="114" t="s">
        <v>395</v>
      </c>
      <c r="B223" s="115"/>
      <c r="C223" s="115"/>
      <c r="D223" s="115"/>
      <c r="E223" s="115"/>
      <c r="F223" s="115"/>
      <c r="G223" s="115"/>
      <c r="H223" s="116"/>
      <c r="J223" s="36"/>
    </row>
    <row r="224" spans="1:14" s="99" customFormat="1" ht="15.75" hidden="1" customHeight="1" x14ac:dyDescent="0.35">
      <c r="A224" s="117">
        <v>1</v>
      </c>
      <c r="B224" s="118"/>
      <c r="C224" s="98" t="s">
        <v>393</v>
      </c>
      <c r="D224" s="98">
        <f>(1167.37)*10.764</f>
        <v>12565.570679999999</v>
      </c>
      <c r="E224" s="98">
        <v>0</v>
      </c>
      <c r="F224" s="98">
        <f>D224+E224</f>
        <v>12565.570679999999</v>
      </c>
      <c r="G224" s="98">
        <v>0</v>
      </c>
      <c r="H224" s="98">
        <f>F224*(($H$158)+1)+(IF(G224&lt;101,G224,IF(G224&lt;201,G224/2,IF(G224&lt;=301,G224/3,G224/4))))</f>
        <v>18848.356019999999</v>
      </c>
      <c r="I224" s="36"/>
      <c r="L224" s="120"/>
      <c r="M224" s="120"/>
      <c r="N224" s="36"/>
    </row>
    <row r="225" spans="1:14" s="99" customFormat="1" hidden="1" x14ac:dyDescent="0.35">
      <c r="A225" s="114" t="s">
        <v>396</v>
      </c>
      <c r="B225" s="115"/>
      <c r="C225" s="115"/>
      <c r="D225" s="115"/>
      <c r="E225" s="115"/>
      <c r="F225" s="115"/>
      <c r="G225" s="115"/>
      <c r="H225" s="116"/>
      <c r="J225" s="36"/>
    </row>
    <row r="226" spans="1:14" s="99" customFormat="1" ht="15.75" hidden="1" customHeight="1" x14ac:dyDescent="0.35">
      <c r="A226" s="117">
        <v>1</v>
      </c>
      <c r="B226" s="118"/>
      <c r="C226" s="98" t="s">
        <v>393</v>
      </c>
      <c r="D226" s="98">
        <f>(1095.82)*10.764</f>
        <v>11795.406479999998</v>
      </c>
      <c r="E226" s="98">
        <v>0</v>
      </c>
      <c r="F226" s="98">
        <f>D226+E226</f>
        <v>11795.406479999998</v>
      </c>
      <c r="G226" s="98">
        <v>0</v>
      </c>
      <c r="H226" s="98">
        <f>F226*(($H$158)+1)+(IF(G226&lt;101,G226,IF(G226&lt;201,G226/2,IF(G226&lt;=301,G226/3,G226/4))))</f>
        <v>17693.109719999997</v>
      </c>
      <c r="I226" s="36"/>
      <c r="L226" s="120"/>
      <c r="M226" s="120"/>
      <c r="N226" s="36"/>
    </row>
    <row r="227" spans="1:14" s="99" customFormat="1" hidden="1" x14ac:dyDescent="0.35">
      <c r="A227" s="114" t="s">
        <v>397</v>
      </c>
      <c r="B227" s="115"/>
      <c r="C227" s="115"/>
      <c r="D227" s="115"/>
      <c r="E227" s="115"/>
      <c r="F227" s="115"/>
      <c r="G227" s="115"/>
      <c r="H227" s="116"/>
      <c r="J227" s="36"/>
    </row>
    <row r="228" spans="1:14" s="99" customFormat="1" ht="15.75" hidden="1" customHeight="1" x14ac:dyDescent="0.35">
      <c r="A228" s="117">
        <v>1</v>
      </c>
      <c r="B228" s="118"/>
      <c r="C228" s="98" t="s">
        <v>393</v>
      </c>
      <c r="D228" s="98">
        <f>(1167.37)*10.764</f>
        <v>12565.570679999999</v>
      </c>
      <c r="E228" s="98">
        <v>0</v>
      </c>
      <c r="F228" s="98">
        <f>D228+E228</f>
        <v>12565.570679999999</v>
      </c>
      <c r="G228" s="98">
        <v>0</v>
      </c>
      <c r="H228" s="98">
        <f>F228*(($H$158)+1)+(IF(G228&lt;101,G228,IF(G228&lt;201,G228/2,IF(G228&lt;=301,G228/3,G228/4))))</f>
        <v>18848.356019999999</v>
      </c>
      <c r="I228" s="36"/>
      <c r="L228" s="120"/>
      <c r="M228" s="120"/>
      <c r="N228" s="36"/>
    </row>
    <row r="229" spans="1:14" s="99" customFormat="1" hidden="1" x14ac:dyDescent="0.35">
      <c r="A229" s="114" t="s">
        <v>398</v>
      </c>
      <c r="B229" s="115"/>
      <c r="C229" s="115"/>
      <c r="D229" s="115"/>
      <c r="E229" s="115"/>
      <c r="F229" s="115"/>
      <c r="G229" s="115"/>
      <c r="H229" s="116"/>
      <c r="J229" s="36"/>
    </row>
    <row r="230" spans="1:14" s="99" customFormat="1" ht="15.75" hidden="1" customHeight="1" x14ac:dyDescent="0.35">
      <c r="A230" s="117">
        <v>1</v>
      </c>
      <c r="B230" s="118"/>
      <c r="C230" s="98" t="s">
        <v>393</v>
      </c>
      <c r="D230" s="98">
        <f>(1095.82)*10.764</f>
        <v>11795.406479999998</v>
      </c>
      <c r="E230" s="98">
        <v>0</v>
      </c>
      <c r="F230" s="98">
        <f>D230+E230</f>
        <v>11795.406479999998</v>
      </c>
      <c r="G230" s="98">
        <v>0</v>
      </c>
      <c r="H230" s="98">
        <f>F230*(($H$158)+1)+(IF(G230&lt;101,G230,IF(G230&lt;201,G230/2,IF(G230&lt;=301,G230/3,G230/4))))</f>
        <v>17693.109719999997</v>
      </c>
      <c r="I230" s="36"/>
      <c r="L230" s="120"/>
      <c r="M230" s="120"/>
      <c r="N230" s="36"/>
    </row>
    <row r="231" spans="1:14" s="99" customFormat="1" hidden="1" x14ac:dyDescent="0.35">
      <c r="A231" s="121" t="s">
        <v>407</v>
      </c>
      <c r="B231" s="122"/>
      <c r="C231" s="122"/>
      <c r="D231" s="122"/>
      <c r="E231" s="122"/>
      <c r="F231" s="122"/>
      <c r="G231" s="122"/>
      <c r="H231" s="123"/>
      <c r="J231" s="36"/>
    </row>
    <row r="232" spans="1:14" s="99" customFormat="1" hidden="1" x14ac:dyDescent="0.35">
      <c r="A232" s="114" t="s">
        <v>390</v>
      </c>
      <c r="B232" s="115"/>
      <c r="C232" s="115"/>
      <c r="D232" s="115"/>
      <c r="E232" s="115"/>
      <c r="F232" s="115"/>
      <c r="G232" s="115"/>
      <c r="H232" s="116"/>
      <c r="J232" s="36"/>
    </row>
    <row r="233" spans="1:14" s="99" customFormat="1" hidden="1" x14ac:dyDescent="0.35">
      <c r="A233" s="114" t="s">
        <v>410</v>
      </c>
      <c r="B233" s="115"/>
      <c r="C233" s="115"/>
      <c r="D233" s="115"/>
      <c r="E233" s="115"/>
      <c r="F233" s="115"/>
      <c r="G233" s="115"/>
      <c r="H233" s="116"/>
      <c r="J233" s="36"/>
    </row>
    <row r="234" spans="1:14" s="99" customFormat="1" hidden="1" x14ac:dyDescent="0.35">
      <c r="A234" s="114" t="s">
        <v>391</v>
      </c>
      <c r="B234" s="115"/>
      <c r="C234" s="115"/>
      <c r="D234" s="115"/>
      <c r="E234" s="115"/>
      <c r="F234" s="115"/>
      <c r="G234" s="115"/>
      <c r="H234" s="116"/>
      <c r="J234" s="36"/>
    </row>
    <row r="235" spans="1:14" s="99" customFormat="1" hidden="1" x14ac:dyDescent="0.35">
      <c r="A235" s="114" t="s">
        <v>392</v>
      </c>
      <c r="B235" s="115"/>
      <c r="C235" s="115"/>
      <c r="D235" s="115"/>
      <c r="E235" s="115"/>
      <c r="F235" s="115"/>
      <c r="G235" s="115"/>
      <c r="H235" s="116"/>
      <c r="J235" s="36"/>
    </row>
    <row r="236" spans="1:14" s="99" customFormat="1" ht="15.75" hidden="1" customHeight="1" x14ac:dyDescent="0.35">
      <c r="A236" s="117">
        <v>1</v>
      </c>
      <c r="B236" s="118"/>
      <c r="C236" s="98" t="s">
        <v>393</v>
      </c>
      <c r="D236" s="98">
        <f>(1167.37)*10.764</f>
        <v>12565.570679999999</v>
      </c>
      <c r="E236" s="98">
        <v>0</v>
      </c>
      <c r="F236" s="98">
        <f>D236+E236</f>
        <v>12565.570679999999</v>
      </c>
      <c r="G236" s="98">
        <v>0</v>
      </c>
      <c r="H236" s="98">
        <f>F236*(($H$158)+1)+(IF(G236&lt;101,G236,IF(G236&lt;201,G236/2,IF(G236&lt;=301,G236/3,G236/4))))</f>
        <v>18848.356019999999</v>
      </c>
      <c r="I236" s="36"/>
      <c r="L236" s="120"/>
      <c r="M236" s="120"/>
      <c r="N236" s="36"/>
    </row>
    <row r="237" spans="1:14" s="99" customFormat="1" hidden="1" x14ac:dyDescent="0.35">
      <c r="A237" s="121" t="s">
        <v>408</v>
      </c>
      <c r="B237" s="122"/>
      <c r="C237" s="122"/>
      <c r="D237" s="122"/>
      <c r="E237" s="122"/>
      <c r="F237" s="122"/>
      <c r="G237" s="122"/>
      <c r="H237" s="123"/>
      <c r="J237" s="36"/>
    </row>
    <row r="238" spans="1:14" s="99" customFormat="1" hidden="1" x14ac:dyDescent="0.35">
      <c r="A238" s="114" t="s">
        <v>390</v>
      </c>
      <c r="B238" s="115"/>
      <c r="C238" s="115"/>
      <c r="D238" s="115"/>
      <c r="E238" s="115"/>
      <c r="F238" s="115"/>
      <c r="G238" s="115"/>
      <c r="H238" s="116"/>
      <c r="J238" s="36"/>
    </row>
    <row r="239" spans="1:14" s="99" customFormat="1" hidden="1" x14ac:dyDescent="0.35">
      <c r="A239" s="114" t="s">
        <v>411</v>
      </c>
      <c r="B239" s="115"/>
      <c r="C239" s="115"/>
      <c r="D239" s="115"/>
      <c r="E239" s="115"/>
      <c r="F239" s="115"/>
      <c r="G239" s="115"/>
      <c r="H239" s="116"/>
      <c r="J239" s="36"/>
    </row>
    <row r="240" spans="1:14" s="99" customFormat="1" hidden="1" x14ac:dyDescent="0.35">
      <c r="A240" s="114" t="s">
        <v>391</v>
      </c>
      <c r="B240" s="115"/>
      <c r="C240" s="115"/>
      <c r="D240" s="115"/>
      <c r="E240" s="115"/>
      <c r="F240" s="115"/>
      <c r="G240" s="115"/>
      <c r="H240" s="116"/>
      <c r="J240" s="36"/>
    </row>
    <row r="241" spans="1:20" s="99" customFormat="1" hidden="1" x14ac:dyDescent="0.35">
      <c r="A241" s="114" t="s">
        <v>392</v>
      </c>
      <c r="B241" s="115"/>
      <c r="C241" s="115"/>
      <c r="D241" s="115"/>
      <c r="E241" s="115"/>
      <c r="F241" s="115"/>
      <c r="G241" s="115"/>
      <c r="H241" s="116"/>
      <c r="J241" s="36"/>
    </row>
    <row r="242" spans="1:20" s="99" customFormat="1" ht="15.75" hidden="1" customHeight="1" x14ac:dyDescent="0.35">
      <c r="A242" s="117">
        <v>1</v>
      </c>
      <c r="B242" s="118"/>
      <c r="C242" s="98" t="s">
        <v>393</v>
      </c>
      <c r="D242" s="98">
        <f>(1167.37)*10.764</f>
        <v>12565.570679999999</v>
      </c>
      <c r="E242" s="98">
        <v>0</v>
      </c>
      <c r="F242" s="98">
        <f>D242+E242</f>
        <v>12565.570679999999</v>
      </c>
      <c r="G242" s="98">
        <v>0</v>
      </c>
      <c r="H242" s="98">
        <f>F242*(($H$158)+1)+(IF(G242&lt;101,G242,IF(G242&lt;201,G242/2,IF(G242&lt;=301,G242/3,G242/4))))</f>
        <v>18848.356019999999</v>
      </c>
      <c r="I242" s="36"/>
      <c r="L242" s="120"/>
      <c r="M242" s="120"/>
      <c r="N242" s="36"/>
    </row>
    <row r="243" spans="1:20" s="37" customFormat="1" hidden="1" x14ac:dyDescent="0.35">
      <c r="A243" s="114" t="s">
        <v>116</v>
      </c>
      <c r="B243" s="115"/>
      <c r="C243" s="115"/>
      <c r="D243" s="115"/>
      <c r="E243" s="115"/>
      <c r="F243" s="115"/>
      <c r="G243" s="115"/>
      <c r="H243" s="116"/>
      <c r="J243" s="36"/>
    </row>
    <row r="244" spans="1:20" s="37" customFormat="1" ht="15.75" hidden="1" customHeight="1" x14ac:dyDescent="0.35">
      <c r="A244" s="117">
        <v>1</v>
      </c>
      <c r="B244" s="118"/>
      <c r="C244" s="42"/>
      <c r="D244" s="42"/>
      <c r="E244" s="42">
        <v>0</v>
      </c>
      <c r="F244" s="42">
        <f>D244+E244</f>
        <v>0</v>
      </c>
      <c r="G244" s="56">
        <v>0</v>
      </c>
      <c r="H244" s="56">
        <f>F244*(($H$158)+1)+(IF(G244&lt;101,G244,IF(G244&lt;201,G244/2,IF(G244&lt;=301,G244/3,G244/4))))</f>
        <v>0</v>
      </c>
      <c r="I244" s="36"/>
      <c r="L244" s="120"/>
      <c r="M244" s="120"/>
      <c r="N244" s="36"/>
    </row>
    <row r="245" spans="1:20" s="37" customFormat="1" ht="15.75" hidden="1" customHeight="1" x14ac:dyDescent="0.35">
      <c r="A245" s="117">
        <f>A244+1</f>
        <v>2</v>
      </c>
      <c r="B245" s="118"/>
      <c r="C245" s="42"/>
      <c r="D245" s="42"/>
      <c r="E245" s="42">
        <v>0</v>
      </c>
      <c r="F245" s="56">
        <f>D245+E245</f>
        <v>0</v>
      </c>
      <c r="G245" s="56">
        <v>0</v>
      </c>
      <c r="H245" s="56">
        <f>F245*(($H$158)+1)+(IF(G245&lt;101,G245,IF(G245&lt;201,G245/2,IF(G245&lt;=301,G245/3,G245/4))))</f>
        <v>0</v>
      </c>
      <c r="I245" s="36"/>
      <c r="L245" s="120"/>
      <c r="M245" s="120"/>
      <c r="N245" s="36"/>
    </row>
    <row r="246" spans="1:20" s="37" customFormat="1" ht="15.75" hidden="1" customHeight="1" x14ac:dyDescent="0.35">
      <c r="A246" s="117">
        <f>A245+1</f>
        <v>3</v>
      </c>
      <c r="B246" s="118"/>
      <c r="C246" s="42"/>
      <c r="D246" s="42"/>
      <c r="E246" s="42">
        <v>0</v>
      </c>
      <c r="F246" s="56">
        <f>D246+E246</f>
        <v>0</v>
      </c>
      <c r="G246" s="56">
        <v>0</v>
      </c>
      <c r="H246" s="56">
        <f>F246*(($H$158)+1)+(IF(G246&lt;101,G246,IF(G246&lt;201,G246/2,IF(G246&lt;=301,G246/3,G246/4))))</f>
        <v>0</v>
      </c>
      <c r="I246" s="36"/>
      <c r="L246" s="120"/>
      <c r="M246" s="120"/>
      <c r="N246" s="36"/>
    </row>
    <row r="247" spans="1:20" s="37" customFormat="1" ht="15.75" hidden="1" customHeight="1" x14ac:dyDescent="0.35">
      <c r="A247" s="117">
        <f>A246+1</f>
        <v>4</v>
      </c>
      <c r="B247" s="118"/>
      <c r="C247" s="42"/>
      <c r="D247" s="42"/>
      <c r="E247" s="42">
        <v>0</v>
      </c>
      <c r="F247" s="56">
        <f>D247+E247</f>
        <v>0</v>
      </c>
      <c r="G247" s="56">
        <v>0</v>
      </c>
      <c r="H247" s="56">
        <f>F247*(($H$158)+1)+(IF(G247&lt;101,G247,IF(G247&lt;201,G247/2,IF(G247&lt;=301,G247/3,G247/4))))</f>
        <v>0</v>
      </c>
      <c r="I247" s="36"/>
      <c r="L247" s="120"/>
      <c r="M247" s="120"/>
      <c r="N247" s="36"/>
      <c r="T247" s="21"/>
    </row>
    <row r="248" spans="1:20" s="37" customFormat="1" hidden="1" x14ac:dyDescent="0.35">
      <c r="A248" s="131" t="s">
        <v>117</v>
      </c>
      <c r="B248" s="131"/>
      <c r="C248" s="131"/>
      <c r="D248" s="131"/>
      <c r="E248" s="131"/>
      <c r="F248" s="131"/>
      <c r="G248" s="131"/>
      <c r="H248" s="131"/>
      <c r="I248" s="36"/>
      <c r="L248" s="120"/>
      <c r="M248" s="120"/>
    </row>
    <row r="249" spans="1:20" s="37" customFormat="1" hidden="1" x14ac:dyDescent="0.35">
      <c r="A249" s="132">
        <f>LEFT(A248,SUM(LEN(A248)-LEN(SUBSTITUTE(A248,{"0","1","2","3","4","5","6","7","8","9"},""))))*100+1</f>
        <v>201</v>
      </c>
      <c r="B249" s="132"/>
      <c r="C249" s="42"/>
      <c r="D249" s="42"/>
      <c r="E249" s="56">
        <v>0</v>
      </c>
      <c r="F249" s="56">
        <f>D249+E249</f>
        <v>0</v>
      </c>
      <c r="G249" s="56">
        <v>0</v>
      </c>
      <c r="H249" s="56">
        <f>F249*(($H$158)+1)+(IF(G249&lt;101,G249,IF(G249&lt;201,G249/2,IF(G249&lt;=301,G249/3,G249/4))))</f>
        <v>0</v>
      </c>
      <c r="I249" s="36"/>
      <c r="N249" s="36"/>
    </row>
    <row r="250" spans="1:20" s="37" customFormat="1" hidden="1" x14ac:dyDescent="0.35">
      <c r="A250" s="132">
        <f>A249+1</f>
        <v>202</v>
      </c>
      <c r="B250" s="132"/>
      <c r="C250" s="42"/>
      <c r="D250" s="42"/>
      <c r="E250" s="56">
        <v>0</v>
      </c>
      <c r="F250" s="56">
        <f>D250+E250</f>
        <v>0</v>
      </c>
      <c r="G250" s="56">
        <v>0</v>
      </c>
      <c r="H250" s="56">
        <f>F250*(($H$158)+1)+(IF(G250&lt;101,G250,IF(G250&lt;201,G250/2,IF(G250&lt;=301,G250/3,G250/4))))</f>
        <v>0</v>
      </c>
      <c r="I250" s="36"/>
      <c r="N250" s="36"/>
    </row>
    <row r="251" spans="1:20" s="37" customFormat="1" hidden="1" x14ac:dyDescent="0.35">
      <c r="A251" s="132">
        <f>A250+1</f>
        <v>203</v>
      </c>
      <c r="B251" s="132"/>
      <c r="C251" s="42"/>
      <c r="D251" s="42"/>
      <c r="E251" s="56">
        <v>0</v>
      </c>
      <c r="F251" s="56">
        <f>D251+E251</f>
        <v>0</v>
      </c>
      <c r="G251" s="56">
        <v>0</v>
      </c>
      <c r="H251" s="56">
        <f>F251*(($H$158)+1)+(IF(G251&lt;101,G251,IF(G251&lt;201,G251/2,IF(G251&lt;=301,G251/3,G251/4))))</f>
        <v>0</v>
      </c>
      <c r="I251" s="36"/>
      <c r="N251" s="36"/>
    </row>
    <row r="252" spans="1:20" s="37" customFormat="1" hidden="1" x14ac:dyDescent="0.35">
      <c r="A252" s="132">
        <f>A251+1</f>
        <v>204</v>
      </c>
      <c r="B252" s="132"/>
      <c r="C252" s="42"/>
      <c r="D252" s="42"/>
      <c r="E252" s="56">
        <v>0</v>
      </c>
      <c r="F252" s="56">
        <f>D252+E252</f>
        <v>0</v>
      </c>
      <c r="G252" s="56">
        <v>0</v>
      </c>
      <c r="H252" s="56">
        <f>F252*(($H$158)+1)+(IF(G252&lt;101,G252,IF(G252&lt;201,G252/2,IF(G252&lt;=301,G252/3,G252/4))))</f>
        <v>0</v>
      </c>
      <c r="I252" s="36"/>
      <c r="N252" s="36"/>
    </row>
    <row r="253" spans="1:20" s="37" customFormat="1" hidden="1" x14ac:dyDescent="0.35">
      <c r="A253" s="132">
        <f>A252+1</f>
        <v>205</v>
      </c>
      <c r="B253" s="132"/>
      <c r="C253" s="42"/>
      <c r="D253" s="42"/>
      <c r="E253" s="56">
        <v>0</v>
      </c>
      <c r="F253" s="56">
        <f>D253+E253</f>
        <v>0</v>
      </c>
      <c r="G253" s="56">
        <v>0</v>
      </c>
      <c r="H253" s="56">
        <f>F253*(($H$158)+1)+(IF(G253&lt;101,G253,IF(G253&lt;201,G253/2,IF(G253&lt;=301,G253/3,G253/4))))</f>
        <v>0</v>
      </c>
      <c r="I253" s="36"/>
      <c r="N253" s="36"/>
    </row>
    <row r="254" spans="1:20" s="37" customFormat="1" ht="15.75" hidden="1" customHeight="1" x14ac:dyDescent="0.35">
      <c r="A254" s="114" t="s">
        <v>150</v>
      </c>
      <c r="B254" s="115"/>
      <c r="C254" s="115"/>
      <c r="D254" s="115"/>
      <c r="E254" s="115"/>
      <c r="F254" s="115"/>
      <c r="G254" s="115"/>
      <c r="H254" s="116"/>
      <c r="I254" s="36"/>
    </row>
    <row r="255" spans="1:20" s="37" customFormat="1" ht="15.75" hidden="1" customHeight="1" x14ac:dyDescent="0.35">
      <c r="A255" s="117"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10^ROW(INDIRECT("1:"&amp;LEN((LEFT(A254,SUM(LEN(A254)-LEN(SUBSTITUTE(A254,{"0","1","2"},""))))))))/10))*100+1&amp;""&amp;" ,..,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",LEN(A254))),LEN(A254)))))))/10))*100+1</f>
        <v>301 ,.., 1501</v>
      </c>
      <c r="B255" s="118"/>
      <c r="C255" s="42"/>
      <c r="D255" s="42"/>
      <c r="E255" s="56">
        <v>0</v>
      </c>
      <c r="F255" s="56">
        <f>D255+E255</f>
        <v>0</v>
      </c>
      <c r="G255" s="56">
        <v>0</v>
      </c>
      <c r="H255" s="56">
        <f>F255*(($H$158)+1)+(IF(G255&lt;101,G255,IF(G255&lt;201,G255/2,IF(G255&lt;=301,G255/3,G255/4))))</f>
        <v>0</v>
      </c>
      <c r="I255" s="36"/>
    </row>
    <row r="256" spans="1:20" s="37" customFormat="1" ht="15.75" hidden="1" customHeight="1" x14ac:dyDescent="0.35">
      <c r="A256" s="117"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302 ,.., 1502</v>
      </c>
      <c r="B256" s="118"/>
      <c r="C256" s="42"/>
      <c r="D256" s="42"/>
      <c r="E256" s="56">
        <v>0</v>
      </c>
      <c r="F256" s="56">
        <f>D256+E256</f>
        <v>0</v>
      </c>
      <c r="G256" s="56">
        <v>0</v>
      </c>
      <c r="H256" s="56">
        <f>F256*(($H$158)+1)+(IF(G256&lt;101,G256,IF(G256&lt;201,G256/2,IF(G256&lt;=301,G256/3,G256/4))))</f>
        <v>0</v>
      </c>
      <c r="I256" s="36"/>
    </row>
    <row r="257" spans="1:20" s="37" customFormat="1" ht="15.75" hidden="1" customHeight="1" x14ac:dyDescent="0.35">
      <c r="A257" s="117"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303 ,.., 1503</v>
      </c>
      <c r="B257" s="118"/>
      <c r="C257" s="42"/>
      <c r="D257" s="42"/>
      <c r="E257" s="56">
        <v>0</v>
      </c>
      <c r="F257" s="56">
        <f>D257+E257</f>
        <v>0</v>
      </c>
      <c r="G257" s="56">
        <v>0</v>
      </c>
      <c r="H257" s="56">
        <f>F257*(($H$158)+1)+(IF(G257&lt;101,G257,IF(G257&lt;201,G257/2,IF(G257&lt;=301,G257/3,G257/4))))</f>
        <v>0</v>
      </c>
      <c r="I257" s="36"/>
    </row>
    <row r="258" spans="1:20" s="37" customFormat="1" ht="15.75" hidden="1" customHeight="1" x14ac:dyDescent="0.35">
      <c r="A258" s="117"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304 ,.., 1504</v>
      </c>
      <c r="B258" s="118"/>
      <c r="C258" s="42"/>
      <c r="D258" s="42"/>
      <c r="E258" s="56">
        <v>0</v>
      </c>
      <c r="F258" s="56">
        <f>D258+E258</f>
        <v>0</v>
      </c>
      <c r="G258" s="56">
        <v>0</v>
      </c>
      <c r="H258" s="56">
        <f>F258*(($H$158)+1)+(IF(G258&lt;101,G258,IF(G258&lt;201,G258/2,IF(G258&lt;=301,G258/3,G258/4))))</f>
        <v>0</v>
      </c>
      <c r="I258" s="36"/>
    </row>
    <row r="259" spans="1:20" s="37" customFormat="1" ht="15.75" hidden="1" customHeight="1" x14ac:dyDescent="0.35">
      <c r="A259" s="117"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10^ROW(INDIRECT("1:"&amp;LEN((LEFT(A258,SUM(LEN(A258)-LEN(SUBSTITUTE(A258,{"0","1","2"},""))))))))/10))*1+1&amp;""&amp;" ,..,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",LEN(A258))),LEN(A258)))))))/10))*1+1</f>
        <v>305 ,.., 1505</v>
      </c>
      <c r="B259" s="118"/>
      <c r="C259" s="42"/>
      <c r="D259" s="42"/>
      <c r="E259" s="56">
        <v>0</v>
      </c>
      <c r="F259" s="56">
        <f>D259+E259</f>
        <v>0</v>
      </c>
      <c r="G259" s="56">
        <v>0</v>
      </c>
      <c r="H259" s="56">
        <f>F259*(($H$158)+1)+(IF(G259&lt;101,G259,IF(G259&lt;201,G259/2,IF(G259&lt;=301,G259/3,G259/4))))</f>
        <v>0</v>
      </c>
      <c r="I259" s="36"/>
    </row>
    <row r="260" spans="1:20" s="37" customFormat="1" hidden="1" x14ac:dyDescent="0.35">
      <c r="A260" s="114" t="s">
        <v>144</v>
      </c>
      <c r="B260" s="115"/>
      <c r="C260" s="115"/>
      <c r="D260" s="115"/>
      <c r="E260" s="115"/>
      <c r="F260" s="115"/>
      <c r="G260" s="115"/>
      <c r="H260" s="116"/>
      <c r="I260" s="36"/>
    </row>
    <row r="261" spans="1:20" s="37" customFormat="1" ht="15.75" hidden="1" customHeight="1" x14ac:dyDescent="0.35">
      <c r="A261" s="117"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10^ROW(INDIRECT("1:"&amp;LEN((LEFT(A260,SUM(LEN(A260)-LEN(SUBSTITUTE(A260,{"0","1","2"},""))))))))/10))*100+1&amp;""&amp;" to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",LEN(A260))),LEN(A260)))))))/10))*100+1</f>
        <v>201 to 501</v>
      </c>
      <c r="B261" s="118"/>
      <c r="C261" s="42"/>
      <c r="D261" s="42"/>
      <c r="E261" s="56">
        <v>0</v>
      </c>
      <c r="F261" s="56">
        <f>D261+E261</f>
        <v>0</v>
      </c>
      <c r="G261" s="56">
        <v>0</v>
      </c>
      <c r="H261" s="56">
        <f>F261*(($H$158)+1)+(IF(G261&lt;101,G261,IF(G261&lt;201,G261/2,IF(G261&lt;=301,G261/3,G261/4))))</f>
        <v>0</v>
      </c>
      <c r="I261" s="36"/>
    </row>
    <row r="262" spans="1:20" s="37" customFormat="1" ht="15.75" hidden="1" customHeight="1" x14ac:dyDescent="0.35">
      <c r="A262" s="117"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to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202 to 502</v>
      </c>
      <c r="B262" s="118"/>
      <c r="C262" s="42"/>
      <c r="D262" s="42"/>
      <c r="E262" s="56">
        <v>0</v>
      </c>
      <c r="F262" s="56">
        <f>D262+E262</f>
        <v>0</v>
      </c>
      <c r="G262" s="56">
        <v>0</v>
      </c>
      <c r="H262" s="56">
        <f>F262*(($H$158)+1)+(IF(G262&lt;101,G262,IF(G262&lt;201,G262/2,IF(G262&lt;=301,G262/3,G262/4))))</f>
        <v>0</v>
      </c>
      <c r="I262" s="36"/>
    </row>
    <row r="263" spans="1:20" s="37" customFormat="1" ht="15.75" hidden="1" customHeight="1" x14ac:dyDescent="0.35">
      <c r="A263" s="117"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to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203 to 503</v>
      </c>
      <c r="B263" s="118"/>
      <c r="C263" s="42"/>
      <c r="D263" s="42"/>
      <c r="E263" s="56">
        <v>0</v>
      </c>
      <c r="F263" s="56">
        <f>D263+E263</f>
        <v>0</v>
      </c>
      <c r="G263" s="56">
        <v>0</v>
      </c>
      <c r="H263" s="56">
        <f>F263*(($H$158)+1)+(IF(G263&lt;101,G263,IF(G263&lt;201,G263/2,IF(G263&lt;=301,G263/3,G263/4))))</f>
        <v>0</v>
      </c>
      <c r="I263" s="36"/>
    </row>
    <row r="264" spans="1:20" s="37" customFormat="1" ht="15.75" hidden="1" customHeight="1" x14ac:dyDescent="0.35">
      <c r="A264" s="117"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to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204 to 504</v>
      </c>
      <c r="B264" s="118"/>
      <c r="C264" s="42"/>
      <c r="D264" s="42"/>
      <c r="E264" s="56">
        <v>0</v>
      </c>
      <c r="F264" s="56">
        <f>D264+E264</f>
        <v>0</v>
      </c>
      <c r="G264" s="56">
        <v>0</v>
      </c>
      <c r="H264" s="56">
        <f>F264*(($H$158)+1)+(IF(G264&lt;101,G264,IF(G264&lt;201,G264/2,IF(G264&lt;=301,G264/3,G264/4))))</f>
        <v>0</v>
      </c>
      <c r="I264" s="36"/>
    </row>
    <row r="265" spans="1:20" s="37" customFormat="1" ht="15.75" hidden="1" customHeight="1" x14ac:dyDescent="0.35">
      <c r="A265" s="117"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10^ROW(INDIRECT("1:"&amp;LEN((LEFT(A264,SUM(LEN(A264)-LEN(SUBSTITUTE(A264,{"0","1","2"},""))))))))/10))*1+1&amp;""&amp;" to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",LEN(A264))),LEN(A264)))))))/10))*1+1</f>
        <v>205 to 505</v>
      </c>
      <c r="B265" s="118"/>
      <c r="C265" s="42"/>
      <c r="D265" s="42"/>
      <c r="E265" s="56">
        <v>0</v>
      </c>
      <c r="F265" s="56">
        <f>D265+E265</f>
        <v>0</v>
      </c>
      <c r="G265" s="56">
        <v>0</v>
      </c>
      <c r="H265" s="56">
        <f>F265*(($H$158)+1)+(IF(G265&lt;101,G265,IF(G265&lt;201,G265/2,IF(G265&lt;=301,G265/3,G265/4))))</f>
        <v>0</v>
      </c>
      <c r="I265" s="36"/>
    </row>
    <row r="266" spans="1:20" s="37" customFormat="1" hidden="1" x14ac:dyDescent="0.35">
      <c r="A266" s="114" t="s">
        <v>145</v>
      </c>
      <c r="B266" s="115"/>
      <c r="C266" s="115"/>
      <c r="D266" s="115"/>
      <c r="E266" s="115"/>
      <c r="F266" s="115"/>
      <c r="G266" s="115"/>
      <c r="H266" s="116"/>
      <c r="I266" s="36"/>
    </row>
    <row r="267" spans="1:20" s="37" customFormat="1" ht="15.75" hidden="1" customHeight="1" x14ac:dyDescent="0.35">
      <c r="A267" s="117"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10^ROW(INDIRECT("1:"&amp;LEN((LEFT(A266,SUM(LEN(A266)-LEN(SUBSTITUTE(A266,{"0","1","2"},""))))))))/10))*100+1&amp;""&amp;" &amp;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",LEN(A266))),LEN(A266)))))))/10))*100+1</f>
        <v>201 &amp; 501</v>
      </c>
      <c r="B267" s="118"/>
      <c r="C267" s="42"/>
      <c r="D267" s="42"/>
      <c r="E267" s="56">
        <v>0</v>
      </c>
      <c r="F267" s="56">
        <f>D267+E267</f>
        <v>0</v>
      </c>
      <c r="G267" s="56">
        <v>0</v>
      </c>
      <c r="H267" s="56">
        <f>F267*(($H$158)+1)+(IF(G267&lt;101,G267,IF(G267&lt;201,G267/2,IF(G267&lt;=301,G267/3,G267/4))))</f>
        <v>0</v>
      </c>
      <c r="I267" s="36"/>
    </row>
    <row r="268" spans="1:20" s="37" customFormat="1" ht="15.75" hidden="1" customHeight="1" x14ac:dyDescent="0.35">
      <c r="A268" s="117"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10^ROW(INDIRECT("1:"&amp;LEN((LEFT(A267,SUM(LEN(A267)-LEN(SUBSTITUTE(A267,{"0","1","2"},""))))))))/10))*1+1&amp;""&amp;" &amp;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",LEN(A267))),LEN(A267)))))))/10))*1+1</f>
        <v>202 &amp; 502</v>
      </c>
      <c r="B268" s="118"/>
      <c r="C268" s="42"/>
      <c r="D268" s="42"/>
      <c r="E268" s="56">
        <v>0</v>
      </c>
      <c r="F268" s="56">
        <f>D268+E268</f>
        <v>0</v>
      </c>
      <c r="G268" s="56">
        <v>0</v>
      </c>
      <c r="H268" s="56">
        <f>F268*(($H$158)+1)+(IF(G268&lt;101,G268,IF(G268&lt;201,G268/2,IF(G268&lt;=301,G268/3,G268/4))))</f>
        <v>0</v>
      </c>
      <c r="I268" s="36"/>
    </row>
    <row r="269" spans="1:20" s="37" customFormat="1" ht="15.75" hidden="1" customHeight="1" x14ac:dyDescent="0.35">
      <c r="A269" s="117"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&amp;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203 &amp; 503</v>
      </c>
      <c r="B269" s="118"/>
      <c r="C269" s="42"/>
      <c r="D269" s="42"/>
      <c r="E269" s="56">
        <v>0</v>
      </c>
      <c r="F269" s="56">
        <f>D269+E269</f>
        <v>0</v>
      </c>
      <c r="G269" s="56">
        <v>0</v>
      </c>
      <c r="H269" s="56">
        <f>F269*(($H$158)+1)+(IF(G269&lt;101,G269,IF(G269&lt;201,G269/2,IF(G269&lt;=301,G269/3,G269/4))))</f>
        <v>0</v>
      </c>
      <c r="I269" s="36"/>
    </row>
    <row r="270" spans="1:20" s="37" customFormat="1" ht="15.75" hidden="1" customHeight="1" x14ac:dyDescent="0.35">
      <c r="A270" s="117"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&amp;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204 &amp; 504</v>
      </c>
      <c r="B270" s="118"/>
      <c r="C270" s="42"/>
      <c r="D270" s="42"/>
      <c r="E270" s="56">
        <v>0</v>
      </c>
      <c r="F270" s="56">
        <f>D270+E270</f>
        <v>0</v>
      </c>
      <c r="G270" s="56">
        <v>0</v>
      </c>
      <c r="H270" s="56">
        <f>F270*(($H$158)+1)+(IF(G270&lt;101,G270,IF(G270&lt;201,G270/2,IF(G270&lt;=301,G270/3,G270/4))))</f>
        <v>0</v>
      </c>
      <c r="I270" s="36"/>
    </row>
    <row r="271" spans="1:20" s="37" customFormat="1" ht="15.75" hidden="1" customHeight="1" x14ac:dyDescent="0.35">
      <c r="A271" s="117"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&amp;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205 &amp; 505</v>
      </c>
      <c r="B271" s="118"/>
      <c r="C271" s="42"/>
      <c r="D271" s="42"/>
      <c r="E271" s="56">
        <v>0</v>
      </c>
      <c r="F271" s="56">
        <f>D271+E271</f>
        <v>0</v>
      </c>
      <c r="G271" s="56">
        <v>0</v>
      </c>
      <c r="H271" s="56">
        <f>F271*(($H$158)+1)+(IF(G271&lt;101,G271,IF(G271&lt;201,G271/2,IF(G271&lt;=301,G271/3,G271/4))))</f>
        <v>0</v>
      </c>
      <c r="I271" s="36"/>
    </row>
    <row r="272" spans="1:20" s="35" customFormat="1" x14ac:dyDescent="0.35">
      <c r="A272" s="165" t="s">
        <v>64</v>
      </c>
      <c r="B272" s="165"/>
      <c r="C272" s="165"/>
      <c r="D272" s="165"/>
      <c r="E272" s="165"/>
      <c r="F272" s="165"/>
      <c r="G272" s="165"/>
      <c r="H272" s="165"/>
      <c r="T272" s="37"/>
    </row>
    <row r="273" spans="1:20" s="35" customFormat="1" ht="48" customHeight="1" x14ac:dyDescent="0.35">
      <c r="A273" s="46" t="s">
        <v>154</v>
      </c>
      <c r="B273" s="190" t="s">
        <v>446</v>
      </c>
      <c r="C273" s="191"/>
      <c r="D273" s="191"/>
      <c r="E273" s="191"/>
      <c r="F273" s="191"/>
      <c r="G273" s="191"/>
      <c r="H273" s="192"/>
      <c r="T273" s="37"/>
    </row>
    <row r="274" spans="1:20" s="35" customFormat="1" x14ac:dyDescent="0.35">
      <c r="A274" s="46" t="s">
        <v>154</v>
      </c>
      <c r="B274" s="124" t="str">
        <f>(IF(H157="Saleable area Loading :","We have considered Saleable area of Flats as per our Calculation.","We considered Saleable area of Flat as per Builder area Sheet."))</f>
        <v>We have considered Saleable area of Flats as per our Calculation.</v>
      </c>
      <c r="C274" s="125"/>
      <c r="D274" s="125"/>
      <c r="E274" s="125"/>
      <c r="F274" s="125"/>
      <c r="G274" s="125"/>
      <c r="H274" s="126"/>
      <c r="T274" s="37"/>
    </row>
    <row r="275" spans="1:20" s="35" customFormat="1" hidden="1" x14ac:dyDescent="0.35">
      <c r="A275" s="46" t="s">
        <v>154</v>
      </c>
      <c r="B275" s="157" t="str">
        <f>(IF(H149="Saleable area Loading :","We have considered Saleable area of Commercial as per our Calculation.","We considered Saleable area of Commercial as per Builder area Sheet."))</f>
        <v>We have considered Saleable area of Commercial as per our Calculation.</v>
      </c>
      <c r="C275" s="158"/>
      <c r="D275" s="158"/>
      <c r="E275" s="158"/>
      <c r="F275" s="158"/>
      <c r="G275" s="158"/>
      <c r="H275" s="159"/>
      <c r="T275" s="37"/>
    </row>
    <row r="276" spans="1:20" s="35" customFormat="1" x14ac:dyDescent="0.35">
      <c r="A276" s="46" t="s">
        <v>154</v>
      </c>
      <c r="B276" s="198" t="s">
        <v>121</v>
      </c>
      <c r="C276" s="199"/>
      <c r="D276" s="199"/>
      <c r="E276" s="199"/>
      <c r="F276" s="199"/>
      <c r="G276" s="199"/>
      <c r="H276" s="200"/>
      <c r="T276" s="37"/>
    </row>
    <row r="277" spans="1:20" s="35" customFormat="1" x14ac:dyDescent="0.35">
      <c r="A277" s="46" t="s">
        <v>154</v>
      </c>
      <c r="B277" s="190" t="s">
        <v>412</v>
      </c>
      <c r="C277" s="191"/>
      <c r="D277" s="191"/>
      <c r="E277" s="191"/>
      <c r="F277" s="191"/>
      <c r="G277" s="191"/>
      <c r="H277" s="192"/>
      <c r="T277" s="37"/>
    </row>
    <row r="278" spans="1:20" s="35" customFormat="1" x14ac:dyDescent="0.35">
      <c r="A278" s="46" t="s">
        <v>154</v>
      </c>
      <c r="B278" s="198" t="s">
        <v>153</v>
      </c>
      <c r="C278" s="199"/>
      <c r="D278" s="199"/>
      <c r="E278" s="199"/>
      <c r="F278" s="199"/>
      <c r="G278" s="199"/>
      <c r="H278" s="200"/>
    </row>
    <row r="279" spans="1:20" s="35" customFormat="1" x14ac:dyDescent="0.35">
      <c r="A279" s="46" t="s">
        <v>154</v>
      </c>
      <c r="B279" s="198" t="s">
        <v>122</v>
      </c>
      <c r="C279" s="199"/>
      <c r="D279" s="199"/>
      <c r="E279" s="199"/>
      <c r="F279" s="199"/>
      <c r="G279" s="199"/>
      <c r="H279" s="200"/>
    </row>
    <row r="280" spans="1:20" s="35" customFormat="1" ht="30.75" customHeight="1" x14ac:dyDescent="0.35">
      <c r="A280" s="46" t="s">
        <v>154</v>
      </c>
      <c r="B280" s="190" t="s">
        <v>155</v>
      </c>
      <c r="C280" s="191"/>
      <c r="D280" s="191"/>
      <c r="E280" s="191"/>
      <c r="F280" s="191"/>
      <c r="G280" s="191"/>
      <c r="H280" s="192"/>
    </row>
    <row r="281" spans="1:20" s="35" customFormat="1" x14ac:dyDescent="0.35">
      <c r="A281" s="46" t="s">
        <v>154</v>
      </c>
      <c r="B281" s="198" t="s">
        <v>123</v>
      </c>
      <c r="C281" s="199"/>
      <c r="D281" s="199"/>
      <c r="E281" s="199"/>
      <c r="F281" s="199"/>
      <c r="G281" s="199"/>
      <c r="H281" s="200"/>
    </row>
    <row r="282" spans="1:20" s="35" customFormat="1" ht="32.25" hidden="1" customHeight="1" x14ac:dyDescent="0.35">
      <c r="A282" s="53" t="s">
        <v>154</v>
      </c>
      <c r="B282" s="157" t="s">
        <v>182</v>
      </c>
      <c r="C282" s="158"/>
      <c r="D282" s="158"/>
      <c r="E282" s="158"/>
      <c r="F282" s="158"/>
      <c r="G282" s="158"/>
      <c r="H282" s="159"/>
    </row>
    <row r="283" spans="1:20" s="35" customFormat="1" ht="38.25" hidden="1" customHeight="1" x14ac:dyDescent="0.35">
      <c r="A283" s="57" t="s">
        <v>154</v>
      </c>
      <c r="B283" s="157" t="s">
        <v>356</v>
      </c>
      <c r="C283" s="158"/>
      <c r="D283" s="158"/>
      <c r="E283" s="158"/>
      <c r="F283" s="158"/>
      <c r="G283" s="158"/>
      <c r="H283" s="159"/>
    </row>
    <row r="284" spans="1:20" s="35" customFormat="1" x14ac:dyDescent="0.35">
      <c r="A284" s="91" t="s">
        <v>154</v>
      </c>
      <c r="B284" s="124" t="s">
        <v>358</v>
      </c>
      <c r="C284" s="125"/>
      <c r="D284" s="125"/>
      <c r="E284" s="125"/>
      <c r="F284" s="125"/>
      <c r="G284" s="125"/>
      <c r="H284" s="126"/>
    </row>
    <row r="285" spans="1:20" s="35" customFormat="1" hidden="1" x14ac:dyDescent="0.35">
      <c r="A285" s="91" t="s">
        <v>154</v>
      </c>
      <c r="B285" s="157" t="str">
        <f ca="1">IF(G53&gt;EDATE(E3,-48),"NO REMARK FOR CC","REMARK FOR CC")</f>
        <v>NO REMARK FOR CC</v>
      </c>
      <c r="C285" s="158"/>
      <c r="D285" s="158"/>
      <c r="E285" s="158"/>
      <c r="F285" s="158"/>
      <c r="G285" s="158"/>
      <c r="H285" s="159"/>
    </row>
    <row r="286" spans="1:20" s="35" customFormat="1" ht="81.75" hidden="1" customHeight="1" x14ac:dyDescent="0.35">
      <c r="A286" s="92" t="s">
        <v>154</v>
      </c>
      <c r="B286" s="157" t="s">
        <v>359</v>
      </c>
      <c r="C286" s="158"/>
      <c r="D286" s="158"/>
      <c r="E286" s="158"/>
      <c r="F286" s="158"/>
      <c r="G286" s="158"/>
      <c r="H286" s="159"/>
    </row>
    <row r="287" spans="1:20" s="35" customFormat="1" ht="32.25" customHeight="1" x14ac:dyDescent="0.35">
      <c r="A287" s="97" t="s">
        <v>154</v>
      </c>
      <c r="B287" s="124" t="s">
        <v>437</v>
      </c>
      <c r="C287" s="125"/>
      <c r="D287" s="125"/>
      <c r="E287" s="125"/>
      <c r="F287" s="125"/>
      <c r="G287" s="125"/>
      <c r="H287" s="126"/>
    </row>
    <row r="288" spans="1:20" x14ac:dyDescent="0.35">
      <c r="A288" s="207" t="s">
        <v>57</v>
      </c>
      <c r="B288" s="207"/>
      <c r="C288" s="207"/>
      <c r="D288" s="207"/>
      <c r="E288" s="207"/>
      <c r="F288" s="207"/>
      <c r="G288" s="207"/>
      <c r="H288" s="207"/>
      <c r="T288" s="35"/>
    </row>
    <row r="289" spans="1:20" x14ac:dyDescent="0.35">
      <c r="A289" s="138" t="s">
        <v>58</v>
      </c>
      <c r="B289" s="138"/>
      <c r="C289" s="138"/>
      <c r="D289" s="138"/>
      <c r="E289" s="138"/>
      <c r="F289" s="138"/>
      <c r="G289" s="138"/>
      <c r="H289" s="138"/>
      <c r="T289" s="35"/>
    </row>
    <row r="290" spans="1:20" ht="15.75" customHeight="1" x14ac:dyDescent="0.35">
      <c r="A290" s="184" t="s">
        <v>59</v>
      </c>
      <c r="B290" s="184"/>
      <c r="C290" s="184"/>
      <c r="D290" s="184"/>
      <c r="E290" s="184"/>
      <c r="F290" s="184"/>
      <c r="G290" s="184"/>
      <c r="H290" s="184"/>
      <c r="T290" s="35"/>
    </row>
    <row r="291" spans="1:20" x14ac:dyDescent="0.35">
      <c r="A291" s="138" t="s">
        <v>60</v>
      </c>
      <c r="B291" s="138"/>
      <c r="C291" s="138"/>
      <c r="D291" s="138"/>
      <c r="E291" s="138"/>
      <c r="F291" s="138"/>
      <c r="G291" s="138"/>
      <c r="H291" s="138"/>
      <c r="T291" s="35"/>
    </row>
    <row r="292" spans="1:20" x14ac:dyDescent="0.35">
      <c r="A292" s="138" t="s">
        <v>61</v>
      </c>
      <c r="B292" s="138"/>
      <c r="C292" s="138"/>
      <c r="D292" s="138"/>
      <c r="E292" s="138"/>
      <c r="F292" s="138"/>
      <c r="G292" s="138"/>
      <c r="H292" s="138"/>
      <c r="T292" s="35"/>
    </row>
    <row r="293" spans="1:20" x14ac:dyDescent="0.35">
      <c r="A293" s="138" t="s">
        <v>124</v>
      </c>
      <c r="B293" s="138"/>
      <c r="C293" s="138"/>
      <c r="D293" s="138"/>
      <c r="E293" s="138"/>
      <c r="F293" s="138"/>
      <c r="G293" s="138"/>
      <c r="H293" s="138"/>
      <c r="T293" s="35"/>
    </row>
    <row r="294" spans="1:20" x14ac:dyDescent="0.35">
      <c r="A294" s="152" t="s">
        <v>125</v>
      </c>
      <c r="B294" s="152"/>
      <c r="C294" s="152"/>
      <c r="D294" s="152"/>
      <c r="E294" s="152"/>
      <c r="F294" s="152"/>
      <c r="G294" s="152"/>
      <c r="H294" s="152"/>
    </row>
    <row r="295" spans="1:20" x14ac:dyDescent="0.35">
      <c r="A295" s="203" t="s">
        <v>73</v>
      </c>
      <c r="B295" s="203"/>
      <c r="C295" s="203" t="s">
        <v>413</v>
      </c>
      <c r="D295" s="203"/>
      <c r="E295" s="203" t="s">
        <v>103</v>
      </c>
      <c r="F295" s="203"/>
      <c r="G295" s="204" t="s">
        <v>445</v>
      </c>
      <c r="H295" s="204"/>
    </row>
    <row r="296" spans="1:20" x14ac:dyDescent="0.35">
      <c r="A296" s="202" t="s">
        <v>75</v>
      </c>
      <c r="B296" s="202"/>
      <c r="C296" s="202"/>
      <c r="D296" s="202"/>
      <c r="E296" s="202"/>
      <c r="F296" s="202"/>
      <c r="G296" s="202"/>
      <c r="H296" s="202"/>
    </row>
    <row r="297" spans="1:20" x14ac:dyDescent="0.35">
      <c r="A297" s="202"/>
      <c r="B297" s="202"/>
      <c r="C297" s="202"/>
      <c r="D297" s="202"/>
      <c r="E297" s="202"/>
      <c r="F297" s="202"/>
      <c r="G297" s="202"/>
      <c r="H297" s="202"/>
    </row>
    <row r="298" spans="1:20" x14ac:dyDescent="0.35">
      <c r="A298" s="202"/>
      <c r="B298" s="202"/>
      <c r="C298" s="202"/>
      <c r="D298" s="202"/>
      <c r="E298" s="202"/>
      <c r="F298" s="202"/>
      <c r="G298" s="202"/>
      <c r="H298" s="202"/>
    </row>
    <row r="299" spans="1:20" x14ac:dyDescent="0.35">
      <c r="A299" s="202"/>
      <c r="B299" s="202"/>
      <c r="C299" s="202"/>
      <c r="D299" s="202"/>
      <c r="E299" s="202"/>
      <c r="F299" s="202"/>
      <c r="G299" s="202"/>
      <c r="H299" s="202"/>
    </row>
    <row r="300" spans="1:20" x14ac:dyDescent="0.35">
      <c r="A300" s="38" t="s">
        <v>62</v>
      </c>
      <c r="B300" s="39"/>
      <c r="C300" s="39"/>
      <c r="D300" s="38" t="str">
        <f>E9</f>
        <v>Avalon ­ Tower 1</v>
      </c>
      <c r="F300" s="39"/>
      <c r="G300" s="39"/>
      <c r="H300" s="39"/>
    </row>
    <row r="301" spans="1:20" x14ac:dyDescent="0.35">
      <c r="A301" s="39"/>
      <c r="B301" s="39"/>
      <c r="C301" s="39"/>
      <c r="D301" s="39"/>
      <c r="E301" s="39"/>
      <c r="F301" s="39"/>
      <c r="G301" s="39"/>
      <c r="H301" s="39"/>
    </row>
    <row r="302" spans="1:20" x14ac:dyDescent="0.35">
      <c r="A302" s="39"/>
      <c r="B302" s="39"/>
      <c r="C302" s="39"/>
      <c r="D302" s="39"/>
      <c r="E302" s="39"/>
      <c r="F302" s="39"/>
      <c r="G302" s="39"/>
      <c r="H302" s="39"/>
    </row>
    <row r="303" spans="1:20" ht="15" customHeight="1" x14ac:dyDescent="0.35"/>
    <row r="343" spans="1:1" x14ac:dyDescent="0.35">
      <c r="A343" s="41" t="s">
        <v>165</v>
      </c>
    </row>
    <row r="386" spans="1:1" x14ac:dyDescent="0.35">
      <c r="A386" s="41" t="s">
        <v>63</v>
      </c>
    </row>
  </sheetData>
  <mergeCells count="501">
    <mergeCell ref="B286:H286"/>
    <mergeCell ref="A119:B119"/>
    <mergeCell ref="C149:C150"/>
    <mergeCell ref="B157:B158"/>
    <mergeCell ref="B275:H275"/>
    <mergeCell ref="A95:B95"/>
    <mergeCell ref="E95:F95"/>
    <mergeCell ref="E96:F105"/>
    <mergeCell ref="A106:B106"/>
    <mergeCell ref="C106:H106"/>
    <mergeCell ref="A108:B108"/>
    <mergeCell ref="C108:H108"/>
    <mergeCell ref="A109:B109"/>
    <mergeCell ref="E109:F109"/>
    <mergeCell ref="G109:H109"/>
    <mergeCell ref="A110:B110"/>
    <mergeCell ref="E110:F119"/>
    <mergeCell ref="G110:H119"/>
    <mergeCell ref="A111:B111"/>
    <mergeCell ref="A112:B112"/>
    <mergeCell ref="A113:B113"/>
    <mergeCell ref="A114:B114"/>
    <mergeCell ref="A115:B115"/>
    <mergeCell ref="A116:B116"/>
    <mergeCell ref="A84:B84"/>
    <mergeCell ref="E82:F91"/>
    <mergeCell ref="G82:H91"/>
    <mergeCell ref="B283:H283"/>
    <mergeCell ref="A125:E125"/>
    <mergeCell ref="A145:B145"/>
    <mergeCell ref="E145:F145"/>
    <mergeCell ref="A130:E130"/>
    <mergeCell ref="G145:H145"/>
    <mergeCell ref="C136:D136"/>
    <mergeCell ref="E136:F136"/>
    <mergeCell ref="G136:H136"/>
    <mergeCell ref="A137:B137"/>
    <mergeCell ref="C137:D137"/>
    <mergeCell ref="E137:F137"/>
    <mergeCell ref="G137:H137"/>
    <mergeCell ref="A143:B143"/>
    <mergeCell ref="C143:D143"/>
    <mergeCell ref="E143:F143"/>
    <mergeCell ref="A101:B101"/>
    <mergeCell ref="G95:H95"/>
    <mergeCell ref="E146:F146"/>
    <mergeCell ref="B281:H281"/>
    <mergeCell ref="B279:H279"/>
    <mergeCell ref="L248:M248"/>
    <mergeCell ref="A253:B253"/>
    <mergeCell ref="A250:B250"/>
    <mergeCell ref="A251:B251"/>
    <mergeCell ref="A261:B261"/>
    <mergeCell ref="A41:B41"/>
    <mergeCell ref="C41:H41"/>
    <mergeCell ref="F149:F150"/>
    <mergeCell ref="C135:D135"/>
    <mergeCell ref="E135:F135"/>
    <mergeCell ref="B149:B150"/>
    <mergeCell ref="A149:A150"/>
    <mergeCell ref="C157:C158"/>
    <mergeCell ref="G157:G158"/>
    <mergeCell ref="L247:M247"/>
    <mergeCell ref="L244:M244"/>
    <mergeCell ref="A245:B245"/>
    <mergeCell ref="G146:H146"/>
    <mergeCell ref="L245:M245"/>
    <mergeCell ref="A246:B246"/>
    <mergeCell ref="L246:M246"/>
    <mergeCell ref="C56:H56"/>
    <mergeCell ref="A117:B117"/>
    <mergeCell ref="A118:B118"/>
    <mergeCell ref="L155:M155"/>
    <mergeCell ref="L154:M154"/>
    <mergeCell ref="L153:M153"/>
    <mergeCell ref="L152:M152"/>
    <mergeCell ref="A89:B89"/>
    <mergeCell ref="C142:D142"/>
    <mergeCell ref="E142:F142"/>
    <mergeCell ref="G142:H142"/>
    <mergeCell ref="A121:E121"/>
    <mergeCell ref="A92:B92"/>
    <mergeCell ref="C92:H92"/>
    <mergeCell ref="A151:H151"/>
    <mergeCell ref="E149:E150"/>
    <mergeCell ref="A96:B96"/>
    <mergeCell ref="C94:H94"/>
    <mergeCell ref="A97:B97"/>
    <mergeCell ref="A98:B98"/>
    <mergeCell ref="G96:H105"/>
    <mergeCell ref="A99:B99"/>
    <mergeCell ref="F122:H122"/>
    <mergeCell ref="A122:E122"/>
    <mergeCell ref="D149:D150"/>
    <mergeCell ref="G143:H143"/>
    <mergeCell ref="A94:B94"/>
    <mergeCell ref="A39:H39"/>
    <mergeCell ref="A38:B38"/>
    <mergeCell ref="C38:E38"/>
    <mergeCell ref="A43:D43"/>
    <mergeCell ref="E43:H43"/>
    <mergeCell ref="A42:H42"/>
    <mergeCell ref="A71:C71"/>
    <mergeCell ref="A72:C72"/>
    <mergeCell ref="D71:H71"/>
    <mergeCell ref="F38:H38"/>
    <mergeCell ref="C52:E52"/>
    <mergeCell ref="C51:E51"/>
    <mergeCell ref="G51:H51"/>
    <mergeCell ref="A52:B52"/>
    <mergeCell ref="G57:H57"/>
    <mergeCell ref="A59:B60"/>
    <mergeCell ref="C59:E59"/>
    <mergeCell ref="G59:H59"/>
    <mergeCell ref="G52:H52"/>
    <mergeCell ref="A53:B54"/>
    <mergeCell ref="A40:B40"/>
    <mergeCell ref="C40:H40"/>
    <mergeCell ref="A66:C66"/>
    <mergeCell ref="C55:E55"/>
    <mergeCell ref="A45:D45"/>
    <mergeCell ref="E45:H45"/>
    <mergeCell ref="E46:H46"/>
    <mergeCell ref="E47:H47"/>
    <mergeCell ref="E48:H48"/>
    <mergeCell ref="C58:H58"/>
    <mergeCell ref="A49:H49"/>
    <mergeCell ref="D67:H67"/>
    <mergeCell ref="A67:C67"/>
    <mergeCell ref="A46:D46"/>
    <mergeCell ref="A50:B50"/>
    <mergeCell ref="C50:H50"/>
    <mergeCell ref="G53:H53"/>
    <mergeCell ref="A64:H64"/>
    <mergeCell ref="A65:C65"/>
    <mergeCell ref="A76:C76"/>
    <mergeCell ref="A81:B81"/>
    <mergeCell ref="A47:D47"/>
    <mergeCell ref="A48:D48"/>
    <mergeCell ref="D72:H72"/>
    <mergeCell ref="A68:C70"/>
    <mergeCell ref="D68:H68"/>
    <mergeCell ref="D69:H69"/>
    <mergeCell ref="C54:H54"/>
    <mergeCell ref="A61:B62"/>
    <mergeCell ref="C61:E61"/>
    <mergeCell ref="G61:H61"/>
    <mergeCell ref="C62:H62"/>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F35:H35"/>
    <mergeCell ref="F36:H36"/>
    <mergeCell ref="E28:H28"/>
    <mergeCell ref="A30:D30"/>
    <mergeCell ref="E30:H30"/>
    <mergeCell ref="A27:D27"/>
    <mergeCell ref="E27:H27"/>
    <mergeCell ref="A26:D26"/>
    <mergeCell ref="E26:H26"/>
    <mergeCell ref="A31:D31"/>
    <mergeCell ref="E31:H31"/>
    <mergeCell ref="A28:D28"/>
    <mergeCell ref="E21:F21"/>
    <mergeCell ref="G21:H21"/>
    <mergeCell ref="A22:B22"/>
    <mergeCell ref="C22:D22"/>
    <mergeCell ref="E22:F22"/>
    <mergeCell ref="G22:H22"/>
    <mergeCell ref="A23:B23"/>
    <mergeCell ref="C23:D23"/>
    <mergeCell ref="E23:F23"/>
    <mergeCell ref="G23:H23"/>
    <mergeCell ref="E15:H15"/>
    <mergeCell ref="A16:D16"/>
    <mergeCell ref="A11:D11"/>
    <mergeCell ref="E11:H11"/>
    <mergeCell ref="A24:D25"/>
    <mergeCell ref="E24:H25"/>
    <mergeCell ref="E16:H16"/>
    <mergeCell ref="A17:B17"/>
    <mergeCell ref="C17:H17"/>
    <mergeCell ref="C18:H18"/>
    <mergeCell ref="A19:B19"/>
    <mergeCell ref="C19:H19"/>
    <mergeCell ref="A14:D14"/>
    <mergeCell ref="E14:H14"/>
    <mergeCell ref="A12:D12"/>
    <mergeCell ref="E12:H12"/>
    <mergeCell ref="A18:B18"/>
    <mergeCell ref="A15:D15"/>
    <mergeCell ref="A20:B20"/>
    <mergeCell ref="C20:D20"/>
    <mergeCell ref="E20:F20"/>
    <mergeCell ref="G20:H20"/>
    <mergeCell ref="A21:B21"/>
    <mergeCell ref="C21:D2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96:H299"/>
    <mergeCell ref="A295:B295"/>
    <mergeCell ref="E295:F295"/>
    <mergeCell ref="C295:D295"/>
    <mergeCell ref="G295:H295"/>
    <mergeCell ref="A133:H133"/>
    <mergeCell ref="A131:E131"/>
    <mergeCell ref="F131:H131"/>
    <mergeCell ref="A132:E132"/>
    <mergeCell ref="F132:H132"/>
    <mergeCell ref="A248:H248"/>
    <mergeCell ref="A142:B142"/>
    <mergeCell ref="A257:B257"/>
    <mergeCell ref="A135:B135"/>
    <mergeCell ref="A291:H291"/>
    <mergeCell ref="A138:H138"/>
    <mergeCell ref="A294:H294"/>
    <mergeCell ref="A292:H292"/>
    <mergeCell ref="A288:H288"/>
    <mergeCell ref="G139:H139"/>
    <mergeCell ref="B278:H278"/>
    <mergeCell ref="A263:B263"/>
    <mergeCell ref="A252:B252"/>
    <mergeCell ref="C146:D146"/>
    <mergeCell ref="A255:B255"/>
    <mergeCell ref="A152:B152"/>
    <mergeCell ref="B282:H282"/>
    <mergeCell ref="A146:B146"/>
    <mergeCell ref="A103:B103"/>
    <mergeCell ref="A104:B104"/>
    <mergeCell ref="A123:E123"/>
    <mergeCell ref="A120:E120"/>
    <mergeCell ref="F124:H124"/>
    <mergeCell ref="A259:B259"/>
    <mergeCell ref="A124:E124"/>
    <mergeCell ref="A247:B247"/>
    <mergeCell ref="B280:H280"/>
    <mergeCell ref="G149:G150"/>
    <mergeCell ref="A262:B262"/>
    <mergeCell ref="A270:B270"/>
    <mergeCell ref="B273:H273"/>
    <mergeCell ref="B274:H274"/>
    <mergeCell ref="B276:H276"/>
    <mergeCell ref="F120:H120"/>
    <mergeCell ref="F125:H125"/>
    <mergeCell ref="A244:B244"/>
    <mergeCell ref="A155:B155"/>
    <mergeCell ref="A154:B154"/>
    <mergeCell ref="A293:H293"/>
    <mergeCell ref="A290:H290"/>
    <mergeCell ref="A249:B249"/>
    <mergeCell ref="A139:B139"/>
    <mergeCell ref="D157:D158"/>
    <mergeCell ref="E157:E158"/>
    <mergeCell ref="A100:B100"/>
    <mergeCell ref="A102:B102"/>
    <mergeCell ref="F121:H121"/>
    <mergeCell ref="G135:H135"/>
    <mergeCell ref="A105:B105"/>
    <mergeCell ref="F127:H127"/>
    <mergeCell ref="C134:D134"/>
    <mergeCell ref="C145:D145"/>
    <mergeCell ref="A243:H243"/>
    <mergeCell ref="A258:B258"/>
    <mergeCell ref="B277:H277"/>
    <mergeCell ref="A267:B267"/>
    <mergeCell ref="A268:B268"/>
    <mergeCell ref="A271:B271"/>
    <mergeCell ref="A289:H289"/>
    <mergeCell ref="A126:E126"/>
    <mergeCell ref="F126:H126"/>
    <mergeCell ref="A128:E128"/>
    <mergeCell ref="I16:P16"/>
    <mergeCell ref="F130:H130"/>
    <mergeCell ref="F128:H128"/>
    <mergeCell ref="A256:B256"/>
    <mergeCell ref="A148:H148"/>
    <mergeCell ref="G134:H134"/>
    <mergeCell ref="A129:E129"/>
    <mergeCell ref="A153:B153"/>
    <mergeCell ref="A63:B63"/>
    <mergeCell ref="C63:E63"/>
    <mergeCell ref="D65:H65"/>
    <mergeCell ref="F129:H129"/>
    <mergeCell ref="E134:F134"/>
    <mergeCell ref="A134:B134"/>
    <mergeCell ref="A136:B136"/>
    <mergeCell ref="C139:D139"/>
    <mergeCell ref="D75:H75"/>
    <mergeCell ref="D66:H66"/>
    <mergeCell ref="G63:H63"/>
    <mergeCell ref="A55:B56"/>
    <mergeCell ref="C60:E60"/>
    <mergeCell ref="G55:H55"/>
    <mergeCell ref="A57:B58"/>
    <mergeCell ref="C57:E57"/>
    <mergeCell ref="B285:H285"/>
    <mergeCell ref="B284:H284"/>
    <mergeCell ref="E44:H44"/>
    <mergeCell ref="A44:D44"/>
    <mergeCell ref="A87:B87"/>
    <mergeCell ref="A51:B51"/>
    <mergeCell ref="D70:H70"/>
    <mergeCell ref="C53:E53"/>
    <mergeCell ref="A272:H272"/>
    <mergeCell ref="A264:B264"/>
    <mergeCell ref="A265:B265"/>
    <mergeCell ref="A260:H260"/>
    <mergeCell ref="A254:H254"/>
    <mergeCell ref="A269:B269"/>
    <mergeCell ref="A266:H266"/>
    <mergeCell ref="A75:C75"/>
    <mergeCell ref="D76:H76"/>
    <mergeCell ref="A82:B82"/>
    <mergeCell ref="G81:H81"/>
    <mergeCell ref="A90:B90"/>
    <mergeCell ref="A91:B91"/>
    <mergeCell ref="A86:B86"/>
    <mergeCell ref="A85:B85"/>
    <mergeCell ref="E81:F81"/>
    <mergeCell ref="A162:H162"/>
    <mergeCell ref="A159:H159"/>
    <mergeCell ref="A160:H160"/>
    <mergeCell ref="A161:H161"/>
    <mergeCell ref="G60:H60"/>
    <mergeCell ref="A88:B88"/>
    <mergeCell ref="A83:B83"/>
    <mergeCell ref="F123:H123"/>
    <mergeCell ref="A127:E127"/>
    <mergeCell ref="A156:H156"/>
    <mergeCell ref="E139:F139"/>
    <mergeCell ref="A147:H147"/>
    <mergeCell ref="A157:A158"/>
    <mergeCell ref="F157:F158"/>
    <mergeCell ref="A80:B80"/>
    <mergeCell ref="A78:B78"/>
    <mergeCell ref="C78:H78"/>
    <mergeCell ref="A73:C73"/>
    <mergeCell ref="D73:H73"/>
    <mergeCell ref="C80:H80"/>
    <mergeCell ref="A74:C74"/>
    <mergeCell ref="D74:H74"/>
    <mergeCell ref="A77:C77"/>
    <mergeCell ref="D77:H77"/>
    <mergeCell ref="A163:H163"/>
    <mergeCell ref="A164:B164"/>
    <mergeCell ref="L164:M164"/>
    <mergeCell ref="A165:H165"/>
    <mergeCell ref="A166:B166"/>
    <mergeCell ref="L166:M166"/>
    <mergeCell ref="A167:H167"/>
    <mergeCell ref="A168:B168"/>
    <mergeCell ref="L168:M168"/>
    <mergeCell ref="A169:H169"/>
    <mergeCell ref="A170:B170"/>
    <mergeCell ref="L170:M170"/>
    <mergeCell ref="A171:H171"/>
    <mergeCell ref="A172:B172"/>
    <mergeCell ref="L172:M172"/>
    <mergeCell ref="A175:H175"/>
    <mergeCell ref="A176:B176"/>
    <mergeCell ref="L176:M176"/>
    <mergeCell ref="A173:H173"/>
    <mergeCell ref="A174:B174"/>
    <mergeCell ref="L174:M174"/>
    <mergeCell ref="A177:H177"/>
    <mergeCell ref="A178:B178"/>
    <mergeCell ref="L178:M178"/>
    <mergeCell ref="A179:H179"/>
    <mergeCell ref="A180:B180"/>
    <mergeCell ref="L180:M180"/>
    <mergeCell ref="A181:H181"/>
    <mergeCell ref="A182:B182"/>
    <mergeCell ref="L182:M182"/>
    <mergeCell ref="A183:H183"/>
    <mergeCell ref="A184:B184"/>
    <mergeCell ref="L184:M184"/>
    <mergeCell ref="A187:H187"/>
    <mergeCell ref="A188:H188"/>
    <mergeCell ref="A189:H189"/>
    <mergeCell ref="A190:H190"/>
    <mergeCell ref="A191:H191"/>
    <mergeCell ref="A192:B192"/>
    <mergeCell ref="L192:M192"/>
    <mergeCell ref="L186:M186"/>
    <mergeCell ref="C186:H186"/>
    <mergeCell ref="A193:H193"/>
    <mergeCell ref="A194:B194"/>
    <mergeCell ref="L194:M194"/>
    <mergeCell ref="A195:H195"/>
    <mergeCell ref="A196:B196"/>
    <mergeCell ref="L196:M196"/>
    <mergeCell ref="A197:H197"/>
    <mergeCell ref="A198:B198"/>
    <mergeCell ref="L198:M198"/>
    <mergeCell ref="A199:H199"/>
    <mergeCell ref="A200:B200"/>
    <mergeCell ref="L200:M200"/>
    <mergeCell ref="A201:H201"/>
    <mergeCell ref="A202:B202"/>
    <mergeCell ref="L202:M202"/>
    <mergeCell ref="A205:H205"/>
    <mergeCell ref="A206:B206"/>
    <mergeCell ref="L206:M206"/>
    <mergeCell ref="A203:H203"/>
    <mergeCell ref="A204:B204"/>
    <mergeCell ref="L204:M204"/>
    <mergeCell ref="A207:H207"/>
    <mergeCell ref="A208:B208"/>
    <mergeCell ref="L208:M208"/>
    <mergeCell ref="A209:H209"/>
    <mergeCell ref="A210:B210"/>
    <mergeCell ref="L210:M210"/>
    <mergeCell ref="A211:H211"/>
    <mergeCell ref="A212:B212"/>
    <mergeCell ref="L212:M212"/>
    <mergeCell ref="A226:B226"/>
    <mergeCell ref="L226:M226"/>
    <mergeCell ref="A227:H227"/>
    <mergeCell ref="A228:B228"/>
    <mergeCell ref="L228:M228"/>
    <mergeCell ref="A229:H229"/>
    <mergeCell ref="A230:B230"/>
    <mergeCell ref="L230:M230"/>
    <mergeCell ref="A231:H231"/>
    <mergeCell ref="A242:B242"/>
    <mergeCell ref="L242:M242"/>
    <mergeCell ref="B287:H287"/>
    <mergeCell ref="A13:D13"/>
    <mergeCell ref="E13:H13"/>
    <mergeCell ref="A140:B140"/>
    <mergeCell ref="C140:D140"/>
    <mergeCell ref="E140:F140"/>
    <mergeCell ref="G140:H140"/>
    <mergeCell ref="A141:B141"/>
    <mergeCell ref="C141:D141"/>
    <mergeCell ref="E141:F141"/>
    <mergeCell ref="G141:H141"/>
    <mergeCell ref="A144:B144"/>
    <mergeCell ref="C144:D144"/>
    <mergeCell ref="E144:F144"/>
    <mergeCell ref="G144:H144"/>
    <mergeCell ref="A185:H185"/>
    <mergeCell ref="A186:B186"/>
    <mergeCell ref="A232:H232"/>
    <mergeCell ref="A233:H233"/>
    <mergeCell ref="A234:H234"/>
    <mergeCell ref="A235:H235"/>
    <mergeCell ref="A236:B236"/>
    <mergeCell ref="A213:H213"/>
    <mergeCell ref="A214:B214"/>
    <mergeCell ref="C214:H214"/>
    <mergeCell ref="L214:M214"/>
    <mergeCell ref="A237:H237"/>
    <mergeCell ref="A238:H238"/>
    <mergeCell ref="A239:H239"/>
    <mergeCell ref="A240:H240"/>
    <mergeCell ref="A241:H241"/>
    <mergeCell ref="L236:M236"/>
    <mergeCell ref="A215:H215"/>
    <mergeCell ref="A216:H216"/>
    <mergeCell ref="A217:H217"/>
    <mergeCell ref="A218:H218"/>
    <mergeCell ref="A219:H219"/>
    <mergeCell ref="A220:B220"/>
    <mergeCell ref="L220:M220"/>
    <mergeCell ref="A221:H221"/>
    <mergeCell ref="A222:B222"/>
    <mergeCell ref="L222:M222"/>
    <mergeCell ref="A223:H223"/>
    <mergeCell ref="A224:B224"/>
    <mergeCell ref="L224:M224"/>
    <mergeCell ref="A225:H225"/>
  </mergeCells>
  <dataValidations count="17">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$S$14:$W$14</formula1>
    </dataValidation>
    <dataValidation type="list" allowBlank="1" showInputMessage="1" showErrorMessage="1" sqref="E149:E150">
      <formula1>"Attached Loft area,Attached Otla area,Attached Mezzanine area"</formula1>
    </dataValidation>
    <dataValidation type="list" allowBlank="1" showInputMessage="1" showErrorMessage="1" sqref="G295:H295">
      <formula1>"Kunal Kadam,Pranita Mhatre,Shruti Fule,Pooja Kawale,Gaurav Panchal,Shruti Tathare, Hitakshi Mhatre, Sachin Sawant"</formula1>
    </dataValidation>
    <dataValidation type="list" allowBlank="1" showInputMessage="1" showErrorMessage="1" sqref="F120:H120">
      <formula1>"On Saleable Area,On Builtup Area,On Carpet Area,On Plot Area"</formula1>
    </dataValidation>
    <dataValidation type="list" allowBlank="1" showInputMessage="1" showErrorMessage="1" sqref="F131:H131">
      <formula1>OFFSET($S$120,1,MATCH($G21,$S$120:$W$120,0)-1,15,1)</formula1>
    </dataValidation>
    <dataValidation type="list" allowBlank="1" showInputMessage="1" showErrorMessage="1" sqref="B149:B150">
      <formula1>"Shop No. (Sale Plan),Sale / Rehab,Sale / Mhada"</formula1>
    </dataValidation>
    <dataValidation type="list" allowBlank="1" showInputMessage="1" showErrorMessage="1" sqref="B157:B158">
      <formula1>"Flat No. (Sale Plan),Sale / Rehab,Sale / Mhada"</formula1>
    </dataValidation>
    <dataValidation type="list" allowBlank="1" showInputMessage="1" showErrorMessage="1" sqref="C22:D22">
      <formula1>OFFSET($S$14,1,MATCH($G21,$S$14:$W$14,0)-1,15,1)</formula1>
    </dataValidation>
    <dataValidation type="list" allowBlank="1" showInputMessage="1" showErrorMessage="1" sqref="Y14">
      <formula1>$D$5:$H$5</formula1>
    </dataValidation>
    <dataValidation type="list" allowBlank="1" showInputMessage="1" showErrorMessage="1" sqref="E157:E158">
      <formula1>"Fungible area,Balcony Area,Chajja Area,Cornice Area,AP Area,WS Area"</formula1>
    </dataValidation>
    <dataValidation type="list" allowBlank="1" showInputMessage="1" showErrorMessage="1" sqref="H150 H158">
      <formula1>".45,.50,.55,.60"</formula1>
    </dataValidation>
    <dataValidation type="list" allowBlank="1" showInputMessage="1" showErrorMessage="1" sqref="E4:H4">
      <formula1>$L$3:$P$3</formula1>
    </dataValidation>
    <dataValidation type="list" allowBlank="1" showInputMessage="1" showErrorMessage="1" sqref="C50:H50">
      <formula1>OFFSET($S$50,1,MATCH($G21,$S$50:$W$50,0)-1,15,1)</formula1>
    </dataValidation>
    <dataValidation type="list" allowBlank="1" showInputMessage="1" showErrorMessage="1" sqref="H149 H157">
      <formula1>"Saleable area Loading :,Builder Saleable Area"</formula1>
    </dataValidation>
    <dataValidation type="list" allowBlank="1" showInputMessage="1" showErrorMessage="1" sqref="D149:D150 D157:D158">
      <formula1>"Carpet area,RERA Carpet area"</formula1>
    </dataValidation>
  </dataValidations>
  <hyperlinks>
    <hyperlink ref="C41"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99" max="16383" man="1"/>
    <brk id="342" max="16383" man="1"/>
    <brk id="38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0"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51" t="s">
        <v>104</v>
      </c>
      <c r="C3" s="251"/>
      <c r="D3" s="251"/>
      <c r="E3" s="251"/>
      <c r="F3" s="251"/>
      <c r="G3" s="251"/>
      <c r="H3" s="251"/>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10</v>
      </c>
      <c r="D4" s="55" t="s">
        <v>183</v>
      </c>
      <c r="E4" s="55" t="s">
        <v>193</v>
      </c>
      <c r="F4" s="55" t="s">
        <v>175</v>
      </c>
      <c r="G4" s="55" t="s">
        <v>198</v>
      </c>
      <c r="H4" s="55" t="s">
        <v>216</v>
      </c>
      <c r="J4" t="s">
        <v>198</v>
      </c>
      <c r="K4" t="s">
        <v>214</v>
      </c>
    </row>
    <row r="5" spans="2:11" x14ac:dyDescent="0.35">
      <c r="B5" s="54"/>
      <c r="C5" s="54"/>
      <c r="D5" s="55" t="s">
        <v>184</v>
      </c>
      <c r="E5" s="55" t="s">
        <v>191</v>
      </c>
      <c r="F5" s="55" t="s">
        <v>213</v>
      </c>
      <c r="G5" s="55" t="s">
        <v>199</v>
      </c>
      <c r="H5" s="55" t="s">
        <v>217</v>
      </c>
    </row>
    <row r="6" spans="2:11" x14ac:dyDescent="0.35">
      <c r="B6" s="54"/>
      <c r="C6" s="54"/>
      <c r="D6" s="55" t="s">
        <v>185</v>
      </c>
      <c r="E6" s="55" t="s">
        <v>192</v>
      </c>
      <c r="F6" s="55" t="s">
        <v>214</v>
      </c>
      <c r="G6" s="55" t="s">
        <v>200</v>
      </c>
      <c r="H6" s="55" t="s">
        <v>230</v>
      </c>
    </row>
    <row r="7" spans="2:11" x14ac:dyDescent="0.35">
      <c r="B7" s="54"/>
      <c r="C7" s="54"/>
      <c r="D7" s="55" t="s">
        <v>186</v>
      </c>
      <c r="E7" s="55" t="s">
        <v>194</v>
      </c>
      <c r="F7" s="55" t="s">
        <v>215</v>
      </c>
      <c r="G7" s="55" t="s">
        <v>201</v>
      </c>
      <c r="H7" s="55" t="s">
        <v>218</v>
      </c>
    </row>
    <row r="8" spans="2:11" x14ac:dyDescent="0.35">
      <c r="B8" s="54"/>
      <c r="C8" s="54"/>
      <c r="D8" s="55" t="s">
        <v>187</v>
      </c>
      <c r="E8" s="55" t="s">
        <v>195</v>
      </c>
      <c r="F8" s="55"/>
      <c r="G8" s="55" t="s">
        <v>202</v>
      </c>
      <c r="H8" s="55" t="s">
        <v>219</v>
      </c>
    </row>
    <row r="9" spans="2:11" x14ac:dyDescent="0.35">
      <c r="B9" s="54"/>
      <c r="C9" s="54"/>
      <c r="D9" s="55" t="s">
        <v>188</v>
      </c>
      <c r="E9" s="55" t="s">
        <v>193</v>
      </c>
      <c r="F9" s="55"/>
      <c r="G9" s="55" t="s">
        <v>203</v>
      </c>
      <c r="H9" s="55" t="s">
        <v>220</v>
      </c>
    </row>
    <row r="10" spans="2:11" x14ac:dyDescent="0.35">
      <c r="B10" s="54"/>
      <c r="C10" s="54"/>
      <c r="D10" s="55" t="s">
        <v>189</v>
      </c>
      <c r="E10" s="55" t="s">
        <v>196</v>
      </c>
      <c r="F10" s="55"/>
      <c r="G10" s="55" t="s">
        <v>204</v>
      </c>
      <c r="H10" s="55" t="s">
        <v>221</v>
      </c>
    </row>
    <row r="11" spans="2:11" x14ac:dyDescent="0.35">
      <c r="B11" s="54"/>
      <c r="C11" s="54"/>
      <c r="D11" s="55" t="s">
        <v>190</v>
      </c>
      <c r="E11" s="55" t="s">
        <v>197</v>
      </c>
      <c r="F11" s="55"/>
      <c r="G11" s="55" t="s">
        <v>205</v>
      </c>
      <c r="H11" s="55" t="s">
        <v>222</v>
      </c>
    </row>
    <row r="12" spans="2:11" x14ac:dyDescent="0.35">
      <c r="B12" s="54"/>
      <c r="C12" s="54"/>
      <c r="D12" s="55"/>
      <c r="E12" s="55"/>
      <c r="F12" s="55"/>
      <c r="G12" s="55" t="s">
        <v>206</v>
      </c>
      <c r="H12" s="55" t="s">
        <v>223</v>
      </c>
    </row>
    <row r="13" spans="2:11" x14ac:dyDescent="0.35">
      <c r="B13" s="54"/>
      <c r="C13" s="54"/>
      <c r="D13" s="55"/>
      <c r="E13" s="55"/>
      <c r="F13" s="55"/>
      <c r="G13" s="55" t="s">
        <v>207</v>
      </c>
      <c r="H13" s="55" t="s">
        <v>224</v>
      </c>
    </row>
    <row r="14" spans="2:11" x14ac:dyDescent="0.35">
      <c r="B14" s="54"/>
      <c r="C14" s="54"/>
      <c r="D14" s="55"/>
      <c r="E14" s="55"/>
      <c r="F14" s="55"/>
      <c r="G14" s="55" t="s">
        <v>208</v>
      </c>
      <c r="H14" s="55" t="s">
        <v>225</v>
      </c>
    </row>
    <row r="15" spans="2:11" x14ac:dyDescent="0.35">
      <c r="B15" s="54"/>
      <c r="C15" s="54"/>
      <c r="D15" s="55"/>
      <c r="E15" s="55"/>
      <c r="F15" s="55"/>
      <c r="G15" s="55" t="s">
        <v>209</v>
      </c>
      <c r="H15" s="55" t="s">
        <v>226</v>
      </c>
    </row>
    <row r="16" spans="2:11" x14ac:dyDescent="0.35">
      <c r="B16" s="54"/>
      <c r="C16" s="54"/>
      <c r="D16" s="55"/>
      <c r="E16" s="55"/>
      <c r="F16" s="55"/>
      <c r="G16" s="55" t="s">
        <v>210</v>
      </c>
      <c r="H16" s="55" t="s">
        <v>227</v>
      </c>
    </row>
    <row r="17" spans="2:8" x14ac:dyDescent="0.35">
      <c r="B17" s="54"/>
      <c r="C17" s="54"/>
      <c r="D17" s="55"/>
      <c r="E17" s="55"/>
      <c r="F17" s="55"/>
      <c r="G17" s="55" t="s">
        <v>211</v>
      </c>
      <c r="H17" s="55" t="s">
        <v>228</v>
      </c>
    </row>
    <row r="18" spans="2:8" x14ac:dyDescent="0.35">
      <c r="B18" s="54"/>
      <c r="C18" s="54"/>
      <c r="D18" s="55"/>
      <c r="E18" s="55"/>
      <c r="F18" s="55"/>
      <c r="G18" s="55" t="s">
        <v>212</v>
      </c>
      <c r="H18" s="55" t="s">
        <v>229</v>
      </c>
    </row>
    <row r="24" spans="2:8" x14ac:dyDescent="0.35">
      <c r="C24" t="s">
        <v>172</v>
      </c>
    </row>
    <row r="25" spans="2:8" x14ac:dyDescent="0.35">
      <c r="C25" t="s">
        <v>231</v>
      </c>
    </row>
    <row r="26" spans="2:8" x14ac:dyDescent="0.35">
      <c r="C26" t="s">
        <v>232</v>
      </c>
    </row>
    <row r="27" spans="2:8" x14ac:dyDescent="0.35">
      <c r="C27" t="s">
        <v>233</v>
      </c>
    </row>
    <row r="28" spans="2:8" x14ac:dyDescent="0.35">
      <c r="C28" t="s">
        <v>234</v>
      </c>
    </row>
    <row r="29" spans="2:8" x14ac:dyDescent="0.35">
      <c r="C29" t="s">
        <v>235</v>
      </c>
    </row>
    <row r="30" spans="2:8" x14ac:dyDescent="0.35">
      <c r="C30" t="s">
        <v>172</v>
      </c>
    </row>
    <row r="33" spans="3:11" x14ac:dyDescent="0.35">
      <c r="J33">
        <v>1</v>
      </c>
      <c r="K33">
        <v>2</v>
      </c>
    </row>
    <row r="34" spans="3:11" x14ac:dyDescent="0.35">
      <c r="C34" s="59" t="s">
        <v>241</v>
      </c>
      <c r="D34" s="55" t="s">
        <v>239</v>
      </c>
      <c r="E34" s="55" t="s">
        <v>244</v>
      </c>
      <c r="F34" s="55" t="s">
        <v>242</v>
      </c>
      <c r="G34" s="55" t="s">
        <v>243</v>
      </c>
      <c r="H34" s="55" t="s">
        <v>245</v>
      </c>
      <c r="J34" t="s">
        <v>198</v>
      </c>
      <c r="K34" t="s">
        <v>214</v>
      </c>
    </row>
    <row r="35" spans="3:11" x14ac:dyDescent="0.35">
      <c r="C35" s="54" t="s">
        <v>240</v>
      </c>
      <c r="D35" s="55" t="s">
        <v>173</v>
      </c>
      <c r="E35" s="55" t="s">
        <v>249</v>
      </c>
      <c r="F35" s="55" t="s">
        <v>251</v>
      </c>
      <c r="G35" s="55" t="s">
        <v>253</v>
      </c>
      <c r="H35" s="55"/>
    </row>
    <row r="36" spans="3:11" x14ac:dyDescent="0.35">
      <c r="C36" s="54"/>
      <c r="D36" s="55" t="s">
        <v>246</v>
      </c>
      <c r="E36" s="55" t="s">
        <v>250</v>
      </c>
      <c r="F36" s="55" t="s">
        <v>252</v>
      </c>
      <c r="G36" s="55" t="s">
        <v>254</v>
      </c>
      <c r="H36" s="55"/>
    </row>
    <row r="37" spans="3:11" x14ac:dyDescent="0.35">
      <c r="C37" s="54"/>
      <c r="D37" s="55" t="s">
        <v>247</v>
      </c>
      <c r="E37" s="55"/>
      <c r="F37" s="55"/>
      <c r="G37" s="55" t="s">
        <v>255</v>
      </c>
      <c r="H37" s="55"/>
    </row>
    <row r="38" spans="3:11" x14ac:dyDescent="0.35">
      <c r="C38" s="54"/>
      <c r="D38" s="55" t="s">
        <v>248</v>
      </c>
      <c r="E38" s="55"/>
      <c r="F38" s="55"/>
      <c r="G38" s="55" t="s">
        <v>255</v>
      </c>
      <c r="H38" s="55"/>
    </row>
    <row r="39" spans="3:11" x14ac:dyDescent="0.35">
      <c r="C39" s="54"/>
      <c r="D39" s="55"/>
      <c r="E39" s="55"/>
      <c r="F39" s="55"/>
      <c r="G39" s="55" t="s">
        <v>256</v>
      </c>
      <c r="H39" s="55"/>
    </row>
    <row r="40" spans="3:11" x14ac:dyDescent="0.35">
      <c r="C40" s="54"/>
      <c r="D40" s="55"/>
      <c r="E40" s="55"/>
      <c r="F40" s="55"/>
      <c r="G40" s="55" t="s">
        <v>257</v>
      </c>
      <c r="H40" s="55"/>
    </row>
    <row r="41" spans="3:11" x14ac:dyDescent="0.35">
      <c r="C41" s="54"/>
      <c r="D41" s="55"/>
      <c r="E41" s="55"/>
      <c r="F41" s="55"/>
      <c r="G41" s="55"/>
      <c r="H41" s="55"/>
    </row>
    <row r="43" spans="3:11" x14ac:dyDescent="0.35">
      <c r="C43" t="s">
        <v>258</v>
      </c>
    </row>
    <row r="44" spans="3:11" x14ac:dyDescent="0.35">
      <c r="C44" t="s">
        <v>175</v>
      </c>
      <c r="D44" t="s">
        <v>259</v>
      </c>
    </row>
    <row r="45" spans="3:11" x14ac:dyDescent="0.35">
      <c r="D45" t="s">
        <v>260</v>
      </c>
    </row>
    <row r="46" spans="3:11" x14ac:dyDescent="0.35">
      <c r="D46" t="s">
        <v>261</v>
      </c>
    </row>
    <row r="47" spans="3:11" x14ac:dyDescent="0.35">
      <c r="D47" t="s">
        <v>262</v>
      </c>
    </row>
    <row r="48" spans="3:11" x14ac:dyDescent="0.35">
      <c r="D48" t="s">
        <v>263</v>
      </c>
    </row>
    <row r="49" spans="3:4" x14ac:dyDescent="0.35">
      <c r="C49" t="s">
        <v>183</v>
      </c>
      <c r="D49" t="s">
        <v>264</v>
      </c>
    </row>
    <row r="50" spans="3:4" x14ac:dyDescent="0.35">
      <c r="D50" t="s">
        <v>265</v>
      </c>
    </row>
    <row r="51" spans="3:4" x14ac:dyDescent="0.35">
      <c r="D51" t="s">
        <v>266</v>
      </c>
    </row>
    <row r="52" spans="3:4" x14ac:dyDescent="0.35">
      <c r="D52" t="s">
        <v>269</v>
      </c>
    </row>
    <row r="53" spans="3:4" x14ac:dyDescent="0.35">
      <c r="D53" t="s">
        <v>267</v>
      </c>
    </row>
    <row r="54" spans="3:4" x14ac:dyDescent="0.35">
      <c r="D54" t="s">
        <v>268</v>
      </c>
    </row>
    <row r="55" spans="3:4" x14ac:dyDescent="0.35">
      <c r="D55" t="s">
        <v>270</v>
      </c>
    </row>
    <row r="56" spans="3:4" x14ac:dyDescent="0.35">
      <c r="D56" t="s">
        <v>271</v>
      </c>
    </row>
    <row r="57" spans="3:4" x14ac:dyDescent="0.35">
      <c r="D57" t="s">
        <v>272</v>
      </c>
    </row>
    <row r="58" spans="3:4" x14ac:dyDescent="0.35">
      <c r="D58" t="s">
        <v>274</v>
      </c>
    </row>
    <row r="59" spans="3:4" x14ac:dyDescent="0.35">
      <c r="D59" t="s">
        <v>283</v>
      </c>
    </row>
    <row r="60" spans="3:4" x14ac:dyDescent="0.35">
      <c r="C60" t="s">
        <v>198</v>
      </c>
      <c r="D60" t="s">
        <v>275</v>
      </c>
    </row>
    <row r="61" spans="3:4" x14ac:dyDescent="0.35">
      <c r="D61" t="s">
        <v>273</v>
      </c>
    </row>
    <row r="62" spans="3:4" x14ac:dyDescent="0.35">
      <c r="D62" t="s">
        <v>263</v>
      </c>
    </row>
    <row r="63" spans="3:4" x14ac:dyDescent="0.35">
      <c r="D63" t="s">
        <v>276</v>
      </c>
    </row>
    <row r="64" spans="3:4" x14ac:dyDescent="0.35">
      <c r="D64" t="s">
        <v>277</v>
      </c>
    </row>
    <row r="65" spans="3:4" x14ac:dyDescent="0.35">
      <c r="D65" t="s">
        <v>278</v>
      </c>
    </row>
    <row r="66" spans="3:4" x14ac:dyDescent="0.35">
      <c r="D66" t="s">
        <v>279</v>
      </c>
    </row>
    <row r="67" spans="3:4" x14ac:dyDescent="0.35">
      <c r="C67" t="s">
        <v>193</v>
      </c>
      <c r="D67" t="s">
        <v>280</v>
      </c>
    </row>
    <row r="68" spans="3:4" x14ac:dyDescent="0.35">
      <c r="D68" t="s">
        <v>281</v>
      </c>
    </row>
    <row r="69" spans="3:4" x14ac:dyDescent="0.35">
      <c r="D69" t="s">
        <v>282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60">
        <v>1</v>
      </c>
      <c r="C2" s="63" t="s">
        <v>288</v>
      </c>
    </row>
    <row r="3" spans="2:3" x14ac:dyDescent="0.35">
      <c r="B3" s="60">
        <v>2</v>
      </c>
      <c r="C3" s="61" t="s">
        <v>289</v>
      </c>
    </row>
    <row r="4" spans="2:3" x14ac:dyDescent="0.35">
      <c r="B4" s="60">
        <v>3</v>
      </c>
      <c r="C4" s="62" t="s">
        <v>290</v>
      </c>
    </row>
    <row r="5" spans="2:3" x14ac:dyDescent="0.35">
      <c r="B5" s="60">
        <v>4</v>
      </c>
      <c r="C5" s="61" t="s">
        <v>291</v>
      </c>
    </row>
    <row r="6" spans="2:3" x14ac:dyDescent="0.35">
      <c r="B6" s="60">
        <v>5</v>
      </c>
      <c r="C6" s="62" t="s">
        <v>292</v>
      </c>
    </row>
    <row r="7" spans="2:3" ht="29" x14ac:dyDescent="0.35">
      <c r="B7" s="60">
        <v>6</v>
      </c>
      <c r="C7" s="61" t="s">
        <v>293</v>
      </c>
    </row>
    <row r="8" spans="2:3" ht="72.5" x14ac:dyDescent="0.35">
      <c r="B8" s="60">
        <v>7</v>
      </c>
      <c r="C8" s="61" t="s">
        <v>294</v>
      </c>
    </row>
    <row r="9" spans="2:3" x14ac:dyDescent="0.35">
      <c r="B9" s="60">
        <v>8</v>
      </c>
      <c r="C9" s="62" t="s">
        <v>295</v>
      </c>
    </row>
    <row r="10" spans="2:3" x14ac:dyDescent="0.35">
      <c r="B10" s="60">
        <v>9</v>
      </c>
      <c r="C10" s="62" t="s">
        <v>296</v>
      </c>
    </row>
    <row r="11" spans="2:3" x14ac:dyDescent="0.35">
      <c r="B11" s="60">
        <v>10</v>
      </c>
      <c r="C11" s="62" t="s">
        <v>297</v>
      </c>
    </row>
    <row r="12" spans="2:3" x14ac:dyDescent="0.35">
      <c r="B12" s="60">
        <v>11</v>
      </c>
      <c r="C12" s="62" t="s">
        <v>298</v>
      </c>
    </row>
    <row r="13" spans="2:3" x14ac:dyDescent="0.35">
      <c r="B13" s="60">
        <v>12</v>
      </c>
      <c r="C13" s="62" t="s">
        <v>299</v>
      </c>
    </row>
    <row r="14" spans="2:3" x14ac:dyDescent="0.35">
      <c r="B14" s="60">
        <v>13</v>
      </c>
      <c r="C14" s="62" t="s">
        <v>300</v>
      </c>
    </row>
    <row r="15" spans="2:3" x14ac:dyDescent="0.35">
      <c r="B15" s="60">
        <v>14</v>
      </c>
      <c r="C15" s="62" t="s">
        <v>290</v>
      </c>
    </row>
    <row r="16" spans="2:3" x14ac:dyDescent="0.35">
      <c r="B16" s="60">
        <v>15</v>
      </c>
      <c r="C16" s="62" t="s">
        <v>303</v>
      </c>
    </row>
    <row r="17" spans="2:3" x14ac:dyDescent="0.35">
      <c r="B17" s="89">
        <v>16</v>
      </c>
      <c r="C17" s="70" t="s">
        <v>304</v>
      </c>
    </row>
    <row r="18" spans="2:3" x14ac:dyDescent="0.35">
      <c r="B18" s="69">
        <v>17</v>
      </c>
      <c r="C18" s="70" t="s">
        <v>305</v>
      </c>
    </row>
    <row r="19" spans="2:3" x14ac:dyDescent="0.35">
      <c r="B19" s="68">
        <v>18</v>
      </c>
      <c r="C19" s="60" t="s">
        <v>306</v>
      </c>
    </row>
    <row r="20" spans="2:3" x14ac:dyDescent="0.35">
      <c r="B20" s="69">
        <v>19</v>
      </c>
      <c r="C20" s="60" t="s">
        <v>342</v>
      </c>
    </row>
    <row r="21" spans="2:3" x14ac:dyDescent="0.35">
      <c r="B21" s="71">
        <v>20</v>
      </c>
      <c r="C21" s="60" t="s">
        <v>307</v>
      </c>
    </row>
    <row r="22" spans="2:3" x14ac:dyDescent="0.35">
      <c r="B22" s="69">
        <v>21</v>
      </c>
      <c r="C22" s="60" t="s">
        <v>306</v>
      </c>
    </row>
    <row r="23" spans="2:3" s="81" customFormat="1" ht="29.25" customHeight="1" x14ac:dyDescent="0.35">
      <c r="B23" s="80">
        <v>22</v>
      </c>
      <c r="C23" s="63" t="s">
        <v>334</v>
      </c>
    </row>
    <row r="24" spans="2:3" s="81" customFormat="1" ht="30.75" customHeight="1" x14ac:dyDescent="0.35">
      <c r="B24" s="82">
        <v>23</v>
      </c>
      <c r="C24" s="63" t="s">
        <v>335</v>
      </c>
    </row>
    <row r="25" spans="2:3" x14ac:dyDescent="0.35">
      <c r="B25" s="71">
        <v>24</v>
      </c>
      <c r="C25" s="60" t="s">
        <v>338</v>
      </c>
    </row>
    <row r="26" spans="2:3" x14ac:dyDescent="0.35">
      <c r="B26" s="69">
        <v>25</v>
      </c>
      <c r="C26" s="60" t="s">
        <v>336</v>
      </c>
    </row>
    <row r="27" spans="2:3" x14ac:dyDescent="0.35">
      <c r="B27" s="82">
        <v>26</v>
      </c>
      <c r="C27" s="71" t="s">
        <v>337</v>
      </c>
    </row>
    <row r="28" spans="2:3" x14ac:dyDescent="0.35">
      <c r="B28" s="83">
        <v>27</v>
      </c>
      <c r="C28" s="60" t="s">
        <v>339</v>
      </c>
    </row>
    <row r="29" spans="2:3" ht="43.5" x14ac:dyDescent="0.35">
      <c r="B29" s="88">
        <v>28</v>
      </c>
      <c r="C29" s="61" t="s">
        <v>340</v>
      </c>
    </row>
    <row r="30" spans="2:3" x14ac:dyDescent="0.35">
      <c r="B30" s="82">
        <v>29</v>
      </c>
      <c r="C30" s="60" t="s">
        <v>341</v>
      </c>
    </row>
    <row r="31" spans="2:3" ht="29" x14ac:dyDescent="0.35">
      <c r="B31" s="90">
        <v>30</v>
      </c>
      <c r="C31" s="61" t="s">
        <v>343</v>
      </c>
    </row>
    <row r="32" spans="2:3" x14ac:dyDescent="0.35">
      <c r="B32" s="82">
        <v>31</v>
      </c>
      <c r="C32" s="60" t="s">
        <v>344</v>
      </c>
    </row>
    <row r="33" spans="2:3" x14ac:dyDescent="0.35">
      <c r="B33" s="82">
        <v>32</v>
      </c>
      <c r="C33" s="60" t="s">
        <v>345</v>
      </c>
    </row>
    <row r="34" spans="2:3" ht="36.75" customHeight="1" x14ac:dyDescent="0.35">
      <c r="B34" s="90">
        <v>33</v>
      </c>
      <c r="C34" s="70" t="s">
        <v>346</v>
      </c>
    </row>
    <row r="35" spans="2:3" x14ac:dyDescent="0.35">
      <c r="B35" s="95">
        <v>34</v>
      </c>
      <c r="C35" s="60" t="s">
        <v>355</v>
      </c>
    </row>
    <row r="36" spans="2:3" ht="58" x14ac:dyDescent="0.35">
      <c r="B36" s="80">
        <v>35</v>
      </c>
      <c r="C36" s="61" t="s">
        <v>359</v>
      </c>
    </row>
    <row r="37" spans="2:3" x14ac:dyDescent="0.35">
      <c r="B37" s="60"/>
      <c r="C37" s="60"/>
    </row>
    <row r="38" spans="2:3" x14ac:dyDescent="0.35">
      <c r="B38" s="60"/>
      <c r="C38" s="60"/>
    </row>
    <row r="39" spans="2:3" x14ac:dyDescent="0.35">
      <c r="B39" s="60"/>
      <c r="C39" s="60"/>
    </row>
    <row r="40" spans="2:3" x14ac:dyDescent="0.35">
      <c r="B40" s="60"/>
      <c r="C40" s="60"/>
    </row>
    <row r="41" spans="2:3" x14ac:dyDescent="0.35">
      <c r="B41" s="60"/>
      <c r="C41" s="60"/>
    </row>
    <row r="42" spans="2:3" x14ac:dyDescent="0.35">
      <c r="B42" s="60"/>
      <c r="C42" s="60"/>
    </row>
    <row r="43" spans="2:3" x14ac:dyDescent="0.35">
      <c r="B43" s="60"/>
      <c r="C43" s="60"/>
    </row>
    <row r="44" spans="2:3" x14ac:dyDescent="0.35">
      <c r="B44" s="60"/>
      <c r="C44" s="6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4"/>
    <col min="2" max="2" width="12.26953125" style="54" customWidth="1"/>
    <col min="3" max="16384" width="9.1796875" style="54"/>
  </cols>
  <sheetData>
    <row r="2" spans="1:12" x14ac:dyDescent="0.35">
      <c r="B2" s="74" t="s">
        <v>308</v>
      </c>
      <c r="C2" s="252"/>
      <c r="D2" s="252"/>
    </row>
    <row r="3" spans="1:12" x14ac:dyDescent="0.35">
      <c r="D3" s="75"/>
      <c r="E3" s="75"/>
      <c r="F3" s="75"/>
      <c r="G3" s="75"/>
      <c r="H3" s="75"/>
      <c r="I3" s="75"/>
    </row>
    <row r="4" spans="1:12" x14ac:dyDescent="0.35">
      <c r="A4" s="74" t="s">
        <v>65</v>
      </c>
      <c r="B4" s="76" t="s">
        <v>309</v>
      </c>
      <c r="C4" s="253" t="s">
        <v>310</v>
      </c>
      <c r="D4" s="253"/>
      <c r="E4" s="253"/>
      <c r="F4" s="76"/>
      <c r="G4" s="254" t="s">
        <v>311</v>
      </c>
      <c r="H4" s="254"/>
      <c r="I4" s="254"/>
      <c r="J4" s="255" t="s">
        <v>312</v>
      </c>
      <c r="K4" s="255"/>
      <c r="L4" s="255"/>
    </row>
    <row r="5" spans="1:12" x14ac:dyDescent="0.35">
      <c r="A5" s="74"/>
      <c r="B5" s="76"/>
      <c r="C5" s="76" t="s">
        <v>313</v>
      </c>
      <c r="D5" s="76" t="s">
        <v>314</v>
      </c>
      <c r="E5" s="76" t="s">
        <v>315</v>
      </c>
      <c r="F5" s="76"/>
      <c r="G5" s="76" t="s">
        <v>313</v>
      </c>
      <c r="H5" s="76" t="s">
        <v>314</v>
      </c>
      <c r="I5" s="76" t="s">
        <v>315</v>
      </c>
      <c r="J5" s="76" t="s">
        <v>313</v>
      </c>
      <c r="K5" s="76" t="s">
        <v>314</v>
      </c>
      <c r="L5" s="76" t="s">
        <v>315</v>
      </c>
    </row>
    <row r="6" spans="1:12" x14ac:dyDescent="0.35">
      <c r="B6" s="55" t="s">
        <v>316</v>
      </c>
      <c r="C6" s="55"/>
      <c r="D6" s="55"/>
      <c r="E6" s="55">
        <f>C6*D6</f>
        <v>0</v>
      </c>
      <c r="F6" s="55" t="s">
        <v>333</v>
      </c>
      <c r="G6" s="55"/>
      <c r="H6" s="55"/>
      <c r="I6" s="55">
        <f>G6*H6</f>
        <v>0</v>
      </c>
      <c r="J6" s="55"/>
      <c r="K6" s="55"/>
      <c r="L6" s="55">
        <f>J6*K6</f>
        <v>0</v>
      </c>
    </row>
    <row r="7" spans="1:12" x14ac:dyDescent="0.35">
      <c r="B7" s="55"/>
      <c r="C7" s="55"/>
      <c r="D7" s="55"/>
      <c r="E7" s="55">
        <f t="shared" ref="E7:E41" si="0">C7*D7</f>
        <v>0</v>
      </c>
      <c r="F7" s="55" t="s">
        <v>333</v>
      </c>
      <c r="G7" s="55"/>
      <c r="H7" s="55"/>
      <c r="I7" s="55">
        <f t="shared" ref="I7:I35" si="1">G7*H7</f>
        <v>0</v>
      </c>
      <c r="J7" s="55"/>
      <c r="K7" s="55"/>
      <c r="L7" s="55">
        <f t="shared" ref="L7:L35" si="2">J7*K7</f>
        <v>0</v>
      </c>
    </row>
    <row r="8" spans="1:12" x14ac:dyDescent="0.35">
      <c r="B8" s="55"/>
      <c r="C8" s="55"/>
      <c r="D8" s="55"/>
      <c r="E8" s="55">
        <f t="shared" si="0"/>
        <v>0</v>
      </c>
      <c r="F8" s="55"/>
      <c r="G8" s="55"/>
      <c r="H8" s="55"/>
      <c r="I8" s="55">
        <f t="shared" si="1"/>
        <v>0</v>
      </c>
      <c r="J8" s="55"/>
      <c r="K8" s="55"/>
      <c r="L8" s="55">
        <f t="shared" si="2"/>
        <v>0</v>
      </c>
    </row>
    <row r="9" spans="1:12" x14ac:dyDescent="0.35">
      <c r="B9" s="55"/>
      <c r="C9" s="55"/>
      <c r="D9" s="55"/>
      <c r="E9" s="55">
        <f t="shared" si="0"/>
        <v>0</v>
      </c>
      <c r="F9" s="55" t="s">
        <v>317</v>
      </c>
      <c r="G9" s="55"/>
      <c r="H9" s="55"/>
      <c r="I9" s="55">
        <f t="shared" si="1"/>
        <v>0</v>
      </c>
      <c r="J9" s="55"/>
      <c r="K9" s="55"/>
      <c r="L9" s="55">
        <f t="shared" si="2"/>
        <v>0</v>
      </c>
    </row>
    <row r="10" spans="1:12" x14ac:dyDescent="0.35">
      <c r="B10" s="55" t="s">
        <v>318</v>
      </c>
      <c r="C10" s="55"/>
      <c r="D10" s="55"/>
      <c r="E10" s="55">
        <f t="shared" si="0"/>
        <v>0</v>
      </c>
      <c r="F10" s="55" t="s">
        <v>317</v>
      </c>
      <c r="G10" s="55"/>
      <c r="H10" s="55"/>
      <c r="I10" s="55">
        <f t="shared" si="1"/>
        <v>0</v>
      </c>
      <c r="J10" s="55"/>
      <c r="K10" s="55"/>
      <c r="L10" s="55">
        <f t="shared" si="2"/>
        <v>0</v>
      </c>
    </row>
    <row r="11" spans="1:12" x14ac:dyDescent="0.35">
      <c r="B11" s="55"/>
      <c r="C11" s="55"/>
      <c r="D11" s="55"/>
      <c r="E11" s="55">
        <f t="shared" si="0"/>
        <v>0</v>
      </c>
      <c r="F11" s="55" t="s">
        <v>319</v>
      </c>
      <c r="G11" s="55"/>
      <c r="H11" s="55"/>
      <c r="I11" s="55">
        <f t="shared" si="1"/>
        <v>0</v>
      </c>
      <c r="J11" s="55"/>
      <c r="K11" s="55"/>
      <c r="L11" s="55">
        <f t="shared" si="2"/>
        <v>0</v>
      </c>
    </row>
    <row r="12" spans="1:12" x14ac:dyDescent="0.35">
      <c r="B12" s="55"/>
      <c r="C12" s="55"/>
      <c r="D12" s="55"/>
      <c r="E12" s="55">
        <f t="shared" si="0"/>
        <v>0</v>
      </c>
      <c r="F12" s="55"/>
      <c r="G12" s="55"/>
      <c r="H12" s="55"/>
      <c r="I12" s="55">
        <f t="shared" si="1"/>
        <v>0</v>
      </c>
      <c r="J12" s="55"/>
      <c r="K12" s="55"/>
      <c r="L12" s="55">
        <f t="shared" si="2"/>
        <v>0</v>
      </c>
    </row>
    <row r="13" spans="1:12" x14ac:dyDescent="0.35">
      <c r="B13" s="55"/>
      <c r="C13" s="55"/>
      <c r="D13" s="55"/>
      <c r="E13" s="55">
        <f t="shared" si="0"/>
        <v>0</v>
      </c>
      <c r="F13" s="55"/>
      <c r="G13" s="55"/>
      <c r="H13" s="55"/>
      <c r="I13" s="55">
        <f t="shared" si="1"/>
        <v>0</v>
      </c>
      <c r="J13" s="55"/>
      <c r="K13" s="55"/>
      <c r="L13" s="55">
        <f t="shared" si="2"/>
        <v>0</v>
      </c>
    </row>
    <row r="14" spans="1:12" x14ac:dyDescent="0.35">
      <c r="B14" s="55" t="s">
        <v>320</v>
      </c>
      <c r="C14" s="55"/>
      <c r="D14" s="55"/>
      <c r="E14" s="55">
        <f t="shared" si="0"/>
        <v>0</v>
      </c>
      <c r="F14" s="55" t="s">
        <v>317</v>
      </c>
      <c r="G14" s="55"/>
      <c r="H14" s="55"/>
      <c r="I14" s="55">
        <f t="shared" si="1"/>
        <v>0</v>
      </c>
      <c r="J14" s="55"/>
      <c r="K14" s="55"/>
      <c r="L14" s="55">
        <f t="shared" si="2"/>
        <v>0</v>
      </c>
    </row>
    <row r="15" spans="1:12" x14ac:dyDescent="0.35">
      <c r="B15" s="55"/>
      <c r="C15" s="55"/>
      <c r="D15" s="55"/>
      <c r="E15" s="55">
        <f t="shared" si="0"/>
        <v>0</v>
      </c>
      <c r="F15" s="55" t="s">
        <v>319</v>
      </c>
      <c r="G15" s="55"/>
      <c r="H15" s="55"/>
      <c r="I15" s="55">
        <f t="shared" si="1"/>
        <v>0</v>
      </c>
      <c r="J15" s="55"/>
      <c r="K15" s="55"/>
      <c r="L15" s="55">
        <f t="shared" si="2"/>
        <v>0</v>
      </c>
    </row>
    <row r="16" spans="1:12" x14ac:dyDescent="0.35">
      <c r="B16" s="55"/>
      <c r="C16" s="55"/>
      <c r="D16" s="55"/>
      <c r="E16" s="55">
        <f t="shared" si="0"/>
        <v>0</v>
      </c>
      <c r="F16" s="55"/>
      <c r="G16" s="55"/>
      <c r="H16" s="55"/>
      <c r="I16" s="55">
        <f t="shared" si="1"/>
        <v>0</v>
      </c>
      <c r="J16" s="55"/>
      <c r="K16" s="55"/>
      <c r="L16" s="55">
        <f t="shared" si="2"/>
        <v>0</v>
      </c>
    </row>
    <row r="17" spans="2:12" x14ac:dyDescent="0.35">
      <c r="B17" s="55"/>
      <c r="C17" s="55"/>
      <c r="D17" s="55"/>
      <c r="E17" s="55">
        <f t="shared" si="0"/>
        <v>0</v>
      </c>
      <c r="F17" s="55"/>
      <c r="G17" s="55"/>
      <c r="H17" s="55"/>
      <c r="I17" s="55">
        <f t="shared" si="1"/>
        <v>0</v>
      </c>
      <c r="J17" s="55"/>
      <c r="K17" s="55"/>
      <c r="L17" s="55">
        <f t="shared" si="2"/>
        <v>0</v>
      </c>
    </row>
    <row r="18" spans="2:12" x14ac:dyDescent="0.35">
      <c r="B18" s="55" t="s">
        <v>321</v>
      </c>
      <c r="C18" s="55"/>
      <c r="D18" s="55"/>
      <c r="E18" s="55">
        <f t="shared" si="0"/>
        <v>0</v>
      </c>
      <c r="F18" s="55" t="s">
        <v>317</v>
      </c>
      <c r="G18" s="55"/>
      <c r="H18" s="55"/>
      <c r="I18" s="55">
        <f t="shared" si="1"/>
        <v>0</v>
      </c>
      <c r="J18" s="55"/>
      <c r="K18" s="55"/>
      <c r="L18" s="55">
        <f t="shared" si="2"/>
        <v>0</v>
      </c>
    </row>
    <row r="19" spans="2:12" x14ac:dyDescent="0.35">
      <c r="B19" s="55"/>
      <c r="C19" s="55"/>
      <c r="D19" s="55"/>
      <c r="E19" s="55">
        <f t="shared" si="0"/>
        <v>0</v>
      </c>
      <c r="F19" s="55" t="s">
        <v>319</v>
      </c>
      <c r="G19" s="55"/>
      <c r="H19" s="55"/>
      <c r="I19" s="55">
        <f t="shared" si="1"/>
        <v>0</v>
      </c>
      <c r="J19" s="55"/>
      <c r="K19" s="55"/>
      <c r="L19" s="55">
        <f t="shared" si="2"/>
        <v>0</v>
      </c>
    </row>
    <row r="20" spans="2:12" x14ac:dyDescent="0.35">
      <c r="B20" s="55"/>
      <c r="C20" s="55"/>
      <c r="D20" s="55"/>
      <c r="E20" s="55">
        <f t="shared" si="0"/>
        <v>0</v>
      </c>
      <c r="F20" s="55"/>
      <c r="G20" s="55"/>
      <c r="H20" s="55"/>
      <c r="I20" s="55">
        <f t="shared" si="1"/>
        <v>0</v>
      </c>
      <c r="J20" s="55"/>
      <c r="K20" s="55"/>
      <c r="L20" s="55">
        <f t="shared" si="2"/>
        <v>0</v>
      </c>
    </row>
    <row r="21" spans="2:12" x14ac:dyDescent="0.35">
      <c r="B21" s="55" t="s">
        <v>322</v>
      </c>
      <c r="C21" s="55"/>
      <c r="D21" s="55"/>
      <c r="E21" s="55">
        <f t="shared" si="0"/>
        <v>0</v>
      </c>
      <c r="F21" s="55" t="s">
        <v>317</v>
      </c>
      <c r="G21" s="55"/>
      <c r="H21" s="55"/>
      <c r="I21" s="55">
        <f t="shared" si="1"/>
        <v>0</v>
      </c>
      <c r="J21" s="55"/>
      <c r="K21" s="55"/>
      <c r="L21" s="55">
        <f t="shared" si="2"/>
        <v>0</v>
      </c>
    </row>
    <row r="22" spans="2:12" x14ac:dyDescent="0.35">
      <c r="B22" s="55"/>
      <c r="C22" s="55"/>
      <c r="D22" s="55"/>
      <c r="E22" s="55">
        <f t="shared" si="0"/>
        <v>0</v>
      </c>
      <c r="F22" s="55" t="s">
        <v>319</v>
      </c>
      <c r="G22" s="55"/>
      <c r="H22" s="55"/>
      <c r="I22" s="55">
        <f t="shared" si="1"/>
        <v>0</v>
      </c>
      <c r="J22" s="55"/>
      <c r="K22" s="55"/>
      <c r="L22" s="55">
        <f t="shared" si="2"/>
        <v>0</v>
      </c>
    </row>
    <row r="23" spans="2:12" x14ac:dyDescent="0.35">
      <c r="B23" s="55"/>
      <c r="C23" s="55"/>
      <c r="D23" s="55"/>
      <c r="E23" s="55">
        <f t="shared" si="0"/>
        <v>0</v>
      </c>
      <c r="F23" s="55"/>
      <c r="G23" s="55"/>
      <c r="H23" s="55"/>
      <c r="I23" s="55">
        <f t="shared" si="1"/>
        <v>0</v>
      </c>
      <c r="J23" s="55"/>
      <c r="K23" s="55"/>
      <c r="L23" s="55">
        <f t="shared" si="2"/>
        <v>0</v>
      </c>
    </row>
    <row r="24" spans="2:12" x14ac:dyDescent="0.35">
      <c r="B24" s="55" t="s">
        <v>323</v>
      </c>
      <c r="C24" s="55"/>
      <c r="D24" s="55"/>
      <c r="E24" s="55">
        <f t="shared" si="0"/>
        <v>0</v>
      </c>
      <c r="F24" s="55" t="s">
        <v>324</v>
      </c>
      <c r="G24" s="55"/>
      <c r="H24" s="55"/>
      <c r="I24" s="55">
        <f t="shared" si="1"/>
        <v>0</v>
      </c>
      <c r="J24" s="55"/>
      <c r="K24" s="55"/>
      <c r="L24" s="55">
        <f t="shared" si="2"/>
        <v>0</v>
      </c>
    </row>
    <row r="25" spans="2:12" x14ac:dyDescent="0.35">
      <c r="B25" s="55"/>
      <c r="C25" s="55"/>
      <c r="D25" s="55"/>
      <c r="E25" s="55">
        <f>C25*D25</f>
        <v>0</v>
      </c>
      <c r="F25" s="55" t="s">
        <v>324</v>
      </c>
      <c r="G25" s="55"/>
      <c r="H25" s="55"/>
      <c r="I25" s="55">
        <f>G25*H25</f>
        <v>0</v>
      </c>
      <c r="J25" s="55"/>
      <c r="K25" s="55"/>
      <c r="L25" s="55">
        <f>J25*K25</f>
        <v>0</v>
      </c>
    </row>
    <row r="26" spans="2:12" x14ac:dyDescent="0.35">
      <c r="B26" s="55"/>
      <c r="C26" s="55"/>
      <c r="D26" s="55"/>
      <c r="E26" s="55">
        <f>C26*D26</f>
        <v>0</v>
      </c>
      <c r="F26" s="55" t="s">
        <v>324</v>
      </c>
      <c r="G26" s="55"/>
      <c r="H26" s="55"/>
      <c r="I26" s="55">
        <f>G26*H26</f>
        <v>0</v>
      </c>
      <c r="J26" s="55"/>
      <c r="K26" s="55"/>
      <c r="L26" s="55">
        <f>J26*K26</f>
        <v>0</v>
      </c>
    </row>
    <row r="27" spans="2:12" x14ac:dyDescent="0.35">
      <c r="B27" s="55"/>
      <c r="C27" s="55"/>
      <c r="D27" s="55"/>
      <c r="E27" s="55">
        <f>C27*D27</f>
        <v>0</v>
      </c>
      <c r="F27" s="55" t="s">
        <v>324</v>
      </c>
      <c r="G27" s="55"/>
      <c r="H27" s="55"/>
      <c r="I27" s="55">
        <f>G27*H27</f>
        <v>0</v>
      </c>
      <c r="J27" s="55"/>
      <c r="K27" s="55"/>
      <c r="L27" s="55">
        <f>J27*K27</f>
        <v>0</v>
      </c>
    </row>
    <row r="28" spans="2:12" x14ac:dyDescent="0.35">
      <c r="B28" s="55" t="s">
        <v>325</v>
      </c>
      <c r="C28" s="55"/>
      <c r="D28" s="55"/>
      <c r="E28" s="55">
        <f t="shared" si="0"/>
        <v>0</v>
      </c>
      <c r="F28" s="55" t="s">
        <v>324</v>
      </c>
      <c r="G28" s="55"/>
      <c r="H28" s="55"/>
      <c r="I28" s="55">
        <f t="shared" si="1"/>
        <v>0</v>
      </c>
      <c r="J28" s="55"/>
      <c r="K28" s="55"/>
      <c r="L28" s="55">
        <f t="shared" si="2"/>
        <v>0</v>
      </c>
    </row>
    <row r="29" spans="2:12" x14ac:dyDescent="0.35">
      <c r="B29" s="55" t="s">
        <v>326</v>
      </c>
      <c r="C29" s="55"/>
      <c r="D29" s="55"/>
      <c r="E29" s="55">
        <f t="shared" si="0"/>
        <v>0</v>
      </c>
      <c r="F29" s="55" t="s">
        <v>324</v>
      </c>
      <c r="G29" s="55"/>
      <c r="H29" s="55"/>
      <c r="I29" s="55">
        <f t="shared" si="1"/>
        <v>0</v>
      </c>
      <c r="J29" s="55"/>
      <c r="K29" s="55"/>
      <c r="L29" s="55">
        <f t="shared" si="2"/>
        <v>0</v>
      </c>
    </row>
    <row r="30" spans="2:12" x14ac:dyDescent="0.35">
      <c r="B30" s="55" t="s">
        <v>330</v>
      </c>
      <c r="C30" s="55"/>
      <c r="D30" s="55"/>
      <c r="E30" s="55">
        <f t="shared" si="0"/>
        <v>0</v>
      </c>
      <c r="F30" s="55"/>
      <c r="G30" s="55"/>
      <c r="H30" s="55"/>
      <c r="I30" s="55">
        <f t="shared" si="1"/>
        <v>0</v>
      </c>
      <c r="J30" s="55"/>
      <c r="K30" s="55"/>
      <c r="L30" s="55">
        <f t="shared" si="2"/>
        <v>0</v>
      </c>
    </row>
    <row r="31" spans="2:12" x14ac:dyDescent="0.35">
      <c r="B31" s="55"/>
      <c r="C31" s="55"/>
      <c r="D31" s="55"/>
      <c r="E31" s="55">
        <f>C31*D31</f>
        <v>0</v>
      </c>
      <c r="F31" s="55"/>
      <c r="G31" s="55"/>
      <c r="H31" s="55"/>
      <c r="I31" s="55">
        <f>G31*H31</f>
        <v>0</v>
      </c>
      <c r="J31" s="55"/>
      <c r="K31" s="55"/>
      <c r="L31" s="55">
        <f>J31*K31</f>
        <v>0</v>
      </c>
    </row>
    <row r="32" spans="2:12" x14ac:dyDescent="0.35">
      <c r="B32" s="55"/>
      <c r="C32" s="55"/>
      <c r="D32" s="55"/>
      <c r="E32" s="55">
        <f>C32*D32</f>
        <v>0</v>
      </c>
      <c r="F32" s="55"/>
      <c r="G32" s="55"/>
      <c r="H32" s="55"/>
      <c r="I32" s="55">
        <f>G32*H32</f>
        <v>0</v>
      </c>
      <c r="J32" s="55"/>
      <c r="K32" s="55"/>
      <c r="L32" s="55">
        <f>J32*K32</f>
        <v>0</v>
      </c>
    </row>
    <row r="33" spans="2:12" x14ac:dyDescent="0.35">
      <c r="B33" s="55" t="s">
        <v>327</v>
      </c>
      <c r="C33" s="55"/>
      <c r="D33" s="55"/>
      <c r="E33" s="55">
        <f t="shared" si="0"/>
        <v>0</v>
      </c>
      <c r="F33" s="55"/>
      <c r="G33" s="55"/>
      <c r="H33" s="55"/>
      <c r="I33" s="55">
        <f t="shared" si="1"/>
        <v>0</v>
      </c>
      <c r="J33" s="55"/>
      <c r="K33" s="55"/>
      <c r="L33" s="55">
        <f t="shared" si="2"/>
        <v>0</v>
      </c>
    </row>
    <row r="34" spans="2:12" x14ac:dyDescent="0.35">
      <c r="B34" s="55" t="s">
        <v>331</v>
      </c>
      <c r="C34" s="55"/>
      <c r="D34" s="55"/>
      <c r="E34" s="55">
        <f t="shared" si="0"/>
        <v>0</v>
      </c>
      <c r="F34" s="55"/>
      <c r="G34" s="55"/>
      <c r="H34" s="55"/>
      <c r="I34" s="55">
        <f t="shared" si="1"/>
        <v>0</v>
      </c>
      <c r="J34" s="55"/>
      <c r="K34" s="55"/>
      <c r="L34" s="55">
        <f t="shared" si="2"/>
        <v>0</v>
      </c>
    </row>
    <row r="35" spans="2:12" x14ac:dyDescent="0.35">
      <c r="B35" s="55" t="s">
        <v>328</v>
      </c>
      <c r="C35" s="55"/>
      <c r="D35" s="55"/>
      <c r="E35" s="55">
        <f t="shared" si="0"/>
        <v>0</v>
      </c>
      <c r="F35" s="55"/>
      <c r="G35" s="55"/>
      <c r="H35" s="55"/>
      <c r="I35" s="55">
        <f t="shared" si="1"/>
        <v>0</v>
      </c>
      <c r="J35" s="55"/>
      <c r="K35" s="55"/>
      <c r="L35" s="55">
        <f t="shared" si="2"/>
        <v>0</v>
      </c>
    </row>
    <row r="36" spans="2:12" x14ac:dyDescent="0.35">
      <c r="B36" s="55" t="s">
        <v>329</v>
      </c>
      <c r="C36" s="55"/>
      <c r="D36" s="55"/>
      <c r="E36" s="55">
        <f t="shared" si="0"/>
        <v>0</v>
      </c>
      <c r="F36" s="55"/>
      <c r="G36" s="55"/>
      <c r="H36" s="55"/>
      <c r="I36" s="55">
        <f t="shared" ref="I36:I41" si="3">G36*H36</f>
        <v>0</v>
      </c>
      <c r="J36" s="55"/>
      <c r="K36" s="55"/>
      <c r="L36" s="55">
        <f t="shared" ref="L36:L41" si="4">J36*K36</f>
        <v>0</v>
      </c>
    </row>
    <row r="37" spans="2:12" x14ac:dyDescent="0.35">
      <c r="B37" s="55"/>
      <c r="C37" s="55"/>
      <c r="D37" s="55"/>
      <c r="E37" s="55">
        <f>C37*D37</f>
        <v>0</v>
      </c>
      <c r="F37" s="55"/>
      <c r="G37" s="55"/>
      <c r="H37" s="55"/>
      <c r="I37" s="55">
        <f t="shared" si="3"/>
        <v>0</v>
      </c>
      <c r="J37" s="55"/>
      <c r="K37" s="55"/>
      <c r="L37" s="55">
        <f t="shared" si="4"/>
        <v>0</v>
      </c>
    </row>
    <row r="38" spans="2:12" x14ac:dyDescent="0.35">
      <c r="B38" s="55" t="s">
        <v>332</v>
      </c>
      <c r="C38" s="55"/>
      <c r="D38" s="55"/>
      <c r="E38" s="55">
        <f>C38*D38</f>
        <v>0</v>
      </c>
      <c r="F38" s="55"/>
      <c r="G38" s="55"/>
      <c r="H38" s="55"/>
      <c r="I38" s="55">
        <f t="shared" si="3"/>
        <v>0</v>
      </c>
      <c r="J38" s="55"/>
      <c r="K38" s="55"/>
      <c r="L38" s="55">
        <f t="shared" si="4"/>
        <v>0</v>
      </c>
    </row>
    <row r="39" spans="2:12" x14ac:dyDescent="0.35">
      <c r="B39" s="55"/>
      <c r="C39" s="55"/>
      <c r="D39" s="55"/>
      <c r="E39" s="55">
        <f t="shared" si="0"/>
        <v>0</v>
      </c>
      <c r="F39" s="55"/>
      <c r="G39" s="55"/>
      <c r="H39" s="55"/>
      <c r="I39" s="55">
        <f t="shared" si="3"/>
        <v>0</v>
      </c>
      <c r="J39" s="55"/>
      <c r="K39" s="55"/>
      <c r="L39" s="55">
        <f t="shared" si="4"/>
        <v>0</v>
      </c>
    </row>
    <row r="40" spans="2:12" x14ac:dyDescent="0.35">
      <c r="B40" s="55"/>
      <c r="C40" s="55"/>
      <c r="D40" s="55"/>
      <c r="E40" s="55">
        <f t="shared" si="0"/>
        <v>0</v>
      </c>
      <c r="F40" s="55"/>
      <c r="G40" s="55"/>
      <c r="H40" s="55"/>
      <c r="I40" s="55">
        <f t="shared" si="3"/>
        <v>0</v>
      </c>
      <c r="J40" s="55"/>
      <c r="K40" s="55"/>
      <c r="L40" s="55">
        <f t="shared" si="4"/>
        <v>0</v>
      </c>
    </row>
    <row r="41" spans="2:12" x14ac:dyDescent="0.35">
      <c r="B41" s="55"/>
      <c r="C41" s="55"/>
      <c r="D41" s="55"/>
      <c r="E41" s="55">
        <f t="shared" si="0"/>
        <v>0</v>
      </c>
      <c r="F41" s="55"/>
      <c r="G41" s="55"/>
      <c r="H41" s="55"/>
      <c r="I41" s="55">
        <f t="shared" si="3"/>
        <v>0</v>
      </c>
      <c r="J41" s="55"/>
      <c r="K41" s="55"/>
      <c r="L41" s="55">
        <f t="shared" si="4"/>
        <v>0</v>
      </c>
    </row>
    <row r="42" spans="2:12" x14ac:dyDescent="0.35">
      <c r="B42" s="55" t="s">
        <v>151</v>
      </c>
      <c r="C42" s="55"/>
      <c r="D42" s="55">
        <f>E42*10.764</f>
        <v>0</v>
      </c>
      <c r="E42" s="79">
        <f>SUM(E6:E41)</f>
        <v>0</v>
      </c>
      <c r="F42" s="55"/>
      <c r="G42" s="55"/>
      <c r="H42" s="55">
        <f>I42*10.764</f>
        <v>0</v>
      </c>
      <c r="I42" s="78">
        <f>SUM(I6:I41)</f>
        <v>0</v>
      </c>
      <c r="J42" s="55"/>
      <c r="K42" s="55">
        <f>L42*10.764</f>
        <v>0</v>
      </c>
      <c r="L42" s="77">
        <f>SUM(L6:L41)</f>
        <v>0</v>
      </c>
    </row>
    <row r="44" spans="2:12" x14ac:dyDescent="0.35">
      <c r="D44" s="54">
        <f>D42+H42</f>
        <v>0</v>
      </c>
      <c r="E44" s="5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2025-01-15T05:29:21Z</cp:lastPrinted>
  <dcterms:created xsi:type="dcterms:W3CDTF">2019-07-16T09:29:46Z</dcterms:created>
  <dcterms:modified xsi:type="dcterms:W3CDTF">2025-06-10T06:57:36Z</dcterms:modified>
</cp:coreProperties>
</file>