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ne 2025\05-06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K97" i="1" l="1"/>
  <c r="D153" i="1"/>
  <c r="D151" i="1"/>
  <c r="F151" i="1" s="1"/>
  <c r="D150" i="1"/>
  <c r="F150" i="1" s="1"/>
  <c r="D149" i="1"/>
  <c r="F149" i="1" s="1"/>
  <c r="D147" i="1"/>
  <c r="F147" i="1" s="1"/>
  <c r="D146" i="1"/>
  <c r="F146" i="1" s="1"/>
  <c r="D145" i="1"/>
  <c r="F145" i="1" s="1"/>
  <c r="D143" i="1"/>
  <c r="F143" i="1" s="1"/>
  <c r="K143" i="1" s="1"/>
  <c r="D142" i="1"/>
  <c r="J142" i="1" s="1"/>
  <c r="D137" i="1"/>
  <c r="F137" i="1" s="1"/>
  <c r="D136" i="1"/>
  <c r="F136" i="1" s="1"/>
  <c r="D135" i="1"/>
  <c r="F135" i="1" s="1"/>
  <c r="D133" i="1"/>
  <c r="F133" i="1" s="1"/>
  <c r="D132" i="1"/>
  <c r="D131" i="1"/>
  <c r="F131" i="1" s="1"/>
  <c r="D129" i="1"/>
  <c r="F129" i="1" s="1"/>
  <c r="D128" i="1"/>
  <c r="F128" i="1" s="1"/>
  <c r="D127" i="1"/>
  <c r="F127" i="1" s="1"/>
  <c r="D125" i="1"/>
  <c r="D123" i="1"/>
  <c r="D122" i="1"/>
  <c r="I122" i="1"/>
  <c r="A154" i="1"/>
  <c r="A155" i="1" s="1"/>
  <c r="G153" i="1"/>
  <c r="F153" i="1"/>
  <c r="A136" i="1"/>
  <c r="A137" i="1" s="1"/>
  <c r="G135" i="1"/>
  <c r="A150" i="1"/>
  <c r="A151" i="1" s="1"/>
  <c r="G149" i="1"/>
  <c r="F132" i="1"/>
  <c r="A132" i="1"/>
  <c r="A133" i="1" s="1"/>
  <c r="G131" i="1"/>
  <c r="A146" i="1"/>
  <c r="A147" i="1" s="1"/>
  <c r="G145" i="1"/>
  <c r="A128" i="1"/>
  <c r="A129" i="1" s="1"/>
  <c r="G127" i="1"/>
  <c r="A142" i="1"/>
  <c r="A143" i="1" s="1"/>
  <c r="G141" i="1"/>
  <c r="F142" i="1" l="1"/>
  <c r="G113" i="1"/>
  <c r="C112" i="1"/>
  <c r="C113" i="1"/>
  <c r="E112" i="1"/>
  <c r="E113" i="1"/>
  <c r="F122" i="1"/>
  <c r="J122" i="1" s="1"/>
  <c r="M97" i="1" s="1"/>
  <c r="I97" i="1" s="1"/>
  <c r="C114" i="1" l="1"/>
  <c r="E114" i="1"/>
  <c r="E44" i="1"/>
  <c r="E45" i="1" s="1"/>
  <c r="E31" i="1" l="1"/>
  <c r="F123" i="1" l="1"/>
  <c r="F125" i="1"/>
  <c r="A123" i="1"/>
  <c r="A125" i="1" s="1"/>
  <c r="G122" i="1"/>
  <c r="G112" i="1" l="1"/>
  <c r="G114" i="1" s="1"/>
  <c r="F109" i="1"/>
  <c r="B182" i="1" l="1"/>
  <c r="A163" i="1"/>
  <c r="A175" i="1"/>
  <c r="A169" i="1"/>
  <c r="F179" i="1" l="1"/>
  <c r="F178" i="1"/>
  <c r="F177" i="1"/>
  <c r="F176" i="1"/>
  <c r="F175" i="1"/>
  <c r="F173" i="1"/>
  <c r="F172" i="1"/>
  <c r="F171" i="1"/>
  <c r="F170" i="1"/>
  <c r="F169" i="1"/>
  <c r="F167" i="1"/>
  <c r="F166" i="1"/>
  <c r="F165" i="1"/>
  <c r="F164" i="1"/>
  <c r="F163" i="1"/>
  <c r="F161" i="1"/>
  <c r="F160" i="1"/>
  <c r="F158" i="1"/>
  <c r="F157" i="1"/>
  <c r="F159" i="1"/>
  <c r="A164" i="1"/>
  <c r="A176" i="1"/>
  <c r="A170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6" i="1"/>
  <c r="G175" i="1"/>
  <c r="G176" i="1" s="1"/>
  <c r="G177" i="1" s="1"/>
  <c r="G178" i="1" s="1"/>
  <c r="G179" i="1" s="1"/>
  <c r="G169" i="1"/>
  <c r="G170" i="1" s="1"/>
  <c r="G171" i="1" s="1"/>
  <c r="G172" i="1" s="1"/>
  <c r="G173" i="1" s="1"/>
  <c r="G163" i="1"/>
  <c r="G164" i="1" s="1"/>
  <c r="G165" i="1" s="1"/>
  <c r="G166" i="1" s="1"/>
  <c r="G167" i="1" s="1"/>
  <c r="G157" i="1"/>
  <c r="G158" i="1" s="1"/>
  <c r="G159" i="1" s="1"/>
  <c r="G160" i="1" s="1"/>
  <c r="G161" i="1" s="1"/>
  <c r="A157" i="1"/>
  <c r="A158" i="1" s="1"/>
  <c r="A159" i="1" s="1"/>
  <c r="A160" i="1" s="1"/>
  <c r="A161" i="1" s="1"/>
  <c r="C82" i="1"/>
  <c r="B83" i="1" s="1"/>
  <c r="C68" i="1"/>
  <c r="B69" i="1" s="1"/>
  <c r="D56" i="1"/>
  <c r="G51" i="1"/>
  <c r="C51" i="1"/>
  <c r="E28" i="1"/>
  <c r="E26" i="1"/>
  <c r="E7" i="1"/>
  <c r="E3" i="1"/>
  <c r="A171" i="1"/>
  <c r="H69" i="1"/>
  <c r="A165" i="1"/>
  <c r="H83" i="1"/>
  <c r="A177" i="1"/>
  <c r="J88" i="1" l="1"/>
  <c r="J89" i="1" s="1"/>
  <c r="J82" i="1"/>
  <c r="J84" i="1" s="1"/>
  <c r="D62" i="1"/>
  <c r="D93" i="1"/>
  <c r="D94" i="1"/>
  <c r="D95" i="1"/>
  <c r="D89" i="1"/>
  <c r="D90" i="1"/>
  <c r="D91" i="1"/>
  <c r="D92" i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86" i="1"/>
  <c r="J87" i="1"/>
  <c r="C86" i="1" s="1"/>
  <c r="J85" i="1"/>
  <c r="A166" i="1"/>
  <c r="A172" i="1"/>
  <c r="A178" i="1"/>
  <c r="J94" i="1" l="1"/>
  <c r="J90" i="1"/>
  <c r="J91" i="1" s="1"/>
  <c r="J92" i="1" s="1"/>
  <c r="J93" i="1" s="1"/>
  <c r="J76" i="1"/>
  <c r="J77" i="1" s="1"/>
  <c r="J78" i="1" s="1"/>
  <c r="J79" i="1" s="1"/>
  <c r="D88" i="1"/>
  <c r="D74" i="1"/>
  <c r="J70" i="1"/>
  <c r="D72" i="1"/>
  <c r="D86" i="1"/>
  <c r="A173" i="1"/>
  <c r="A167" i="1"/>
  <c r="A179" i="1"/>
  <c r="J81" i="1" l="1"/>
  <c r="C73" i="1" s="1"/>
  <c r="G72" i="1" s="1"/>
  <c r="D66" i="1" s="1"/>
  <c r="D67" i="1" s="1"/>
  <c r="J95" i="1"/>
  <c r="C87" i="1" l="1"/>
  <c r="J83" i="1" s="1"/>
  <c r="J69" i="1"/>
  <c r="D73" i="1"/>
  <c r="I69" i="1" s="1"/>
  <c r="I70" i="1" s="1"/>
  <c r="E72" i="1"/>
  <c r="F67" i="1"/>
  <c r="E86" i="1" l="1"/>
  <c r="D87" i="1"/>
  <c r="I83" i="1" s="1"/>
  <c r="I84" i="1" s="1"/>
  <c r="G86" i="1"/>
  <c r="I68" i="1"/>
  <c r="C70" i="1" s="1"/>
  <c r="I82" i="1" l="1"/>
  <c r="C84" i="1" s="1"/>
</calcChain>
</file>

<file path=xl/sharedStrings.xml><?xml version="1.0" encoding="utf-8"?>
<sst xmlns="http://schemas.openxmlformats.org/spreadsheetml/2006/main" count="343" uniqueCount="245">
  <si>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</si>
  <si>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</si>
  <si>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</si>
  <si>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</si>
  <si>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</si>
  <si>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</si>
  <si>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</si>
  <si>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</si>
  <si>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</si>
  <si>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</si>
  <si>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</si>
  <si>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</si>
  <si>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</si>
  <si>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</si>
  <si>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</si>
  <si>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</si>
  <si>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</si>
  <si>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</si>
  <si>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</si>
  <si>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</si>
  <si>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</si>
  <si>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</si>
  <si>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</si>
  <si>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</si>
  <si>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</si>
  <si>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</si>
  <si>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</si>
  <si>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</si>
  <si>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</si>
  <si>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</si>
  <si>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</si>
  <si>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</si>
  <si>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</si>
  <si>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</si>
  <si>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</si>
  <si>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</si>
  <si>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</si>
  <si>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</si>
  <si>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</si>
  <si>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</si>
  <si>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</si>
  <si>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</si>
  <si>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</si>
  <si>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</si>
  <si>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</si>
  <si>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</si>
  <si>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</si>
  <si>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</si>
  <si>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</si>
  <si>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</si>
  <si>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</si>
  <si>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</si>
  <si>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</si>
  <si>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</si>
  <si>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</si>
  <si>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</si>
  <si>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</si>
  <si>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</si>
  <si>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</si>
  <si>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</si>
  <si>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</si>
  <si>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</si>
  <si>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</si>
  <si>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</si>
  <si>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</si>
  <si>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</si>
  <si>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</si>
  <si>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</si>
  <si>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</si>
  <si>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</si>
  <si>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</si>
  <si>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</si>
  <si>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</si>
  <si>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</si>
  <si>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</si>
  <si>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</si>
  <si>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</si>
  <si>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</si>
  <si>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</si>
  <si>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</si>
  <si>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</si>
  <si>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</si>
  <si>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</si>
  <si>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</si>
  <si>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</si>
  <si>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</si>
  <si>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</si>
  <si>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</si>
  <si>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</si>
  <si>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</si>
  <si>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</si>
  <si>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</si>
  <si>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</si>
  <si>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</si>
  <si>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</si>
  <si>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</si>
  <si>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</si>
  <si>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</si>
  <si>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</si>
  <si>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</si>
  <si>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</si>
  <si>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</si>
  <si>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</si>
  <si>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</si>
  <si>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</si>
  <si>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</si>
  <si>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</si>
  <si>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</si>
  <si>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</si>
  <si>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</si>
  <si>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</si>
  <si>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</si>
  <si>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</si>
  <si>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</si>
  <si>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</si>
  <si>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</si>
  <si>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</si>
  <si>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</si>
  <si>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</si>
  <si>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</si>
  <si>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</si>
  <si>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</si>
  <si>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</si>
  <si>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</si>
  <si>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</si>
  <si>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</si>
  <si>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</si>
  <si>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</si>
  <si>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</si>
  <si>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</si>
  <si>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</si>
  <si>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</si>
  <si>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</si>
  <si>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</si>
  <si>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</si>
  <si>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</si>
  <si>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</si>
  <si>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</si>
  <si>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</si>
  <si>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</si>
  <si>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</si>
  <si>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</si>
  <si>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</si>
  <si>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</si>
  <si>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</si>
  <si>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</si>
  <si>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</si>
  <si>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</si>
  <si>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</si>
  <si>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</si>
  <si>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</si>
  <si>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</si>
  <si>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</si>
  <si>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</si>
  <si>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</si>
  <si>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</si>
  <si>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</si>
  <si>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</si>
  <si>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</si>
  <si>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</si>
  <si>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</si>
  <si>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</si>
  <si>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</si>
  <si>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</si>
  <si>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</si>
  <si>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</si>
  <si>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</si>
  <si>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</si>
  <si>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</si>
  <si>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</si>
  <si>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</si>
  <si>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</si>
  <si>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</si>
  <si>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</si>
  <si>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</si>
  <si>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</si>
  <si>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Sanpada</t>
  </si>
  <si>
    <t>Heritage Lifestyles &amp; Developers Pvt Ltd</t>
  </si>
  <si>
    <t>Redevelopment of Vijayshree Chsl</t>
  </si>
  <si>
    <t>Wing A &amp; B</t>
  </si>
  <si>
    <t>P51800025556</t>
  </si>
  <si>
    <t>CTS No</t>
  </si>
  <si>
    <t>194A (Pt) &amp; Plot No. 40</t>
  </si>
  <si>
    <t>Nath-Pai Nagar</t>
  </si>
  <si>
    <t>Ghatkopar</t>
  </si>
  <si>
    <t>Mumbai</t>
  </si>
  <si>
    <t>Ghatkopar (East)</t>
  </si>
  <si>
    <t>https://goo.gl/maps/7mhPEcG1fZdPqd3n7?coh=178572&amp;entry=tt</t>
  </si>
  <si>
    <t>1.7 KM from Vidyavihar Railway Station</t>
  </si>
  <si>
    <t>Shivneri Road</t>
  </si>
  <si>
    <t>Kurla</t>
  </si>
  <si>
    <t>Sahyadri CHS Ltd</t>
  </si>
  <si>
    <t>Nath pai Garden</t>
  </si>
  <si>
    <t>Building</t>
  </si>
  <si>
    <t>Municipal Corporation of Greater Mumbai</t>
  </si>
  <si>
    <t>02 Wings</t>
  </si>
  <si>
    <t>CHE/ES/1535/N/337 (NEW)</t>
  </si>
  <si>
    <t>CHE/ES/1535/N/337(NEW)/FCC/1/Amend</t>
  </si>
  <si>
    <t>"Full C.C. as per approved plans dated 24.06.2021"</t>
  </si>
  <si>
    <t>Wing A</t>
  </si>
  <si>
    <t>Ground Floor for Parking</t>
  </si>
  <si>
    <t>1BHK</t>
  </si>
  <si>
    <t>1st Floor for Residential &amp; Society Office</t>
  </si>
  <si>
    <t>Wing B</t>
  </si>
  <si>
    <t>1st Floor for Residential &amp; Fitness Center</t>
  </si>
  <si>
    <t>Gym</t>
  </si>
  <si>
    <t>2BHK</t>
  </si>
  <si>
    <t>3rd to 5th Floor</t>
  </si>
  <si>
    <t>6th Floor</t>
  </si>
  <si>
    <t>6th Floor (Part Terrace Area)</t>
  </si>
  <si>
    <t>Terrace Area</t>
  </si>
  <si>
    <t>Wing A &amp; B = Gr/St + 1st to 6th Floor</t>
  </si>
  <si>
    <t>Flats - 33</t>
  </si>
  <si>
    <t>Wing A = Gr/St + 1st to 12th Floor</t>
  </si>
  <si>
    <t>Wing B = Gr/St + 1st to 10th Floor</t>
  </si>
  <si>
    <t>We considered Gross carpet area = Net carpet.</t>
  </si>
  <si>
    <t>Builder</t>
  </si>
  <si>
    <t>Inspection</t>
  </si>
  <si>
    <t>MIS</t>
  </si>
  <si>
    <t>Online</t>
  </si>
  <si>
    <t>Kids Fun Area, Multipurpose Turf, Fitness centre, Board Games Area, Party Halls, Hangout Gazebos, Jogging Track, Pargola Seating, Meditation Area, Senior Citizen Seating</t>
  </si>
  <si>
    <t>Approved Plans, CC, Sale Plans</t>
  </si>
  <si>
    <t>Nalla is located near by the site.</t>
  </si>
  <si>
    <t>Name of the Project as per Rera</t>
  </si>
  <si>
    <t>Anjali Heritage</t>
  </si>
  <si>
    <t xml:space="preserve">Commencement-CC No
Valid Up to: </t>
  </si>
  <si>
    <t>Name of the Existing Building</t>
  </si>
  <si>
    <t>Vijayshree Chsl</t>
  </si>
  <si>
    <t>-</t>
  </si>
  <si>
    <t>Society Office</t>
  </si>
  <si>
    <t>Validity of CC is expired on 26/02/2023. Please provide revised CC.</t>
  </si>
  <si>
    <t>Letter</t>
  </si>
  <si>
    <t>A sale or rehab statement is not provided along with approved floor plans. But as per a letter provided by the bank A wing is a rehab wing, and B wing is a sale wing. The same letter is attached below.</t>
  </si>
  <si>
    <t xml:space="preserve">Construction work is in process at the time of Visit. (Speed is Slow)
</t>
  </si>
  <si>
    <t>Mr. Sumit Bhosale  9867097735.</t>
  </si>
  <si>
    <t>Mr. Sandeep 8879787565</t>
  </si>
  <si>
    <t>19.0721322,72.9054359</t>
  </si>
  <si>
    <t>Please provide latest approved plans</t>
  </si>
  <si>
    <t>T</t>
  </si>
  <si>
    <t>As per RERA - 30/06/2025</t>
  </si>
  <si>
    <t>Mr. Kunal 9322120657</t>
  </si>
  <si>
    <t>Validity of CC is expired on 26/02/2025. Please provide Revised CC.</t>
  </si>
  <si>
    <t>Pooja Kawale</t>
  </si>
  <si>
    <t>Akash Kadam</t>
  </si>
  <si>
    <t>Wing A = Construction work was not active at the time of visit.
Wing B = Construction work is same as last visit dtd.11/06/2024.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</si>
</sst>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2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28" fillId="0" borderId="20" xfId="0" applyNumberFormat="1" applyFont="1" applyBorder="1" applyAlignment="1" applyProtection="1">
      <alignment vertical="top" wrapText="1"/>
      <protection locked="0"/>
    </xf>
    <xf numFmtId="1" fontId="28" fillId="0" borderId="8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24" fillId="2" borderId="14" xfId="0" applyFont="1" applyFill="1" applyBorder="1"/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138545</xdr:colOff>
      <xdr:row>343</xdr:row>
      <xdr:rowOff>180112</xdr:rowOff>
    </xdr:from>
    <xdr:to>
      <xdr:col>7</xdr:col>
      <xdr:colOff>607094</xdr:colOff>
      <xdr:row>364</xdr:row>
      <xdr:rowOff>43188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8545" y="65495635"/>
          <a:ext cx="6145976" cy="39941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15654</xdr:colOff>
      <xdr:row>326</xdr:row>
      <xdr:rowOff>60613</xdr:rowOff>
    </xdr:from>
    <xdr:to>
      <xdr:col>6</xdr:col>
      <xdr:colOff>768308</xdr:colOff>
      <xdr:row>343</xdr:row>
      <xdr:rowOff>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7654" y="61990431"/>
          <a:ext cx="4893733" cy="32850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632398</xdr:colOff>
      <xdr:row>347</xdr:row>
      <xdr:rowOff>117695</xdr:rowOff>
    </xdr:from>
    <xdr:to>
      <xdr:col>5</xdr:col>
      <xdr:colOff>735274</xdr:colOff>
      <xdr:row>354</xdr:row>
      <xdr:rowOff>19943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8246368">
          <a:off x="3304462" y="65965017"/>
          <a:ext cx="1296362" cy="1826035"/>
        </a:xfrm>
        <a:prstGeom prst="round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173182</xdr:colOff>
      <xdr:row>349</xdr:row>
      <xdr:rowOff>164523</xdr:rowOff>
    </xdr:from>
    <xdr:to>
      <xdr:col>3</xdr:col>
      <xdr:colOff>804306</xdr:colOff>
      <xdr:row>363</xdr:row>
      <xdr:rowOff>191031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endCxn id="2" idx="2"/>
        </xdr:cNvCxnSpPr>
      </xdr:nvCxnSpPr>
      <xdr:spPr>
        <a:xfrm>
          <a:off x="173182" y="66675000"/>
          <a:ext cx="3038351" cy="281473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173182</xdr:colOff>
      <xdr:row>354</xdr:row>
      <xdr:rowOff>103909</xdr:rowOff>
    </xdr:from>
    <xdr:to>
      <xdr:col>2</xdr:col>
      <xdr:colOff>528205</xdr:colOff>
      <xdr:row>363</xdr:row>
      <xdr:rowOff>181840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73182" y="67610182"/>
          <a:ext cx="1913659" cy="187036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424295</xdr:colOff>
      <xdr:row>357</xdr:row>
      <xdr:rowOff>95249</xdr:rowOff>
    </xdr:from>
    <xdr:ext cx="568361" cy="31149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rot="2611054">
          <a:off x="1186295" y="68198999"/>
          <a:ext cx="56836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Nalla</a:t>
          </a:r>
        </a:p>
      </xdr:txBody>
    </xdr:sp>
    <xdr:clientData/>
  </xdr:oneCellAnchor>
  <xdr:twoCellAnchor editAs="oneCell">
    <xdr:from>
      <xdr:col>1</xdr:col>
      <xdr:colOff>9525</xdr:colOff>
      <xdr:row>289</xdr:row>
      <xdr:rowOff>38100</xdr:rowOff>
    </xdr:from>
    <xdr:to>
      <xdr:col>7</xdr:col>
      <xdr:colOff>99438</xdr:colOff>
      <xdr:row>312</xdr:row>
      <xdr:rowOff>151342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1525" y="45510450"/>
          <a:ext cx="5012267" cy="46566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830498</xdr:colOff>
      <xdr:row>298</xdr:row>
      <xdr:rowOff>42267</xdr:rowOff>
    </xdr:from>
    <xdr:to>
      <xdr:col>4</xdr:col>
      <xdr:colOff>322304</xdr:colOff>
      <xdr:row>300</xdr:row>
      <xdr:rowOff>98488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18191469">
          <a:off x="3229578" y="47325587"/>
          <a:ext cx="456271" cy="434781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790575</xdr:colOff>
      <xdr:row>249</xdr:row>
      <xdr:rowOff>66675</xdr:rowOff>
    </xdr:from>
    <xdr:to>
      <xdr:col>6</xdr:col>
      <xdr:colOff>435823</xdr:colOff>
      <xdr:row>278</xdr:row>
      <xdr:rowOff>149071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09725" y="46177200"/>
          <a:ext cx="4096322" cy="58110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359467</xdr:colOff>
      <xdr:row>122</xdr:row>
      <xdr:rowOff>187187</xdr:rowOff>
    </xdr:from>
    <xdr:to>
      <xdr:col>13</xdr:col>
      <xdr:colOff>367334</xdr:colOff>
      <xdr:row>138</xdr:row>
      <xdr:rowOff>73318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8423967" y="25339537"/>
          <a:ext cx="3106667" cy="3035731"/>
          <a:chOff x="8655741" y="23513912"/>
          <a:chExt cx="2970142" cy="3086531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8663195" y="23513912"/>
            <a:ext cx="2962688" cy="3086531"/>
          </a:xfrm>
          <a:prstGeom prst="rect">
            <a:avLst/>
          </a:prstGeom>
        </xdr:spPr>
      </xdr:pic>
      <xdr:sp macro="" textlink="">
        <xdr:nvSpPr>
          <xdr:cNvPr id="20" name="TextBox 12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 rot="21011385">
            <a:off x="9003610" y="25269826"/>
            <a:ext cx="2119587" cy="6373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2400" b="1">
                <a:solidFill>
                  <a:srgbClr val="C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</a:p>
        </xdr:txBody>
      </xdr:sp>
      <xdr:sp macro="" textlink="">
        <xdr:nvSpPr>
          <xdr:cNvPr id="22" name="TextBox 12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/>
        </xdr:nvSpPr>
        <xdr:spPr>
          <a:xfrm rot="21011385">
            <a:off x="8655741" y="23545387"/>
            <a:ext cx="2119587" cy="6348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2400" b="1">
                <a:solidFill>
                  <a:srgbClr val="C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</a:t>
            </a:r>
          </a:p>
        </xdr:txBody>
      </xdr:sp>
    </xdr:grpSp>
    <xdr:clientData/>
  </xdr:twoCellAnchor>
  <xdr:twoCellAnchor editAs="oneCell">
    <xdr:from>
      <xdr:col>9</xdr:col>
      <xdr:colOff>28575</xdr:colOff>
      <xdr:row>139</xdr:row>
      <xdr:rowOff>9525</xdr:rowOff>
    </xdr:from>
    <xdr:to>
      <xdr:col>15</xdr:col>
      <xdr:colOff>325339</xdr:colOff>
      <xdr:row>182</xdr:row>
      <xdr:rowOff>155044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50" y="28889325"/>
          <a:ext cx="4734586" cy="4105848"/>
        </a:xfrm>
        <a:prstGeom prst="rect">
          <a:avLst/>
        </a:prstGeom>
      </xdr:spPr>
    </xdr:pic>
    <xdr:clientData/>
  </xdr:twoCellAnchor>
  <xdr:twoCellAnchor editAs="oneCell">
    <xdr:from>
      <xdr:col>8</xdr:col>
      <xdr:colOff>438979</xdr:colOff>
      <xdr:row>50</xdr:row>
      <xdr:rowOff>124239</xdr:rowOff>
    </xdr:from>
    <xdr:to>
      <xdr:col>14</xdr:col>
      <xdr:colOff>544460</xdr:colOff>
      <xdr:row>53</xdr:row>
      <xdr:rowOff>297486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57392" y="11148391"/>
          <a:ext cx="5058481" cy="1009791"/>
        </a:xfrm>
        <a:prstGeom prst="rect">
          <a:avLst/>
        </a:prstGeom>
      </xdr:spPr>
    </xdr:pic>
    <xdr:clientData/>
  </xdr:twoCellAnchor>
  <xdr:twoCellAnchor editAs="oneCell">
    <xdr:from>
      <xdr:col>11</xdr:col>
      <xdr:colOff>619125</xdr:colOff>
      <xdr:row>183</xdr:row>
      <xdr:rowOff>76200</xdr:rowOff>
    </xdr:from>
    <xdr:to>
      <xdr:col>17</xdr:col>
      <xdr:colOff>114841</xdr:colOff>
      <xdr:row>201</xdr:row>
      <xdr:rowOff>184732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72650" y="32956500"/>
          <a:ext cx="3877216" cy="4172532"/>
        </a:xfrm>
        <a:prstGeom prst="rect">
          <a:avLst/>
        </a:prstGeom>
      </xdr:spPr>
    </xdr:pic>
    <xdr:clientData/>
  </xdr:twoCellAnchor>
  <xdr:twoCellAnchor editAs="oneCell">
    <xdr:from>
      <xdr:col>8</xdr:col>
      <xdr:colOff>971071</xdr:colOff>
      <xdr:row>220</xdr:row>
      <xdr:rowOff>144075</xdr:rowOff>
    </xdr:from>
    <xdr:to>
      <xdr:col>12</xdr:col>
      <xdr:colOff>757321</xdr:colOff>
      <xdr:row>232</xdr:row>
      <xdr:rowOff>83775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5696" y="40892025"/>
          <a:ext cx="3120000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1019175</xdr:colOff>
      <xdr:row>207</xdr:row>
      <xdr:rowOff>9525</xdr:rowOff>
    </xdr:from>
    <xdr:to>
      <xdr:col>11</xdr:col>
      <xdr:colOff>334275</xdr:colOff>
      <xdr:row>220</xdr:row>
      <xdr:rowOff>10725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43800" y="38166675"/>
          <a:ext cx="1944000" cy="259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483300</xdr:colOff>
      <xdr:row>207</xdr:row>
      <xdr:rowOff>9525</xdr:rowOff>
    </xdr:from>
    <xdr:to>
      <xdr:col>14</xdr:col>
      <xdr:colOff>93675</xdr:colOff>
      <xdr:row>220</xdr:row>
      <xdr:rowOff>10725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6825" y="38166675"/>
          <a:ext cx="1944000" cy="259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242700</xdr:colOff>
      <xdr:row>207</xdr:row>
      <xdr:rowOff>9525</xdr:rowOff>
    </xdr:from>
    <xdr:to>
      <xdr:col>17</xdr:col>
      <xdr:colOff>138825</xdr:colOff>
      <xdr:row>220</xdr:row>
      <xdr:rowOff>10725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9850" y="38166675"/>
          <a:ext cx="1944000" cy="2592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932971</xdr:colOff>
      <xdr:row>232</xdr:row>
      <xdr:rowOff>169500</xdr:rowOff>
    </xdr:from>
    <xdr:to>
      <xdr:col>12</xdr:col>
      <xdr:colOff>719221</xdr:colOff>
      <xdr:row>244</xdr:row>
      <xdr:rowOff>109200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57596" y="43317750"/>
          <a:ext cx="3120000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46325</xdr:colOff>
      <xdr:row>232</xdr:row>
      <xdr:rowOff>188550</xdr:rowOff>
    </xdr:from>
    <xdr:to>
      <xdr:col>17</xdr:col>
      <xdr:colOff>280250</xdr:colOff>
      <xdr:row>244</xdr:row>
      <xdr:rowOff>128250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95275" y="43336800"/>
          <a:ext cx="3120000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55850</xdr:colOff>
      <xdr:row>220</xdr:row>
      <xdr:rowOff>144075</xdr:rowOff>
    </xdr:from>
    <xdr:to>
      <xdr:col>17</xdr:col>
      <xdr:colOff>289775</xdr:colOff>
      <xdr:row>232</xdr:row>
      <xdr:rowOff>83775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4800" y="40892025"/>
          <a:ext cx="3120000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323850</xdr:colOff>
      <xdr:row>206</xdr:row>
      <xdr:rowOff>107950</xdr:rowOff>
    </xdr:from>
    <xdr:to>
      <xdr:col>7</xdr:col>
      <xdr:colOff>452095</xdr:colOff>
      <xdr:row>238</xdr:row>
      <xdr:rowOff>68285</xdr:rowOff>
    </xdr:to>
    <xdr:grpSp>
      <xdr:nvGrpSpPr>
        <xdr:cNvPr id="8" name="Group 7"/>
        <xdr:cNvGrpSpPr/>
      </xdr:nvGrpSpPr>
      <xdr:grpSpPr>
        <a:xfrm>
          <a:off x="323850" y="37757100"/>
          <a:ext cx="6103595" cy="6253185"/>
          <a:chOff x="323850" y="37757100"/>
          <a:chExt cx="6103595" cy="6253185"/>
        </a:xfrm>
      </xdr:grpSpPr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850" y="377571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7445" y="377571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4716" y="41850285"/>
            <a:ext cx="384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4371" y="41850285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mhPEcG1fZdPqd3n7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26"/>
  <sheetViews>
    <sheetView tabSelected="1" showWhiteSpace="0" view="pageBreakPreview" topLeftCell="A55" zoomScaleNormal="100" zoomScaleSheetLayoutView="100" workbookViewId="0">
      <selection activeCell="A64" sqref="A64:H68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2.453125" style="39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12" ht="46.5" customHeight="1" x14ac:dyDescent="0.35">
      <c r="A1" s="140" t="s">
        <v>172</v>
      </c>
      <c r="B1" s="140"/>
      <c r="C1" s="140"/>
      <c r="D1" s="140"/>
      <c r="E1" s="140"/>
      <c r="F1" s="140"/>
      <c r="G1" s="140"/>
      <c r="H1" s="140"/>
    </row>
    <row r="2" spans="1:12" ht="16.5" customHeight="1" x14ac:dyDescent="0.35">
      <c r="A2" s="110" t="s">
        <v>0</v>
      </c>
      <c r="B2" s="110"/>
      <c r="C2" s="110"/>
      <c r="D2" s="110"/>
      <c r="E2" s="110"/>
      <c r="F2" s="110"/>
      <c r="G2" s="110"/>
      <c r="H2" s="110"/>
    </row>
    <row r="3" spans="1:12" x14ac:dyDescent="0.35">
      <c r="A3" s="104" t="s">
        <v>1</v>
      </c>
      <c r="B3" s="104"/>
      <c r="C3" s="104"/>
      <c r="D3" s="104"/>
      <c r="E3" s="104" t="str">
        <f ca="1">TEXT(TODAY(),"DD/MM/YYYY")</f>
        <v>05/06/2025</v>
      </c>
      <c r="F3" s="104"/>
      <c r="G3" s="104"/>
      <c r="H3" s="104"/>
    </row>
    <row r="4" spans="1:12" ht="15" customHeight="1" x14ac:dyDescent="0.35">
      <c r="A4" s="104" t="s">
        <v>2</v>
      </c>
      <c r="B4" s="104"/>
      <c r="C4" s="104"/>
      <c r="D4" s="104"/>
      <c r="E4" s="104" t="s">
        <v>176</v>
      </c>
      <c r="F4" s="104"/>
      <c r="G4" s="104"/>
      <c r="H4" s="104"/>
    </row>
    <row r="5" spans="1:12" x14ac:dyDescent="0.35">
      <c r="A5" s="104" t="s">
        <v>3</v>
      </c>
      <c r="B5" s="104"/>
      <c r="C5" s="104"/>
      <c r="D5" s="104"/>
      <c r="E5" s="141">
        <v>45812</v>
      </c>
      <c r="F5" s="104"/>
      <c r="G5" s="104"/>
      <c r="H5" s="104"/>
    </row>
    <row r="6" spans="1:12" ht="16.5" customHeight="1" x14ac:dyDescent="0.35">
      <c r="A6" s="104" t="s">
        <v>4</v>
      </c>
      <c r="B6" s="104"/>
      <c r="C6" s="104"/>
      <c r="D6" s="104"/>
      <c r="E6" s="104" t="s">
        <v>177</v>
      </c>
      <c r="F6" s="104"/>
      <c r="G6" s="104"/>
      <c r="H6" s="104"/>
    </row>
    <row r="7" spans="1:12" ht="15" customHeight="1" x14ac:dyDescent="0.35">
      <c r="A7" s="104" t="s">
        <v>5</v>
      </c>
      <c r="B7" s="104"/>
      <c r="C7" s="104"/>
      <c r="D7" s="104"/>
      <c r="E7" s="104" t="str">
        <f>E6</f>
        <v>Heritage Lifestyles &amp; Developers Pvt Ltd</v>
      </c>
      <c r="F7" s="104"/>
      <c r="G7" s="104"/>
      <c r="H7" s="104"/>
    </row>
    <row r="8" spans="1:12" x14ac:dyDescent="0.35">
      <c r="A8" s="104" t="s">
        <v>223</v>
      </c>
      <c r="B8" s="104"/>
      <c r="C8" s="104"/>
      <c r="D8" s="104"/>
      <c r="E8" s="87" t="s">
        <v>178</v>
      </c>
      <c r="F8" s="87"/>
      <c r="G8" s="87"/>
      <c r="H8" s="87"/>
    </row>
    <row r="9" spans="1:12" s="70" customFormat="1" ht="15" x14ac:dyDescent="0.3">
      <c r="A9" s="87" t="s">
        <v>6</v>
      </c>
      <c r="B9" s="87"/>
      <c r="C9" s="87"/>
      <c r="D9" s="87"/>
      <c r="E9" s="87" t="s">
        <v>224</v>
      </c>
      <c r="F9" s="87"/>
      <c r="G9" s="87"/>
      <c r="H9" s="87"/>
    </row>
    <row r="10" spans="1:12" x14ac:dyDescent="0.35">
      <c r="A10" s="104" t="s">
        <v>174</v>
      </c>
      <c r="B10" s="104"/>
      <c r="C10" s="104"/>
      <c r="D10" s="104"/>
      <c r="E10" s="104" t="s">
        <v>235</v>
      </c>
      <c r="F10" s="104"/>
      <c r="G10" s="104"/>
      <c r="H10" s="104"/>
    </row>
    <row r="11" spans="1:12" x14ac:dyDescent="0.35">
      <c r="A11" s="104" t="s">
        <v>175</v>
      </c>
      <c r="B11" s="104"/>
      <c r="C11" s="104"/>
      <c r="D11" s="104"/>
      <c r="E11" s="104" t="s">
        <v>240</v>
      </c>
      <c r="F11" s="104"/>
      <c r="G11" s="104"/>
      <c r="H11" s="104"/>
      <c r="I11" s="104" t="s">
        <v>234</v>
      </c>
      <c r="J11" s="104"/>
      <c r="K11" s="104"/>
      <c r="L11" s="104"/>
    </row>
    <row r="12" spans="1:12" x14ac:dyDescent="0.35">
      <c r="A12" s="104" t="s">
        <v>7</v>
      </c>
      <c r="B12" s="104"/>
      <c r="C12" s="104"/>
      <c r="D12" s="104"/>
      <c r="E12" s="104" t="s">
        <v>179</v>
      </c>
      <c r="F12" s="104"/>
      <c r="G12" s="104"/>
      <c r="H12" s="104"/>
    </row>
    <row r="13" spans="1:12" x14ac:dyDescent="0.35">
      <c r="A13" s="104" t="s">
        <v>226</v>
      </c>
      <c r="B13" s="104"/>
      <c r="C13" s="104"/>
      <c r="D13" s="104"/>
      <c r="E13" s="104" t="s">
        <v>227</v>
      </c>
      <c r="F13" s="104"/>
      <c r="G13" s="104"/>
      <c r="H13" s="104"/>
    </row>
    <row r="14" spans="1:12" s="22" customFormat="1" x14ac:dyDescent="0.35">
      <c r="A14" s="104" t="s">
        <v>8</v>
      </c>
      <c r="B14" s="104"/>
      <c r="C14" s="104"/>
      <c r="D14" s="104"/>
      <c r="E14" s="103" t="s">
        <v>221</v>
      </c>
      <c r="F14" s="103"/>
      <c r="G14" s="103"/>
      <c r="H14" s="103"/>
    </row>
    <row r="15" spans="1:12" x14ac:dyDescent="0.35">
      <c r="A15" s="88" t="s">
        <v>9</v>
      </c>
      <c r="B15" s="88"/>
      <c r="C15" s="88"/>
      <c r="D15" s="88"/>
      <c r="E15" s="103" t="s">
        <v>180</v>
      </c>
      <c r="F15" s="104"/>
      <c r="G15" s="104"/>
      <c r="H15" s="104"/>
    </row>
    <row r="16" spans="1:12" ht="35.25" customHeight="1" x14ac:dyDescent="0.35">
      <c r="A16" s="103" t="s">
        <v>10</v>
      </c>
      <c r="B16" s="103"/>
      <c r="C16" s="103" t="str">
        <f>CONCATENATE((IF(OR(E9="",E9="NA"),"",E9)),",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Anjali Heritage, CTS No.194A (Pt) &amp; Plot No. 40, near Sahyadri CHS Ltd, Shivneri Road, Nath-Pai Nagar, Ghatkopar, Ghatkopar (East), Kurla, Mumbai - 400077.</v>
      </c>
      <c r="D16" s="103"/>
      <c r="E16" s="103"/>
      <c r="F16" s="103"/>
      <c r="G16" s="103"/>
      <c r="H16" s="103"/>
    </row>
    <row r="17" spans="1:8" x14ac:dyDescent="0.35">
      <c r="A17" s="103" t="s">
        <v>181</v>
      </c>
      <c r="B17" s="103"/>
      <c r="C17" s="103" t="s">
        <v>182</v>
      </c>
      <c r="D17" s="103"/>
      <c r="E17" s="103"/>
      <c r="F17" s="103"/>
      <c r="G17" s="103"/>
      <c r="H17" s="103"/>
    </row>
    <row r="18" spans="1:8" ht="15.75" customHeight="1" x14ac:dyDescent="0.35">
      <c r="A18" s="103" t="s">
        <v>170</v>
      </c>
      <c r="B18" s="103"/>
      <c r="C18" s="103" t="s">
        <v>183</v>
      </c>
      <c r="D18" s="103"/>
      <c r="E18" s="103"/>
      <c r="F18" s="103"/>
      <c r="G18" s="103"/>
      <c r="H18" s="103"/>
    </row>
    <row r="19" spans="1:8" ht="15.75" customHeight="1" x14ac:dyDescent="0.35">
      <c r="A19" s="103" t="s">
        <v>11</v>
      </c>
      <c r="B19" s="103"/>
      <c r="C19" s="104" t="s">
        <v>189</v>
      </c>
      <c r="D19" s="104"/>
      <c r="E19" s="103" t="s">
        <v>75</v>
      </c>
      <c r="F19" s="103"/>
      <c r="G19" s="103" t="s">
        <v>184</v>
      </c>
      <c r="H19" s="103"/>
    </row>
    <row r="20" spans="1:8" x14ac:dyDescent="0.35">
      <c r="A20" s="104" t="s">
        <v>13</v>
      </c>
      <c r="B20" s="104"/>
      <c r="C20" s="103" t="s">
        <v>186</v>
      </c>
      <c r="D20" s="103"/>
      <c r="E20" s="103" t="s">
        <v>12</v>
      </c>
      <c r="F20" s="103"/>
      <c r="G20" s="142" t="s">
        <v>185</v>
      </c>
      <c r="H20" s="142"/>
    </row>
    <row r="21" spans="1:8" x14ac:dyDescent="0.35">
      <c r="A21" s="104" t="s">
        <v>76</v>
      </c>
      <c r="B21" s="104"/>
      <c r="C21" s="103" t="s">
        <v>190</v>
      </c>
      <c r="D21" s="103"/>
      <c r="E21" s="103" t="s">
        <v>14</v>
      </c>
      <c r="F21" s="103"/>
      <c r="G21" s="103">
        <v>400077</v>
      </c>
      <c r="H21" s="103"/>
    </row>
    <row r="22" spans="1:8" ht="32.25" customHeight="1" x14ac:dyDescent="0.35">
      <c r="A22" s="88" t="s">
        <v>126</v>
      </c>
      <c r="B22" s="88"/>
      <c r="C22" s="103" t="s">
        <v>191</v>
      </c>
      <c r="D22" s="103"/>
      <c r="E22" s="102" t="s">
        <v>15</v>
      </c>
      <c r="F22" s="102"/>
      <c r="G22" s="103" t="s">
        <v>188</v>
      </c>
      <c r="H22" s="103"/>
    </row>
    <row r="23" spans="1:8" ht="15" customHeight="1" x14ac:dyDescent="0.35">
      <c r="A23" s="102" t="s">
        <v>78</v>
      </c>
      <c r="B23" s="102"/>
      <c r="C23" s="102"/>
      <c r="D23" s="102"/>
      <c r="E23" s="104" t="s">
        <v>16</v>
      </c>
      <c r="F23" s="104"/>
      <c r="G23" s="104"/>
      <c r="H23" s="104"/>
    </row>
    <row r="24" spans="1:8" ht="18.75" customHeight="1" x14ac:dyDescent="0.35">
      <c r="A24" s="102"/>
      <c r="B24" s="102"/>
      <c r="C24" s="102"/>
      <c r="D24" s="102"/>
      <c r="E24" s="104"/>
      <c r="F24" s="104"/>
      <c r="G24" s="104"/>
      <c r="H24" s="104"/>
    </row>
    <row r="25" spans="1:8" ht="15" customHeight="1" x14ac:dyDescent="0.35">
      <c r="A25" s="102" t="s">
        <v>17</v>
      </c>
      <c r="B25" s="102"/>
      <c r="C25" s="102"/>
      <c r="D25" s="102"/>
      <c r="E25" s="103" t="s">
        <v>18</v>
      </c>
      <c r="F25" s="103"/>
      <c r="G25" s="103"/>
      <c r="H25" s="103"/>
    </row>
    <row r="26" spans="1:8" ht="15" customHeight="1" x14ac:dyDescent="0.35">
      <c r="A26" s="88" t="s">
        <v>19</v>
      </c>
      <c r="B26" s="88"/>
      <c r="C26" s="88"/>
      <c r="D26" s="88"/>
      <c r="E26" s="103" t="str">
        <f>IF(AND(G20="Mumbai"),"Upper Class","Middle Class")</f>
        <v>Upper Class</v>
      </c>
      <c r="F26" s="103"/>
      <c r="G26" s="103"/>
      <c r="H26" s="103"/>
    </row>
    <row r="27" spans="1:8" x14ac:dyDescent="0.35">
      <c r="A27" s="88" t="s">
        <v>20</v>
      </c>
      <c r="B27" s="88"/>
      <c r="C27" s="88"/>
      <c r="D27" s="88"/>
      <c r="E27" s="103" t="s">
        <v>21</v>
      </c>
      <c r="F27" s="103"/>
      <c r="G27" s="103"/>
      <c r="H27" s="103"/>
    </row>
    <row r="28" spans="1:8" ht="15.75" customHeight="1" x14ac:dyDescent="0.35">
      <c r="A28" s="88" t="s">
        <v>22</v>
      </c>
      <c r="B28" s="88"/>
      <c r="C28" s="88"/>
      <c r="D28" s="88"/>
      <c r="E28" s="103" t="str">
        <f>IF(AND(G20="Mumbai"),"Developed","Developing")</f>
        <v>Developed</v>
      </c>
      <c r="F28" s="103"/>
      <c r="G28" s="103"/>
      <c r="H28" s="103"/>
    </row>
    <row r="29" spans="1:8" x14ac:dyDescent="0.35">
      <c r="A29" s="88" t="s">
        <v>23</v>
      </c>
      <c r="B29" s="88"/>
      <c r="C29" s="88"/>
      <c r="D29" s="88"/>
      <c r="E29" s="103" t="s">
        <v>24</v>
      </c>
      <c r="F29" s="103"/>
      <c r="G29" s="103"/>
      <c r="H29" s="103"/>
    </row>
    <row r="30" spans="1:8" ht="15.75" customHeight="1" x14ac:dyDescent="0.35">
      <c r="A30" s="88" t="s">
        <v>83</v>
      </c>
      <c r="B30" s="88"/>
      <c r="C30" s="88"/>
      <c r="D30" s="88"/>
      <c r="E30" s="103" t="s">
        <v>84</v>
      </c>
      <c r="F30" s="103"/>
      <c r="G30" s="103"/>
      <c r="H30" s="103"/>
    </row>
    <row r="31" spans="1:8" ht="15" customHeight="1" x14ac:dyDescent="0.35">
      <c r="A31" s="88" t="s">
        <v>33</v>
      </c>
      <c r="B31" s="88"/>
      <c r="C31" s="88"/>
      <c r="D31" s="88"/>
      <c r="E31" s="103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31" s="103"/>
      <c r="G31" s="103"/>
      <c r="H31" s="103"/>
    </row>
    <row r="32" spans="1:8" ht="15.75" customHeight="1" x14ac:dyDescent="0.35">
      <c r="A32" s="88" t="s">
        <v>95</v>
      </c>
      <c r="B32" s="88"/>
      <c r="C32" s="88"/>
      <c r="D32" s="88"/>
      <c r="E32" s="103" t="s">
        <v>34</v>
      </c>
      <c r="F32" s="103"/>
      <c r="G32" s="103"/>
      <c r="H32" s="103"/>
    </row>
    <row r="33" spans="1:8" s="21" customFormat="1" x14ac:dyDescent="0.35">
      <c r="A33" s="146" t="s">
        <v>96</v>
      </c>
      <c r="B33" s="146"/>
      <c r="C33" s="143" t="s">
        <v>29</v>
      </c>
      <c r="D33" s="143"/>
      <c r="E33" s="143"/>
      <c r="F33" s="143" t="s">
        <v>31</v>
      </c>
      <c r="G33" s="143"/>
      <c r="H33" s="143"/>
    </row>
    <row r="34" spans="1:8" s="21" customFormat="1" x14ac:dyDescent="0.35">
      <c r="A34" s="145" t="s">
        <v>25</v>
      </c>
      <c r="B34" s="145" t="s">
        <v>30</v>
      </c>
      <c r="C34" s="144" t="s">
        <v>30</v>
      </c>
      <c r="D34" s="144"/>
      <c r="E34" s="144"/>
      <c r="F34" s="144" t="s">
        <v>189</v>
      </c>
      <c r="G34" s="144"/>
      <c r="H34" s="144"/>
    </row>
    <row r="35" spans="1:8" x14ac:dyDescent="0.35">
      <c r="A35" s="145" t="s">
        <v>26</v>
      </c>
      <c r="B35" s="145" t="s">
        <v>30</v>
      </c>
      <c r="C35" s="144" t="s">
        <v>30</v>
      </c>
      <c r="D35" s="144"/>
      <c r="E35" s="144"/>
      <c r="F35" s="144" t="s">
        <v>192</v>
      </c>
      <c r="G35" s="144"/>
      <c r="H35" s="144"/>
    </row>
    <row r="36" spans="1:8" s="21" customFormat="1" x14ac:dyDescent="0.35">
      <c r="A36" s="145" t="s">
        <v>28</v>
      </c>
      <c r="B36" s="145" t="s">
        <v>30</v>
      </c>
      <c r="C36" s="144" t="s">
        <v>30</v>
      </c>
      <c r="D36" s="144"/>
      <c r="E36" s="144"/>
      <c r="F36" s="144" t="s">
        <v>192</v>
      </c>
      <c r="G36" s="144"/>
      <c r="H36" s="144"/>
    </row>
    <row r="37" spans="1:8" x14ac:dyDescent="0.35">
      <c r="A37" s="145" t="s">
        <v>27</v>
      </c>
      <c r="B37" s="145" t="s">
        <v>30</v>
      </c>
      <c r="C37" s="144" t="s">
        <v>30</v>
      </c>
      <c r="D37" s="144"/>
      <c r="E37" s="144"/>
      <c r="F37" s="144" t="s">
        <v>193</v>
      </c>
      <c r="G37" s="144"/>
      <c r="H37" s="144"/>
    </row>
    <row r="38" spans="1:8" x14ac:dyDescent="0.35">
      <c r="A38" s="88" t="s">
        <v>32</v>
      </c>
      <c r="B38" s="88"/>
      <c r="C38" s="88"/>
      <c r="D38" s="88"/>
      <c r="E38" s="88"/>
      <c r="F38" s="88"/>
      <c r="G38" s="88"/>
      <c r="H38" s="88"/>
    </row>
    <row r="39" spans="1:8" ht="15.75" customHeight="1" x14ac:dyDescent="0.35">
      <c r="A39" s="88" t="s">
        <v>173</v>
      </c>
      <c r="B39" s="88"/>
      <c r="C39" s="123" t="s">
        <v>236</v>
      </c>
      <c r="D39" s="123"/>
      <c r="E39" s="123"/>
      <c r="F39" s="123"/>
      <c r="G39" s="123"/>
      <c r="H39" s="123"/>
    </row>
    <row r="40" spans="1:8" x14ac:dyDescent="0.35">
      <c r="A40" s="88" t="s">
        <v>169</v>
      </c>
      <c r="B40" s="88"/>
      <c r="C40" s="149" t="s">
        <v>187</v>
      </c>
      <c r="D40" s="103"/>
      <c r="E40" s="103"/>
      <c r="F40" s="103"/>
      <c r="G40" s="103"/>
      <c r="H40" s="103"/>
    </row>
    <row r="41" spans="1:8" x14ac:dyDescent="0.35">
      <c r="A41" s="123" t="s">
        <v>35</v>
      </c>
      <c r="B41" s="123"/>
      <c r="C41" s="123"/>
      <c r="D41" s="123"/>
      <c r="E41" s="123"/>
      <c r="F41" s="123"/>
      <c r="G41" s="123"/>
      <c r="H41" s="123"/>
    </row>
    <row r="42" spans="1:8" x14ac:dyDescent="0.35">
      <c r="A42" s="88" t="s">
        <v>36</v>
      </c>
      <c r="B42" s="88"/>
      <c r="C42" s="88"/>
      <c r="D42" s="88"/>
      <c r="E42" s="148">
        <v>1065.7</v>
      </c>
      <c r="F42" s="148"/>
      <c r="G42" s="148"/>
      <c r="H42" s="148"/>
    </row>
    <row r="43" spans="1:8" x14ac:dyDescent="0.35">
      <c r="A43" s="88" t="s">
        <v>37</v>
      </c>
      <c r="B43" s="88"/>
      <c r="C43" s="88"/>
      <c r="D43" s="88"/>
      <c r="E43" s="147">
        <v>1</v>
      </c>
      <c r="F43" s="147"/>
      <c r="G43" s="147"/>
      <c r="H43" s="147"/>
    </row>
    <row r="44" spans="1:8" x14ac:dyDescent="0.35">
      <c r="A44" s="88" t="s">
        <v>38</v>
      </c>
      <c r="B44" s="88"/>
      <c r="C44" s="88"/>
      <c r="D44" s="88"/>
      <c r="E44" s="147">
        <f>E46/E42-E43</f>
        <v>0.51909543023364924</v>
      </c>
      <c r="F44" s="147"/>
      <c r="G44" s="147"/>
      <c r="H44" s="147"/>
    </row>
    <row r="45" spans="1:8" x14ac:dyDescent="0.35">
      <c r="A45" s="88" t="s">
        <v>39</v>
      </c>
      <c r="B45" s="88"/>
      <c r="C45" s="88"/>
      <c r="D45" s="88"/>
      <c r="E45" s="147">
        <f>E43+E44</f>
        <v>1.5190954302336492</v>
      </c>
      <c r="F45" s="147"/>
      <c r="G45" s="147"/>
      <c r="H45" s="147"/>
    </row>
    <row r="46" spans="1:8" x14ac:dyDescent="0.35">
      <c r="A46" s="88" t="s">
        <v>94</v>
      </c>
      <c r="B46" s="88"/>
      <c r="C46" s="88"/>
      <c r="D46" s="88"/>
      <c r="E46" s="171">
        <v>1618.9</v>
      </c>
      <c r="F46" s="171"/>
      <c r="G46" s="171"/>
      <c r="H46" s="171"/>
    </row>
    <row r="47" spans="1:8" x14ac:dyDescent="0.35">
      <c r="A47" s="104" t="s">
        <v>40</v>
      </c>
      <c r="B47" s="104"/>
      <c r="C47" s="104"/>
      <c r="D47" s="104"/>
      <c r="E47" s="104" t="s">
        <v>195</v>
      </c>
      <c r="F47" s="104"/>
      <c r="G47" s="104"/>
      <c r="H47" s="104"/>
    </row>
    <row r="48" spans="1:8" x14ac:dyDescent="0.35">
      <c r="A48" s="123" t="s">
        <v>41</v>
      </c>
      <c r="B48" s="123"/>
      <c r="C48" s="123"/>
      <c r="D48" s="123"/>
      <c r="E48" s="123"/>
      <c r="F48" s="123"/>
      <c r="G48" s="123"/>
      <c r="H48" s="123"/>
    </row>
    <row r="49" spans="1:14" ht="33.75" customHeight="1" x14ac:dyDescent="0.35">
      <c r="A49" s="99" t="s">
        <v>158</v>
      </c>
      <c r="B49" s="100"/>
      <c r="C49" s="184" t="s">
        <v>194</v>
      </c>
      <c r="D49" s="185"/>
      <c r="E49" s="185"/>
      <c r="F49" s="185"/>
      <c r="G49" s="185"/>
      <c r="H49" s="186"/>
    </row>
    <row r="50" spans="1:14" ht="15.75" customHeight="1" x14ac:dyDescent="0.35">
      <c r="A50" s="99" t="s">
        <v>42</v>
      </c>
      <c r="B50" s="100"/>
      <c r="C50" s="99" t="s">
        <v>196</v>
      </c>
      <c r="D50" s="150"/>
      <c r="E50" s="100"/>
      <c r="F50" s="17" t="s">
        <v>43</v>
      </c>
      <c r="G50" s="151">
        <v>44371</v>
      </c>
      <c r="H50" s="152"/>
    </row>
    <row r="51" spans="1:14" x14ac:dyDescent="0.35">
      <c r="A51" s="99" t="s">
        <v>44</v>
      </c>
      <c r="B51" s="100"/>
      <c r="C51" s="99" t="str">
        <f>C50</f>
        <v>CHE/ES/1535/N/337 (NEW)</v>
      </c>
      <c r="D51" s="150"/>
      <c r="E51" s="100"/>
      <c r="F51" s="17" t="s">
        <v>43</v>
      </c>
      <c r="G51" s="151">
        <f>G50</f>
        <v>44371</v>
      </c>
      <c r="H51" s="152"/>
    </row>
    <row r="52" spans="1:14" s="22" customFormat="1" ht="16.5" customHeight="1" x14ac:dyDescent="0.35">
      <c r="A52" s="153" t="s">
        <v>225</v>
      </c>
      <c r="B52" s="154"/>
      <c r="C52" s="99" t="s">
        <v>197</v>
      </c>
      <c r="D52" s="150"/>
      <c r="E52" s="100"/>
      <c r="F52" s="17" t="s">
        <v>43</v>
      </c>
      <c r="G52" s="151">
        <v>44676</v>
      </c>
      <c r="H52" s="152"/>
    </row>
    <row r="53" spans="1:14" s="22" customFormat="1" ht="33.75" customHeight="1" x14ac:dyDescent="0.35">
      <c r="A53" s="155"/>
      <c r="B53" s="156"/>
      <c r="C53" s="99" t="s">
        <v>198</v>
      </c>
      <c r="D53" s="150"/>
      <c r="E53" s="100"/>
      <c r="F53" s="17" t="s">
        <v>125</v>
      </c>
      <c r="G53" s="151">
        <v>45714</v>
      </c>
      <c r="H53" s="152"/>
    </row>
    <row r="54" spans="1:14" ht="33" customHeight="1" x14ac:dyDescent="0.35">
      <c r="A54" s="96" t="s">
        <v>45</v>
      </c>
      <c r="B54" s="98"/>
      <c r="C54" s="96" t="s">
        <v>108</v>
      </c>
      <c r="D54" s="97"/>
      <c r="E54" s="98"/>
      <c r="F54" s="44" t="s">
        <v>43</v>
      </c>
      <c r="G54" s="105" t="s">
        <v>30</v>
      </c>
      <c r="H54" s="106"/>
    </row>
    <row r="55" spans="1:14" x14ac:dyDescent="0.35">
      <c r="A55" s="101" t="s">
        <v>47</v>
      </c>
      <c r="B55" s="101"/>
      <c r="C55" s="101"/>
      <c r="D55" s="101"/>
      <c r="E55" s="101"/>
      <c r="F55" s="101"/>
      <c r="G55" s="101"/>
      <c r="H55" s="101"/>
    </row>
    <row r="56" spans="1:14" x14ac:dyDescent="0.35">
      <c r="A56" s="102" t="s">
        <v>93</v>
      </c>
      <c r="B56" s="102"/>
      <c r="C56" s="102"/>
      <c r="D56" s="88">
        <f>E46</f>
        <v>1618.9</v>
      </c>
      <c r="E56" s="88"/>
      <c r="F56" s="88"/>
      <c r="G56" s="88"/>
      <c r="H56" s="88"/>
    </row>
    <row r="57" spans="1:14" x14ac:dyDescent="0.35">
      <c r="A57" s="103" t="s">
        <v>48</v>
      </c>
      <c r="B57" s="104"/>
      <c r="C57" s="104"/>
      <c r="D57" s="104" t="s">
        <v>212</v>
      </c>
      <c r="E57" s="104"/>
      <c r="F57" s="104"/>
      <c r="G57" s="104"/>
      <c r="H57" s="104"/>
      <c r="I57" s="23"/>
    </row>
    <row r="58" spans="1:14" x14ac:dyDescent="0.35">
      <c r="A58" s="172" t="s">
        <v>49</v>
      </c>
      <c r="B58" s="173"/>
      <c r="C58" s="177"/>
      <c r="D58" s="129" t="s">
        <v>211</v>
      </c>
      <c r="E58" s="176"/>
      <c r="F58" s="176"/>
      <c r="G58" s="176"/>
      <c r="H58" s="176"/>
    </row>
    <row r="59" spans="1:14" ht="15.75" customHeight="1" x14ac:dyDescent="0.35">
      <c r="A59" s="172" t="s">
        <v>91</v>
      </c>
      <c r="B59" s="173"/>
      <c r="C59" s="173"/>
      <c r="D59" s="104" t="s">
        <v>213</v>
      </c>
      <c r="E59" s="104"/>
      <c r="F59" s="104"/>
      <c r="G59" s="104"/>
      <c r="H59" s="104"/>
    </row>
    <row r="60" spans="1:14" ht="15.75" customHeight="1" x14ac:dyDescent="0.35">
      <c r="A60" s="174"/>
      <c r="B60" s="175"/>
      <c r="C60" s="175"/>
      <c r="D60" s="104" t="s">
        <v>214</v>
      </c>
      <c r="E60" s="104"/>
      <c r="F60" s="104"/>
      <c r="G60" s="104"/>
      <c r="H60" s="104"/>
    </row>
    <row r="61" spans="1:14" ht="15.75" customHeight="1" x14ac:dyDescent="0.35">
      <c r="A61" s="88" t="s">
        <v>46</v>
      </c>
      <c r="B61" s="88"/>
      <c r="C61" s="88"/>
      <c r="D61" s="103" t="s">
        <v>239</v>
      </c>
      <c r="E61" s="103"/>
      <c r="F61" s="103"/>
      <c r="G61" s="103"/>
      <c r="H61" s="103"/>
      <c r="J61" s="24"/>
      <c r="K61" s="23"/>
      <c r="N61" s="23"/>
    </row>
    <row r="62" spans="1:14" ht="15.75" customHeight="1" x14ac:dyDescent="0.35">
      <c r="A62" s="88" t="s">
        <v>89</v>
      </c>
      <c r="B62" s="88"/>
      <c r="C62" s="88"/>
      <c r="D62" s="170" t="str">
        <f>(IF(G54="NA","60 Years After Completion",IF(G54&lt;&gt;"NA",""&amp;60-ROUNDDOWN((E3-G54)/360,0)&amp;" Years"," ")))</f>
        <v>60 Years After Completion</v>
      </c>
      <c r="E62" s="170"/>
      <c r="F62" s="170"/>
      <c r="G62" s="170"/>
      <c r="H62" s="170"/>
      <c r="N62" s="23"/>
    </row>
    <row r="63" spans="1:14" ht="15.75" customHeight="1" x14ac:dyDescent="0.35">
      <c r="A63" s="88" t="s">
        <v>90</v>
      </c>
      <c r="B63" s="88"/>
      <c r="C63" s="88"/>
      <c r="D63" s="102" t="s">
        <v>24</v>
      </c>
      <c r="E63" s="102"/>
      <c r="F63" s="102"/>
      <c r="G63" s="102"/>
      <c r="H63" s="102"/>
      <c r="J63" s="25"/>
      <c r="K63" s="25"/>
    </row>
    <row r="64" spans="1:14" ht="48.75" customHeight="1" x14ac:dyDescent="0.35">
      <c r="A64" s="88" t="s">
        <v>77</v>
      </c>
      <c r="B64" s="88"/>
      <c r="C64" s="88"/>
      <c r="D64" s="103" t="s">
        <v>220</v>
      </c>
      <c r="E64" s="102"/>
      <c r="F64" s="102"/>
      <c r="G64" s="102"/>
      <c r="H64" s="102"/>
    </row>
    <row r="65" spans="1:14" x14ac:dyDescent="0.35">
      <c r="A65" s="102" t="s">
        <v>154</v>
      </c>
      <c r="B65" s="102"/>
      <c r="C65" s="102"/>
      <c r="D65" s="102" t="s">
        <v>30</v>
      </c>
      <c r="E65" s="102"/>
      <c r="F65" s="102"/>
      <c r="G65" s="102"/>
      <c r="H65" s="102"/>
      <c r="I65" s="26"/>
      <c r="J65" s="26"/>
      <c r="K65" s="26"/>
      <c r="L65" s="26"/>
      <c r="M65" s="26"/>
      <c r="N65" s="26"/>
    </row>
    <row r="66" spans="1:14" ht="15.75" customHeight="1" x14ac:dyDescent="0.35">
      <c r="A66" s="88" t="s">
        <v>88</v>
      </c>
      <c r="B66" s="88"/>
      <c r="C66" s="88"/>
      <c r="D66" s="103" t="str">
        <f ca="1">(IF(G72&gt;95%,"Nothing",IF(G72&gt;0%,"Cement, Aggregate, Steel, etc",IF(G72=0%,"Work not yet Started"))))</f>
        <v>Cement, Aggregate, Steel, etc</v>
      </c>
      <c r="E66" s="103"/>
      <c r="F66" s="103"/>
      <c r="G66" s="103"/>
      <c r="H66" s="103"/>
      <c r="J66" s="25"/>
    </row>
    <row r="67" spans="1:14" ht="33.75" customHeight="1" thickBot="1" x14ac:dyDescent="0.4">
      <c r="A67" s="102" t="s">
        <v>121</v>
      </c>
      <c r="B67" s="102"/>
      <c r="C67" s="102"/>
      <c r="D67" s="103" t="str">
        <f ca="1">(IF(D66="Nothing","Yes",IF(D66="Cement, Aggregate, Steel, etc","Under Construction",IF(D66="Work not yet Started","Work not yet Started"))))</f>
        <v>Under Construction</v>
      </c>
      <c r="E67" s="103"/>
      <c r="F67" s="103" t="str">
        <f ca="1">(IF(D66="Nothing","Yes",IF(D66="Cement, Aggregate, Steel, etc","Under Construction",IF(D66="Work not yet Started","Work not yet Started"))))</f>
        <v>Under Construction</v>
      </c>
      <c r="G67" s="103"/>
      <c r="H67" s="103"/>
    </row>
    <row r="68" spans="1:14" ht="15.75" customHeight="1" x14ac:dyDescent="0.35">
      <c r="A68" s="178" t="s">
        <v>144</v>
      </c>
      <c r="B68" s="178"/>
      <c r="C68" s="178" t="str">
        <f>D59</f>
        <v>Wing A = Gr/St + 1st to 12th Floor</v>
      </c>
      <c r="D68" s="178"/>
      <c r="E68" s="178"/>
      <c r="F68" s="178"/>
      <c r="G68" s="178"/>
      <c r="H68" s="178"/>
      <c r="I68" s="203" t="str">
        <f ca="1">IF(D81=100%,"All work Completed. Possession granted to the Building.",IF(D80=100%,"All work Completed, Waiting for OC",I69&amp;""&amp;I70&amp;""&amp;J69&amp;""&amp;J68&amp;" "&amp;J70))</f>
        <v>Excavation, Plinth Completed, RCC upto 7 Slab, Brickwork upto 5 Floor, Internal Plaster upto 2 Floor Completed</v>
      </c>
      <c r="J68" s="47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7 Slab, Brickwork upto 5 Floor, Internal Plaster upto 2 Floor</v>
      </c>
    </row>
    <row r="69" spans="1:14" x14ac:dyDescent="0.35">
      <c r="A69" s="15" t="s">
        <v>146</v>
      </c>
      <c r="B69" s="54">
        <f>IF(AND(ISNUMBER(SEARCH("1B",C68))),1,IF(AND(ISNUMBER(SEARCH("2B",C68))),2,IF(AND(ISNUMBER(SEARCH("3B",C68))),3,IF(AND(ISNUMBER(SEARCH("4B",C68))),4,IF(ISNUMBER(SEARCH("5B",C68)),5,0)))))</f>
        <v>0</v>
      </c>
      <c r="C69" s="54" t="s">
        <v>74</v>
      </c>
      <c r="D69" s="54">
        <v>1</v>
      </c>
      <c r="E69" s="54" t="s">
        <v>73</v>
      </c>
      <c r="F69" s="54">
        <v>0</v>
      </c>
      <c r="G69" s="54" t="s">
        <v>82</v>
      </c>
      <c r="H69" s="16">
        <f ca="1">--TRIM(RIGHT(SUBSTITUTE(LEFT(C68,_xlfn.AGGREGATE(16,6,FIND({0,1,2,3,4,5,6,7,8,9},C68,ROW(INDIRECT("1:"&amp;LEN(C68)))),1))," ",REPT(" ",LEN(C68))),LEN(C68)))</f>
        <v>12</v>
      </c>
      <c r="I69" s="48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49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6.75" customHeight="1" x14ac:dyDescent="0.35">
      <c r="A70" s="139" t="s">
        <v>92</v>
      </c>
      <c r="B70" s="87"/>
      <c r="C70" s="178" t="str">
        <f ca="1">I68</f>
        <v>Excavation, Plinth Completed, RCC upto 7 Slab, Brickwork upto 5 Floor, Internal Plaster upto 2 Floor Completed</v>
      </c>
      <c r="D70" s="178"/>
      <c r="E70" s="178"/>
      <c r="F70" s="178"/>
      <c r="G70" s="178"/>
      <c r="H70" s="179"/>
      <c r="I70" s="48" t="str">
        <f ca="1">IF(I69&lt;&gt;""," Completed","")</f>
        <v xml:space="preserve"> Completed</v>
      </c>
      <c r="J70" s="49" t="str">
        <f ca="1">IF(J68&lt;&gt;"","Completed","")</f>
        <v>Completed</v>
      </c>
    </row>
    <row r="71" spans="1:14" ht="15.75" customHeight="1" x14ac:dyDescent="0.35">
      <c r="A71" s="84" t="s">
        <v>50</v>
      </c>
      <c r="B71" s="85"/>
      <c r="C71" s="58" t="s">
        <v>143</v>
      </c>
      <c r="D71" s="58" t="s">
        <v>85</v>
      </c>
      <c r="E71" s="85" t="s">
        <v>87</v>
      </c>
      <c r="F71" s="85"/>
      <c r="G71" s="85" t="s">
        <v>86</v>
      </c>
      <c r="H71" s="130"/>
      <c r="I71" s="13" t="s">
        <v>145</v>
      </c>
      <c r="J71" s="27">
        <f ca="1">H69*25%</f>
        <v>3</v>
      </c>
    </row>
    <row r="72" spans="1:14" x14ac:dyDescent="0.35">
      <c r="A72" s="84" t="s">
        <v>132</v>
      </c>
      <c r="B72" s="85"/>
      <c r="C72" s="58">
        <f ca="1">J73</f>
        <v>12</v>
      </c>
      <c r="D72" s="59">
        <f ca="1">((100/H69)*C72)/100</f>
        <v>1</v>
      </c>
      <c r="E72" s="131">
        <f ca="1">(((C73/H69*10)+(40/(D69+F69+H69)*C74)+(7.5/(H69)*C75)+(7.5/(H69)*C76)+(10/H69*C77)+(10/H69*C78)+(5/H69*C79)+(5/H69*C80)+(5/H69*C81))/100)</f>
        <v>0.35913461538461539</v>
      </c>
      <c r="F72" s="167"/>
      <c r="G72" s="131">
        <f ca="1">((((C72/H69)*20)+((C73/H69)*25)+(30/(H69+F69+D69)*C74)+(5/H69*C75)+(5/H69*C76)+(5/H69*C77)+(5/H69*C78)+(0/H69*C79)+(0/H69*C80)+(5/H69*C81))/100)</f>
        <v>0.64070512820512815</v>
      </c>
      <c r="H72" s="132"/>
      <c r="I72" s="13" t="s">
        <v>103</v>
      </c>
      <c r="J72" s="28">
        <f ca="1">H69*50%</f>
        <v>6</v>
      </c>
    </row>
    <row r="73" spans="1:14" x14ac:dyDescent="0.35">
      <c r="A73" s="84" t="s">
        <v>51</v>
      </c>
      <c r="B73" s="85"/>
      <c r="C73" s="58">
        <f ca="1">J81</f>
        <v>12</v>
      </c>
      <c r="D73" s="59">
        <f ca="1">((100/H69)*C73)/100</f>
        <v>1</v>
      </c>
      <c r="E73" s="133"/>
      <c r="F73" s="168"/>
      <c r="G73" s="133"/>
      <c r="H73" s="134"/>
      <c r="I73" s="13" t="s">
        <v>104</v>
      </c>
      <c r="J73" s="28">
        <f ca="1">H69</f>
        <v>12</v>
      </c>
    </row>
    <row r="74" spans="1:14" ht="15.75" customHeight="1" x14ac:dyDescent="0.35">
      <c r="A74" s="84" t="s">
        <v>133</v>
      </c>
      <c r="B74" s="85"/>
      <c r="C74" s="58">
        <v>7</v>
      </c>
      <c r="D74" s="59">
        <f ca="1">((100/(D69+F69+H69))*C74)/100</f>
        <v>0.53846153846153844</v>
      </c>
      <c r="E74" s="133"/>
      <c r="F74" s="168"/>
      <c r="G74" s="133"/>
      <c r="H74" s="134"/>
      <c r="I74" s="13" t="s">
        <v>105</v>
      </c>
      <c r="J74" s="29">
        <f ca="1">(IF(B69&gt;1,(H69/(B69+2)),H69/4))</f>
        <v>3</v>
      </c>
    </row>
    <row r="75" spans="1:14" ht="15.75" customHeight="1" x14ac:dyDescent="0.35">
      <c r="A75" s="84" t="s">
        <v>140</v>
      </c>
      <c r="B75" s="85" t="s">
        <v>134</v>
      </c>
      <c r="C75" s="58">
        <v>5</v>
      </c>
      <c r="D75" s="59">
        <f ca="1">((100/H69)*C75)/100</f>
        <v>0.41666666666666674</v>
      </c>
      <c r="E75" s="133"/>
      <c r="F75" s="168"/>
      <c r="G75" s="133"/>
      <c r="H75" s="134"/>
      <c r="I75" s="13" t="s">
        <v>106</v>
      </c>
      <c r="J75" s="29">
        <f ca="1">(IF(B69&gt;1,(H69/(B69+2)+J74),H69/4+J74))</f>
        <v>6</v>
      </c>
    </row>
    <row r="76" spans="1:14" ht="15.75" customHeight="1" x14ac:dyDescent="0.35">
      <c r="A76" s="84" t="s">
        <v>141</v>
      </c>
      <c r="B76" s="85" t="s">
        <v>134</v>
      </c>
      <c r="C76" s="58">
        <v>2</v>
      </c>
      <c r="D76" s="59">
        <f ca="1">((100/H69)*C76)/100</f>
        <v>0.16666666666666669</v>
      </c>
      <c r="E76" s="133"/>
      <c r="F76" s="168"/>
      <c r="G76" s="133"/>
      <c r="H76" s="134"/>
      <c r="I76" s="13" t="s">
        <v>152</v>
      </c>
      <c r="J76" s="29">
        <f>(IF(B69&gt;1,(H69/(B69+2)+J75),0))</f>
        <v>0</v>
      </c>
    </row>
    <row r="77" spans="1:14" ht="15" customHeight="1" x14ac:dyDescent="0.35">
      <c r="A77" s="84" t="s">
        <v>139</v>
      </c>
      <c r="B77" s="85" t="s">
        <v>136</v>
      </c>
      <c r="C77" s="58">
        <v>0</v>
      </c>
      <c r="D77" s="59">
        <f ca="1">((100/(H69))*C77)/100</f>
        <v>0</v>
      </c>
      <c r="E77" s="133"/>
      <c r="F77" s="168"/>
      <c r="G77" s="133"/>
      <c r="H77" s="134"/>
      <c r="I77" s="13" t="s">
        <v>147</v>
      </c>
      <c r="J77" s="29">
        <f>(IF(B69&gt;2,(H69/(B69+2)+J76),0))</f>
        <v>0</v>
      </c>
    </row>
    <row r="78" spans="1:14" ht="15.75" customHeight="1" x14ac:dyDescent="0.35">
      <c r="A78" s="84" t="s">
        <v>135</v>
      </c>
      <c r="B78" s="85" t="s">
        <v>135</v>
      </c>
      <c r="C78" s="58">
        <v>0</v>
      </c>
      <c r="D78" s="59">
        <f ca="1">((100/H69)*C78)/100</f>
        <v>0</v>
      </c>
      <c r="E78" s="133"/>
      <c r="F78" s="168"/>
      <c r="G78" s="133"/>
      <c r="H78" s="134"/>
      <c r="I78" s="13" t="s">
        <v>148</v>
      </c>
      <c r="J78" s="30">
        <f>(IF(B69&gt;3,(H69/(B69+2)+J77),0))</f>
        <v>0</v>
      </c>
    </row>
    <row r="79" spans="1:14" ht="15.75" customHeight="1" x14ac:dyDescent="0.35">
      <c r="A79" s="84" t="s">
        <v>142</v>
      </c>
      <c r="B79" s="85"/>
      <c r="C79" s="58">
        <v>0</v>
      </c>
      <c r="D79" s="59">
        <f ca="1">((100/H69)*C79)/100</f>
        <v>0</v>
      </c>
      <c r="E79" s="133"/>
      <c r="F79" s="168"/>
      <c r="G79" s="133"/>
      <c r="H79" s="134"/>
      <c r="I79" s="13" t="s">
        <v>149</v>
      </c>
      <c r="J79" s="29">
        <f>(IF(B69&gt;4,(H69/(B69+2)+J78),0))</f>
        <v>0</v>
      </c>
    </row>
    <row r="80" spans="1:14" ht="15.75" customHeight="1" x14ac:dyDescent="0.35">
      <c r="A80" s="84" t="s">
        <v>137</v>
      </c>
      <c r="B80" s="85" t="s">
        <v>137</v>
      </c>
      <c r="C80" s="58">
        <v>0</v>
      </c>
      <c r="D80" s="59">
        <f ca="1">((100/(H69))*C80)/100</f>
        <v>0</v>
      </c>
      <c r="E80" s="133"/>
      <c r="F80" s="168"/>
      <c r="G80" s="133"/>
      <c r="H80" s="134"/>
      <c r="I80" s="13" t="s">
        <v>153</v>
      </c>
      <c r="J80" s="29">
        <f ca="1">(IF(B69=1,(H69/(B69+3)+J75),IF(B69=0,(H69/4+J75),IF(B69&gt;1,0))))</f>
        <v>9</v>
      </c>
    </row>
    <row r="81" spans="1:15" ht="16" thickBot="1" x14ac:dyDescent="0.4">
      <c r="A81" s="137" t="s">
        <v>138</v>
      </c>
      <c r="B81" s="138"/>
      <c r="C81" s="60">
        <v>0</v>
      </c>
      <c r="D81" s="61">
        <f ca="1">((100/(H69))*C81)/100</f>
        <v>0</v>
      </c>
      <c r="E81" s="135"/>
      <c r="F81" s="169"/>
      <c r="G81" s="135"/>
      <c r="H81" s="136"/>
      <c r="I81" s="14" t="s">
        <v>107</v>
      </c>
      <c r="J81" s="31">
        <f ca="1">(IF(B69&gt;1.5,(H69/(B69+2)+J75+MAX(0,J76-J75)+MAX(0,J77-J76)+MAX(0,J78-J77)+MAX(0,J79-J78)+MAX(0,J80-J79)),IF(B69=1,(H69/(B69+3)+J80),IF(B69=0,H69/4+J80))))</f>
        <v>12</v>
      </c>
    </row>
    <row r="82" spans="1:15" ht="15.75" customHeight="1" x14ac:dyDescent="0.35">
      <c r="A82" s="79" t="s">
        <v>144</v>
      </c>
      <c r="B82" s="80"/>
      <c r="C82" s="81" t="str">
        <f>D60</f>
        <v>Wing B = Gr/St + 1st to 10th Floor</v>
      </c>
      <c r="D82" s="82"/>
      <c r="E82" s="82"/>
      <c r="F82" s="82"/>
      <c r="G82" s="82"/>
      <c r="H82" s="83"/>
      <c r="I82" s="46" t="str">
        <f ca="1">IF(D95=100%,"All work Completed. Possession granted to the Building.",IF(D94=100%,"All work Completed, Waiting for OC",I83&amp;""&amp;I84&amp;""&amp;J83&amp;""&amp;J82&amp;" "&amp;J84))</f>
        <v>Excavation, Plinth Completed, RCC upto 7 Slab, Brickwork upto 4 Floor, Internal Plaster upto 2 Floor Completed</v>
      </c>
      <c r="J82" s="47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7 Slab, Brickwork upto 4 Floor, Internal Plaster upto 2 Floor</v>
      </c>
    </row>
    <row r="83" spans="1:15" x14ac:dyDescent="0.35">
      <c r="A83" s="15" t="s">
        <v>146</v>
      </c>
      <c r="B83" s="54">
        <f>IF(AND(ISNUMBER(SEARCH("1B",C82))),1,IF(AND(ISNUMBER(SEARCH("2B",C82))),2,IF(AND(ISNUMBER(SEARCH("3B",C82))),3,IF(AND(ISNUMBER(SEARCH("4B",C82))),4,IF(ISNUMBER(SEARCH("5B",C82)),5,0)))))</f>
        <v>0</v>
      </c>
      <c r="C83" s="54" t="s">
        <v>74</v>
      </c>
      <c r="D83" s="54">
        <v>1</v>
      </c>
      <c r="E83" s="54" t="s">
        <v>73</v>
      </c>
      <c r="F83" s="54">
        <v>0</v>
      </c>
      <c r="G83" s="54" t="s">
        <v>82</v>
      </c>
      <c r="H83" s="16">
        <f ca="1">--TRIM(RIGHT(SUBSTITUTE(LEFT(C82,_xlfn.AGGREGATE(16,6,FIND({0,1,2,3,4,5,6,7,8,9},C82,ROW(INDIRECT("1:"&amp;LEN(C82)))),1))," ",REPT(" ",LEN(C82))),LEN(C82)))</f>
        <v>10</v>
      </c>
      <c r="I83" s="48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49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5" ht="33.75" customHeight="1" x14ac:dyDescent="0.35">
      <c r="A84" s="139" t="s">
        <v>92</v>
      </c>
      <c r="B84" s="87"/>
      <c r="C84" s="178" t="str">
        <f ca="1">(IF($G$54="NA",I82,"All work Completed. OC Received."))</f>
        <v>Excavation, Plinth Completed, RCC upto 7 Slab, Brickwork upto 4 Floor, Internal Plaster upto 2 Floor Completed</v>
      </c>
      <c r="D84" s="178"/>
      <c r="E84" s="178"/>
      <c r="F84" s="178"/>
      <c r="G84" s="178"/>
      <c r="H84" s="179"/>
      <c r="I84" s="48" t="str">
        <f ca="1">IF(I83&lt;&gt;""," Completed","")</f>
        <v xml:space="preserve"> Completed</v>
      </c>
      <c r="J84" s="49" t="str">
        <f ca="1">IF(J82&lt;&gt;"","Completed","")</f>
        <v>Completed</v>
      </c>
    </row>
    <row r="85" spans="1:15" ht="15.75" customHeight="1" x14ac:dyDescent="0.35">
      <c r="A85" s="94" t="s">
        <v>50</v>
      </c>
      <c r="B85" s="95"/>
      <c r="C85" s="42" t="s">
        <v>143</v>
      </c>
      <c r="D85" s="42" t="s">
        <v>85</v>
      </c>
      <c r="E85" s="95" t="s">
        <v>87</v>
      </c>
      <c r="F85" s="95"/>
      <c r="G85" s="95" t="s">
        <v>86</v>
      </c>
      <c r="H85" s="190"/>
      <c r="I85" s="13" t="s">
        <v>145</v>
      </c>
      <c r="J85" s="27">
        <f ca="1">H83*25%</f>
        <v>2.5</v>
      </c>
    </row>
    <row r="86" spans="1:15" x14ac:dyDescent="0.35">
      <c r="A86" s="94" t="s">
        <v>132</v>
      </c>
      <c r="B86" s="95"/>
      <c r="C86" s="42">
        <f ca="1">J87</f>
        <v>10</v>
      </c>
      <c r="D86" s="18">
        <f ca="1">((100/H83)*C86)/100</f>
        <v>1</v>
      </c>
      <c r="E86" s="157">
        <f ca="1">(((C87/H83*10)+(40/(D83+F83+H83)*C88)+(7.5/(H83)*C89)+(7.5/(H83)*C90)+(10/H83*C91)+(10/H83*C92)+(5/H83*C93)+(5/H83*C94)+(5/H83*C95))/100)</f>
        <v>0.39954545454545454</v>
      </c>
      <c r="F86" s="158"/>
      <c r="G86" s="157">
        <f ca="1">((((C86/H83)*20)+((C87/H83)*25)+(30/(H83+F83+D83)*C88)+(5/H83*C89)+(5/H83*C90)+(5/H83*C91)+(5/H83*C92)+(0/H83*C93)+(0/H83*C94)+(5/H83*C95))/100)</f>
        <v>0.6709090909090909</v>
      </c>
      <c r="H86" s="187"/>
      <c r="I86" s="13" t="s">
        <v>103</v>
      </c>
      <c r="J86" s="28">
        <f ca="1">H83*50%</f>
        <v>5</v>
      </c>
    </row>
    <row r="87" spans="1:15" x14ac:dyDescent="0.35">
      <c r="A87" s="94" t="s">
        <v>51</v>
      </c>
      <c r="B87" s="95"/>
      <c r="C87" s="50">
        <f ca="1">J95</f>
        <v>10</v>
      </c>
      <c r="D87" s="18">
        <f ca="1">((100/H83)*C87)/100</f>
        <v>1</v>
      </c>
      <c r="E87" s="159"/>
      <c r="F87" s="160"/>
      <c r="G87" s="159"/>
      <c r="H87" s="188"/>
      <c r="I87" s="13" t="s">
        <v>104</v>
      </c>
      <c r="J87" s="28">
        <f ca="1">H83</f>
        <v>10</v>
      </c>
    </row>
    <row r="88" spans="1:15" ht="15.75" customHeight="1" x14ac:dyDescent="0.35">
      <c r="A88" s="94" t="s">
        <v>133</v>
      </c>
      <c r="B88" s="95"/>
      <c r="C88" s="42">
        <v>7</v>
      </c>
      <c r="D88" s="18">
        <f ca="1">((100/(D83+F83+H83))*C88)/100</f>
        <v>0.63636363636363635</v>
      </c>
      <c r="E88" s="159"/>
      <c r="F88" s="160"/>
      <c r="G88" s="159"/>
      <c r="H88" s="188"/>
      <c r="I88" s="13" t="s">
        <v>105</v>
      </c>
      <c r="J88" s="29">
        <f ca="1">(IF(B83&gt;1,(H83/(B83+2)),H83/4))</f>
        <v>2.5</v>
      </c>
    </row>
    <row r="89" spans="1:15" ht="15.75" customHeight="1" x14ac:dyDescent="0.35">
      <c r="A89" s="94" t="s">
        <v>140</v>
      </c>
      <c r="B89" s="95" t="s">
        <v>134</v>
      </c>
      <c r="C89" s="42">
        <v>4</v>
      </c>
      <c r="D89" s="18">
        <f ca="1">((100/H83)*C89)/100</f>
        <v>0.4</v>
      </c>
      <c r="E89" s="159"/>
      <c r="F89" s="160"/>
      <c r="G89" s="159"/>
      <c r="H89" s="188"/>
      <c r="I89" s="13" t="s">
        <v>106</v>
      </c>
      <c r="J89" s="29">
        <f ca="1">(IF(B83&gt;1,(H83/(B83+2)+J88),H83/4+J88))</f>
        <v>5</v>
      </c>
    </row>
    <row r="90" spans="1:15" ht="15.75" customHeight="1" x14ac:dyDescent="0.35">
      <c r="A90" s="94" t="s">
        <v>141</v>
      </c>
      <c r="B90" s="95" t="s">
        <v>134</v>
      </c>
      <c r="C90" s="42">
        <v>2</v>
      </c>
      <c r="D90" s="18">
        <f ca="1">((100/H83)*C90)/100</f>
        <v>0.2</v>
      </c>
      <c r="E90" s="159"/>
      <c r="F90" s="160"/>
      <c r="G90" s="159"/>
      <c r="H90" s="188"/>
      <c r="I90" s="13" t="s">
        <v>152</v>
      </c>
      <c r="J90" s="29">
        <f>(IF(B83&gt;1,(H83/(B83+2)+J89),0))</f>
        <v>0</v>
      </c>
    </row>
    <row r="91" spans="1:15" ht="15" customHeight="1" x14ac:dyDescent="0.35">
      <c r="A91" s="94" t="s">
        <v>139</v>
      </c>
      <c r="B91" s="95" t="s">
        <v>136</v>
      </c>
      <c r="C91" s="42">
        <v>0</v>
      </c>
      <c r="D91" s="18">
        <f ca="1">((100/(H83))*C91)/100</f>
        <v>0</v>
      </c>
      <c r="E91" s="159"/>
      <c r="F91" s="160"/>
      <c r="G91" s="159"/>
      <c r="H91" s="188"/>
      <c r="I91" s="13" t="s">
        <v>147</v>
      </c>
      <c r="J91" s="29">
        <f>(IF(B83&gt;2,(H83/(B83+2)+J90),0))</f>
        <v>0</v>
      </c>
    </row>
    <row r="92" spans="1:15" ht="15.75" customHeight="1" x14ac:dyDescent="0.35">
      <c r="A92" s="94" t="s">
        <v>135</v>
      </c>
      <c r="B92" s="95" t="s">
        <v>135</v>
      </c>
      <c r="C92" s="42">
        <v>0</v>
      </c>
      <c r="D92" s="18">
        <f ca="1">((100/H83)*C92)/100</f>
        <v>0</v>
      </c>
      <c r="E92" s="159"/>
      <c r="F92" s="160"/>
      <c r="G92" s="159"/>
      <c r="H92" s="188"/>
      <c r="I92" s="13" t="s">
        <v>148</v>
      </c>
      <c r="J92" s="30">
        <f>(IF(B83&gt;3,(H83/(B83+2)+J91),0))</f>
        <v>0</v>
      </c>
    </row>
    <row r="93" spans="1:15" ht="15.75" customHeight="1" x14ac:dyDescent="0.35">
      <c r="A93" s="94" t="s">
        <v>142</v>
      </c>
      <c r="B93" s="95"/>
      <c r="C93" s="42">
        <v>0</v>
      </c>
      <c r="D93" s="18">
        <f ca="1">((100/H83)*C93)/100</f>
        <v>0</v>
      </c>
      <c r="E93" s="159"/>
      <c r="F93" s="160"/>
      <c r="G93" s="159"/>
      <c r="H93" s="188"/>
      <c r="I93" s="13" t="s">
        <v>149</v>
      </c>
      <c r="J93" s="29">
        <f>(IF(B83&gt;4,(H83/(B83+2)+J92),0))</f>
        <v>0</v>
      </c>
    </row>
    <row r="94" spans="1:15" ht="15.75" customHeight="1" x14ac:dyDescent="0.35">
      <c r="A94" s="94" t="s">
        <v>137</v>
      </c>
      <c r="B94" s="95" t="s">
        <v>137</v>
      </c>
      <c r="C94" s="42">
        <v>0</v>
      </c>
      <c r="D94" s="18">
        <f ca="1">((100/(H83))*C94)/100</f>
        <v>0</v>
      </c>
      <c r="E94" s="159"/>
      <c r="F94" s="160"/>
      <c r="G94" s="159"/>
      <c r="H94" s="188"/>
      <c r="I94" s="13" t="s">
        <v>153</v>
      </c>
      <c r="J94" s="29">
        <f ca="1">(IF(B83=1,(H83/(B83+3)+J89),IF(B83=0,(H83/4+J89),IF(B83&gt;1,0))))</f>
        <v>7.5</v>
      </c>
    </row>
    <row r="95" spans="1:15" ht="16" thickBot="1" x14ac:dyDescent="0.4">
      <c r="A95" s="163" t="s">
        <v>138</v>
      </c>
      <c r="B95" s="164"/>
      <c r="C95" s="43">
        <v>0</v>
      </c>
      <c r="D95" s="19">
        <f ca="1">((100/(H83))*C95)/100</f>
        <v>0</v>
      </c>
      <c r="E95" s="161"/>
      <c r="F95" s="162"/>
      <c r="G95" s="161"/>
      <c r="H95" s="189"/>
      <c r="I95" s="14" t="s">
        <v>107</v>
      </c>
      <c r="J95" s="31">
        <f ca="1">(IF(B83&gt;1.5,(H83/(B83+2)+J89+MAX(0,J90-J89)+MAX(0,J91-J90)+MAX(0,J92-J91)+MAX(0,J93-J92)+MAX(0,J94-J93)),IF(B83=1,(H83/(B83+3)+J94),IF(B83=0,H83/4+J94))))</f>
        <v>10</v>
      </c>
    </row>
    <row r="96" spans="1:15" x14ac:dyDescent="0.35">
      <c r="A96" s="165" t="s">
        <v>162</v>
      </c>
      <c r="B96" s="165"/>
      <c r="C96" s="165"/>
      <c r="D96" s="165"/>
      <c r="E96" s="165"/>
      <c r="F96" s="166" t="s">
        <v>167</v>
      </c>
      <c r="G96" s="166"/>
      <c r="H96" s="166"/>
      <c r="I96" s="64"/>
      <c r="J96" s="64" t="s">
        <v>216</v>
      </c>
      <c r="K96" s="64" t="s">
        <v>217</v>
      </c>
      <c r="L96" s="64" t="s">
        <v>218</v>
      </c>
      <c r="M96" s="64" t="s">
        <v>219</v>
      </c>
      <c r="N96" s="64"/>
      <c r="O96" s="64"/>
    </row>
    <row r="97" spans="1:15" x14ac:dyDescent="0.35">
      <c r="A97" s="88" t="s">
        <v>165</v>
      </c>
      <c r="B97" s="88"/>
      <c r="C97" s="88"/>
      <c r="D97" s="88"/>
      <c r="E97" s="88"/>
      <c r="F97" s="86">
        <v>19000</v>
      </c>
      <c r="G97" s="86"/>
      <c r="H97" s="86"/>
      <c r="I97" s="68">
        <f>AVERAGE(J97:M97)</f>
        <v>23575.032509363657</v>
      </c>
      <c r="J97" s="64">
        <v>34450</v>
      </c>
      <c r="K97" s="64">
        <f>29940/1.5</f>
        <v>19960</v>
      </c>
      <c r="L97" s="64">
        <v>20000</v>
      </c>
      <c r="M97" s="68">
        <f>AVERAGE(J122,K143)</f>
        <v>19890.130037454626</v>
      </c>
      <c r="N97" s="64"/>
      <c r="O97" s="64"/>
    </row>
    <row r="98" spans="1:15" hidden="1" x14ac:dyDescent="0.35">
      <c r="A98" s="88" t="s">
        <v>164</v>
      </c>
      <c r="B98" s="88"/>
      <c r="C98" s="88"/>
      <c r="D98" s="88"/>
      <c r="E98" s="88"/>
      <c r="F98" s="86"/>
      <c r="G98" s="86"/>
      <c r="H98" s="86"/>
      <c r="I98" s="64"/>
      <c r="J98" s="64"/>
      <c r="K98" s="64"/>
      <c r="L98" s="64"/>
      <c r="M98" s="64"/>
      <c r="N98" s="64"/>
      <c r="O98" s="64"/>
    </row>
    <row r="99" spans="1:15" hidden="1" x14ac:dyDescent="0.35">
      <c r="A99" s="88" t="s">
        <v>166</v>
      </c>
      <c r="B99" s="88"/>
      <c r="C99" s="88"/>
      <c r="D99" s="88"/>
      <c r="E99" s="88"/>
      <c r="F99" s="86"/>
      <c r="G99" s="86"/>
      <c r="H99" s="86"/>
      <c r="I99" s="64"/>
      <c r="J99" s="64"/>
      <c r="K99" s="64"/>
      <c r="L99" s="64"/>
      <c r="M99" s="64"/>
      <c r="N99" s="64"/>
      <c r="O99" s="64"/>
    </row>
    <row r="100" spans="1:15" s="32" customFormat="1" hidden="1" x14ac:dyDescent="0.3">
      <c r="A100" s="88" t="s">
        <v>163</v>
      </c>
      <c r="B100" s="88"/>
      <c r="C100" s="88"/>
      <c r="D100" s="88"/>
      <c r="E100" s="88"/>
      <c r="F100" s="86"/>
      <c r="G100" s="86"/>
      <c r="H100" s="86"/>
      <c r="I100" s="65"/>
      <c r="J100" s="65"/>
      <c r="K100" s="65"/>
      <c r="L100" s="65"/>
      <c r="M100" s="65"/>
      <c r="N100" s="65"/>
      <c r="O100" s="65"/>
    </row>
    <row r="101" spans="1:15" s="32" customFormat="1" hidden="1" x14ac:dyDescent="0.3">
      <c r="A101" s="88" t="s">
        <v>97</v>
      </c>
      <c r="B101" s="88"/>
      <c r="C101" s="88"/>
      <c r="D101" s="88"/>
      <c r="E101" s="88"/>
      <c r="F101" s="86"/>
      <c r="G101" s="86"/>
      <c r="H101" s="86"/>
      <c r="I101" s="65"/>
      <c r="J101" s="65"/>
      <c r="K101" s="65"/>
      <c r="L101" s="65"/>
      <c r="M101" s="65"/>
      <c r="N101" s="65"/>
      <c r="O101" s="65"/>
    </row>
    <row r="102" spans="1:15" s="32" customFormat="1" hidden="1" x14ac:dyDescent="0.3">
      <c r="A102" s="88" t="s">
        <v>98</v>
      </c>
      <c r="B102" s="88"/>
      <c r="C102" s="88"/>
      <c r="D102" s="88"/>
      <c r="E102" s="88"/>
      <c r="F102" s="86"/>
      <c r="G102" s="86"/>
      <c r="H102" s="86"/>
      <c r="I102" s="65"/>
      <c r="J102" s="65"/>
      <c r="K102" s="65"/>
      <c r="L102" s="65"/>
      <c r="M102" s="65"/>
      <c r="N102" s="65"/>
      <c r="O102" s="65"/>
    </row>
    <row r="103" spans="1:15" s="32" customFormat="1" hidden="1" x14ac:dyDescent="0.3">
      <c r="A103" s="88" t="s">
        <v>168</v>
      </c>
      <c r="B103" s="88"/>
      <c r="C103" s="88"/>
      <c r="D103" s="88"/>
      <c r="E103" s="88"/>
      <c r="F103" s="86"/>
      <c r="G103" s="86"/>
      <c r="H103" s="86"/>
      <c r="I103" s="65"/>
      <c r="J103" s="65"/>
      <c r="K103" s="65"/>
      <c r="L103" s="65"/>
      <c r="M103" s="65"/>
      <c r="N103" s="65"/>
      <c r="O103" s="65"/>
    </row>
    <row r="104" spans="1:15" s="32" customFormat="1" hidden="1" x14ac:dyDescent="0.3">
      <c r="A104" s="88" t="s">
        <v>99</v>
      </c>
      <c r="B104" s="88"/>
      <c r="C104" s="88"/>
      <c r="D104" s="88"/>
      <c r="E104" s="88"/>
      <c r="F104" s="86"/>
      <c r="G104" s="86"/>
      <c r="H104" s="86"/>
      <c r="I104" s="65"/>
      <c r="J104" s="65"/>
      <c r="K104" s="65"/>
      <c r="L104" s="65"/>
      <c r="M104" s="65"/>
      <c r="N104" s="65"/>
      <c r="O104" s="65"/>
    </row>
    <row r="105" spans="1:15" s="32" customFormat="1" hidden="1" x14ac:dyDescent="0.3">
      <c r="A105" s="88" t="s">
        <v>100</v>
      </c>
      <c r="B105" s="88"/>
      <c r="C105" s="88"/>
      <c r="D105" s="88"/>
      <c r="E105" s="88"/>
      <c r="F105" s="86"/>
      <c r="G105" s="86"/>
      <c r="H105" s="86"/>
      <c r="I105" s="65"/>
      <c r="J105" s="65"/>
      <c r="K105" s="65"/>
      <c r="L105" s="65"/>
      <c r="M105" s="65"/>
      <c r="N105" s="65"/>
      <c r="O105" s="65"/>
    </row>
    <row r="106" spans="1:15" s="32" customFormat="1" hidden="1" x14ac:dyDescent="0.3">
      <c r="A106" s="88" t="s">
        <v>101</v>
      </c>
      <c r="B106" s="88"/>
      <c r="C106" s="88"/>
      <c r="D106" s="88"/>
      <c r="E106" s="88"/>
      <c r="F106" s="86"/>
      <c r="G106" s="86"/>
      <c r="H106" s="86"/>
      <c r="I106" s="65"/>
      <c r="J106" s="65"/>
      <c r="K106" s="65"/>
      <c r="L106" s="65"/>
      <c r="M106" s="65"/>
      <c r="N106" s="65"/>
      <c r="O106" s="65"/>
    </row>
    <row r="107" spans="1:15" s="32" customFormat="1" hidden="1" x14ac:dyDescent="0.3">
      <c r="A107" s="88" t="s">
        <v>102</v>
      </c>
      <c r="B107" s="88"/>
      <c r="C107" s="88"/>
      <c r="D107" s="88"/>
      <c r="E107" s="88"/>
      <c r="F107" s="86"/>
      <c r="G107" s="86"/>
      <c r="H107" s="86"/>
      <c r="I107" s="65"/>
      <c r="J107" s="65"/>
      <c r="K107" s="65"/>
      <c r="L107" s="65"/>
      <c r="M107" s="65"/>
      <c r="N107" s="65"/>
      <c r="O107" s="65"/>
    </row>
    <row r="108" spans="1:15" x14ac:dyDescent="0.35">
      <c r="A108" s="88" t="s">
        <v>52</v>
      </c>
      <c r="B108" s="88"/>
      <c r="C108" s="88"/>
      <c r="D108" s="88"/>
      <c r="E108" s="88"/>
      <c r="F108" s="86">
        <v>800000</v>
      </c>
      <c r="G108" s="86"/>
      <c r="H108" s="86"/>
      <c r="I108" s="64"/>
      <c r="J108" s="64"/>
      <c r="K108" s="64"/>
      <c r="L108" s="64"/>
      <c r="M108" s="64"/>
      <c r="N108" s="64"/>
      <c r="O108" s="64"/>
    </row>
    <row r="109" spans="1:15" s="33" customFormat="1" x14ac:dyDescent="0.35">
      <c r="A109" s="123" t="s">
        <v>53</v>
      </c>
      <c r="B109" s="123"/>
      <c r="C109" s="123"/>
      <c r="D109" s="123"/>
      <c r="E109" s="123"/>
      <c r="F109" s="86">
        <f>F97*0.8</f>
        <v>15200</v>
      </c>
      <c r="G109" s="86"/>
      <c r="H109" s="86"/>
      <c r="I109" s="66"/>
      <c r="J109" s="66"/>
      <c r="K109" s="66"/>
      <c r="L109" s="66"/>
      <c r="M109" s="66"/>
      <c r="N109" s="66"/>
      <c r="O109" s="66"/>
    </row>
    <row r="110" spans="1:15" s="34" customFormat="1" x14ac:dyDescent="0.35">
      <c r="A110" s="126" t="s">
        <v>72</v>
      </c>
      <c r="B110" s="126"/>
      <c r="C110" s="126"/>
      <c r="D110" s="126"/>
      <c r="E110" s="126"/>
      <c r="F110" s="126"/>
      <c r="G110" s="126"/>
      <c r="H110" s="126"/>
      <c r="I110" s="67"/>
      <c r="J110" s="67"/>
      <c r="K110" s="67"/>
      <c r="L110" s="67"/>
      <c r="M110" s="67"/>
      <c r="N110" s="67"/>
      <c r="O110" s="67"/>
    </row>
    <row r="111" spans="1:15" s="34" customFormat="1" ht="15.75" customHeight="1" x14ac:dyDescent="0.35">
      <c r="A111" s="93" t="s">
        <v>54</v>
      </c>
      <c r="B111" s="93"/>
      <c r="C111" s="183" t="s">
        <v>80</v>
      </c>
      <c r="D111" s="183"/>
      <c r="E111" s="127" t="s">
        <v>55</v>
      </c>
      <c r="F111" s="127"/>
      <c r="G111" s="93" t="s">
        <v>56</v>
      </c>
      <c r="H111" s="93"/>
    </row>
    <row r="112" spans="1:15" s="34" customFormat="1" x14ac:dyDescent="0.35">
      <c r="A112" s="125" t="s">
        <v>199</v>
      </c>
      <c r="B112" s="125"/>
      <c r="C112" s="182">
        <f>COUNT(D122:D125)+COUNT(D127:D129)+COUNT(D131:D133)*3+COUNT(D135:D137)</f>
        <v>18</v>
      </c>
      <c r="D112" s="182"/>
      <c r="E112" s="181">
        <f>SUM(D122:D125)+SUM(D127:D129)+SUM(D131:D133)*3+SUM(D135:D137)</f>
        <v>8338.3325999999997</v>
      </c>
      <c r="F112" s="181"/>
      <c r="G112" s="181">
        <f>SUM(F122:F125)+SUM(F127:F129)+SUM(F131:F133)*3+SUM(F135:F137)</f>
        <v>12924.415529999998</v>
      </c>
      <c r="H112" s="181"/>
    </row>
    <row r="113" spans="1:14" s="34" customFormat="1" x14ac:dyDescent="0.35">
      <c r="A113" s="125" t="s">
        <v>203</v>
      </c>
      <c r="B113" s="125"/>
      <c r="C113" s="182">
        <f>COUNT(D142:D143)+COUNT(D145:D147)+COUNT(D149:D151)*3+COUNT(D153)</f>
        <v>15</v>
      </c>
      <c r="D113" s="182"/>
      <c r="E113" s="181">
        <f>SUM(D142:D143)+SUM(D145:D147)+SUM(D149:D151)*3+SUM(D153)</f>
        <v>6900.8003999999992</v>
      </c>
      <c r="F113" s="181"/>
      <c r="G113" s="181">
        <f>SUM(F142:F143)+SUM(F145:F147)+SUM(F149:F151)*3+SUM(F153)</f>
        <v>10696.240619999999</v>
      </c>
      <c r="H113" s="181"/>
    </row>
    <row r="114" spans="1:14" s="34" customFormat="1" x14ac:dyDescent="0.35">
      <c r="A114" s="126" t="s">
        <v>157</v>
      </c>
      <c r="B114" s="126"/>
      <c r="C114" s="111">
        <f>SUM(C112:C113)</f>
        <v>33</v>
      </c>
      <c r="D114" s="111"/>
      <c r="E114" s="180">
        <f>SUM(E112:E113)</f>
        <v>15239.132999999998</v>
      </c>
      <c r="F114" s="180"/>
      <c r="G114" s="180">
        <f>SUM(G112:G113)</f>
        <v>23620.656149999995</v>
      </c>
      <c r="H114" s="180"/>
    </row>
    <row r="115" spans="1:14" s="33" customFormat="1" x14ac:dyDescent="0.35">
      <c r="A115" s="110" t="s">
        <v>57</v>
      </c>
      <c r="B115" s="110"/>
      <c r="C115" s="110"/>
      <c r="D115" s="110"/>
      <c r="E115" s="110"/>
      <c r="F115" s="110"/>
      <c r="G115" s="110"/>
      <c r="H115" s="110"/>
    </row>
    <row r="116" spans="1:14" x14ac:dyDescent="0.35">
      <c r="A116" s="110" t="s">
        <v>58</v>
      </c>
      <c r="B116" s="110"/>
      <c r="C116" s="110"/>
      <c r="D116" s="110"/>
      <c r="E116" s="110"/>
      <c r="F116" s="110"/>
      <c r="G116" s="110"/>
      <c r="H116" s="110"/>
    </row>
    <row r="117" spans="1:14" ht="47.25" customHeight="1" x14ac:dyDescent="0.35">
      <c r="A117" s="197" t="s">
        <v>123</v>
      </c>
      <c r="B117" s="197" t="s">
        <v>124</v>
      </c>
      <c r="C117" s="197" t="s">
        <v>59</v>
      </c>
      <c r="D117" s="197" t="s">
        <v>60</v>
      </c>
      <c r="E117" s="198" t="s">
        <v>61</v>
      </c>
      <c r="F117" s="199" t="s">
        <v>155</v>
      </c>
      <c r="G117" s="197" t="s">
        <v>62</v>
      </c>
      <c r="H117" s="197"/>
      <c r="I117" s="35"/>
    </row>
    <row r="118" spans="1:14" s="36" customFormat="1" x14ac:dyDescent="0.35">
      <c r="A118" s="197"/>
      <c r="B118" s="197"/>
      <c r="C118" s="197"/>
      <c r="D118" s="197"/>
      <c r="E118" s="198"/>
      <c r="F118" s="200">
        <v>0.55000000000000004</v>
      </c>
      <c r="G118" s="197"/>
      <c r="H118" s="197"/>
      <c r="I118" s="35"/>
    </row>
    <row r="119" spans="1:14" s="52" customFormat="1" x14ac:dyDescent="0.35">
      <c r="A119" s="112" t="s">
        <v>199</v>
      </c>
      <c r="B119" s="113"/>
      <c r="C119" s="113"/>
      <c r="D119" s="113"/>
      <c r="E119" s="113"/>
      <c r="F119" s="113"/>
      <c r="G119" s="113"/>
      <c r="H119" s="114"/>
      <c r="J119" s="35"/>
    </row>
    <row r="120" spans="1:14" s="52" customFormat="1" x14ac:dyDescent="0.35">
      <c r="A120" s="112" t="s">
        <v>200</v>
      </c>
      <c r="B120" s="113"/>
      <c r="C120" s="113"/>
      <c r="D120" s="113"/>
      <c r="E120" s="113"/>
      <c r="F120" s="113"/>
      <c r="G120" s="113"/>
      <c r="H120" s="114"/>
      <c r="J120" s="57"/>
    </row>
    <row r="121" spans="1:14" s="36" customFormat="1" x14ac:dyDescent="0.35">
      <c r="A121" s="112" t="s">
        <v>202</v>
      </c>
      <c r="B121" s="113"/>
      <c r="C121" s="113"/>
      <c r="D121" s="113"/>
      <c r="E121" s="113"/>
      <c r="F121" s="113"/>
      <c r="G121" s="113"/>
      <c r="H121" s="114"/>
      <c r="J121" s="57"/>
    </row>
    <row r="122" spans="1:14" s="36" customFormat="1" ht="15.75" customHeight="1" x14ac:dyDescent="0.35">
      <c r="A122" s="90">
        <v>1</v>
      </c>
      <c r="B122" s="91"/>
      <c r="C122" s="41" t="s">
        <v>201</v>
      </c>
      <c r="D122" s="56">
        <f>(33.57)*10.764</f>
        <v>361.34747999999996</v>
      </c>
      <c r="E122" s="41">
        <v>0</v>
      </c>
      <c r="F122" s="41">
        <f>D122*(($F$118)+1)+(IF(E122&lt;101,E122,IF(E122&lt;201,E122/2,IF(E122&lt;=301,E122/3,E122/4))))</f>
        <v>560.08859399999994</v>
      </c>
      <c r="G122" s="115" t="str">
        <f>A121</f>
        <v>1st Floor for Residential &amp; Society Office</v>
      </c>
      <c r="H122" s="116"/>
      <c r="I122" s="35">
        <f>4.55*3.05+1.22*1.23+1.82*3.05+3.05*2.78+1.02*1.2+1.22*1.32+1.22*1.23</f>
        <v>33.743099999999998</v>
      </c>
      <c r="J122" s="57">
        <f>11000000/F122</f>
        <v>19639.750064255015</v>
      </c>
      <c r="L122" s="191"/>
      <c r="M122" s="191"/>
      <c r="N122" s="35"/>
    </row>
    <row r="123" spans="1:14" s="36" customFormat="1" x14ac:dyDescent="0.35">
      <c r="A123" s="90">
        <f t="shared" ref="A123" si="0">A122+1</f>
        <v>2</v>
      </c>
      <c r="B123" s="91"/>
      <c r="C123" s="41" t="s">
        <v>201</v>
      </c>
      <c r="D123" s="56">
        <f>(33.57)*10.764</f>
        <v>361.34747999999996</v>
      </c>
      <c r="E123" s="41">
        <v>0</v>
      </c>
      <c r="F123" s="41">
        <f>D123*(($F$118)+1)+(IF(E123&lt;101,E123,IF(E123&lt;201,E123/2,IF(E123&lt;=301,E123/3,E123/4))))</f>
        <v>560.08859399999994</v>
      </c>
      <c r="G123" s="117"/>
      <c r="H123" s="118"/>
      <c r="I123" s="35"/>
      <c r="J123" s="57"/>
      <c r="L123" s="191"/>
      <c r="M123" s="191"/>
      <c r="N123" s="35"/>
    </row>
    <row r="124" spans="1:14" s="69" customFormat="1" x14ac:dyDescent="0.35">
      <c r="A124" s="90" t="s">
        <v>228</v>
      </c>
      <c r="B124" s="91"/>
      <c r="C124" s="90" t="s">
        <v>229</v>
      </c>
      <c r="D124" s="192"/>
      <c r="E124" s="192"/>
      <c r="F124" s="91"/>
      <c r="G124" s="117"/>
      <c r="H124" s="118"/>
      <c r="I124" s="35"/>
      <c r="J124" s="57"/>
      <c r="L124" s="191"/>
      <c r="M124" s="191"/>
      <c r="N124" s="35"/>
    </row>
    <row r="125" spans="1:14" s="36" customFormat="1" x14ac:dyDescent="0.35">
      <c r="A125" s="90">
        <f>A123+1</f>
        <v>3</v>
      </c>
      <c r="B125" s="91"/>
      <c r="C125" s="41" t="s">
        <v>201</v>
      </c>
      <c r="D125" s="56">
        <f>(33.76)*10.764</f>
        <v>363.39263999999997</v>
      </c>
      <c r="E125" s="41">
        <v>0</v>
      </c>
      <c r="F125" s="41">
        <f>D125*(($F$118)+1)+(IF(E125&lt;101,E125,IF(E125&lt;201,E125/2,IF(E125&lt;=301,E125/3,E125/4))))</f>
        <v>563.25859200000002</v>
      </c>
      <c r="G125" s="119"/>
      <c r="H125" s="120"/>
      <c r="I125" s="35"/>
      <c r="J125" s="57"/>
      <c r="L125" s="191"/>
      <c r="M125" s="191"/>
      <c r="N125" s="35"/>
    </row>
    <row r="126" spans="1:14" s="52" customFormat="1" x14ac:dyDescent="0.35">
      <c r="A126" s="112" t="s">
        <v>122</v>
      </c>
      <c r="B126" s="113"/>
      <c r="C126" s="113"/>
      <c r="D126" s="113"/>
      <c r="E126" s="113"/>
      <c r="F126" s="113"/>
      <c r="G126" s="113"/>
      <c r="H126" s="114"/>
      <c r="J126" s="57"/>
    </row>
    <row r="127" spans="1:14" s="52" customFormat="1" ht="15.75" customHeight="1" x14ac:dyDescent="0.35">
      <c r="A127" s="90">
        <v>1</v>
      </c>
      <c r="B127" s="91"/>
      <c r="C127" s="51" t="s">
        <v>201</v>
      </c>
      <c r="D127" s="56">
        <f>(33.57)*10.764</f>
        <v>361.34747999999996</v>
      </c>
      <c r="E127" s="51">
        <v>0</v>
      </c>
      <c r="F127" s="51">
        <f>D127*(($F$118)+1)+(IF(E127&lt;101,E127,IF(E127&lt;201,E127/2,IF(E127&lt;=301,E127/3,E127/4))))</f>
        <v>560.08859399999994</v>
      </c>
      <c r="G127" s="115" t="str">
        <f>A126</f>
        <v>2nd Floor</v>
      </c>
      <c r="H127" s="116"/>
      <c r="I127" s="35"/>
      <c r="L127" s="191"/>
      <c r="M127" s="191"/>
      <c r="N127" s="35"/>
    </row>
    <row r="128" spans="1:14" s="52" customFormat="1" x14ac:dyDescent="0.35">
      <c r="A128" s="90">
        <f t="shared" ref="A128:A129" si="1">A127+1</f>
        <v>2</v>
      </c>
      <c r="B128" s="91"/>
      <c r="C128" s="51" t="s">
        <v>206</v>
      </c>
      <c r="D128" s="56">
        <f>(45.77)*10.764</f>
        <v>492.66827999999998</v>
      </c>
      <c r="E128" s="51">
        <v>0</v>
      </c>
      <c r="F128" s="51">
        <f>D128*(($F$118)+1)+(IF(E128&lt;101,E128,IF(E128&lt;201,E128/2,IF(E128&lt;=301,E128/3,E128/4))))</f>
        <v>763.63583400000005</v>
      </c>
      <c r="G128" s="117"/>
      <c r="H128" s="118"/>
      <c r="I128" s="35"/>
      <c r="L128" s="191"/>
      <c r="M128" s="191"/>
      <c r="N128" s="35"/>
    </row>
    <row r="129" spans="1:14" s="52" customFormat="1" x14ac:dyDescent="0.35">
      <c r="A129" s="90">
        <f t="shared" si="1"/>
        <v>3</v>
      </c>
      <c r="B129" s="91"/>
      <c r="C129" s="51" t="s">
        <v>206</v>
      </c>
      <c r="D129" s="56">
        <f>(45.65)*10.764</f>
        <v>491.37659999999994</v>
      </c>
      <c r="E129" s="51">
        <v>0</v>
      </c>
      <c r="F129" s="51">
        <f>D129*(($F$118)+1)+(IF(E129&lt;101,E129,IF(E129&lt;201,E129/2,IF(E129&lt;=301,E129/3,E129/4))))</f>
        <v>761.6337299999999</v>
      </c>
      <c r="G129" s="119"/>
      <c r="H129" s="120"/>
      <c r="I129" s="35"/>
      <c r="L129" s="191"/>
      <c r="M129" s="191"/>
      <c r="N129" s="35"/>
    </row>
    <row r="130" spans="1:14" s="52" customFormat="1" x14ac:dyDescent="0.35">
      <c r="A130" s="112" t="s">
        <v>207</v>
      </c>
      <c r="B130" s="113"/>
      <c r="C130" s="113"/>
      <c r="D130" s="113"/>
      <c r="E130" s="113"/>
      <c r="F130" s="113"/>
      <c r="G130" s="113"/>
      <c r="H130" s="114"/>
      <c r="J130" s="35"/>
    </row>
    <row r="131" spans="1:14" s="52" customFormat="1" ht="15.75" customHeight="1" x14ac:dyDescent="0.35">
      <c r="A131" s="90">
        <v>1</v>
      </c>
      <c r="B131" s="91"/>
      <c r="C131" s="51" t="s">
        <v>206</v>
      </c>
      <c r="D131" s="56">
        <f>(45.77)*10.764</f>
        <v>492.66827999999998</v>
      </c>
      <c r="E131" s="51">
        <v>0</v>
      </c>
      <c r="F131" s="51">
        <f>D131*(($F$118)+1)+(IF(E131&lt;101,E131,IF(E131&lt;201,E131/2,IF(E131&lt;=301,E131/3,E131/4))))</f>
        <v>763.63583400000005</v>
      </c>
      <c r="G131" s="115" t="str">
        <f>A130</f>
        <v>3rd to 5th Floor</v>
      </c>
      <c r="H131" s="116"/>
      <c r="I131" s="35"/>
      <c r="L131" s="191"/>
      <c r="M131" s="191"/>
      <c r="N131" s="35"/>
    </row>
    <row r="132" spans="1:14" s="52" customFormat="1" x14ac:dyDescent="0.35">
      <c r="A132" s="90">
        <f t="shared" ref="A132:A133" si="2">A131+1</f>
        <v>2</v>
      </c>
      <c r="B132" s="91"/>
      <c r="C132" s="51" t="s">
        <v>206</v>
      </c>
      <c r="D132" s="56">
        <f>(45.77)*10.764</f>
        <v>492.66827999999998</v>
      </c>
      <c r="E132" s="51">
        <v>0</v>
      </c>
      <c r="F132" s="51">
        <f>D132*(($F$118)+1)+(IF(E132&lt;101,E132,IF(E132&lt;201,E132/2,IF(E132&lt;=301,E132/3,E132/4))))</f>
        <v>763.63583400000005</v>
      </c>
      <c r="G132" s="117"/>
      <c r="H132" s="118"/>
      <c r="I132" s="35"/>
      <c r="L132" s="191"/>
      <c r="M132" s="191"/>
      <c r="N132" s="35"/>
    </row>
    <row r="133" spans="1:14" s="52" customFormat="1" x14ac:dyDescent="0.35">
      <c r="A133" s="90">
        <f t="shared" si="2"/>
        <v>3</v>
      </c>
      <c r="B133" s="91"/>
      <c r="C133" s="51" t="s">
        <v>206</v>
      </c>
      <c r="D133" s="56">
        <f>(45.65)*10.764</f>
        <v>491.37659999999994</v>
      </c>
      <c r="E133" s="51">
        <v>0</v>
      </c>
      <c r="F133" s="51">
        <f>D133*(($F$118)+1)+(IF(E133&lt;101,E133,IF(E133&lt;201,E133/2,IF(E133&lt;=301,E133/3,E133/4))))</f>
        <v>761.6337299999999</v>
      </c>
      <c r="G133" s="119"/>
      <c r="H133" s="120"/>
      <c r="I133" s="35"/>
      <c r="L133" s="191"/>
      <c r="M133" s="191"/>
      <c r="N133" s="35"/>
    </row>
    <row r="134" spans="1:14" s="52" customFormat="1" x14ac:dyDescent="0.35">
      <c r="A134" s="112" t="s">
        <v>208</v>
      </c>
      <c r="B134" s="113"/>
      <c r="C134" s="113"/>
      <c r="D134" s="113"/>
      <c r="E134" s="113"/>
      <c r="F134" s="113"/>
      <c r="G134" s="113"/>
      <c r="H134" s="114"/>
      <c r="J134" s="35"/>
    </row>
    <row r="135" spans="1:14" s="52" customFormat="1" ht="15.75" customHeight="1" x14ac:dyDescent="0.35">
      <c r="A135" s="90">
        <v>1</v>
      </c>
      <c r="B135" s="91"/>
      <c r="C135" s="51" t="s">
        <v>206</v>
      </c>
      <c r="D135" s="56">
        <f>(45.77)*10.764</f>
        <v>492.66827999999998</v>
      </c>
      <c r="E135" s="51">
        <v>0</v>
      </c>
      <c r="F135" s="51">
        <f>D135*(($F$118)+1)+(IF(E135&lt;101,E135,IF(E135&lt;201,E135/2,IF(E135&lt;=301,E135/3,E135/4))))</f>
        <v>763.63583400000005</v>
      </c>
      <c r="G135" s="115" t="str">
        <f>A134</f>
        <v>6th Floor</v>
      </c>
      <c r="H135" s="116"/>
      <c r="I135" s="35"/>
      <c r="L135" s="191"/>
      <c r="M135" s="191"/>
      <c r="N135" s="35"/>
    </row>
    <row r="136" spans="1:14" s="52" customFormat="1" x14ac:dyDescent="0.35">
      <c r="A136" s="90">
        <f t="shared" ref="A136:A137" si="3">A135+1</f>
        <v>2</v>
      </c>
      <c r="B136" s="91"/>
      <c r="C136" s="51" t="s">
        <v>206</v>
      </c>
      <c r="D136" s="56">
        <f>(45.77)*10.764</f>
        <v>492.66827999999998</v>
      </c>
      <c r="E136" s="51">
        <v>0</v>
      </c>
      <c r="F136" s="51">
        <f>D136*(($F$118)+1)+(IF(E136&lt;101,E136,IF(E136&lt;201,E136/2,IF(E136&lt;=301,E136/3,E136/4))))</f>
        <v>763.63583400000005</v>
      </c>
      <c r="G136" s="117"/>
      <c r="H136" s="118"/>
      <c r="I136" s="35"/>
      <c r="L136" s="191"/>
      <c r="M136" s="191"/>
      <c r="N136" s="35"/>
    </row>
    <row r="137" spans="1:14" s="52" customFormat="1" x14ac:dyDescent="0.35">
      <c r="A137" s="90">
        <f t="shared" si="3"/>
        <v>3</v>
      </c>
      <c r="B137" s="91"/>
      <c r="C137" s="51" t="s">
        <v>206</v>
      </c>
      <c r="D137" s="56">
        <f>(45.65)*10.764</f>
        <v>491.37659999999994</v>
      </c>
      <c r="E137" s="51">
        <v>0</v>
      </c>
      <c r="F137" s="51">
        <f>D137*(($F$118)+1)+(IF(E137&lt;101,E137,IF(E137&lt;201,E137/2,IF(E137&lt;=301,E137/3,E137/4))))</f>
        <v>761.6337299999999</v>
      </c>
      <c r="G137" s="119"/>
      <c r="H137" s="120"/>
      <c r="I137" s="35"/>
      <c r="L137" s="191"/>
      <c r="M137" s="191"/>
      <c r="N137" s="35"/>
    </row>
    <row r="138" spans="1:14" s="52" customFormat="1" x14ac:dyDescent="0.35">
      <c r="A138" s="112" t="s">
        <v>203</v>
      </c>
      <c r="B138" s="113"/>
      <c r="C138" s="113"/>
      <c r="D138" s="113"/>
      <c r="E138" s="113"/>
      <c r="F138" s="113"/>
      <c r="G138" s="113"/>
      <c r="H138" s="114"/>
      <c r="J138" s="35"/>
    </row>
    <row r="139" spans="1:14" s="52" customFormat="1" x14ac:dyDescent="0.35">
      <c r="A139" s="112" t="s">
        <v>200</v>
      </c>
      <c r="B139" s="113"/>
      <c r="C139" s="113"/>
      <c r="D139" s="113"/>
      <c r="E139" s="113"/>
      <c r="F139" s="113"/>
      <c r="G139" s="113"/>
      <c r="H139" s="114"/>
      <c r="J139" s="35"/>
    </row>
    <row r="140" spans="1:14" s="52" customFormat="1" x14ac:dyDescent="0.35">
      <c r="A140" s="112" t="s">
        <v>204</v>
      </c>
      <c r="B140" s="113"/>
      <c r="C140" s="113"/>
      <c r="D140" s="113"/>
      <c r="E140" s="113"/>
      <c r="F140" s="113"/>
      <c r="G140" s="113"/>
      <c r="H140" s="114"/>
      <c r="J140" s="35"/>
    </row>
    <row r="141" spans="1:14" s="52" customFormat="1" ht="15.75" customHeight="1" x14ac:dyDescent="0.35">
      <c r="A141" s="90">
        <v>1</v>
      </c>
      <c r="B141" s="91"/>
      <c r="C141" s="90" t="s">
        <v>205</v>
      </c>
      <c r="D141" s="192"/>
      <c r="E141" s="192"/>
      <c r="F141" s="91"/>
      <c r="G141" s="115" t="str">
        <f>A140</f>
        <v>1st Floor for Residential &amp; Fitness Center</v>
      </c>
      <c r="H141" s="116"/>
      <c r="I141" s="35"/>
      <c r="L141" s="191"/>
      <c r="M141" s="191"/>
      <c r="N141" s="35"/>
    </row>
    <row r="142" spans="1:14" s="52" customFormat="1" x14ac:dyDescent="0.35">
      <c r="A142" s="90">
        <f t="shared" ref="A142:A143" si="4">A141+1</f>
        <v>2</v>
      </c>
      <c r="B142" s="91"/>
      <c r="C142" s="51" t="s">
        <v>206</v>
      </c>
      <c r="D142" s="56">
        <f>(52.34)*10.764</f>
        <v>563.38775999999996</v>
      </c>
      <c r="E142" s="51">
        <v>0</v>
      </c>
      <c r="F142" s="51">
        <f>D142*(($F$118)+1)+(IF(E142&lt;101,E142,IF(E142&lt;201,E142/2,IF(E142&lt;=301,E142/3,E142/4))))</f>
        <v>873.25102799999991</v>
      </c>
      <c r="G142" s="117"/>
      <c r="H142" s="118"/>
      <c r="I142" s="35"/>
      <c r="J142" s="55">
        <f>650/D142</f>
        <v>1.153734685325787</v>
      </c>
      <c r="L142" s="191"/>
      <c r="M142" s="191"/>
      <c r="N142" s="35"/>
    </row>
    <row r="143" spans="1:14" s="52" customFormat="1" x14ac:dyDescent="0.35">
      <c r="A143" s="90">
        <f t="shared" si="4"/>
        <v>3</v>
      </c>
      <c r="B143" s="91"/>
      <c r="C143" s="51" t="s">
        <v>201</v>
      </c>
      <c r="D143" s="56">
        <f>(39.58)*10.764</f>
        <v>426.03911999999997</v>
      </c>
      <c r="E143" s="51">
        <v>0</v>
      </c>
      <c r="F143" s="51">
        <f>D143*(($F$118)+1)+(IF(E143&lt;101,E143,IF(E143&lt;201,E143/2,IF(E143&lt;=301,E143/3,E143/4))))</f>
        <v>660.360636</v>
      </c>
      <c r="G143" s="119"/>
      <c r="H143" s="120"/>
      <c r="I143" s="35"/>
      <c r="K143" s="52">
        <f>13300000/F143</f>
        <v>20140.510010654238</v>
      </c>
      <c r="L143" s="191"/>
      <c r="M143" s="191"/>
      <c r="N143" s="35"/>
    </row>
    <row r="144" spans="1:14" s="52" customFormat="1" x14ac:dyDescent="0.35">
      <c r="A144" s="112" t="s">
        <v>122</v>
      </c>
      <c r="B144" s="113"/>
      <c r="C144" s="113"/>
      <c r="D144" s="113"/>
      <c r="E144" s="113"/>
      <c r="F144" s="113"/>
      <c r="G144" s="113"/>
      <c r="H144" s="114"/>
      <c r="J144" s="35"/>
    </row>
    <row r="145" spans="1:14" s="52" customFormat="1" ht="15.75" customHeight="1" x14ac:dyDescent="0.35">
      <c r="A145" s="90">
        <v>1</v>
      </c>
      <c r="B145" s="91"/>
      <c r="C145" s="51" t="s">
        <v>201</v>
      </c>
      <c r="D145" s="56">
        <f>(36.3)*10.764</f>
        <v>390.73319999999995</v>
      </c>
      <c r="E145" s="51">
        <v>0</v>
      </c>
      <c r="F145" s="51">
        <f>D145*(($F$118)+1)+(IF(E145&lt;101,E145,IF(E145&lt;201,E145/2,IF(E145&lt;=301,E145/3,E145/4))))</f>
        <v>605.63645999999994</v>
      </c>
      <c r="G145" s="115" t="str">
        <f>A144</f>
        <v>2nd Floor</v>
      </c>
      <c r="H145" s="116"/>
      <c r="I145" s="35"/>
      <c r="L145" s="191"/>
      <c r="M145" s="191"/>
      <c r="N145" s="35"/>
    </row>
    <row r="146" spans="1:14" s="52" customFormat="1" x14ac:dyDescent="0.35">
      <c r="A146" s="90">
        <f t="shared" ref="A146:A147" si="5">A145+1</f>
        <v>2</v>
      </c>
      <c r="B146" s="91"/>
      <c r="C146" s="51" t="s">
        <v>206</v>
      </c>
      <c r="D146" s="56">
        <f>(52.34)*10.764</f>
        <v>563.38775999999996</v>
      </c>
      <c r="E146" s="51">
        <v>0</v>
      </c>
      <c r="F146" s="51">
        <f>D146*(($F$118)+1)+(IF(E146&lt;101,E146,IF(E146&lt;201,E146/2,IF(E146&lt;=301,E146/3,E146/4))))</f>
        <v>873.25102799999991</v>
      </c>
      <c r="G146" s="117"/>
      <c r="H146" s="118"/>
      <c r="I146" s="35"/>
      <c r="L146" s="191"/>
      <c r="M146" s="191"/>
      <c r="N146" s="35"/>
    </row>
    <row r="147" spans="1:14" s="52" customFormat="1" x14ac:dyDescent="0.35">
      <c r="A147" s="90">
        <f t="shared" si="5"/>
        <v>3</v>
      </c>
      <c r="B147" s="91"/>
      <c r="C147" s="51" t="s">
        <v>201</v>
      </c>
      <c r="D147" s="56">
        <f>(39.58)*10.764</f>
        <v>426.03911999999997</v>
      </c>
      <c r="E147" s="51">
        <v>0</v>
      </c>
      <c r="F147" s="51">
        <f>D147*(($F$118)+1)+(IF(E147&lt;101,E147,IF(E147&lt;201,E147/2,IF(E147&lt;=301,E147/3,E147/4))))</f>
        <v>660.360636</v>
      </c>
      <c r="G147" s="119"/>
      <c r="H147" s="120"/>
      <c r="I147" s="35"/>
      <c r="L147" s="191"/>
      <c r="M147" s="191"/>
      <c r="N147" s="35"/>
    </row>
    <row r="148" spans="1:14" s="52" customFormat="1" x14ac:dyDescent="0.35">
      <c r="A148" s="112" t="s">
        <v>207</v>
      </c>
      <c r="B148" s="113"/>
      <c r="C148" s="113"/>
      <c r="D148" s="113"/>
      <c r="E148" s="113"/>
      <c r="F148" s="113"/>
      <c r="G148" s="113"/>
      <c r="H148" s="114"/>
      <c r="J148" s="35"/>
    </row>
    <row r="149" spans="1:14" s="52" customFormat="1" ht="15.75" customHeight="1" x14ac:dyDescent="0.35">
      <c r="A149" s="90">
        <v>1</v>
      </c>
      <c r="B149" s="91"/>
      <c r="C149" s="51" t="s">
        <v>201</v>
      </c>
      <c r="D149" s="56">
        <f>(36.3)*10.764</f>
        <v>390.73319999999995</v>
      </c>
      <c r="E149" s="51">
        <v>0</v>
      </c>
      <c r="F149" s="51">
        <f>D149*(($F$118)+1)+(IF(E149&lt;101,E149,IF(E149&lt;201,E149/2,IF(E149&lt;=301,E149/3,E149/4))))</f>
        <v>605.63645999999994</v>
      </c>
      <c r="G149" s="115" t="str">
        <f>A148</f>
        <v>3rd to 5th Floor</v>
      </c>
      <c r="H149" s="116"/>
      <c r="I149" s="35"/>
      <c r="L149" s="191"/>
      <c r="M149" s="191"/>
      <c r="N149" s="35"/>
    </row>
    <row r="150" spans="1:14" s="52" customFormat="1" x14ac:dyDescent="0.35">
      <c r="A150" s="90">
        <f t="shared" ref="A150:A151" si="6">A149+1</f>
        <v>2</v>
      </c>
      <c r="B150" s="91"/>
      <c r="C150" s="51" t="s">
        <v>206</v>
      </c>
      <c r="D150" s="56">
        <f>(52.34)*10.764</f>
        <v>563.38775999999996</v>
      </c>
      <c r="E150" s="51">
        <v>0</v>
      </c>
      <c r="F150" s="51">
        <f>D150*(($F$118)+1)+(IF(E150&lt;101,E150,IF(E150&lt;201,E150/2,IF(E150&lt;=301,E150/3,E150/4))))</f>
        <v>873.25102799999991</v>
      </c>
      <c r="G150" s="117"/>
      <c r="H150" s="118"/>
      <c r="I150" s="35"/>
      <c r="L150" s="191"/>
      <c r="M150" s="191"/>
      <c r="N150" s="35"/>
    </row>
    <row r="151" spans="1:14" s="52" customFormat="1" x14ac:dyDescent="0.35">
      <c r="A151" s="90">
        <f t="shared" si="6"/>
        <v>3</v>
      </c>
      <c r="B151" s="91"/>
      <c r="C151" s="51" t="s">
        <v>201</v>
      </c>
      <c r="D151" s="56">
        <f>(39.58)*10.764</f>
        <v>426.03911999999997</v>
      </c>
      <c r="E151" s="51">
        <v>0</v>
      </c>
      <c r="F151" s="51">
        <f>D151*(($F$118)+1)+(IF(E151&lt;101,E151,IF(E151&lt;201,E151/2,IF(E151&lt;=301,E151/3,E151/4))))</f>
        <v>660.360636</v>
      </c>
      <c r="G151" s="119"/>
      <c r="H151" s="120"/>
      <c r="I151" s="35"/>
      <c r="L151" s="191"/>
      <c r="M151" s="191"/>
      <c r="N151" s="35"/>
    </row>
    <row r="152" spans="1:14" s="52" customFormat="1" x14ac:dyDescent="0.35">
      <c r="A152" s="124" t="s">
        <v>209</v>
      </c>
      <c r="B152" s="124"/>
      <c r="C152" s="124"/>
      <c r="D152" s="124"/>
      <c r="E152" s="124"/>
      <c r="F152" s="124"/>
      <c r="G152" s="124"/>
      <c r="H152" s="124"/>
      <c r="J152" s="35"/>
    </row>
    <row r="153" spans="1:14" s="52" customFormat="1" ht="15.75" customHeight="1" x14ac:dyDescent="0.35">
      <c r="A153" s="92">
        <v>1</v>
      </c>
      <c r="B153" s="92"/>
      <c r="C153" s="74" t="s">
        <v>201</v>
      </c>
      <c r="D153" s="56">
        <f>(36.3)*10.764</f>
        <v>390.73319999999995</v>
      </c>
      <c r="E153" s="74">
        <v>0</v>
      </c>
      <c r="F153" s="74">
        <f>D153*(($F$118)+1)+(IF(E153&lt;101,E153,IF(E153&lt;201,E153/2,IF(E153&lt;=301,E153/3,E153/4))))</f>
        <v>605.63645999999994</v>
      </c>
      <c r="G153" s="92" t="str">
        <f>A152</f>
        <v>6th Floor (Part Terrace Area)</v>
      </c>
      <c r="H153" s="92"/>
      <c r="I153" s="35"/>
      <c r="L153" s="191"/>
      <c r="M153" s="191"/>
      <c r="N153" s="35"/>
    </row>
    <row r="154" spans="1:14" s="52" customFormat="1" x14ac:dyDescent="0.35">
      <c r="A154" s="92">
        <f t="shared" ref="A154:A155" si="7">A153+1</f>
        <v>2</v>
      </c>
      <c r="B154" s="92"/>
      <c r="C154" s="92" t="s">
        <v>210</v>
      </c>
      <c r="D154" s="92"/>
      <c r="E154" s="92"/>
      <c r="F154" s="92"/>
      <c r="G154" s="92"/>
      <c r="H154" s="92"/>
      <c r="I154" s="35"/>
      <c r="L154" s="191"/>
      <c r="M154" s="191"/>
      <c r="N154" s="35"/>
    </row>
    <row r="155" spans="1:14" s="52" customFormat="1" x14ac:dyDescent="0.35">
      <c r="A155" s="92">
        <f t="shared" si="7"/>
        <v>3</v>
      </c>
      <c r="B155" s="92"/>
      <c r="C155" s="92"/>
      <c r="D155" s="92"/>
      <c r="E155" s="92"/>
      <c r="F155" s="92"/>
      <c r="G155" s="92"/>
      <c r="H155" s="92"/>
      <c r="I155" s="35"/>
      <c r="L155" s="191"/>
      <c r="M155" s="191"/>
      <c r="N155" s="35"/>
    </row>
    <row r="156" spans="1:14" s="36" customFormat="1" hidden="1" x14ac:dyDescent="0.35">
      <c r="A156" s="124" t="s">
        <v>122</v>
      </c>
      <c r="B156" s="124"/>
      <c r="C156" s="124"/>
      <c r="D156" s="124"/>
      <c r="E156" s="124"/>
      <c r="F156" s="124"/>
      <c r="G156" s="124"/>
      <c r="H156" s="124"/>
      <c r="I156" s="35"/>
      <c r="L156" s="191"/>
      <c r="M156" s="191"/>
    </row>
    <row r="157" spans="1:14" s="36" customFormat="1" hidden="1" x14ac:dyDescent="0.35">
      <c r="A157" s="92">
        <f>LEFT(A156,SUM(LEN(A156)-LEN(SUBSTITUTE(A156,{"0","1","2","3","4","5","6","7","8","9"},""))))*100+1</f>
        <v>201</v>
      </c>
      <c r="B157" s="92"/>
      <c r="C157" s="74"/>
      <c r="D157" s="74"/>
      <c r="E157" s="74">
        <v>0</v>
      </c>
      <c r="F157" s="74">
        <f t="shared" ref="F157:F158" si="8">D157*(($F$118)+1)+(IF(E157&lt;101,E157,IF(E157&lt;201,E157/2,IF(E157&lt;=301,E157/3,E157/4))))</f>
        <v>0</v>
      </c>
      <c r="G157" s="92" t="str">
        <f>A156</f>
        <v>2nd Floor</v>
      </c>
      <c r="H157" s="92"/>
      <c r="I157" s="35"/>
      <c r="N157" s="35"/>
    </row>
    <row r="158" spans="1:14" s="36" customFormat="1" hidden="1" x14ac:dyDescent="0.35">
      <c r="A158" s="92">
        <f>A157+1</f>
        <v>202</v>
      </c>
      <c r="B158" s="92"/>
      <c r="C158" s="74"/>
      <c r="D158" s="74"/>
      <c r="E158" s="74">
        <v>0</v>
      </c>
      <c r="F158" s="74">
        <f t="shared" si="8"/>
        <v>0</v>
      </c>
      <c r="G158" s="92" t="str">
        <f>G157</f>
        <v>2nd Floor</v>
      </c>
      <c r="H158" s="92"/>
      <c r="I158" s="35"/>
      <c r="N158" s="35"/>
    </row>
    <row r="159" spans="1:14" s="36" customFormat="1" hidden="1" x14ac:dyDescent="0.35">
      <c r="A159" s="92">
        <f>A158+1</f>
        <v>203</v>
      </c>
      <c r="B159" s="92"/>
      <c r="C159" s="74"/>
      <c r="D159" s="74"/>
      <c r="E159" s="74">
        <v>0</v>
      </c>
      <c r="F159" s="74">
        <f>D159*(($F$118)+1)+(IF(E159&lt;101,E159,IF(E159&lt;201,E159/2,IF(E159&lt;=301,E159/3,E159/4))))</f>
        <v>0</v>
      </c>
      <c r="G159" s="92" t="str">
        <f>G158</f>
        <v>2nd Floor</v>
      </c>
      <c r="H159" s="92"/>
      <c r="I159" s="35"/>
      <c r="N159" s="35"/>
    </row>
    <row r="160" spans="1:14" s="36" customFormat="1" hidden="1" x14ac:dyDescent="0.35">
      <c r="A160" s="92">
        <f>A159+1</f>
        <v>204</v>
      </c>
      <c r="B160" s="92"/>
      <c r="C160" s="74"/>
      <c r="D160" s="74"/>
      <c r="E160" s="74">
        <v>0</v>
      </c>
      <c r="F160" s="74">
        <f>D160*(($F$118)+1)+(IF(E160&lt;101,E160,IF(E160&lt;201,E160/2,IF(E160&lt;=301,E160/3,E160/4))))</f>
        <v>0</v>
      </c>
      <c r="G160" s="92" t="str">
        <f>G159</f>
        <v>2nd Floor</v>
      </c>
      <c r="H160" s="92"/>
      <c r="I160" s="35"/>
      <c r="N160" s="35"/>
    </row>
    <row r="161" spans="1:14" s="36" customFormat="1" hidden="1" x14ac:dyDescent="0.35">
      <c r="A161" s="92">
        <f>A160+1</f>
        <v>205</v>
      </c>
      <c r="B161" s="92"/>
      <c r="C161" s="74"/>
      <c r="D161" s="74"/>
      <c r="E161" s="74">
        <v>0</v>
      </c>
      <c r="F161" s="74">
        <f>D161*(($F$118)+1)+(IF(E161&lt;101,E161,IF(E161&lt;201,E161/2,IF(E161&lt;=301,E161/3,E161/4))))</f>
        <v>0</v>
      </c>
      <c r="G161" s="92" t="str">
        <f>G160</f>
        <v>2nd Floor</v>
      </c>
      <c r="H161" s="92"/>
      <c r="I161" s="35"/>
      <c r="N161" s="35"/>
    </row>
    <row r="162" spans="1:14" s="36" customFormat="1" ht="15.75" hidden="1" customHeight="1" x14ac:dyDescent="0.35">
      <c r="A162" s="124" t="s">
        <v>156</v>
      </c>
      <c r="B162" s="124"/>
      <c r="C162" s="124"/>
      <c r="D162" s="124"/>
      <c r="E162" s="124"/>
      <c r="F162" s="124"/>
      <c r="G162" s="124"/>
      <c r="H162" s="124"/>
      <c r="I162" s="35"/>
    </row>
    <row r="163" spans="1:14" s="36" customFormat="1" hidden="1" x14ac:dyDescent="0.35">
      <c r="A163" s="92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10^ROW(INDIRECT("1:"&amp;LEN((LEFT(A162,SUM(LEN(A162)-LEN(SUBSTITUTE(A162,{"0","1","2"},""))))))))/10))*100+1&amp;""&amp;" ,..,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",LEN(A162))),LEN(A162)))))))/10))*100+1</f>
        <v>301 ,.., 1501</v>
      </c>
      <c r="B163" s="92"/>
      <c r="C163" s="74"/>
      <c r="D163" s="74"/>
      <c r="E163" s="74">
        <v>0</v>
      </c>
      <c r="F163" s="74">
        <f>D163*(($F$118)+1)+(IF(E163&lt;101,E163,IF(E163&lt;201,E163/2,IF(E163&lt;=301,E163/3,E163/4))))</f>
        <v>0</v>
      </c>
      <c r="G163" s="92" t="str">
        <f>A162</f>
        <v>3rd, 5th, 7th, 9th, 11th, 13th, 15th Floor</v>
      </c>
      <c r="H163" s="92"/>
      <c r="I163" s="35"/>
    </row>
    <row r="164" spans="1:14" s="36" customFormat="1" hidden="1" x14ac:dyDescent="0.35">
      <c r="A164" s="92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,..,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302 ,.., 1502</v>
      </c>
      <c r="B164" s="92"/>
      <c r="C164" s="74"/>
      <c r="D164" s="74"/>
      <c r="E164" s="74">
        <v>0</v>
      </c>
      <c r="F164" s="74">
        <f>D164*(($F$118)+1)+(IF(E164&lt;101,E164,IF(E164&lt;201,E164/2,IF(E164&lt;=301,E164/3,E164/4))))</f>
        <v>0</v>
      </c>
      <c r="G164" s="92" t="str">
        <f>G163</f>
        <v>3rd, 5th, 7th, 9th, 11th, 13th, 15th Floor</v>
      </c>
      <c r="H164" s="92"/>
      <c r="I164" s="35"/>
    </row>
    <row r="165" spans="1:14" s="36" customFormat="1" ht="15.75" hidden="1" customHeight="1" x14ac:dyDescent="0.35">
      <c r="A165" s="92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,..,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303 ,.., 1503</v>
      </c>
      <c r="B165" s="92"/>
      <c r="C165" s="74"/>
      <c r="D165" s="74"/>
      <c r="E165" s="74">
        <v>0</v>
      </c>
      <c r="F165" s="74">
        <f>D165*(($F$118)+1)+(IF(E165&lt;101,E165,IF(E165&lt;201,E165/2,IF(E165&lt;=301,E165/3,E165/4))))</f>
        <v>0</v>
      </c>
      <c r="G165" s="92" t="str">
        <f>G164</f>
        <v>3rd, 5th, 7th, 9th, 11th, 13th, 15th Floor</v>
      </c>
      <c r="H165" s="92"/>
      <c r="I165" s="35"/>
    </row>
    <row r="166" spans="1:14" s="36" customFormat="1" ht="15.75" hidden="1" customHeight="1" x14ac:dyDescent="0.35">
      <c r="A166" s="92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,..,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304 ,.., 1504</v>
      </c>
      <c r="B166" s="92"/>
      <c r="C166" s="74"/>
      <c r="D166" s="74"/>
      <c r="E166" s="74">
        <v>0</v>
      </c>
      <c r="F166" s="74">
        <f>D166*(($F$118)+1)+(IF(E166&lt;101,E166,IF(E166&lt;201,E166/2,IF(E166&lt;=301,E166/3,E166/4))))</f>
        <v>0</v>
      </c>
      <c r="G166" s="92" t="str">
        <f>G165</f>
        <v>3rd, 5th, 7th, 9th, 11th, 13th, 15th Floor</v>
      </c>
      <c r="H166" s="92"/>
      <c r="I166" s="35"/>
    </row>
    <row r="167" spans="1:14" s="36" customFormat="1" ht="15.75" hidden="1" customHeight="1" x14ac:dyDescent="0.35">
      <c r="A167" s="92" t="str">
        <f ca="1">(SUMPRODUCT(MID(0&amp;(LEFT(A166,SUM(LEN(A166)-LEN(SUBSTITUTE(A166,{"0","1","2"},""))))), LARGE(INDEX(ISNUMBER(--MID((LEFT(A166,SUM(LEN(A166)-LEN(SUBSTITUTE(A166,{"0","1","2"},""))))), ROW(INDIRECT("1:"&amp;LEN((LEFT(A166,SUM(LEN(A166)-LEN(SUBSTITUTE(A166,{"0","1","2"},"")))))))), 1)) * ROW(INDIRECT("1:"&amp;LEN((LEFT(A166,SUM(LEN(A166)-LEN(SUBSTITUTE(A166,{"0","1","2"},"")))))))), 0), ROW(INDIRECT("1:"&amp;LEN((LEFT(A166,SUM(LEN(A166)-LEN(SUBSTITUTE(A166,{"0","1","2"},"")))))))))+1, 1) * 10^ROW(INDIRECT("1:"&amp;LEN((LEFT(A166,SUM(LEN(A166)-LEN(SUBSTITUTE(A166,{"0","1","2"},""))))))))/10))*1+1&amp;""&amp;" ,.., "&amp;""&amp;(SUMPRODUCT(MID(0&amp;(--TRIM(RIGHT(SUBSTITUTE(LEFT(A166,_xlfn.AGGREGATE(16,6,FIND({0,1,2,3,4,5,6,7,8,9},A166,ROW(INDIRECT("1:"&amp;LEN(A166)))),1))," ",REPT(" ",LEN(A166))),LEN(A166)))), LARGE(INDEX(ISNUMBER(--MID((--TRIM(RIGHT(SUBSTITUTE(LEFT(A166,_xlfn.AGGREGATE(16,6,FIND({0,1,2,3,4,5,6,7,8,9},A166,ROW(INDIRECT("1:"&amp;LEN(A166)))),1))," ",REPT(" ",LEN(A166))),LEN(A166)))), ROW(INDIRECT("1:"&amp;LEN((--TRIM(RIGHT(SUBSTITUTE(LEFT(A166,_xlfn.AGGREGATE(16,6,FIND({0,1,2,3,4,5,6,7,8,9},A166,ROW(INDIRECT("1:"&amp;LEN(A166)))),1))," ",REPT(" ",LEN(A166))),LEN(A166))))))), 1)) * ROW(INDIRECT("1:"&amp;LEN((--TRIM(RIGHT(SUBSTITUTE(LEFT(A166,_xlfn.AGGREGATE(16,6,FIND({0,1,2,3,4,5,6,7,8,9},A166,ROW(INDIRECT("1:"&amp;LEN(A166)))),1))," ",REPT(" ",LEN(A166))),LEN(A166))))))), 0), ROW(INDIRECT("1:"&amp;LEN((--TRIM(RIGHT(SUBSTITUTE(LEFT(A166,_xlfn.AGGREGATE(16,6,FIND({0,1,2,3,4,5,6,7,8,9},A166,ROW(INDIRECT("1:"&amp;LEN(A166)))),1))," ",REPT(" ",LEN(A166))),LEN(A166))))))))+1, 1) * 10^ROW(INDIRECT("1:"&amp;LEN((--TRIM(RIGHT(SUBSTITUTE(LEFT(A166,_xlfn.AGGREGATE(16,6,FIND({0,1,2,3,4,5,6,7,8,9},A166,ROW(INDIRECT("1:"&amp;LEN(A166)))),1))," ",REPT(" ",LEN(A166))),LEN(A166)))))))/10))*1+1</f>
        <v>305 ,.., 1505</v>
      </c>
      <c r="B167" s="92"/>
      <c r="C167" s="74"/>
      <c r="D167" s="74"/>
      <c r="E167" s="74">
        <v>0</v>
      </c>
      <c r="F167" s="74">
        <f>D167*(($F$118)+1)+(IF(E167&lt;101,E167,IF(E167&lt;201,E167/2,IF(E167&lt;=301,E167/3,E167/4))))</f>
        <v>0</v>
      </c>
      <c r="G167" s="92" t="str">
        <f>G166</f>
        <v>3rd, 5th, 7th, 9th, 11th, 13th, 15th Floor</v>
      </c>
      <c r="H167" s="92"/>
      <c r="I167" s="35"/>
    </row>
    <row r="168" spans="1:14" s="36" customFormat="1" hidden="1" x14ac:dyDescent="0.35">
      <c r="A168" s="124" t="s">
        <v>150</v>
      </c>
      <c r="B168" s="124"/>
      <c r="C168" s="124"/>
      <c r="D168" s="124"/>
      <c r="E168" s="124"/>
      <c r="F168" s="124"/>
      <c r="G168" s="124"/>
      <c r="H168" s="124"/>
      <c r="I168" s="35"/>
    </row>
    <row r="169" spans="1:14" s="36" customFormat="1" hidden="1" x14ac:dyDescent="0.35">
      <c r="A169" s="92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10^ROW(INDIRECT("1:"&amp;LEN((LEFT(A168,SUM(LEN(A168)-LEN(SUBSTITUTE(A168,{"0","1","2"},""))))))))/10))*100+1&amp;""&amp;" to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",LEN(A168))),LEN(A168)))))))/10))*100+1</f>
        <v>201 to 501</v>
      </c>
      <c r="B169" s="92"/>
      <c r="C169" s="74"/>
      <c r="D169" s="74"/>
      <c r="E169" s="74">
        <v>0</v>
      </c>
      <c r="F169" s="74">
        <f>D169*(($F$118)+1)+(IF(E169&lt;101,E169,IF(E169&lt;201,E169/2,IF(E169&lt;=301,E169/3,E169/4))))</f>
        <v>0</v>
      </c>
      <c r="G169" s="92" t="str">
        <f>A168</f>
        <v>2nd to 5th Floor</v>
      </c>
      <c r="H169" s="92"/>
      <c r="I169" s="35"/>
    </row>
    <row r="170" spans="1:14" s="36" customFormat="1" hidden="1" x14ac:dyDescent="0.35">
      <c r="A170" s="92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to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202 to 502</v>
      </c>
      <c r="B170" s="92"/>
      <c r="C170" s="74"/>
      <c r="D170" s="74"/>
      <c r="E170" s="74">
        <v>0</v>
      </c>
      <c r="F170" s="74">
        <f>D170*(($F$118)+1)+(IF(E170&lt;101,E170,IF(E170&lt;201,E170/2,IF(E170&lt;=301,E170/3,E170/4))))</f>
        <v>0</v>
      </c>
      <c r="G170" s="92" t="str">
        <f>G169</f>
        <v>2nd to 5th Floor</v>
      </c>
      <c r="H170" s="92"/>
      <c r="I170" s="35"/>
    </row>
    <row r="171" spans="1:14" s="36" customFormat="1" hidden="1" x14ac:dyDescent="0.35">
      <c r="A171" s="92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to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203 to 503</v>
      </c>
      <c r="B171" s="92"/>
      <c r="C171" s="74"/>
      <c r="D171" s="74"/>
      <c r="E171" s="74">
        <v>0</v>
      </c>
      <c r="F171" s="74">
        <f>D171*(($F$118)+1)+(IF(E171&lt;101,E171,IF(E171&lt;201,E171/2,IF(E171&lt;=301,E171/3,E171/4))))</f>
        <v>0</v>
      </c>
      <c r="G171" s="92" t="str">
        <f>G170</f>
        <v>2nd to 5th Floor</v>
      </c>
      <c r="H171" s="92"/>
      <c r="I171" s="35"/>
    </row>
    <row r="172" spans="1:14" s="36" customFormat="1" hidden="1" x14ac:dyDescent="0.35">
      <c r="A172" s="92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to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204 to 504</v>
      </c>
      <c r="B172" s="92"/>
      <c r="C172" s="74"/>
      <c r="D172" s="74"/>
      <c r="E172" s="74">
        <v>0</v>
      </c>
      <c r="F172" s="74">
        <f>D172*(($F$118)+1)+(IF(E172&lt;101,E172,IF(E172&lt;201,E172/2,IF(E172&lt;=301,E172/3,E172/4))))</f>
        <v>0</v>
      </c>
      <c r="G172" s="92" t="str">
        <f>G171</f>
        <v>2nd to 5th Floor</v>
      </c>
      <c r="H172" s="92"/>
      <c r="I172" s="35"/>
    </row>
    <row r="173" spans="1:14" s="36" customFormat="1" hidden="1" x14ac:dyDescent="0.35">
      <c r="A173" s="92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to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205 to 505</v>
      </c>
      <c r="B173" s="92"/>
      <c r="C173" s="74"/>
      <c r="D173" s="74"/>
      <c r="E173" s="74">
        <v>0</v>
      </c>
      <c r="F173" s="74">
        <f>D173*(($F$118)+1)+(IF(E173&lt;101,E173,IF(E173&lt;201,E173/2,IF(E173&lt;=301,E173/3,E173/4))))</f>
        <v>0</v>
      </c>
      <c r="G173" s="92" t="str">
        <f>G172</f>
        <v>2nd to 5th Floor</v>
      </c>
      <c r="H173" s="92"/>
      <c r="I173" s="35"/>
    </row>
    <row r="174" spans="1:14" s="36" customFormat="1" hidden="1" x14ac:dyDescent="0.35">
      <c r="A174" s="124" t="s">
        <v>151</v>
      </c>
      <c r="B174" s="124"/>
      <c r="C174" s="124"/>
      <c r="D174" s="124"/>
      <c r="E174" s="124"/>
      <c r="F174" s="124"/>
      <c r="G174" s="124"/>
      <c r="H174" s="124"/>
      <c r="I174" s="35"/>
    </row>
    <row r="175" spans="1:14" s="36" customFormat="1" hidden="1" x14ac:dyDescent="0.35">
      <c r="A175" s="92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10^ROW(INDIRECT("1:"&amp;LEN((LEFT(A174,SUM(LEN(A174)-LEN(SUBSTITUTE(A174,{"0","1","2"},""))))))))/10))*100+1&amp;""&amp;" &amp;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",LEN(A174))),LEN(A174)))))))/10))*100+1</f>
        <v>201 &amp; 501</v>
      </c>
      <c r="B175" s="92"/>
      <c r="C175" s="74"/>
      <c r="D175" s="74"/>
      <c r="E175" s="74">
        <v>0</v>
      </c>
      <c r="F175" s="74">
        <f>D175*(($F$118)+1)+(IF(E175&lt;101,E175,IF(E175&lt;201,E175/2,IF(E175&lt;=301,E175/3,E175/4))))</f>
        <v>0</v>
      </c>
      <c r="G175" s="92" t="str">
        <f>A174</f>
        <v>2nd &amp; 5th Floor</v>
      </c>
      <c r="H175" s="92"/>
      <c r="I175" s="35"/>
    </row>
    <row r="176" spans="1:14" s="36" customFormat="1" hidden="1" x14ac:dyDescent="0.35">
      <c r="A176" s="92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&amp;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202 &amp; 502</v>
      </c>
      <c r="B176" s="92"/>
      <c r="C176" s="74"/>
      <c r="D176" s="74"/>
      <c r="E176" s="74">
        <v>0</v>
      </c>
      <c r="F176" s="74">
        <f>D176*(($F$118)+1)+(IF(E176&lt;101,E176,IF(E176&lt;201,E176/2,IF(E176&lt;=301,E176/3,E176/4))))</f>
        <v>0</v>
      </c>
      <c r="G176" s="92" t="str">
        <f t="shared" ref="G176:G179" si="9">G175</f>
        <v>2nd &amp; 5th Floor</v>
      </c>
      <c r="H176" s="92"/>
      <c r="I176" s="35"/>
    </row>
    <row r="177" spans="1:15" s="36" customFormat="1" hidden="1" x14ac:dyDescent="0.35">
      <c r="A177" s="92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&amp;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203 &amp; 503</v>
      </c>
      <c r="B177" s="92"/>
      <c r="C177" s="74"/>
      <c r="D177" s="74"/>
      <c r="E177" s="74">
        <v>0</v>
      </c>
      <c r="F177" s="74">
        <f>D177*(($F$118)+1)+(IF(E177&lt;101,E177,IF(E177&lt;201,E177/2,IF(E177&lt;=301,E177/3,E177/4))))</f>
        <v>0</v>
      </c>
      <c r="G177" s="92" t="str">
        <f t="shared" si="9"/>
        <v>2nd &amp; 5th Floor</v>
      </c>
      <c r="H177" s="92"/>
      <c r="I177" s="35"/>
    </row>
    <row r="178" spans="1:15" s="36" customFormat="1" hidden="1" x14ac:dyDescent="0.35">
      <c r="A178" s="92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&amp;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204 &amp; 504</v>
      </c>
      <c r="B178" s="92"/>
      <c r="C178" s="74"/>
      <c r="D178" s="74"/>
      <c r="E178" s="74">
        <v>0</v>
      </c>
      <c r="F178" s="74">
        <f>D178*(($F$118)+1)+(IF(E178&lt;101,E178,IF(E178&lt;201,E178/2,IF(E178&lt;=301,E178/3,E178/4))))</f>
        <v>0</v>
      </c>
      <c r="G178" s="92" t="str">
        <f t="shared" si="9"/>
        <v>2nd &amp; 5th Floor</v>
      </c>
      <c r="H178" s="92"/>
      <c r="I178" s="35"/>
    </row>
    <row r="179" spans="1:15" s="36" customFormat="1" hidden="1" x14ac:dyDescent="0.35">
      <c r="A179" s="92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&amp;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205 &amp; 505</v>
      </c>
      <c r="B179" s="92"/>
      <c r="C179" s="74"/>
      <c r="D179" s="74"/>
      <c r="E179" s="74">
        <v>0</v>
      </c>
      <c r="F179" s="74">
        <f>D179*(($F$118)+1)+(IF(E179&lt;101,E179,IF(E179&lt;201,E179/2,IF(E179&lt;=301,E179/3,E179/4))))</f>
        <v>0</v>
      </c>
      <c r="G179" s="92" t="str">
        <f t="shared" si="9"/>
        <v>2nd &amp; 5th Floor</v>
      </c>
      <c r="H179" s="92"/>
      <c r="I179" s="35"/>
    </row>
    <row r="180" spans="1:15" s="34" customFormat="1" x14ac:dyDescent="0.35">
      <c r="A180" s="193" t="s">
        <v>70</v>
      </c>
      <c r="B180" s="193"/>
      <c r="C180" s="193"/>
      <c r="D180" s="193"/>
      <c r="E180" s="193"/>
      <c r="F180" s="193"/>
      <c r="G180" s="193"/>
      <c r="H180" s="193"/>
    </row>
    <row r="181" spans="1:15" s="63" customFormat="1" ht="32.25" customHeight="1" x14ac:dyDescent="0.35">
      <c r="A181" s="62" t="s">
        <v>160</v>
      </c>
      <c r="B181" s="201" t="s">
        <v>244</v>
      </c>
      <c r="C181" s="201"/>
      <c r="D181" s="201"/>
      <c r="E181" s="201"/>
      <c r="F181" s="201"/>
      <c r="G181" s="201"/>
      <c r="H181" s="201"/>
      <c r="I181" s="107" t="s">
        <v>233</v>
      </c>
      <c r="J181" s="108"/>
      <c r="K181" s="108"/>
      <c r="L181" s="108"/>
      <c r="M181" s="108"/>
      <c r="N181" s="108"/>
      <c r="O181" s="109"/>
    </row>
    <row r="182" spans="1:15" s="34" customFormat="1" x14ac:dyDescent="0.35">
      <c r="A182" s="75" t="s">
        <v>160</v>
      </c>
      <c r="B182" s="201" t="str">
        <f>(IF(F117="Saleable area Loading :","We have considered Saleable area of Flats as per our Calculation.","We considered Saleable area of Flat as per Builder area Sheet."))</f>
        <v>We have considered Saleable area of Flats as per our Calculation.</v>
      </c>
      <c r="C182" s="201"/>
      <c r="D182" s="201"/>
      <c r="E182" s="201"/>
      <c r="F182" s="201"/>
      <c r="G182" s="201"/>
      <c r="H182" s="201"/>
    </row>
    <row r="183" spans="1:15" s="34" customFormat="1" x14ac:dyDescent="0.35">
      <c r="A183" s="75" t="s">
        <v>160</v>
      </c>
      <c r="B183" s="202" t="s">
        <v>127</v>
      </c>
      <c r="C183" s="202"/>
      <c r="D183" s="202"/>
      <c r="E183" s="202"/>
      <c r="F183" s="202"/>
      <c r="G183" s="202"/>
      <c r="H183" s="202"/>
    </row>
    <row r="184" spans="1:15" s="34" customFormat="1" x14ac:dyDescent="0.35">
      <c r="A184" s="75" t="s">
        <v>160</v>
      </c>
      <c r="B184" s="201" t="s">
        <v>215</v>
      </c>
      <c r="C184" s="201"/>
      <c r="D184" s="201"/>
      <c r="E184" s="201"/>
      <c r="F184" s="201"/>
      <c r="G184" s="201"/>
      <c r="H184" s="201"/>
    </row>
    <row r="185" spans="1:15" s="34" customFormat="1" x14ac:dyDescent="0.35">
      <c r="A185" s="45" t="s">
        <v>160</v>
      </c>
      <c r="B185" s="128" t="s">
        <v>159</v>
      </c>
      <c r="C185" s="77"/>
      <c r="D185" s="77"/>
      <c r="E185" s="77"/>
      <c r="F185" s="77"/>
      <c r="G185" s="77"/>
      <c r="H185" s="78"/>
    </row>
    <row r="186" spans="1:15" s="34" customFormat="1" x14ac:dyDescent="0.35">
      <c r="A186" s="45" t="s">
        <v>160</v>
      </c>
      <c r="B186" s="128" t="s">
        <v>128</v>
      </c>
      <c r="C186" s="77"/>
      <c r="D186" s="77"/>
      <c r="E186" s="77"/>
      <c r="F186" s="77"/>
      <c r="G186" s="77"/>
      <c r="H186" s="78"/>
    </row>
    <row r="187" spans="1:15" s="34" customFormat="1" ht="34.5" customHeight="1" x14ac:dyDescent="0.35">
      <c r="A187" s="45" t="s">
        <v>160</v>
      </c>
      <c r="B187" s="128" t="s">
        <v>161</v>
      </c>
      <c r="C187" s="77"/>
      <c r="D187" s="77"/>
      <c r="E187" s="77"/>
      <c r="F187" s="77"/>
      <c r="G187" s="77"/>
      <c r="H187" s="78"/>
    </row>
    <row r="188" spans="1:15" s="34" customFormat="1" x14ac:dyDescent="0.35">
      <c r="A188" s="45" t="s">
        <v>160</v>
      </c>
      <c r="B188" s="128" t="s">
        <v>129</v>
      </c>
      <c r="C188" s="77"/>
      <c r="D188" s="77"/>
      <c r="E188" s="77"/>
      <c r="F188" s="77"/>
      <c r="G188" s="77"/>
      <c r="H188" s="78"/>
    </row>
    <row r="189" spans="1:15" s="34" customFormat="1" ht="49.5" customHeight="1" x14ac:dyDescent="0.35">
      <c r="A189" s="53" t="s">
        <v>160</v>
      </c>
      <c r="B189" s="128" t="s">
        <v>232</v>
      </c>
      <c r="C189" s="77"/>
      <c r="D189" s="77"/>
      <c r="E189" s="77"/>
      <c r="F189" s="77"/>
      <c r="G189" s="77"/>
      <c r="H189" s="78"/>
    </row>
    <row r="190" spans="1:15" s="34" customFormat="1" x14ac:dyDescent="0.35">
      <c r="A190" s="53" t="s">
        <v>160</v>
      </c>
      <c r="B190" s="128" t="s">
        <v>222</v>
      </c>
      <c r="C190" s="77"/>
      <c r="D190" s="77"/>
      <c r="E190" s="77"/>
      <c r="F190" s="77"/>
      <c r="G190" s="77"/>
      <c r="H190" s="78"/>
    </row>
    <row r="191" spans="1:15" s="34" customFormat="1" x14ac:dyDescent="0.35">
      <c r="A191" s="72" t="s">
        <v>160</v>
      </c>
      <c r="B191" s="128" t="s">
        <v>237</v>
      </c>
      <c r="C191" s="77"/>
      <c r="D191" s="77"/>
      <c r="E191" s="77"/>
      <c r="F191" s="77"/>
      <c r="G191" s="77"/>
      <c r="H191" s="78"/>
    </row>
    <row r="192" spans="1:15" s="34" customFormat="1" hidden="1" x14ac:dyDescent="0.35">
      <c r="A192" s="71" t="s">
        <v>160</v>
      </c>
      <c r="B192" s="76" t="s">
        <v>230</v>
      </c>
      <c r="C192" s="194"/>
      <c r="D192" s="194"/>
      <c r="E192" s="194"/>
      <c r="F192" s="194"/>
      <c r="G192" s="194"/>
      <c r="H192" s="195"/>
    </row>
    <row r="193" spans="1:8" s="34" customFormat="1" x14ac:dyDescent="0.35">
      <c r="A193" s="73" t="s">
        <v>160</v>
      </c>
      <c r="B193" s="107" t="s">
        <v>241</v>
      </c>
      <c r="C193" s="108"/>
      <c r="D193" s="108"/>
      <c r="E193" s="108"/>
      <c r="F193" s="108"/>
      <c r="G193" s="108"/>
      <c r="H193" s="109"/>
    </row>
    <row r="194" spans="1:8" x14ac:dyDescent="0.35">
      <c r="A194" s="101" t="s">
        <v>63</v>
      </c>
      <c r="B194" s="101"/>
      <c r="C194" s="101"/>
      <c r="D194" s="101"/>
      <c r="E194" s="101"/>
      <c r="F194" s="101"/>
      <c r="G194" s="101"/>
      <c r="H194" s="101"/>
    </row>
    <row r="195" spans="1:8" x14ac:dyDescent="0.35">
      <c r="A195" s="88" t="s">
        <v>64</v>
      </c>
      <c r="B195" s="88"/>
      <c r="C195" s="88"/>
      <c r="D195" s="88"/>
      <c r="E195" s="88"/>
      <c r="F195" s="88"/>
      <c r="G195" s="88"/>
      <c r="H195" s="88"/>
    </row>
    <row r="196" spans="1:8" ht="15.75" customHeight="1" x14ac:dyDescent="0.35">
      <c r="A196" s="89" t="s">
        <v>65</v>
      </c>
      <c r="B196" s="89"/>
      <c r="C196" s="89"/>
      <c r="D196" s="89"/>
      <c r="E196" s="89"/>
      <c r="F196" s="89"/>
      <c r="G196" s="89"/>
      <c r="H196" s="89"/>
    </row>
    <row r="197" spans="1:8" x14ac:dyDescent="0.35">
      <c r="A197" s="88" t="s">
        <v>66</v>
      </c>
      <c r="B197" s="88"/>
      <c r="C197" s="88"/>
      <c r="D197" s="88"/>
      <c r="E197" s="88"/>
      <c r="F197" s="88"/>
      <c r="G197" s="88"/>
      <c r="H197" s="88"/>
    </row>
    <row r="198" spans="1:8" x14ac:dyDescent="0.35">
      <c r="A198" s="88" t="s">
        <v>67</v>
      </c>
      <c r="B198" s="88"/>
      <c r="C198" s="88"/>
      <c r="D198" s="88"/>
      <c r="E198" s="88"/>
      <c r="F198" s="88"/>
      <c r="G198" s="88"/>
      <c r="H198" s="88"/>
    </row>
    <row r="199" spans="1:8" x14ac:dyDescent="0.35">
      <c r="A199" s="88" t="s">
        <v>130</v>
      </c>
      <c r="B199" s="88"/>
      <c r="C199" s="88"/>
      <c r="D199" s="88"/>
      <c r="E199" s="88"/>
      <c r="F199" s="88"/>
      <c r="G199" s="88"/>
      <c r="H199" s="88"/>
    </row>
    <row r="200" spans="1:8" x14ac:dyDescent="0.35">
      <c r="A200" s="102" t="s">
        <v>131</v>
      </c>
      <c r="B200" s="102"/>
      <c r="C200" s="102"/>
      <c r="D200" s="102"/>
      <c r="E200" s="102"/>
      <c r="F200" s="102"/>
      <c r="G200" s="102"/>
      <c r="H200" s="102"/>
    </row>
    <row r="201" spans="1:8" x14ac:dyDescent="0.35">
      <c r="A201" s="122" t="s">
        <v>79</v>
      </c>
      <c r="B201" s="122"/>
      <c r="C201" s="122" t="s">
        <v>243</v>
      </c>
      <c r="D201" s="122"/>
      <c r="E201" s="122" t="s">
        <v>109</v>
      </c>
      <c r="F201" s="122"/>
      <c r="G201" s="122" t="s">
        <v>242</v>
      </c>
      <c r="H201" s="122"/>
    </row>
    <row r="202" spans="1:8" x14ac:dyDescent="0.35">
      <c r="A202" s="121" t="s">
        <v>81</v>
      </c>
      <c r="B202" s="121"/>
      <c r="C202" s="121"/>
      <c r="D202" s="121"/>
      <c r="E202" s="121"/>
      <c r="F202" s="121"/>
      <c r="G202" s="121"/>
      <c r="H202" s="121"/>
    </row>
    <row r="203" spans="1:8" x14ac:dyDescent="0.35">
      <c r="A203" s="121"/>
      <c r="B203" s="121"/>
      <c r="C203" s="121"/>
      <c r="D203" s="121"/>
      <c r="E203" s="121"/>
      <c r="F203" s="121"/>
      <c r="G203" s="121"/>
      <c r="H203" s="121"/>
    </row>
    <row r="204" spans="1:8" x14ac:dyDescent="0.35">
      <c r="A204" s="121"/>
      <c r="B204" s="121"/>
      <c r="C204" s="121"/>
      <c r="D204" s="121"/>
      <c r="E204" s="121"/>
      <c r="F204" s="121"/>
      <c r="G204" s="121"/>
      <c r="H204" s="121"/>
    </row>
    <row r="205" spans="1:8" x14ac:dyDescent="0.35">
      <c r="A205" s="121"/>
      <c r="B205" s="121"/>
      <c r="C205" s="121"/>
      <c r="D205" s="121"/>
      <c r="E205" s="121"/>
      <c r="F205" s="121"/>
      <c r="G205" s="121"/>
      <c r="H205" s="121"/>
    </row>
    <row r="206" spans="1:8" x14ac:dyDescent="0.35">
      <c r="A206" s="37" t="s">
        <v>68</v>
      </c>
      <c r="B206" s="38"/>
      <c r="C206" s="38"/>
      <c r="D206" s="37" t="str">
        <f>E8</f>
        <v>Redevelopment of Vijayshree Chsl</v>
      </c>
      <c r="F206" s="38"/>
      <c r="G206" s="38"/>
      <c r="H206" s="38"/>
    </row>
    <row r="207" spans="1:8" x14ac:dyDescent="0.35">
      <c r="A207" s="38"/>
      <c r="B207" s="38"/>
      <c r="C207" s="38"/>
      <c r="D207" s="38"/>
      <c r="E207" s="38"/>
      <c r="F207" s="38"/>
      <c r="G207" s="38"/>
      <c r="H207" s="38"/>
    </row>
    <row r="208" spans="1:8" x14ac:dyDescent="0.35">
      <c r="A208" s="38"/>
      <c r="B208" s="38"/>
      <c r="C208" s="38"/>
      <c r="D208" s="38"/>
      <c r="E208" s="38"/>
      <c r="F208" s="38"/>
      <c r="G208" s="38"/>
      <c r="H208" s="38"/>
    </row>
    <row r="209" spans="10:10" ht="15" customHeight="1" x14ac:dyDescent="0.35"/>
    <row r="219" spans="10:10" x14ac:dyDescent="0.35">
      <c r="J219" t="s">
        <v>238</v>
      </c>
    </row>
    <row r="225" spans="11:11" x14ac:dyDescent="0.35">
      <c r="K225" t="s">
        <v>238</v>
      </c>
    </row>
    <row r="249" spans="1:1" x14ac:dyDescent="0.35">
      <c r="A249" s="40" t="s">
        <v>231</v>
      </c>
    </row>
    <row r="288" spans="1:1" x14ac:dyDescent="0.35">
      <c r="A288" s="40" t="s">
        <v>171</v>
      </c>
    </row>
    <row r="326" spans="1:1" x14ac:dyDescent="0.35">
      <c r="A326" s="40" t="s">
        <v>69</v>
      </c>
    </row>
  </sheetData>
  <mergeCells count="379">
    <mergeCell ref="I11:L11"/>
    <mergeCell ref="B191:H191"/>
    <mergeCell ref="I181:O181"/>
    <mergeCell ref="B192:H192"/>
    <mergeCell ref="A13:D13"/>
    <mergeCell ref="E13:H13"/>
    <mergeCell ref="A124:B124"/>
    <mergeCell ref="L124:M124"/>
    <mergeCell ref="C124:F124"/>
    <mergeCell ref="B189:H189"/>
    <mergeCell ref="B190:H190"/>
    <mergeCell ref="A152:H152"/>
    <mergeCell ref="A153:B153"/>
    <mergeCell ref="G153:H155"/>
    <mergeCell ref="L153:M153"/>
    <mergeCell ref="A154:B154"/>
    <mergeCell ref="L154:M154"/>
    <mergeCell ref="A155:B155"/>
    <mergeCell ref="L155:M155"/>
    <mergeCell ref="C154:F155"/>
    <mergeCell ref="B183:H183"/>
    <mergeCell ref="B184:H184"/>
    <mergeCell ref="G175:H175"/>
    <mergeCell ref="G173:H173"/>
    <mergeCell ref="A180:H180"/>
    <mergeCell ref="A172:B172"/>
    <mergeCell ref="A173:B173"/>
    <mergeCell ref="G171:H171"/>
    <mergeCell ref="L156:M156"/>
    <mergeCell ref="A174:H174"/>
    <mergeCell ref="A175:B175"/>
    <mergeCell ref="A176:B176"/>
    <mergeCell ref="A179:B179"/>
    <mergeCell ref="A170:B170"/>
    <mergeCell ref="A171:B171"/>
    <mergeCell ref="G179:H179"/>
    <mergeCell ref="A178:B178"/>
    <mergeCell ref="G178:H178"/>
    <mergeCell ref="A168:H168"/>
    <mergeCell ref="A162:H162"/>
    <mergeCell ref="G165:H165"/>
    <mergeCell ref="G163:H163"/>
    <mergeCell ref="A160:B160"/>
    <mergeCell ref="G161:H161"/>
    <mergeCell ref="G167:H167"/>
    <mergeCell ref="G166:H166"/>
    <mergeCell ref="G159:H159"/>
    <mergeCell ref="A142:B142"/>
    <mergeCell ref="L142:M142"/>
    <mergeCell ref="A167:B167"/>
    <mergeCell ref="A161:B161"/>
    <mergeCell ref="A158:B158"/>
    <mergeCell ref="A159:B159"/>
    <mergeCell ref="A148:H148"/>
    <mergeCell ref="A149:B149"/>
    <mergeCell ref="G149:H151"/>
    <mergeCell ref="L149:M149"/>
    <mergeCell ref="A150:B150"/>
    <mergeCell ref="L150:M150"/>
    <mergeCell ref="A151:B151"/>
    <mergeCell ref="L151:M151"/>
    <mergeCell ref="L127:M127"/>
    <mergeCell ref="A128:B128"/>
    <mergeCell ref="L128:M128"/>
    <mergeCell ref="A129:B129"/>
    <mergeCell ref="L129:M129"/>
    <mergeCell ref="L122:M122"/>
    <mergeCell ref="L123:M123"/>
    <mergeCell ref="L125:M125"/>
    <mergeCell ref="G169:H169"/>
    <mergeCell ref="L135:M135"/>
    <mergeCell ref="A136:B136"/>
    <mergeCell ref="L136:M136"/>
    <mergeCell ref="A137:B137"/>
    <mergeCell ref="L137:M137"/>
    <mergeCell ref="A144:H144"/>
    <mergeCell ref="A143:B143"/>
    <mergeCell ref="L143:M143"/>
    <mergeCell ref="C141:F141"/>
    <mergeCell ref="L145:M145"/>
    <mergeCell ref="A146:B146"/>
    <mergeCell ref="L146:M146"/>
    <mergeCell ref="A147:B147"/>
    <mergeCell ref="L147:M147"/>
    <mergeCell ref="L141:M141"/>
    <mergeCell ref="G85:H85"/>
    <mergeCell ref="A138:H138"/>
    <mergeCell ref="A102:E102"/>
    <mergeCell ref="F102:H102"/>
    <mergeCell ref="A134:H134"/>
    <mergeCell ref="A135:B135"/>
    <mergeCell ref="L131:M131"/>
    <mergeCell ref="A132:B132"/>
    <mergeCell ref="L132:M132"/>
    <mergeCell ref="A133:B133"/>
    <mergeCell ref="L133:M133"/>
    <mergeCell ref="A114:B114"/>
    <mergeCell ref="E114:F114"/>
    <mergeCell ref="B117:B118"/>
    <mergeCell ref="A122:B122"/>
    <mergeCell ref="A123:B123"/>
    <mergeCell ref="A125:B125"/>
    <mergeCell ref="A117:A118"/>
    <mergeCell ref="A119:H119"/>
    <mergeCell ref="A120:H120"/>
    <mergeCell ref="G122:H125"/>
    <mergeCell ref="A126:H126"/>
    <mergeCell ref="A127:B127"/>
    <mergeCell ref="G127:H129"/>
    <mergeCell ref="A139:H139"/>
    <mergeCell ref="A140:H140"/>
    <mergeCell ref="C112:D112"/>
    <mergeCell ref="E112:F112"/>
    <mergeCell ref="G112:H112"/>
    <mergeCell ref="A115:H115"/>
    <mergeCell ref="B187:H187"/>
    <mergeCell ref="A49:B49"/>
    <mergeCell ref="C49:H49"/>
    <mergeCell ref="B185:H185"/>
    <mergeCell ref="G86:H95"/>
    <mergeCell ref="A87:B87"/>
    <mergeCell ref="A88:B88"/>
    <mergeCell ref="A89:B89"/>
    <mergeCell ref="F98:H98"/>
    <mergeCell ref="A98:E98"/>
    <mergeCell ref="G164:H164"/>
    <mergeCell ref="G160:H160"/>
    <mergeCell ref="G157:H157"/>
    <mergeCell ref="A100:E100"/>
    <mergeCell ref="A84:B84"/>
    <mergeCell ref="C84:H84"/>
    <mergeCell ref="A85:B85"/>
    <mergeCell ref="E85:F85"/>
    <mergeCell ref="G135:H137"/>
    <mergeCell ref="A107:E107"/>
    <mergeCell ref="G114:H114"/>
    <mergeCell ref="G113:H113"/>
    <mergeCell ref="A113:B113"/>
    <mergeCell ref="C113:D113"/>
    <mergeCell ref="E113:F113"/>
    <mergeCell ref="C111:D111"/>
    <mergeCell ref="G111:H111"/>
    <mergeCell ref="A62:C62"/>
    <mergeCell ref="E72:F81"/>
    <mergeCell ref="A76:B76"/>
    <mergeCell ref="A63:C63"/>
    <mergeCell ref="D62:H62"/>
    <mergeCell ref="E45:H45"/>
    <mergeCell ref="E46:H46"/>
    <mergeCell ref="E47:H47"/>
    <mergeCell ref="A45:D45"/>
    <mergeCell ref="A47:D47"/>
    <mergeCell ref="A79:B79"/>
    <mergeCell ref="A61:C61"/>
    <mergeCell ref="D61:H61"/>
    <mergeCell ref="A59:C60"/>
    <mergeCell ref="D59:H59"/>
    <mergeCell ref="D60:H60"/>
    <mergeCell ref="D58:H58"/>
    <mergeCell ref="A58:C58"/>
    <mergeCell ref="D63:H63"/>
    <mergeCell ref="C70:H70"/>
    <mergeCell ref="A73:B73"/>
    <mergeCell ref="A75:B75"/>
    <mergeCell ref="E71:F71"/>
    <mergeCell ref="A64:C64"/>
    <mergeCell ref="A94:B94"/>
    <mergeCell ref="A95:B95"/>
    <mergeCell ref="A103:E103"/>
    <mergeCell ref="A105:E105"/>
    <mergeCell ref="F99:H99"/>
    <mergeCell ref="A104:E104"/>
    <mergeCell ref="A99:E99"/>
    <mergeCell ref="A96:E96"/>
    <mergeCell ref="F100:H100"/>
    <mergeCell ref="F96:H96"/>
    <mergeCell ref="F101:H101"/>
    <mergeCell ref="A101:E101"/>
    <mergeCell ref="A50:B50"/>
    <mergeCell ref="C50:E50"/>
    <mergeCell ref="C53:E53"/>
    <mergeCell ref="G53:H53"/>
    <mergeCell ref="G50:H50"/>
    <mergeCell ref="G52:H52"/>
    <mergeCell ref="D56:H56"/>
    <mergeCell ref="C52:E52"/>
    <mergeCell ref="A44:D44"/>
    <mergeCell ref="E44:H44"/>
    <mergeCell ref="A46:D46"/>
    <mergeCell ref="A48:H48"/>
    <mergeCell ref="G51:H51"/>
    <mergeCell ref="A52:B53"/>
    <mergeCell ref="C51:E51"/>
    <mergeCell ref="A54:B54"/>
    <mergeCell ref="E43:H43"/>
    <mergeCell ref="A43:D43"/>
    <mergeCell ref="A38:H38"/>
    <mergeCell ref="A37:B37"/>
    <mergeCell ref="C37:E37"/>
    <mergeCell ref="A42:D42"/>
    <mergeCell ref="E42:H42"/>
    <mergeCell ref="A41:H41"/>
    <mergeCell ref="F37:H37"/>
    <mergeCell ref="A39:B39"/>
    <mergeCell ref="C39:H39"/>
    <mergeCell ref="A40:B40"/>
    <mergeCell ref="C40:H40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F34:H34"/>
    <mergeCell ref="F35:H35"/>
    <mergeCell ref="A36:B36"/>
    <mergeCell ref="C36:E36"/>
    <mergeCell ref="E22:F22"/>
    <mergeCell ref="G22:H22"/>
    <mergeCell ref="E27:H27"/>
    <mergeCell ref="A29:D29"/>
    <mergeCell ref="E29:H29"/>
    <mergeCell ref="A26:D26"/>
    <mergeCell ref="E26:H26"/>
    <mergeCell ref="A30:D30"/>
    <mergeCell ref="E30:H30"/>
    <mergeCell ref="A27:D27"/>
    <mergeCell ref="A11:D11"/>
    <mergeCell ref="E11:H11"/>
    <mergeCell ref="A23:D24"/>
    <mergeCell ref="E23:H24"/>
    <mergeCell ref="E15:H15"/>
    <mergeCell ref="A16:B16"/>
    <mergeCell ref="C16:H16"/>
    <mergeCell ref="C17:H17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A18:B18"/>
    <mergeCell ref="C18:H18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17:B17"/>
    <mergeCell ref="A14:D14"/>
    <mergeCell ref="E14:H14"/>
    <mergeCell ref="A15:D15"/>
    <mergeCell ref="G176:H176"/>
    <mergeCell ref="D64:H64"/>
    <mergeCell ref="A67:C67"/>
    <mergeCell ref="D67:H67"/>
    <mergeCell ref="A65:C65"/>
    <mergeCell ref="D65:H65"/>
    <mergeCell ref="A66:C66"/>
    <mergeCell ref="D66:H66"/>
    <mergeCell ref="A72:B72"/>
    <mergeCell ref="G71:H71"/>
    <mergeCell ref="G72:H81"/>
    <mergeCell ref="A80:B80"/>
    <mergeCell ref="A81:B81"/>
    <mergeCell ref="A78:B78"/>
    <mergeCell ref="A71:B71"/>
    <mergeCell ref="A74:B74"/>
    <mergeCell ref="A70:B70"/>
    <mergeCell ref="A68:B68"/>
    <mergeCell ref="C68:H68"/>
    <mergeCell ref="F103:H103"/>
    <mergeCell ref="A97:E97"/>
    <mergeCell ref="A86:B86"/>
    <mergeCell ref="E86:F95"/>
    <mergeCell ref="A93:B93"/>
    <mergeCell ref="G145:H147"/>
    <mergeCell ref="A202:H205"/>
    <mergeCell ref="A201:B201"/>
    <mergeCell ref="E201:F201"/>
    <mergeCell ref="C201:D201"/>
    <mergeCell ref="G201:H201"/>
    <mergeCell ref="A108:E108"/>
    <mergeCell ref="F108:H108"/>
    <mergeCell ref="A109:E109"/>
    <mergeCell ref="F109:H109"/>
    <mergeCell ref="A156:H156"/>
    <mergeCell ref="A112:B112"/>
    <mergeCell ref="A165:B165"/>
    <mergeCell ref="A197:H197"/>
    <mergeCell ref="A110:H110"/>
    <mergeCell ref="A200:H200"/>
    <mergeCell ref="A198:H198"/>
    <mergeCell ref="A194:H194"/>
    <mergeCell ref="A195:H195"/>
    <mergeCell ref="E111:F111"/>
    <mergeCell ref="B188:H188"/>
    <mergeCell ref="B186:H186"/>
    <mergeCell ref="A177:B177"/>
    <mergeCell ref="G177:H177"/>
    <mergeCell ref="G54:H54"/>
    <mergeCell ref="B181:H181"/>
    <mergeCell ref="B182:H182"/>
    <mergeCell ref="A169:B169"/>
    <mergeCell ref="F104:H104"/>
    <mergeCell ref="G170:H170"/>
    <mergeCell ref="F107:H107"/>
    <mergeCell ref="F105:H105"/>
    <mergeCell ref="A164:B164"/>
    <mergeCell ref="A116:H116"/>
    <mergeCell ref="A106:E106"/>
    <mergeCell ref="G158:H158"/>
    <mergeCell ref="C117:C118"/>
    <mergeCell ref="C114:D114"/>
    <mergeCell ref="A121:H121"/>
    <mergeCell ref="A166:B166"/>
    <mergeCell ref="A163:B163"/>
    <mergeCell ref="F106:H106"/>
    <mergeCell ref="A141:B141"/>
    <mergeCell ref="G141:H143"/>
    <mergeCell ref="A130:H130"/>
    <mergeCell ref="A131:B131"/>
    <mergeCell ref="G131:H133"/>
    <mergeCell ref="A145:B145"/>
    <mergeCell ref="B193:H193"/>
    <mergeCell ref="A82:B82"/>
    <mergeCell ref="C82:H82"/>
    <mergeCell ref="A77:B77"/>
    <mergeCell ref="F97:H97"/>
    <mergeCell ref="A9:D9"/>
    <mergeCell ref="E9:H9"/>
    <mergeCell ref="A199:H199"/>
    <mergeCell ref="A196:H196"/>
    <mergeCell ref="G172:H172"/>
    <mergeCell ref="A157:B157"/>
    <mergeCell ref="A111:B111"/>
    <mergeCell ref="D117:D118"/>
    <mergeCell ref="E117:E118"/>
    <mergeCell ref="G117:H118"/>
    <mergeCell ref="A90:B90"/>
    <mergeCell ref="A91:B91"/>
    <mergeCell ref="A92:B92"/>
    <mergeCell ref="C54:E54"/>
    <mergeCell ref="A51:B51"/>
    <mergeCell ref="A55:H55"/>
    <mergeCell ref="A56:C56"/>
    <mergeCell ref="A57:C57"/>
    <mergeCell ref="D57:H57"/>
  </mergeCells>
  <dataValidations count="1">
    <dataValidation type="list" allowBlank="1" showInputMessage="1" showErrorMessage="1" sqref="G201:H201">
      <formula1>"Kunal Kadam,Pranita Mhatre,Shruti Fule,Pooja Kawale,Gaurav Panchal,Shruti Tathare, Hitakshi Mhatre, Sachin Sawant"</formula1>
    </dataValidation>
  </dataValidations>
  <hyperlinks>
    <hyperlink ref="C40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7" max="16383" man="1"/>
    <brk id="179" max="16383" man="1"/>
    <brk id="205" max="16383" man="1"/>
    <brk id="248" max="7" man="1"/>
    <brk id="287" max="16383" man="1"/>
    <brk id="32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6" t="s">
        <v>110</v>
      </c>
      <c r="C3" s="196"/>
      <c r="D3" s="196"/>
      <c r="E3" s="196"/>
      <c r="F3" s="196"/>
      <c r="G3" s="196"/>
      <c r="H3" s="196"/>
    </row>
    <row r="4" spans="1:9" x14ac:dyDescent="0.3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2025-06-05T07:01:47Z</cp:lastPrinted>
  <dcterms:created xsi:type="dcterms:W3CDTF">2019-07-16T09:29:46Z</dcterms:created>
  <dcterms:modified xsi:type="dcterms:W3CDTF">2025-06-05T07:01:59Z</dcterms:modified>
</cp:coreProperties>
</file>