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200" windowHeight="664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5" l="1"/>
  <c r="G11" i="5" s="1"/>
  <c r="F10" i="5"/>
  <c r="G10" i="5" s="1"/>
  <c r="F9" i="5"/>
  <c r="G9" i="5" s="1"/>
  <c r="G8" i="5"/>
  <c r="F8" i="5"/>
  <c r="F7" i="5"/>
  <c r="G7" i="5" s="1"/>
  <c r="F6" i="5"/>
  <c r="G6" i="5" s="1"/>
  <c r="F5" i="5"/>
  <c r="G5" i="5" s="1"/>
  <c r="G12" i="5" s="1"/>
  <c r="D190" i="1"/>
  <c r="B160" i="1"/>
  <c r="B159" i="1"/>
  <c r="D156" i="1"/>
  <c r="F156" i="1" s="1"/>
  <c r="D154" i="1"/>
  <c r="F154" i="1" s="1"/>
  <c r="D153" i="1"/>
  <c r="F153" i="1" s="1"/>
  <c r="D152" i="1"/>
  <c r="F152" i="1" s="1"/>
  <c r="G151" i="1"/>
  <c r="D151" i="1"/>
  <c r="F151" i="1" s="1"/>
  <c r="D149" i="1"/>
  <c r="F149" i="1" s="1"/>
  <c r="K148" i="1"/>
  <c r="D148" i="1"/>
  <c r="F148" i="1" s="1"/>
  <c r="D147" i="1"/>
  <c r="F147" i="1" s="1"/>
  <c r="D146" i="1"/>
  <c r="F146" i="1" s="1"/>
  <c r="D145" i="1"/>
  <c r="F145" i="1" s="1"/>
  <c r="G144" i="1"/>
  <c r="D144" i="1"/>
  <c r="F144" i="1" s="1"/>
  <c r="D142" i="1"/>
  <c r="F142" i="1" s="1"/>
  <c r="K141" i="1"/>
  <c r="D141" i="1"/>
  <c r="F141" i="1" s="1"/>
  <c r="D138" i="1"/>
  <c r="F138" i="1" s="1"/>
  <c r="G137" i="1"/>
  <c r="F137" i="1"/>
  <c r="D137" i="1"/>
  <c r="F135" i="1"/>
  <c r="D135" i="1"/>
  <c r="D134" i="1"/>
  <c r="F134" i="1" s="1"/>
  <c r="I134" i="1" s="1"/>
  <c r="F133" i="1"/>
  <c r="D133" i="1"/>
  <c r="J132" i="1"/>
  <c r="D132" i="1"/>
  <c r="F132" i="1" s="1"/>
  <c r="I132" i="1" s="1"/>
  <c r="J131" i="1"/>
  <c r="D131" i="1"/>
  <c r="F131" i="1" s="1"/>
  <c r="I131" i="1" s="1"/>
  <c r="J130" i="1"/>
  <c r="G130" i="1"/>
  <c r="D130" i="1"/>
  <c r="F130" i="1" s="1"/>
  <c r="D128" i="1"/>
  <c r="F128" i="1" s="1"/>
  <c r="D127" i="1"/>
  <c r="F127" i="1" s="1"/>
  <c r="D126" i="1"/>
  <c r="A124" i="1"/>
  <c r="A125" i="1" s="1"/>
  <c r="A126" i="1" s="1"/>
  <c r="A127" i="1" s="1"/>
  <c r="A128" i="1" s="1"/>
  <c r="G123" i="1"/>
  <c r="D123" i="1"/>
  <c r="F123" i="1" s="1"/>
  <c r="D117" i="1"/>
  <c r="F117" i="1" s="1"/>
  <c r="D116" i="1"/>
  <c r="F116" i="1" s="1"/>
  <c r="D115" i="1"/>
  <c r="F115" i="1" s="1"/>
  <c r="D114" i="1"/>
  <c r="F114" i="1" s="1"/>
  <c r="D113" i="1"/>
  <c r="F113" i="1" s="1"/>
  <c r="F112" i="1"/>
  <c r="D112" i="1"/>
  <c r="D111" i="1"/>
  <c r="F111" i="1" s="1"/>
  <c r="D110" i="1"/>
  <c r="F110" i="1" s="1"/>
  <c r="D109" i="1"/>
  <c r="F109" i="1" s="1"/>
  <c r="D108" i="1"/>
  <c r="F108" i="1" s="1"/>
  <c r="D107" i="1"/>
  <c r="F107" i="1" s="1"/>
  <c r="F106" i="1"/>
  <c r="D106" i="1"/>
  <c r="D105" i="1"/>
  <c r="F105" i="1" s="1"/>
  <c r="A105" i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G104" i="1"/>
  <c r="D104" i="1"/>
  <c r="F92" i="1"/>
  <c r="J77" i="1"/>
  <c r="J76" i="1"/>
  <c r="J75" i="1"/>
  <c r="J74" i="1"/>
  <c r="C66" i="1"/>
  <c r="D60" i="1"/>
  <c r="D55" i="1"/>
  <c r="G48" i="1"/>
  <c r="C48" i="1"/>
  <c r="E41" i="1"/>
  <c r="E42" i="1" s="1"/>
  <c r="E28" i="1"/>
  <c r="E25" i="1"/>
  <c r="E23" i="1"/>
  <c r="C14" i="1"/>
  <c r="E7" i="1"/>
  <c r="E3" i="1"/>
  <c r="H67" i="1"/>
  <c r="E98" i="1" l="1"/>
  <c r="E95" i="1"/>
  <c r="F104" i="1"/>
  <c r="G95" i="1" s="1"/>
  <c r="F126" i="1"/>
  <c r="G98" i="1" s="1"/>
  <c r="C95" i="1"/>
  <c r="C98" i="1"/>
  <c r="D78" i="1"/>
  <c r="D74" i="1"/>
  <c r="J70" i="1"/>
  <c r="D77" i="1"/>
  <c r="D73" i="1"/>
  <c r="J72" i="1"/>
  <c r="J73" i="1" s="1"/>
  <c r="J78" i="1" s="1"/>
  <c r="J79" i="1" s="1"/>
  <c r="C71" i="1" s="1"/>
  <c r="D76" i="1"/>
  <c r="D72" i="1"/>
  <c r="J71" i="1"/>
  <c r="C70" i="1" s="1"/>
  <c r="D70" i="1" s="1"/>
  <c r="J69" i="1"/>
  <c r="D79" i="1"/>
  <c r="D75" i="1"/>
  <c r="E70" i="1" l="1"/>
  <c r="I66" i="1" s="1"/>
  <c r="C68" i="1" s="1"/>
  <c r="D71" i="1"/>
  <c r="G70" i="1"/>
  <c r="D64" i="1" s="1"/>
  <c r="F65" i="1" l="1"/>
  <c r="D65" i="1"/>
</calcChain>
</file>

<file path=xl/sharedStrings.xml><?xml version="1.0" encoding="utf-8"?>
<sst xmlns="http://schemas.openxmlformats.org/spreadsheetml/2006/main" count="329" uniqueCount="243">
  <si>
    <t>Office No. 1031, Wing J, Akshar Business Park, Plot No. 03 Sector 25, Near APMC Market, 
Vashi, Navi Mumbai, Maharashtra 400703 TEL: 022-46090378/79/80                                                                       
E mail : vsjcapf@gmail.com. Web site : www.vsjadon.com</t>
  </si>
  <si>
    <t xml:space="preserve">Valuation Report </t>
  </si>
  <si>
    <t>Date:</t>
  </si>
  <si>
    <t>CPC Name:</t>
  </si>
  <si>
    <t>Axis Sanpada</t>
  </si>
  <si>
    <t>Date Of Property Visit</t>
  </si>
  <si>
    <t>Name of the builder group</t>
  </si>
  <si>
    <t>M/s. Shreedham Developers</t>
  </si>
  <si>
    <t>Name of the builder company</t>
  </si>
  <si>
    <t>Name of the Project</t>
  </si>
  <si>
    <t>Ashirwad Chs Ltd</t>
  </si>
  <si>
    <t>Contact Details ( Name &amp; Contact No.)</t>
  </si>
  <si>
    <t>Site Person - Contact Details (Name &amp; Contact No.)</t>
  </si>
  <si>
    <t>Mr. Rahul Patel 9321305048</t>
  </si>
  <si>
    <t>Name / No of the Building</t>
  </si>
  <si>
    <t>Building No. 106</t>
  </si>
  <si>
    <t>Docouments Provided</t>
  </si>
  <si>
    <t>Approved Plans, CC, Cost Sheet</t>
  </si>
  <si>
    <t>RERA No.</t>
  </si>
  <si>
    <t>P51800024800</t>
  </si>
  <si>
    <t xml:space="preserve">Project location details       </t>
  </si>
  <si>
    <t>C.T.S No</t>
  </si>
  <si>
    <t>5662, Existing Building No.106</t>
  </si>
  <si>
    <t>Road</t>
  </si>
  <si>
    <t>Yashvant Seth Jadhav Marg</t>
  </si>
  <si>
    <t>Locality/Village</t>
  </si>
  <si>
    <t>Pant Nagar</t>
  </si>
  <si>
    <t>City</t>
  </si>
  <si>
    <t>Ghatkoper (East)</t>
  </si>
  <si>
    <t>District</t>
  </si>
  <si>
    <t>Mumbai</t>
  </si>
  <si>
    <t>Taluka</t>
  </si>
  <si>
    <t>Kurla</t>
  </si>
  <si>
    <t>Pin Code</t>
  </si>
  <si>
    <t>Nearby Landmark</t>
  </si>
  <si>
    <t>Shree Ganesh Building No.45</t>
  </si>
  <si>
    <t xml:space="preserve">Distance from city centre: </t>
  </si>
  <si>
    <t>0.75 KM from Ghatkoper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</si>
  <si>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</si>
  <si>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</si>
  <si>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</si>
  <si>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</si>
  <si>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</si>
  <si>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</si>
  <si>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</si>
  <si>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</si>
  <si>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</si>
  <si>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</si>
  <si>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</si>
  <si>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</si>
  <si>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</si>
  <si>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</si>
  <si>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</si>
  <si>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</si>
  <si>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deed</t>
  </si>
  <si>
    <t>At site</t>
  </si>
  <si>
    <t>East</t>
  </si>
  <si>
    <t>NA</t>
  </si>
  <si>
    <t>Yashvant Seth Jadhav Marg/HS Alag</t>
  </si>
  <si>
    <t>West</t>
  </si>
  <si>
    <t>Internal Road/Shree Balaji Orchid 
Bldg No. 107</t>
  </si>
  <si>
    <t>North</t>
  </si>
  <si>
    <t>Internal Road/Shops</t>
  </si>
  <si>
    <t>South</t>
  </si>
  <si>
    <t>Umiya Parijat CHS</t>
  </si>
  <si>
    <t>Does the boundaries at site match, as mentioned in the Docoumentation: NA</t>
  </si>
  <si>
    <t>Latitude, Longitude :</t>
  </si>
  <si>
    <t>19.086451,72.912899</t>
  </si>
  <si>
    <t>Location Link :</t>
  </si>
  <si>
    <t>https://goo.gl/maps/B7XF5nwbW1Ye9Jh89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</si>
  <si>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</si>
  <si>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</si>
  <si>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</si>
  <si>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</si>
  <si>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</si>
  <si>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</si>
  <si>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</si>
  <si>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>1 Building</t>
  </si>
  <si>
    <t xml:space="preserve">Approval Detail : Plan approval </t>
  </si>
  <si>
    <t>Name of Municipal Corporation/Authority</t>
  </si>
  <si>
    <t>Maharashtra Housing and Area Development Authority (MHADA)</t>
  </si>
  <si>
    <t xml:space="preserve">Layout Approval No     </t>
  </si>
  <si>
    <t>MHADA-1/399/2023</t>
  </si>
  <si>
    <t>Dated</t>
  </si>
  <si>
    <t xml:space="preserve">Approved Floor plan No.  </t>
  </si>
  <si>
    <t xml:space="preserve">Commencement Certificate No.
Valid Up to: </t>
  </si>
  <si>
    <t>MH/EE/(BP)/GM/MHADA-1/0300/2022/FCC/1/New</t>
  </si>
  <si>
    <t>This CC is granted for Further extension from Ground floor consisting of (Commercial shops) + 1st to 09th upper floors ( Residential use) for height admeasuring 31.05 mtrs. as per approved amended plans dtd. 03.08.2022</t>
  </si>
  <si>
    <t>Valid Upto</t>
  </si>
  <si>
    <t>Commencement Certificate No.</t>
  </si>
  <si>
    <t>MH/EE/(BP)/GM/MHADA-1/0300/2024/FCC/4/Amend</t>
  </si>
  <si>
    <t>20/08/2024</t>
  </si>
  <si>
    <t>This Further C.C. Extend up to top of 15th (Pt.) floor i.e. Ground (pt) + Stilt (pt.) + 1st to 14th + 15th (Pt.) upper floors (Including LMR + OHT) along with parking tower as per amended plans dtd. 09.07.2024</t>
  </si>
  <si>
    <t>27/11/2024</t>
  </si>
  <si>
    <t xml:space="preserve">O. Certificate No.: </t>
  </si>
  <si>
    <t>NA
Approved upto : NA</t>
  </si>
  <si>
    <t xml:space="preserve">Date of approval: </t>
  </si>
  <si>
    <t>Building wise Construction details</t>
  </si>
  <si>
    <t>Approved area of building (Sq.Mt)</t>
  </si>
  <si>
    <t>Approved no of units</t>
  </si>
  <si>
    <t>Flats - 79, Shops -14</t>
  </si>
  <si>
    <t>Approved no of Floors</t>
  </si>
  <si>
    <t>Gr/St + 1st to 14th Floor</t>
  </si>
  <si>
    <t>Proposed no of Floors</t>
  </si>
  <si>
    <t>Gr/St + 1st to 15th Floor</t>
  </si>
  <si>
    <t>Expected Completion</t>
  </si>
  <si>
    <t>Projected life of the structure</t>
  </si>
  <si>
    <t xml:space="preserve">Quality of construction: </t>
  </si>
  <si>
    <r>
      <rPr>
        <sz val="12"/>
        <color indexed="8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</si>
  <si>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1.Vitrified tiles flooring 2. Granite Kitchen Platform  3. Decorative Enternace  etc. 
</t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</si>
  <si>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</si>
  <si>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</si>
  <si>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</si>
  <si>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</si>
  <si>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</si>
  <si>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</si>
  <si>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</si>
  <si>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</si>
  <si>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</si>
  <si>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All work Completed. OC Received.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</si>
  <si>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</si>
  <si>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</si>
  <si>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</si>
  <si>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</si>
  <si>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</si>
  <si>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</si>
  <si>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</si>
  <si>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</si>
  <si>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</si>
  <si>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</si>
  <si>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</si>
  <si>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</si>
  <si>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</si>
  <si>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</si>
  <si>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</si>
  <si>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</si>
  <si>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</si>
  <si>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</si>
  <si>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</si>
  <si>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</si>
  <si>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</si>
  <si>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</si>
  <si>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</si>
  <si>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</si>
  <si>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</si>
  <si>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</si>
  <si>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</si>
  <si>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</si>
  <si>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Recommended Rates of the Property :</t>
  </si>
  <si>
    <t>Recommended rate of the flat Per Sq. Ft. (on Saleable area)</t>
  </si>
  <si>
    <t>Recommended rate of the shop Per Sq. Ft. (on Saleable area)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</si>
  <si>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</si>
  <si>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</si>
  <si>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</si>
  <si>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</si>
  <si>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</si>
  <si>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</si>
  <si>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</si>
  <si>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</si>
  <si>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 xml:space="preserve">Recommended rate of Parking </t>
  </si>
  <si>
    <t>Distressed valuation of the Property</t>
  </si>
  <si>
    <t>Commercial Area Details :</t>
  </si>
  <si>
    <t>Building &amp; Wing</t>
  </si>
  <si>
    <t>No. of Units</t>
  </si>
  <si>
    <t>Total Carpet Area</t>
  </si>
  <si>
    <t>Total Saleable Area</t>
  </si>
  <si>
    <t>Shops</t>
  </si>
  <si>
    <t>Residential Area Details :</t>
  </si>
  <si>
    <t>Flats</t>
  </si>
  <si>
    <t>Building details Floor Wise</t>
  </si>
  <si>
    <t xml:space="preserve">Details of Flats in Building   </t>
  </si>
  <si>
    <r>
      <rPr>
        <b/>
        <sz val="12"/>
        <color indexed="8"/>
        <rFont val="Times New Roman"/>
        <family val="1"/>
      </rP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</si>
  <si>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</si>
  <si>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Description</t>
  </si>
  <si>
    <t>Gross Carpet area</t>
  </si>
  <si>
    <t>Attached Terrace area</t>
  </si>
  <si>
    <t>Saleable area Loading :</t>
  </si>
  <si>
    <t>Floor</t>
  </si>
  <si>
    <t>Ground Floor for Entrance Lobby, Pump Room, Meter Room, Commercial &amp; Parking</t>
  </si>
  <si>
    <t>Shop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</si>
  <si>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</si>
  <si>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</si>
  <si>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Ground Floor for Parking</t>
  </si>
  <si>
    <t>1st Floor for Residential &amp; Amenities</t>
  </si>
  <si>
    <t>2BHK</t>
  </si>
  <si>
    <t>Society Office</t>
  </si>
  <si>
    <t>Fitness Center</t>
  </si>
  <si>
    <t>1BHK</t>
  </si>
  <si>
    <t>2nd to 6th &amp; 8th to 11th Floor</t>
  </si>
  <si>
    <t>7th Floor (Part Refuge Area)</t>
  </si>
  <si>
    <t>3BHK</t>
  </si>
  <si>
    <t>Refuge Floor</t>
  </si>
  <si>
    <t>12th &amp; 13th Floor</t>
  </si>
  <si>
    <t>14th Floor (Part Terrace Area)</t>
  </si>
  <si>
    <t>Terrace Area</t>
  </si>
  <si>
    <t xml:space="preserve">Remarks:  </t>
  </si>
  <si>
    <t>*</t>
  </si>
  <si>
    <t>We considered Carpet area as per Approved Plan.</t>
  </si>
  <si>
    <t>We considered Gross carpet area = Net carpet + Balcony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</si>
  <si>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</si>
  <si>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</si>
  <si>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</si>
  <si>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</si>
  <si>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On Site, we meet Mr.Ramnaresh (Security)/(9892955555)</t>
  </si>
  <si>
    <t>We have updated revised plans (on 27/02/2022).</t>
  </si>
  <si>
    <t xml:space="preserve">We have updated the revised approved C.C. from the RERA site (on 05/11/2022)
</t>
  </si>
  <si>
    <t xml:space="preserve">We have updated the revised approved plan (on 10/01/2023)
</t>
  </si>
  <si>
    <t xml:space="preserve">We have updated the revised approved plan &amp; CC (on 07/06/2023)
</t>
  </si>
  <si>
    <t>A parking tower is beside the project.</t>
  </si>
  <si>
    <t>We have refered approved CC from Mhada site. But validity of CC expired on 27/11/2023.</t>
  </si>
  <si>
    <t>We have updated latest approved CC from MHADA site on 11/09/2024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</si>
  <si>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</si>
  <si>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</si>
  <si>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</si>
  <si>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</si>
  <si>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</si>
  <si>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</si>
  <si>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</si>
  <si>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</si>
  <si>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Report By :</t>
  </si>
  <si>
    <t>Authorized Signatory
Name &amp; Seal of the agency</t>
  </si>
  <si>
    <t xml:space="preserve">PHOTOGRAPHS OF PROPERTY : 
</t>
  </si>
  <si>
    <t>Layout :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</si>
  <si>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</si>
  <si>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</si>
  <si>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</si>
  <si>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</si>
  <si>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</si>
  <si>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</si>
  <si>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</si>
  <si>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</si>
  <si>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</si>
  <si>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</si>
  <si>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</si>
  <si>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</si>
  <si>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</si>
  <si>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Construction work is in process at the time of Visit. Internal photographs was not allowed.</t>
  </si>
  <si>
    <t>As per RERA, completion period of project is expired on 29/12/2024, but still project is under construction.</t>
  </si>
  <si>
    <t>As per RERA - 31/12/2025</t>
  </si>
  <si>
    <t>Akash Kadam</t>
  </si>
  <si>
    <t>Shruti Tathare</t>
  </si>
  <si>
    <t>We have updated latest approved CC from MHADA site on 11/06/2024 &amp; 11/09/2024.</t>
  </si>
  <si>
    <t>Construction work  goes beyond the approved no. of floor &amp; validity of CC is expired on 27/11/2024. Please provide revised approved plans &amp; CC.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</si>
</sst>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dd\/mm\/yyyy"/>
    <numFmt numFmtId="167" formatCode="0.0"/>
    <numFmt numFmtId="168" formatCode="dd\/mm\/yyyy;@"/>
    <numFmt numFmtId="169" formatCode="_ * #,##0_ ;_ * \-#,##0_ ;_ * &quot;-&quot;??_ ;_ @_ "/>
  </numFmts>
  <fonts count="25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 tint="4.9989318521683403E-2"/>
      <name val="Times New Roman"/>
      <family val="1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1" fillId="0" borderId="0"/>
    <xf numFmtId="0" fontId="2" fillId="0" borderId="0"/>
  </cellStyleXfs>
  <cellXfs count="183">
    <xf numFmtId="0" fontId="0" fillId="0" borderId="0" xfId="0"/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5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8" applyFont="1"/>
    <xf numFmtId="0" fontId="8" fillId="0" borderId="0" xfId="8" applyFont="1"/>
    <xf numFmtId="0" fontId="9" fillId="0" borderId="0" xfId="5" applyFont="1"/>
    <xf numFmtId="0" fontId="10" fillId="0" borderId="0" xfId="0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0" xfId="8" applyFont="1" applyProtection="1">
      <protection locked="0"/>
    </xf>
    <xf numFmtId="0" fontId="10" fillId="0" borderId="0" xfId="8" applyFont="1"/>
    <xf numFmtId="0" fontId="13" fillId="2" borderId="1" xfId="8" applyFont="1" applyFill="1" applyBorder="1" applyAlignment="1" applyProtection="1">
      <alignment horizontal="left" vertical="top"/>
      <protection locked="0"/>
    </xf>
    <xf numFmtId="0" fontId="7" fillId="2" borderId="1" xfId="8" applyFont="1" applyFill="1" applyBorder="1" applyAlignment="1" applyProtection="1">
      <alignment horizontal="left" vertical="top"/>
      <protection locked="0"/>
    </xf>
    <xf numFmtId="0" fontId="7" fillId="2" borderId="1" xfId="8" applyFont="1" applyFill="1" applyBorder="1" applyAlignment="1" applyProtection="1">
      <alignment vertical="top"/>
      <protection locked="0"/>
    </xf>
    <xf numFmtId="0" fontId="7" fillId="2" borderId="1" xfId="8" applyFont="1" applyFill="1" applyBorder="1" applyAlignment="1" applyProtection="1">
      <alignment vertical="top" wrapText="1"/>
      <protection locked="0"/>
    </xf>
    <xf numFmtId="1" fontId="10" fillId="0" borderId="0" xfId="8" applyNumberFormat="1" applyFont="1"/>
    <xf numFmtId="14" fontId="10" fillId="0" borderId="0" xfId="8" applyNumberFormat="1" applyFont="1"/>
    <xf numFmtId="0" fontId="10" fillId="0" borderId="0" xfId="8" applyFont="1" applyProtection="1">
      <protection hidden="1"/>
    </xf>
    <xf numFmtId="0" fontId="16" fillId="0" borderId="0" xfId="8" applyFont="1"/>
    <xf numFmtId="0" fontId="7" fillId="0" borderId="1" xfId="8" applyFont="1" applyBorder="1" applyAlignment="1" applyProtection="1">
      <alignment horizontal="center" vertical="top" wrapText="1"/>
      <protection locked="0"/>
    </xf>
    <xf numFmtId="0" fontId="7" fillId="0" borderId="1" xfId="8" applyFont="1" applyBorder="1" applyAlignment="1" applyProtection="1">
      <alignment horizontal="center" wrapText="1"/>
      <protection locked="0"/>
    </xf>
    <xf numFmtId="9" fontId="7" fillId="2" borderId="1" xfId="8" applyNumberFormat="1" applyFont="1" applyFill="1" applyBorder="1" applyAlignment="1" applyProtection="1">
      <alignment horizontal="center" vertical="center" wrapText="1"/>
      <protection hidden="1"/>
    </xf>
    <xf numFmtId="1" fontId="7" fillId="0" borderId="1" xfId="8" applyNumberFormat="1" applyFont="1" applyBorder="1" applyAlignment="1" applyProtection="1">
      <alignment horizontal="center" wrapText="1"/>
      <protection locked="0"/>
    </xf>
    <xf numFmtId="0" fontId="7" fillId="0" borderId="12" xfId="8" applyFont="1" applyBorder="1" applyAlignment="1" applyProtection="1">
      <alignment horizontal="center" wrapText="1"/>
      <protection locked="0"/>
    </xf>
    <xf numFmtId="9" fontId="7" fillId="2" borderId="12" xfId="8" applyNumberFormat="1" applyFont="1" applyFill="1" applyBorder="1" applyAlignment="1" applyProtection="1">
      <alignment horizontal="center" vertical="center" wrapText="1"/>
      <protection hidden="1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8" xfId="8" applyNumberFormat="1" applyFont="1" applyBorder="1" applyAlignment="1" applyProtection="1">
      <alignment horizontal="center" vertical="top" wrapText="1"/>
      <protection locked="0"/>
    </xf>
    <xf numFmtId="9" fontId="12" fillId="0" borderId="14" xfId="2" applyFont="1" applyFill="1" applyBorder="1" applyAlignment="1" applyProtection="1">
      <alignment horizontal="center"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0" fillId="0" borderId="1" xfId="8" applyNumberFormat="1" applyFont="1" applyBorder="1" applyAlignment="1" applyProtection="1">
      <alignment horizontal="center" vertical="center" wrapText="1"/>
      <protection locked="0"/>
    </xf>
    <xf numFmtId="1" fontId="7" fillId="0" borderId="1" xfId="8" applyNumberFormat="1" applyFont="1" applyBorder="1" applyAlignment="1" applyProtection="1">
      <alignment horizontal="center" vertical="center" wrapText="1"/>
      <protection locked="0"/>
    </xf>
    <xf numFmtId="0" fontId="10" fillId="0" borderId="19" xfId="8" applyFont="1" applyBorder="1" applyProtection="1">
      <protection hidden="1"/>
    </xf>
    <xf numFmtId="0" fontId="10" fillId="0" borderId="20" xfId="8" applyFont="1" applyBorder="1" applyProtection="1">
      <protection hidden="1"/>
    </xf>
    <xf numFmtId="0" fontId="10" fillId="0" borderId="21" xfId="8" applyFont="1" applyBorder="1" applyProtection="1">
      <protection hidden="1"/>
    </xf>
    <xf numFmtId="0" fontId="19" fillId="0" borderId="0" xfId="0" applyFont="1" applyProtection="1">
      <protection hidden="1"/>
    </xf>
    <xf numFmtId="0" fontId="10" fillId="0" borderId="21" xfId="8" applyFont="1" applyBorder="1"/>
    <xf numFmtId="0" fontId="19" fillId="0" borderId="21" xfId="0" applyFont="1" applyBorder="1" applyProtection="1">
      <protection hidden="1"/>
    </xf>
    <xf numFmtId="1" fontId="0" fillId="0" borderId="21" xfId="0" applyNumberFormat="1" applyBorder="1"/>
    <xf numFmtId="1" fontId="0" fillId="0" borderId="21" xfId="0" applyNumberFormat="1" applyBorder="1" applyAlignment="1">
      <alignment horizontal="right"/>
    </xf>
    <xf numFmtId="0" fontId="19" fillId="0" borderId="22" xfId="0" applyFont="1" applyBorder="1" applyProtection="1">
      <protection hidden="1"/>
    </xf>
    <xf numFmtId="1" fontId="0" fillId="0" borderId="23" xfId="0" applyNumberFormat="1" applyBorder="1"/>
    <xf numFmtId="1" fontId="10" fillId="0" borderId="0" xfId="8" applyNumberFormat="1" applyFont="1" applyAlignment="1">
      <alignment horizontal="center" vertical="center"/>
    </xf>
    <xf numFmtId="0" fontId="12" fillId="0" borderId="0" xfId="8" applyFont="1" applyAlignment="1" applyProtection="1">
      <alignment vertical="top"/>
      <protection locked="0"/>
    </xf>
    <xf numFmtId="0" fontId="12" fillId="0" borderId="0" xfId="8" applyFont="1" applyAlignment="1" applyProtection="1">
      <alignment vertical="top" wrapText="1"/>
      <protection locked="0"/>
    </xf>
    <xf numFmtId="0" fontId="17" fillId="0" borderId="0" xfId="8" applyFont="1" applyProtection="1"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7" fillId="0" borderId="1" xfId="8" applyNumberFormat="1" applyFont="1" applyBorder="1" applyAlignment="1" applyProtection="1">
      <alignment horizontal="center" vertical="center" wrapText="1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0" fontId="9" fillId="0" borderId="1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9" fontId="7" fillId="2" borderId="1" xfId="8" applyNumberFormat="1" applyFont="1" applyFill="1" applyBorder="1" applyAlignment="1" applyProtection="1">
      <alignment horizontal="center" vertical="center" wrapText="1"/>
      <protection hidden="1"/>
    </xf>
    <xf numFmtId="9" fontId="7" fillId="2" borderId="12" xfId="8" applyNumberFormat="1" applyFont="1" applyFill="1" applyBorder="1" applyAlignment="1" applyProtection="1">
      <alignment horizontal="center" vertical="center" wrapText="1"/>
      <protection hidden="1"/>
    </xf>
    <xf numFmtId="9" fontId="7" fillId="2" borderId="10" xfId="8" applyNumberFormat="1" applyFont="1" applyFill="1" applyBorder="1" applyAlignment="1" applyProtection="1">
      <alignment horizontal="center" vertical="center" wrapText="1"/>
      <protection hidden="1"/>
    </xf>
    <xf numFmtId="9" fontId="7" fillId="2" borderId="13" xfId="8" applyNumberFormat="1" applyFont="1" applyFill="1" applyBorder="1" applyAlignment="1" applyProtection="1">
      <alignment horizontal="center" vertical="center" wrapText="1"/>
      <protection hidden="1"/>
    </xf>
    <xf numFmtId="0" fontId="7" fillId="2" borderId="1" xfId="8" applyFont="1" applyFill="1" applyBorder="1" applyAlignment="1" applyProtection="1">
      <alignment horizontal="left" vertical="top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1" fontId="12" fillId="0" borderId="7" xfId="8" applyNumberFormat="1" applyFont="1" applyBorder="1" applyAlignment="1" applyProtection="1">
      <alignment horizontal="center" vertical="top" wrapText="1"/>
      <protection locked="0"/>
    </xf>
    <xf numFmtId="1" fontId="12" fillId="0" borderId="15" xfId="8" applyNumberFormat="1" applyFont="1" applyBorder="1" applyAlignment="1" applyProtection="1">
      <alignment horizontal="center" vertical="top" wrapText="1"/>
      <protection locked="0"/>
    </xf>
    <xf numFmtId="1" fontId="12" fillId="0" borderId="16" xfId="8" applyNumberFormat="1" applyFont="1" applyBorder="1" applyAlignment="1" applyProtection="1">
      <alignment horizontal="center" vertical="top" wrapText="1"/>
      <protection locked="0"/>
    </xf>
    <xf numFmtId="1" fontId="7" fillId="0" borderId="5" xfId="8" applyNumberFormat="1" applyFont="1" applyBorder="1" applyAlignment="1" applyProtection="1">
      <alignment horizontal="center" vertical="center" wrapText="1"/>
      <protection locked="0"/>
    </xf>
    <xf numFmtId="1" fontId="7" fillId="0" borderId="7" xfId="8" applyNumberFormat="1" applyFont="1" applyBorder="1" applyAlignment="1" applyProtection="1">
      <alignment horizontal="center" vertical="center" wrapText="1"/>
      <protection locked="0"/>
    </xf>
    <xf numFmtId="1" fontId="7" fillId="0" borderId="17" xfId="8" applyNumberFormat="1" applyFont="1" applyBorder="1" applyAlignment="1" applyProtection="1">
      <alignment horizontal="center" vertical="center" wrapText="1"/>
      <protection locked="0"/>
    </xf>
    <xf numFmtId="1" fontId="7" fillId="0" borderId="18" xfId="8" applyNumberFormat="1" applyFont="1" applyBorder="1" applyAlignment="1" applyProtection="1">
      <alignment horizontal="center" vertical="center" wrapText="1"/>
      <protection locked="0"/>
    </xf>
    <xf numFmtId="1" fontId="7" fillId="0" borderId="15" xfId="8" applyNumberFormat="1" applyFont="1" applyBorder="1" applyAlignment="1" applyProtection="1">
      <alignment horizontal="center" vertical="center" wrapText="1"/>
      <protection locked="0"/>
    </xf>
    <xf numFmtId="1" fontId="7" fillId="0" borderId="16" xfId="8" applyNumberFormat="1" applyFont="1" applyBorder="1" applyAlignment="1" applyProtection="1">
      <alignment horizontal="center" vertical="center" wrapText="1"/>
      <protection locked="0"/>
    </xf>
    <xf numFmtId="0" fontId="20" fillId="0" borderId="1" xfId="8" applyFont="1" applyBorder="1" applyAlignment="1" applyProtection="1">
      <alignment horizontal="center" vertical="top" wrapText="1"/>
      <protection locked="0"/>
    </xf>
    <xf numFmtId="1" fontId="12" fillId="0" borderId="8" xfId="8" applyNumberFormat="1" applyFont="1" applyBorder="1" applyAlignment="1" applyProtection="1">
      <alignment horizontal="center" vertical="top" wrapText="1"/>
      <protection locked="0"/>
    </xf>
    <xf numFmtId="1" fontId="12" fillId="0" borderId="14" xfId="8" applyNumberFormat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2" fillId="0" borderId="2" xfId="0" applyNumberFormat="1" applyFont="1" applyBorder="1" applyAlignment="1" applyProtection="1">
      <alignment vertical="top" wrapText="1"/>
      <protection locked="0"/>
    </xf>
    <xf numFmtId="1" fontId="12" fillId="0" borderId="3" xfId="0" applyNumberFormat="1" applyFont="1" applyBorder="1" applyAlignment="1" applyProtection="1">
      <alignment vertical="top" wrapText="1"/>
      <protection locked="0"/>
    </xf>
    <xf numFmtId="1" fontId="12" fillId="0" borderId="4" xfId="0" applyNumberFormat="1" applyFont="1" applyBorder="1" applyAlignment="1" applyProtection="1">
      <alignment vertical="top" wrapText="1"/>
      <protection locked="0"/>
    </xf>
    <xf numFmtId="1" fontId="9" fillId="0" borderId="2" xfId="8" applyNumberFormat="1" applyFont="1" applyBorder="1" applyAlignment="1" applyProtection="1">
      <alignment horizontal="center" vertical="center" wrapText="1"/>
      <protection locked="0"/>
    </xf>
    <xf numFmtId="1" fontId="9" fillId="0" borderId="4" xfId="8" applyNumberFormat="1" applyFont="1" applyBorder="1" applyAlignment="1" applyProtection="1">
      <alignment horizontal="center" vertical="center" wrapText="1"/>
      <protection locked="0"/>
    </xf>
    <xf numFmtId="1" fontId="7" fillId="0" borderId="2" xfId="8" applyNumberFormat="1" applyFont="1" applyBorder="1" applyAlignment="1" applyProtection="1">
      <alignment horizontal="center" vertical="center" wrapText="1"/>
      <protection locked="0"/>
    </xf>
    <xf numFmtId="1" fontId="7" fillId="0" borderId="4" xfId="8" applyNumberFormat="1" applyFont="1" applyBorder="1" applyAlignment="1" applyProtection="1">
      <alignment horizontal="center" vertical="center" wrapText="1"/>
      <protection locked="0"/>
    </xf>
    <xf numFmtId="1" fontId="13" fillId="0" borderId="1" xfId="8" applyNumberFormat="1" applyFont="1" applyBorder="1" applyAlignment="1" applyProtection="1">
      <alignment horizontal="center" vertical="center" wrapText="1"/>
      <protection locked="0"/>
    </xf>
    <xf numFmtId="1" fontId="7" fillId="0" borderId="1" xfId="8" applyNumberFormat="1" applyFont="1" applyBorder="1" applyAlignment="1" applyProtection="1">
      <alignment horizontal="center" vertical="center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0" fontId="9" fillId="0" borderId="1" xfId="8" applyFont="1" applyBorder="1" applyAlignment="1" applyProtection="1">
      <alignment horizontal="left" vertical="top"/>
      <protection locked="0"/>
    </xf>
    <xf numFmtId="0" fontId="9" fillId="0" borderId="1" xfId="8" applyFont="1" applyBorder="1" applyAlignment="1" applyProtection="1">
      <alignment vertical="top"/>
      <protection locked="0"/>
    </xf>
    <xf numFmtId="1" fontId="24" fillId="0" borderId="2" xfId="0" applyNumberFormat="1" applyFont="1" applyBorder="1" applyAlignment="1" applyProtection="1">
      <alignment vertical="top" wrapText="1"/>
      <protection locked="0"/>
    </xf>
    <xf numFmtId="1" fontId="24" fillId="0" borderId="3" xfId="0" applyNumberFormat="1" applyFont="1" applyBorder="1" applyAlignment="1" applyProtection="1">
      <alignment vertical="top" wrapText="1"/>
      <protection locked="0"/>
    </xf>
    <xf numFmtId="1" fontId="24" fillId="0" borderId="4" xfId="0" applyNumberFormat="1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1" fontId="13" fillId="0" borderId="2" xfId="8" applyNumberFormat="1" applyFont="1" applyBorder="1" applyAlignment="1" applyProtection="1">
      <alignment horizontal="center" vertical="center" wrapText="1"/>
      <protection locked="0"/>
    </xf>
    <xf numFmtId="1" fontId="13" fillId="0" borderId="3" xfId="8" applyNumberFormat="1" applyFont="1" applyBorder="1" applyAlignment="1" applyProtection="1">
      <alignment horizontal="center" vertical="center" wrapText="1"/>
      <protection locked="0"/>
    </xf>
    <xf numFmtId="1" fontId="13" fillId="0" borderId="4" xfId="8" applyNumberFormat="1" applyFont="1" applyBorder="1" applyAlignment="1" applyProtection="1">
      <alignment horizontal="center" vertical="center" wrapText="1"/>
      <protection locked="0"/>
    </xf>
    <xf numFmtId="1" fontId="7" fillId="0" borderId="6" xfId="8" applyNumberFormat="1" applyFont="1" applyBorder="1" applyAlignment="1" applyProtection="1">
      <alignment horizontal="center" vertical="center" wrapText="1"/>
      <protection locked="0"/>
    </xf>
    <xf numFmtId="1" fontId="7" fillId="0" borderId="24" xfId="8" applyNumberFormat="1" applyFont="1" applyBorder="1" applyAlignment="1" applyProtection="1">
      <alignment horizontal="center" vertical="center" wrapText="1"/>
      <protection locked="0"/>
    </xf>
    <xf numFmtId="1" fontId="9" fillId="0" borderId="3" xfId="8" applyNumberFormat="1" applyFont="1" applyBorder="1" applyAlignment="1" applyProtection="1">
      <alignment horizontal="center" vertical="center" wrapText="1"/>
      <protection locked="0"/>
    </xf>
    <xf numFmtId="1" fontId="9" fillId="0" borderId="5" xfId="8" applyNumberFormat="1" applyFont="1" applyBorder="1" applyAlignment="1" applyProtection="1">
      <alignment horizontal="center" vertical="center" wrapText="1"/>
      <protection locked="0"/>
    </xf>
    <xf numFmtId="1" fontId="9" fillId="0" borderId="7" xfId="8" applyNumberFormat="1" applyFont="1" applyBorder="1" applyAlignment="1" applyProtection="1">
      <alignment horizontal="center" vertical="center" wrapText="1"/>
      <protection locked="0"/>
    </xf>
    <xf numFmtId="1" fontId="9" fillId="0" borderId="17" xfId="8" applyNumberFormat="1" applyFont="1" applyBorder="1" applyAlignment="1" applyProtection="1">
      <alignment horizontal="center" vertical="center" wrapText="1"/>
      <protection locked="0"/>
    </xf>
    <xf numFmtId="1" fontId="9" fillId="0" borderId="18" xfId="8" applyNumberFormat="1" applyFont="1" applyBorder="1" applyAlignment="1" applyProtection="1">
      <alignment horizontal="center" vertical="center" wrapText="1"/>
      <protection locked="0"/>
    </xf>
    <xf numFmtId="1" fontId="9" fillId="0" borderId="15" xfId="8" applyNumberFormat="1" applyFont="1" applyBorder="1" applyAlignment="1" applyProtection="1">
      <alignment horizontal="center" vertical="center" wrapText="1"/>
      <protection locked="0"/>
    </xf>
    <xf numFmtId="1" fontId="9" fillId="0" borderId="16" xfId="8" applyNumberFormat="1" applyFont="1" applyBorder="1" applyAlignment="1" applyProtection="1">
      <alignment horizontal="center" vertical="center" wrapText="1"/>
      <protection locked="0"/>
    </xf>
    <xf numFmtId="0" fontId="10" fillId="0" borderId="0" xfId="8" applyFont="1" applyAlignment="1">
      <alignment horizontal="center" vertical="center"/>
    </xf>
    <xf numFmtId="1" fontId="12" fillId="0" borderId="2" xfId="8" applyNumberFormat="1" applyFont="1" applyBorder="1" applyAlignment="1" applyProtection="1">
      <alignment horizontal="center" vertical="center" wrapText="1"/>
      <protection locked="0"/>
    </xf>
    <xf numFmtId="1" fontId="12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4" xfId="8" applyNumberFormat="1" applyFont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  <protection locked="0"/>
    </xf>
    <xf numFmtId="1" fontId="18" fillId="0" borderId="8" xfId="8" applyNumberFormat="1" applyFont="1" applyBorder="1" applyAlignment="1" applyProtection="1">
      <alignment horizontal="center" vertical="top" wrapText="1"/>
      <protection locked="0"/>
    </xf>
    <xf numFmtId="1" fontId="18" fillId="0" borderId="14" xfId="8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8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top" wrapText="1"/>
      <protection locked="0"/>
    </xf>
    <xf numFmtId="169" fontId="7" fillId="2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8" applyFont="1" applyBorder="1" applyAlignment="1" applyProtection="1">
      <alignment horizontal="left" vertical="top"/>
      <protection locked="0"/>
    </xf>
    <xf numFmtId="0" fontId="7" fillId="0" borderId="11" xfId="8" applyFont="1" applyBorder="1" applyAlignment="1" applyProtection="1">
      <alignment horizontal="center" vertical="top" wrapText="1"/>
      <protection locked="0"/>
    </xf>
    <xf numFmtId="0" fontId="7" fillId="0" borderId="12" xfId="8" applyFont="1" applyBorder="1" applyAlignment="1" applyProtection="1">
      <alignment horizontal="center" vertical="top" wrapText="1"/>
      <protection locked="0"/>
    </xf>
    <xf numFmtId="169" fontId="13" fillId="2" borderId="1" xfId="1" applyNumberFormat="1" applyFont="1" applyFill="1" applyBorder="1" applyAlignment="1" applyProtection="1">
      <alignment horizontal="left" vertical="top"/>
      <protection locked="0"/>
    </xf>
    <xf numFmtId="0" fontId="7" fillId="0" borderId="9" xfId="8" applyFont="1" applyBorder="1" applyAlignment="1" applyProtection="1">
      <alignment horizontal="center" vertical="top" wrapText="1"/>
      <protection locked="0"/>
    </xf>
    <xf numFmtId="0" fontId="7" fillId="0" borderId="1" xfId="8" applyFont="1" applyBorder="1" applyAlignment="1" applyProtection="1">
      <alignment horizontal="center" vertical="top" wrapText="1"/>
      <protection locked="0"/>
    </xf>
    <xf numFmtId="0" fontId="7" fillId="0" borderId="9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13" fillId="0" borderId="1" xfId="8" applyFont="1" applyBorder="1" applyAlignment="1" applyProtection="1">
      <alignment horizontal="left" vertical="top" wrapText="1"/>
      <protection locked="0"/>
    </xf>
    <xf numFmtId="0" fontId="13" fillId="0" borderId="1" xfId="8" applyFont="1" applyBorder="1" applyAlignment="1" applyProtection="1">
      <alignment horizontal="left" vertical="top"/>
      <protection locked="0"/>
    </xf>
    <xf numFmtId="0" fontId="7" fillId="0" borderId="10" xfId="8" applyFont="1" applyBorder="1" applyAlignment="1" applyProtection="1">
      <alignment horizontal="center" vertical="top" wrapText="1"/>
      <protection locked="0"/>
    </xf>
    <xf numFmtId="1" fontId="9" fillId="0" borderId="1" xfId="8" applyNumberFormat="1" applyFont="1" applyBorder="1" applyAlignment="1" applyProtection="1">
      <alignment horizontal="left" vertical="top" wrapText="1"/>
      <protection locked="0"/>
    </xf>
    <xf numFmtId="0" fontId="13" fillId="2" borderId="1" xfId="8" applyFont="1" applyFill="1" applyBorder="1" applyAlignment="1" applyProtection="1">
      <alignment vertical="top"/>
      <protection locked="0"/>
    </xf>
    <xf numFmtId="0" fontId="7" fillId="2" borderId="1" xfId="8" applyFont="1" applyFill="1" applyBorder="1" applyAlignment="1" applyProtection="1">
      <alignment horizontal="left" vertical="top"/>
      <protection locked="0"/>
    </xf>
    <xf numFmtId="0" fontId="7" fillId="0" borderId="5" xfId="8" applyFont="1" applyBorder="1" applyAlignment="1" applyProtection="1">
      <alignment horizontal="left" vertical="top" wrapText="1"/>
      <protection locked="0"/>
    </xf>
    <xf numFmtId="0" fontId="7" fillId="0" borderId="6" xfId="8" applyFont="1" applyBorder="1" applyAlignment="1" applyProtection="1">
      <alignment horizontal="left" vertical="top" wrapText="1"/>
      <protection locked="0"/>
    </xf>
    <xf numFmtId="0" fontId="7" fillId="0" borderId="7" xfId="8" applyFont="1" applyBorder="1" applyAlignment="1" applyProtection="1">
      <alignment horizontal="left" vertical="top" wrapText="1"/>
      <protection locked="0"/>
    </xf>
    <xf numFmtId="0" fontId="7" fillId="2" borderId="8" xfId="8" applyFont="1" applyFill="1" applyBorder="1" applyAlignment="1" applyProtection="1">
      <alignment horizontal="left" vertical="top"/>
      <protection locked="0"/>
    </xf>
    <xf numFmtId="166" fontId="7" fillId="2" borderId="1" xfId="8" applyNumberFormat="1" applyFont="1" applyFill="1" applyBorder="1" applyAlignment="1" applyProtection="1">
      <alignment horizontal="left" vertical="top" wrapText="1"/>
      <protection locked="0"/>
    </xf>
    <xf numFmtId="0" fontId="7" fillId="2" borderId="2" xfId="8" applyFont="1" applyFill="1" applyBorder="1" applyAlignment="1" applyProtection="1">
      <alignment horizontal="left" vertical="top" wrapText="1"/>
      <protection locked="0"/>
    </xf>
    <xf numFmtId="0" fontId="7" fillId="2" borderId="3" xfId="8" applyFont="1" applyFill="1" applyBorder="1" applyAlignment="1" applyProtection="1">
      <alignment horizontal="left" vertical="top" wrapText="1"/>
      <protection locked="0"/>
    </xf>
    <xf numFmtId="0" fontId="7" fillId="2" borderId="4" xfId="8" applyFont="1" applyFill="1" applyBorder="1" applyAlignment="1" applyProtection="1">
      <alignment horizontal="left" vertical="top" wrapText="1"/>
      <protection locked="0"/>
    </xf>
    <xf numFmtId="14" fontId="7" fillId="2" borderId="2" xfId="8" applyNumberFormat="1" applyFont="1" applyFill="1" applyBorder="1" applyAlignment="1" applyProtection="1">
      <alignment horizontal="left" vertical="top" wrapText="1"/>
      <protection locked="0"/>
    </xf>
    <xf numFmtId="168" fontId="7" fillId="2" borderId="1" xfId="8" applyNumberFormat="1" applyFont="1" applyFill="1" applyBorder="1" applyAlignment="1" applyProtection="1">
      <alignment horizontal="left" vertical="top" wrapText="1"/>
      <protection locked="0"/>
    </xf>
    <xf numFmtId="168" fontId="7" fillId="2" borderId="2" xfId="8" applyNumberFormat="1" applyFont="1" applyFill="1" applyBorder="1" applyAlignment="1" applyProtection="1">
      <alignment horizontal="left" vertical="top" wrapText="1"/>
      <protection locked="0"/>
    </xf>
    <xf numFmtId="168" fontId="7" fillId="2" borderId="4" xfId="8" applyNumberFormat="1" applyFont="1" applyFill="1" applyBorder="1" applyAlignment="1" applyProtection="1">
      <alignment horizontal="left" vertical="top" wrapText="1"/>
      <protection locked="0"/>
    </xf>
    <xf numFmtId="0" fontId="13" fillId="2" borderId="1" xfId="8" applyFont="1" applyFill="1" applyBorder="1" applyAlignment="1" applyProtection="1">
      <alignment horizontal="left" vertical="top" wrapText="1"/>
      <protection locked="0"/>
    </xf>
    <xf numFmtId="0" fontId="13" fillId="2" borderId="1" xfId="8" applyFont="1" applyFill="1" applyBorder="1" applyAlignment="1" applyProtection="1">
      <alignment horizontal="left" vertical="top"/>
      <protection locked="0"/>
    </xf>
    <xf numFmtId="166" fontId="13" fillId="2" borderId="1" xfId="8" applyNumberFormat="1" applyFont="1" applyFill="1" applyBorder="1" applyAlignment="1" applyProtection="1">
      <alignment horizontal="left" vertical="top" wrapText="1"/>
      <protection locked="0"/>
    </xf>
    <xf numFmtId="0" fontId="13" fillId="2" borderId="2" xfId="8" applyFont="1" applyFill="1" applyBorder="1" applyAlignment="1" applyProtection="1">
      <alignment horizontal="left" vertical="top"/>
      <protection locked="0"/>
    </xf>
    <xf numFmtId="0" fontId="13" fillId="2" borderId="3" xfId="8" applyFont="1" applyFill="1" applyBorder="1" applyAlignment="1" applyProtection="1">
      <alignment horizontal="left" vertical="top"/>
      <protection locked="0"/>
    </xf>
    <xf numFmtId="0" fontId="13" fillId="2" borderId="4" xfId="8" applyFont="1" applyFill="1" applyBorder="1" applyAlignment="1" applyProtection="1">
      <alignment horizontal="left" vertical="top"/>
      <protection locked="0"/>
    </xf>
    <xf numFmtId="2" fontId="7" fillId="2" borderId="1" xfId="8" applyNumberFormat="1" applyFont="1" applyFill="1" applyBorder="1" applyAlignment="1" applyProtection="1">
      <alignment horizontal="left" vertical="top" wrapText="1"/>
      <protection locked="0"/>
    </xf>
    <xf numFmtId="167" fontId="7" fillId="0" borderId="1" xfId="8" applyNumberFormat="1" applyFont="1" applyBorder="1" applyAlignment="1" applyProtection="1">
      <alignment horizontal="left" vertical="top"/>
      <protection locked="0"/>
    </xf>
    <xf numFmtId="167" fontId="7" fillId="2" borderId="1" xfId="8" applyNumberFormat="1" applyFont="1" applyFill="1" applyBorder="1" applyAlignment="1" applyProtection="1">
      <alignment horizontal="left" vertical="top"/>
      <protection locked="0"/>
    </xf>
    <xf numFmtId="2" fontId="10" fillId="0" borderId="1" xfId="8" applyNumberFormat="1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center"/>
      <protection locked="0"/>
    </xf>
    <xf numFmtId="0" fontId="13" fillId="0" borderId="1" xfId="8" applyFont="1" applyBorder="1" applyAlignment="1" applyProtection="1">
      <alignment horizontal="left"/>
      <protection locked="0"/>
    </xf>
    <xf numFmtId="0" fontId="15" fillId="0" borderId="1" xfId="3" applyBorder="1" applyAlignment="1" applyProtection="1">
      <alignment horizontal="left"/>
      <protection locked="0"/>
    </xf>
    <xf numFmtId="0" fontId="7" fillId="0" borderId="1" xfId="8" applyFont="1" applyBorder="1" applyAlignment="1" applyProtection="1">
      <alignment horizontal="left"/>
      <protection locked="0"/>
    </xf>
    <xf numFmtId="0" fontId="7" fillId="0" borderId="1" xfId="8" applyFont="1" applyBorder="1" applyAlignment="1" applyProtection="1">
      <alignment horizontal="center" vertical="center"/>
      <protection locked="0"/>
    </xf>
    <xf numFmtId="0" fontId="7" fillId="0" borderId="1" xfId="8" applyFont="1" applyBorder="1" applyAlignment="1" applyProtection="1">
      <alignment horizontal="center" vertical="center" wrapText="1"/>
      <protection locked="0"/>
    </xf>
    <xf numFmtId="0" fontId="7" fillId="0" borderId="1" xfId="8" applyFont="1" applyBorder="1" applyAlignment="1" applyProtection="1">
      <alignment horizontal="left" vertical="center" wrapText="1"/>
      <protection locked="0"/>
    </xf>
    <xf numFmtId="0" fontId="13" fillId="0" borderId="1" xfId="8" applyFont="1" applyBorder="1" applyAlignment="1" applyProtection="1">
      <alignment horizontal="center"/>
      <protection locked="0"/>
    </xf>
    <xf numFmtId="0" fontId="13" fillId="0" borderId="1" xfId="8" applyFont="1" applyBorder="1" applyAlignment="1" applyProtection="1">
      <alignment horizontal="center" vertical="top"/>
      <protection locked="0"/>
    </xf>
    <xf numFmtId="0" fontId="14" fillId="0" borderId="1" xfId="8" applyFont="1" applyBorder="1" applyAlignment="1" applyProtection="1">
      <alignment horizontal="left" vertical="top" wrapText="1"/>
      <protection locked="0"/>
    </xf>
    <xf numFmtId="0" fontId="14" fillId="2" borderId="1" xfId="8" applyFont="1" applyFill="1" applyBorder="1" applyAlignment="1" applyProtection="1">
      <alignment horizontal="left" vertical="top" wrapText="1"/>
      <protection locked="0"/>
    </xf>
    <xf numFmtId="0" fontId="14" fillId="2" borderId="1" xfId="8" applyFont="1" applyFill="1" applyBorder="1" applyAlignment="1" applyProtection="1">
      <alignment horizontal="left" vertical="top"/>
      <protection locked="0"/>
    </xf>
    <xf numFmtId="0" fontId="11" fillId="0" borderId="1" xfId="8" applyFont="1" applyBorder="1" applyAlignment="1" applyProtection="1">
      <alignment horizontal="center" vertical="top" wrapText="1"/>
      <protection locked="0"/>
    </xf>
    <xf numFmtId="166" fontId="7" fillId="2" borderId="1" xfId="8" applyNumberFormat="1" applyFont="1" applyFill="1" applyBorder="1" applyAlignment="1" applyProtection="1">
      <alignment horizontal="left" vertical="top"/>
      <protection locked="0"/>
    </xf>
    <xf numFmtId="0" fontId="7" fillId="2" borderId="1" xfId="8" applyFont="1" applyFill="1" applyBorder="1" applyAlignment="1" applyProtection="1">
      <alignment horizontal="left" vertical="center" wrapText="1"/>
      <protection locked="0"/>
    </xf>
    <xf numFmtId="0" fontId="3" fillId="0" borderId="1" xfId="10" applyFont="1" applyBorder="1" applyAlignment="1">
      <alignment horizontal="left"/>
    </xf>
  </cellXfs>
  <cellStyles count="11">
    <cellStyle name="Comma" xfId="1" builtinId="3"/>
    <cellStyle name="Comma 2" xfId="4"/>
    <cellStyle name="Excel Built-in Normal" xfId="5"/>
    <cellStyle name="Excel Built-in Normal 2" xfId="6"/>
    <cellStyle name="Hyperlink" xfId="3" builtinId="8"/>
    <cellStyle name="Normal" xfId="0" builtinId="0"/>
    <cellStyle name="Normal 2" xfId="7"/>
    <cellStyle name="Normal 3" xfId="8"/>
    <cellStyle name="Normal 3 3" xfId="9"/>
    <cellStyle name="Normal 4" xf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372341</xdr:colOff>
      <xdr:row>282</xdr:row>
      <xdr:rowOff>121228</xdr:rowOff>
    </xdr:from>
    <xdr:to>
      <xdr:col>12</xdr:col>
      <xdr:colOff>736022</xdr:colOff>
      <xdr:row>291</xdr:row>
      <xdr:rowOff>0</xdr:rowOff>
    </xdr:to>
    <xdr:sp macro="" textlink="">
      <xdr:nvSpPr>
        <xdr:cNvPr id="4" name="Rectangle 3"/>
        <xdr:cNvSpPr/>
      </xdr:nvSpPr>
      <xdr:spPr>
        <a:xfrm>
          <a:off x="9554210" y="54920515"/>
          <a:ext cx="1068705" cy="1679575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77197</xdr:colOff>
      <xdr:row>298</xdr:row>
      <xdr:rowOff>54676</xdr:rowOff>
    </xdr:from>
    <xdr:to>
      <xdr:col>6</xdr:col>
      <xdr:colOff>692702</xdr:colOff>
      <xdr:row>312</xdr:row>
      <xdr:rowOff>152961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screen"/>
        <a:srcRect/>
        <a:stretch>
          <a:fillRect/>
        </a:stretch>
      </xdr:blipFill>
      <xdr:spPr>
        <a:xfrm>
          <a:off x="839197" y="58080976"/>
          <a:ext cx="4796980" cy="28986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16570</xdr:colOff>
      <xdr:row>276</xdr:row>
      <xdr:rowOff>16560</xdr:rowOff>
    </xdr:from>
    <xdr:to>
      <xdr:col>7</xdr:col>
      <xdr:colOff>12864</xdr:colOff>
      <xdr:row>297</xdr:row>
      <xdr:rowOff>162124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2"/>
        <a:srcRect l="32264" t="22641" r="31006" b="20047"/>
        <a:stretch>
          <a:fillRect/>
        </a:stretch>
      </xdr:blipFill>
      <xdr:spPr>
        <a:xfrm>
          <a:off x="778510" y="53616225"/>
          <a:ext cx="4930140" cy="434594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42542</xdr:colOff>
      <xdr:row>282</xdr:row>
      <xdr:rowOff>72661</xdr:rowOff>
    </xdr:from>
    <xdr:to>
      <xdr:col>4</xdr:col>
      <xdr:colOff>389282</xdr:colOff>
      <xdr:row>291</xdr:row>
      <xdr:rowOff>190500</xdr:rowOff>
    </xdr:to>
    <xdr:sp macro="" textlink="">
      <xdr:nvSpPr>
        <xdr:cNvPr id="40" name="Rectangle 39"/>
        <xdr:cNvSpPr/>
      </xdr:nvSpPr>
      <xdr:spPr>
        <a:xfrm>
          <a:off x="2451735" y="54872255"/>
          <a:ext cx="1290320" cy="1918335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11</xdr:col>
      <xdr:colOff>372341</xdr:colOff>
      <xdr:row>239</xdr:row>
      <xdr:rowOff>121228</xdr:rowOff>
    </xdr:from>
    <xdr:to>
      <xdr:col>12</xdr:col>
      <xdr:colOff>736022</xdr:colOff>
      <xdr:row>248</xdr:row>
      <xdr:rowOff>0</xdr:rowOff>
    </xdr:to>
    <xdr:sp macro="" textlink="">
      <xdr:nvSpPr>
        <xdr:cNvPr id="41" name="Rectangle 40"/>
        <xdr:cNvSpPr/>
      </xdr:nvSpPr>
      <xdr:spPr>
        <a:xfrm>
          <a:off x="9554210" y="49319815"/>
          <a:ext cx="1068705" cy="1679575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302561</xdr:colOff>
      <xdr:row>234</xdr:row>
      <xdr:rowOff>179296</xdr:rowOff>
    </xdr:from>
    <xdr:to>
      <xdr:col>7</xdr:col>
      <xdr:colOff>604704</xdr:colOff>
      <xdr:row>250</xdr:row>
      <xdr:rowOff>192000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3" cstate="screen"/>
        <a:stretch>
          <a:fillRect/>
        </a:stretch>
      </xdr:blipFill>
      <xdr:spPr>
        <a:xfrm>
          <a:off x="302260" y="48378110"/>
          <a:ext cx="5998210" cy="32131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89647</xdr:colOff>
      <xdr:row>248</xdr:row>
      <xdr:rowOff>123265</xdr:rowOff>
    </xdr:from>
    <xdr:to>
      <xdr:col>3</xdr:col>
      <xdr:colOff>593911</xdr:colOff>
      <xdr:row>248</xdr:row>
      <xdr:rowOff>123265</xdr:rowOff>
    </xdr:to>
    <xdr:cxnSp macro="">
      <xdr:nvCxnSpPr>
        <xdr:cNvPr id="6" name="Straight Arrow Connector 5"/>
        <xdr:cNvCxnSpPr/>
      </xdr:nvCxnSpPr>
      <xdr:spPr>
        <a:xfrm flipH="1">
          <a:off x="2499360" y="51122580"/>
          <a:ext cx="504190" cy="0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717177</xdr:colOff>
      <xdr:row>247</xdr:row>
      <xdr:rowOff>134470</xdr:rowOff>
    </xdr:from>
    <xdr:to>
      <xdr:col>4</xdr:col>
      <xdr:colOff>179294</xdr:colOff>
      <xdr:row>251</xdr:row>
      <xdr:rowOff>67234</xdr:rowOff>
    </xdr:to>
    <xdr:sp macro="" textlink="">
      <xdr:nvSpPr>
        <xdr:cNvPr id="7" name="Rectangle 6"/>
        <xdr:cNvSpPr/>
      </xdr:nvSpPr>
      <xdr:spPr>
        <a:xfrm>
          <a:off x="2279015" y="50933350"/>
          <a:ext cx="1252855" cy="7327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solidFill>
                <a:srgbClr val="C00000"/>
              </a:solidFill>
            </a:rPr>
            <a:t>N</a:t>
          </a:r>
        </a:p>
      </xdr:txBody>
    </xdr:sp>
    <xdr:clientData/>
  </xdr:twoCellAnchor>
  <xdr:twoCellAnchor editAs="oneCell">
    <xdr:from>
      <xdr:col>8</xdr:col>
      <xdr:colOff>339587</xdr:colOff>
      <xdr:row>44</xdr:row>
      <xdr:rowOff>41414</xdr:rowOff>
    </xdr:from>
    <xdr:to>
      <xdr:col>17</xdr:col>
      <xdr:colOff>442873</xdr:colOff>
      <xdr:row>47</xdr:row>
      <xdr:rowOff>60996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63715" y="10109200"/>
          <a:ext cx="7142480" cy="848360"/>
        </a:xfrm>
        <a:prstGeom prst="rect">
          <a:avLst/>
        </a:prstGeom>
      </xdr:spPr>
    </xdr:pic>
    <xdr:clientData/>
  </xdr:twoCellAnchor>
  <xdr:twoCellAnchor editAs="oneCell">
    <xdr:from>
      <xdr:col>8</xdr:col>
      <xdr:colOff>266065</xdr:colOff>
      <xdr:row>47</xdr:row>
      <xdr:rowOff>104140</xdr:rowOff>
    </xdr:from>
    <xdr:to>
      <xdr:col>17</xdr:col>
      <xdr:colOff>551815</xdr:colOff>
      <xdr:row>56</xdr:row>
      <xdr:rowOff>145415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90690" y="11000740"/>
          <a:ext cx="7324725" cy="2447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85725</xdr:colOff>
      <xdr:row>190</xdr:row>
      <xdr:rowOff>66674</xdr:rowOff>
    </xdr:from>
    <xdr:to>
      <xdr:col>7</xdr:col>
      <xdr:colOff>753491</xdr:colOff>
      <xdr:row>224</xdr:row>
      <xdr:rowOff>142875</xdr:rowOff>
    </xdr:to>
    <xdr:grpSp>
      <xdr:nvGrpSpPr>
        <xdr:cNvPr id="8" name="Group 7"/>
        <xdr:cNvGrpSpPr/>
      </xdr:nvGrpSpPr>
      <xdr:grpSpPr>
        <a:xfrm>
          <a:off x="85725" y="39500174"/>
          <a:ext cx="6401816" cy="6867526"/>
          <a:chOff x="85725" y="39690674"/>
          <a:chExt cx="6401816" cy="6867526"/>
        </a:xfrm>
      </xdr:grpSpPr>
      <xdr:pic>
        <xdr:nvPicPr>
          <xdr:cNvPr id="32" name="Picture 31" descr="https://vsjcllp.vsjadon.com/upload/insp-246574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410075" y="43786425"/>
            <a:ext cx="2077466" cy="27622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46574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38499" y="39690674"/>
            <a:ext cx="3001581" cy="39909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46574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2399" y="39690674"/>
            <a:ext cx="3001581" cy="39909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46574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5725" y="43786425"/>
            <a:ext cx="2077466" cy="27622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46574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38375" y="43795950"/>
            <a:ext cx="2077466" cy="27622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B7XF5nwbW1Ye9Jh89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76"/>
  <sheetViews>
    <sheetView tabSelected="1" view="pageBreakPreview" zoomScaleNormal="100" zoomScalePageLayoutView="85" workbookViewId="0">
      <selection activeCell="N184" sqref="N184"/>
    </sheetView>
  </sheetViews>
  <sheetFormatPr defaultColWidth="9.140625" defaultRowHeight="15.75"/>
  <cols>
    <col min="1" max="1" width="11.42578125" style="19" customWidth="1"/>
    <col min="2" max="2" width="12" style="19" customWidth="1"/>
    <col min="3" max="3" width="12.85546875" style="19" customWidth="1"/>
    <col min="4" max="4" width="14.140625" style="19" customWidth="1"/>
    <col min="5" max="7" width="11.85546875" style="19" customWidth="1"/>
    <col min="8" max="8" width="12.42578125" style="19" customWidth="1"/>
    <col min="9" max="9" width="17.42578125" style="20" customWidth="1"/>
    <col min="10" max="10" width="11.42578125" style="20" customWidth="1"/>
    <col min="11" max="11" width="11" style="20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85546875" style="20" customWidth="1"/>
    <col min="17" max="247" width="9.140625" style="20"/>
    <col min="248" max="248" width="8.85546875" style="20" customWidth="1"/>
    <col min="249" max="249" width="9.85546875" style="20" customWidth="1"/>
    <col min="250" max="250" width="14.42578125" style="20" customWidth="1"/>
    <col min="251" max="251" width="7.140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85546875" style="20" customWidth="1"/>
    <col min="505" max="505" width="9.85546875" style="20" customWidth="1"/>
    <col min="506" max="506" width="14.42578125" style="20" customWidth="1"/>
    <col min="507" max="507" width="7.140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85546875" style="20" customWidth="1"/>
    <col min="761" max="761" width="9.85546875" style="20" customWidth="1"/>
    <col min="762" max="762" width="14.42578125" style="20" customWidth="1"/>
    <col min="763" max="763" width="7.140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85546875" style="20" customWidth="1"/>
    <col min="1017" max="1017" width="9.85546875" style="20" customWidth="1"/>
    <col min="1018" max="1018" width="14.42578125" style="20" customWidth="1"/>
    <col min="1019" max="1019" width="7.140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85546875" style="20" customWidth="1"/>
    <col min="1273" max="1273" width="9.85546875" style="20" customWidth="1"/>
    <col min="1274" max="1274" width="14.42578125" style="20" customWidth="1"/>
    <col min="1275" max="1275" width="7.140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85546875" style="20" customWidth="1"/>
    <col min="1529" max="1529" width="9.85546875" style="20" customWidth="1"/>
    <col min="1530" max="1530" width="14.42578125" style="20" customWidth="1"/>
    <col min="1531" max="1531" width="7.140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85546875" style="20" customWidth="1"/>
    <col min="1785" max="1785" width="9.85546875" style="20" customWidth="1"/>
    <col min="1786" max="1786" width="14.42578125" style="20" customWidth="1"/>
    <col min="1787" max="1787" width="7.140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85546875" style="20" customWidth="1"/>
    <col min="2041" max="2041" width="9.85546875" style="20" customWidth="1"/>
    <col min="2042" max="2042" width="14.42578125" style="20" customWidth="1"/>
    <col min="2043" max="2043" width="7.140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85546875" style="20" customWidth="1"/>
    <col min="2297" max="2297" width="9.85546875" style="20" customWidth="1"/>
    <col min="2298" max="2298" width="14.42578125" style="20" customWidth="1"/>
    <col min="2299" max="2299" width="7.140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85546875" style="20" customWidth="1"/>
    <col min="2553" max="2553" width="9.85546875" style="20" customWidth="1"/>
    <col min="2554" max="2554" width="14.42578125" style="20" customWidth="1"/>
    <col min="2555" max="2555" width="7.140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85546875" style="20" customWidth="1"/>
    <col min="2809" max="2809" width="9.85546875" style="20" customWidth="1"/>
    <col min="2810" max="2810" width="14.42578125" style="20" customWidth="1"/>
    <col min="2811" max="2811" width="7.140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85546875" style="20" customWidth="1"/>
    <col min="3065" max="3065" width="9.85546875" style="20" customWidth="1"/>
    <col min="3066" max="3066" width="14.42578125" style="20" customWidth="1"/>
    <col min="3067" max="3067" width="7.140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85546875" style="20" customWidth="1"/>
    <col min="3321" max="3321" width="9.85546875" style="20" customWidth="1"/>
    <col min="3322" max="3322" width="14.42578125" style="20" customWidth="1"/>
    <col min="3323" max="3323" width="7.140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85546875" style="20" customWidth="1"/>
    <col min="3577" max="3577" width="9.85546875" style="20" customWidth="1"/>
    <col min="3578" max="3578" width="14.42578125" style="20" customWidth="1"/>
    <col min="3579" max="3579" width="7.140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85546875" style="20" customWidth="1"/>
    <col min="3833" max="3833" width="9.85546875" style="20" customWidth="1"/>
    <col min="3834" max="3834" width="14.42578125" style="20" customWidth="1"/>
    <col min="3835" max="3835" width="7.140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85546875" style="20" customWidth="1"/>
    <col min="4089" max="4089" width="9.85546875" style="20" customWidth="1"/>
    <col min="4090" max="4090" width="14.42578125" style="20" customWidth="1"/>
    <col min="4091" max="4091" width="7.140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85546875" style="20" customWidth="1"/>
    <col min="4345" max="4345" width="9.85546875" style="20" customWidth="1"/>
    <col min="4346" max="4346" width="14.42578125" style="20" customWidth="1"/>
    <col min="4347" max="4347" width="7.140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85546875" style="20" customWidth="1"/>
    <col min="4601" max="4601" width="9.85546875" style="20" customWidth="1"/>
    <col min="4602" max="4602" width="14.42578125" style="20" customWidth="1"/>
    <col min="4603" max="4603" width="7.140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85546875" style="20" customWidth="1"/>
    <col min="4857" max="4857" width="9.85546875" style="20" customWidth="1"/>
    <col min="4858" max="4858" width="14.42578125" style="20" customWidth="1"/>
    <col min="4859" max="4859" width="7.140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85546875" style="20" customWidth="1"/>
    <col min="5113" max="5113" width="9.85546875" style="20" customWidth="1"/>
    <col min="5114" max="5114" width="14.42578125" style="20" customWidth="1"/>
    <col min="5115" max="5115" width="7.140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85546875" style="20" customWidth="1"/>
    <col min="5369" max="5369" width="9.85546875" style="20" customWidth="1"/>
    <col min="5370" max="5370" width="14.42578125" style="20" customWidth="1"/>
    <col min="5371" max="5371" width="7.140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85546875" style="20" customWidth="1"/>
    <col min="5625" max="5625" width="9.85546875" style="20" customWidth="1"/>
    <col min="5626" max="5626" width="14.42578125" style="20" customWidth="1"/>
    <col min="5627" max="5627" width="7.140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85546875" style="20" customWidth="1"/>
    <col min="5881" max="5881" width="9.85546875" style="20" customWidth="1"/>
    <col min="5882" max="5882" width="14.42578125" style="20" customWidth="1"/>
    <col min="5883" max="5883" width="7.140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85546875" style="20" customWidth="1"/>
    <col min="6137" max="6137" width="9.85546875" style="20" customWidth="1"/>
    <col min="6138" max="6138" width="14.42578125" style="20" customWidth="1"/>
    <col min="6139" max="6139" width="7.140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85546875" style="20" customWidth="1"/>
    <col min="6393" max="6393" width="9.85546875" style="20" customWidth="1"/>
    <col min="6394" max="6394" width="14.42578125" style="20" customWidth="1"/>
    <col min="6395" max="6395" width="7.140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85546875" style="20" customWidth="1"/>
    <col min="6649" max="6649" width="9.85546875" style="20" customWidth="1"/>
    <col min="6650" max="6650" width="14.42578125" style="20" customWidth="1"/>
    <col min="6651" max="6651" width="7.140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85546875" style="20" customWidth="1"/>
    <col min="6905" max="6905" width="9.85546875" style="20" customWidth="1"/>
    <col min="6906" max="6906" width="14.42578125" style="20" customWidth="1"/>
    <col min="6907" max="6907" width="7.140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85546875" style="20" customWidth="1"/>
    <col min="7161" max="7161" width="9.85546875" style="20" customWidth="1"/>
    <col min="7162" max="7162" width="14.42578125" style="20" customWidth="1"/>
    <col min="7163" max="7163" width="7.140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85546875" style="20" customWidth="1"/>
    <col min="7417" max="7417" width="9.85546875" style="20" customWidth="1"/>
    <col min="7418" max="7418" width="14.42578125" style="20" customWidth="1"/>
    <col min="7419" max="7419" width="7.140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85546875" style="20" customWidth="1"/>
    <col min="7673" max="7673" width="9.85546875" style="20" customWidth="1"/>
    <col min="7674" max="7674" width="14.42578125" style="20" customWidth="1"/>
    <col min="7675" max="7675" width="7.140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85546875" style="20" customWidth="1"/>
    <col min="7929" max="7929" width="9.85546875" style="20" customWidth="1"/>
    <col min="7930" max="7930" width="14.42578125" style="20" customWidth="1"/>
    <col min="7931" max="7931" width="7.140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85546875" style="20" customWidth="1"/>
    <col min="8185" max="8185" width="9.85546875" style="20" customWidth="1"/>
    <col min="8186" max="8186" width="14.42578125" style="20" customWidth="1"/>
    <col min="8187" max="8187" width="7.140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85546875" style="20" customWidth="1"/>
    <col min="8441" max="8441" width="9.85546875" style="20" customWidth="1"/>
    <col min="8442" max="8442" width="14.42578125" style="20" customWidth="1"/>
    <col min="8443" max="8443" width="7.140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85546875" style="20" customWidth="1"/>
    <col min="8697" max="8697" width="9.85546875" style="20" customWidth="1"/>
    <col min="8698" max="8698" width="14.42578125" style="20" customWidth="1"/>
    <col min="8699" max="8699" width="7.140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85546875" style="20" customWidth="1"/>
    <col min="8953" max="8953" width="9.85546875" style="20" customWidth="1"/>
    <col min="8954" max="8954" width="14.42578125" style="20" customWidth="1"/>
    <col min="8955" max="8955" width="7.140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85546875" style="20" customWidth="1"/>
    <col min="9209" max="9209" width="9.85546875" style="20" customWidth="1"/>
    <col min="9210" max="9210" width="14.42578125" style="20" customWidth="1"/>
    <col min="9211" max="9211" width="7.140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85546875" style="20" customWidth="1"/>
    <col min="9465" max="9465" width="9.85546875" style="20" customWidth="1"/>
    <col min="9466" max="9466" width="14.42578125" style="20" customWidth="1"/>
    <col min="9467" max="9467" width="7.140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85546875" style="20" customWidth="1"/>
    <col min="9721" max="9721" width="9.85546875" style="20" customWidth="1"/>
    <col min="9722" max="9722" width="14.42578125" style="20" customWidth="1"/>
    <col min="9723" max="9723" width="7.140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85546875" style="20" customWidth="1"/>
    <col min="9977" max="9977" width="9.85546875" style="20" customWidth="1"/>
    <col min="9978" max="9978" width="14.42578125" style="20" customWidth="1"/>
    <col min="9979" max="9979" width="7.140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85546875" style="20" customWidth="1"/>
    <col min="10233" max="10233" width="9.85546875" style="20" customWidth="1"/>
    <col min="10234" max="10234" width="14.42578125" style="20" customWidth="1"/>
    <col min="10235" max="10235" width="7.140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85546875" style="20" customWidth="1"/>
    <col min="10489" max="10489" width="9.85546875" style="20" customWidth="1"/>
    <col min="10490" max="10490" width="14.42578125" style="20" customWidth="1"/>
    <col min="10491" max="10491" width="7.140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85546875" style="20" customWidth="1"/>
    <col min="10745" max="10745" width="9.85546875" style="20" customWidth="1"/>
    <col min="10746" max="10746" width="14.42578125" style="20" customWidth="1"/>
    <col min="10747" max="10747" width="7.140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85546875" style="20" customWidth="1"/>
    <col min="11001" max="11001" width="9.85546875" style="20" customWidth="1"/>
    <col min="11002" max="11002" width="14.42578125" style="20" customWidth="1"/>
    <col min="11003" max="11003" width="7.140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85546875" style="20" customWidth="1"/>
    <col min="11257" max="11257" width="9.85546875" style="20" customWidth="1"/>
    <col min="11258" max="11258" width="14.42578125" style="20" customWidth="1"/>
    <col min="11259" max="11259" width="7.140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85546875" style="20" customWidth="1"/>
    <col min="11513" max="11513" width="9.85546875" style="20" customWidth="1"/>
    <col min="11514" max="11514" width="14.42578125" style="20" customWidth="1"/>
    <col min="11515" max="11515" width="7.140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85546875" style="20" customWidth="1"/>
    <col min="11769" max="11769" width="9.85546875" style="20" customWidth="1"/>
    <col min="11770" max="11770" width="14.42578125" style="20" customWidth="1"/>
    <col min="11771" max="11771" width="7.140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85546875" style="20" customWidth="1"/>
    <col min="12025" max="12025" width="9.85546875" style="20" customWidth="1"/>
    <col min="12026" max="12026" width="14.42578125" style="20" customWidth="1"/>
    <col min="12027" max="12027" width="7.140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85546875" style="20" customWidth="1"/>
    <col min="12281" max="12281" width="9.85546875" style="20" customWidth="1"/>
    <col min="12282" max="12282" width="14.42578125" style="20" customWidth="1"/>
    <col min="12283" max="12283" width="7.140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85546875" style="20" customWidth="1"/>
    <col min="12537" max="12537" width="9.85546875" style="20" customWidth="1"/>
    <col min="12538" max="12538" width="14.42578125" style="20" customWidth="1"/>
    <col min="12539" max="12539" width="7.140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85546875" style="20" customWidth="1"/>
    <col min="12793" max="12793" width="9.85546875" style="20" customWidth="1"/>
    <col min="12794" max="12794" width="14.42578125" style="20" customWidth="1"/>
    <col min="12795" max="12795" width="7.140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85546875" style="20" customWidth="1"/>
    <col min="13049" max="13049" width="9.85546875" style="20" customWidth="1"/>
    <col min="13050" max="13050" width="14.42578125" style="20" customWidth="1"/>
    <col min="13051" max="13051" width="7.140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85546875" style="20" customWidth="1"/>
    <col min="13305" max="13305" width="9.85546875" style="20" customWidth="1"/>
    <col min="13306" max="13306" width="14.42578125" style="20" customWidth="1"/>
    <col min="13307" max="13307" width="7.140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85546875" style="20" customWidth="1"/>
    <col min="13561" max="13561" width="9.85546875" style="20" customWidth="1"/>
    <col min="13562" max="13562" width="14.42578125" style="20" customWidth="1"/>
    <col min="13563" max="13563" width="7.140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85546875" style="20" customWidth="1"/>
    <col min="13817" max="13817" width="9.85546875" style="20" customWidth="1"/>
    <col min="13818" max="13818" width="14.42578125" style="20" customWidth="1"/>
    <col min="13819" max="13819" width="7.140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85546875" style="20" customWidth="1"/>
    <col min="14073" max="14073" width="9.85546875" style="20" customWidth="1"/>
    <col min="14074" max="14074" width="14.42578125" style="20" customWidth="1"/>
    <col min="14075" max="14075" width="7.140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85546875" style="20" customWidth="1"/>
    <col min="14329" max="14329" width="9.85546875" style="20" customWidth="1"/>
    <col min="14330" max="14330" width="14.42578125" style="20" customWidth="1"/>
    <col min="14331" max="14331" width="7.140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85546875" style="20" customWidth="1"/>
    <col min="14585" max="14585" width="9.85546875" style="20" customWidth="1"/>
    <col min="14586" max="14586" width="14.42578125" style="20" customWidth="1"/>
    <col min="14587" max="14587" width="7.140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85546875" style="20" customWidth="1"/>
    <col min="14841" max="14841" width="9.85546875" style="20" customWidth="1"/>
    <col min="14842" max="14842" width="14.42578125" style="20" customWidth="1"/>
    <col min="14843" max="14843" width="7.140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85546875" style="20" customWidth="1"/>
    <col min="15097" max="15097" width="9.85546875" style="20" customWidth="1"/>
    <col min="15098" max="15098" width="14.42578125" style="20" customWidth="1"/>
    <col min="15099" max="15099" width="7.140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85546875" style="20" customWidth="1"/>
    <col min="15353" max="15353" width="9.85546875" style="20" customWidth="1"/>
    <col min="15354" max="15354" width="14.42578125" style="20" customWidth="1"/>
    <col min="15355" max="15355" width="7.140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85546875" style="20" customWidth="1"/>
    <col min="15609" max="15609" width="9.85546875" style="20" customWidth="1"/>
    <col min="15610" max="15610" width="14.42578125" style="20" customWidth="1"/>
    <col min="15611" max="15611" width="7.140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85546875" style="20" customWidth="1"/>
    <col min="15865" max="15865" width="9.85546875" style="20" customWidth="1"/>
    <col min="15866" max="15866" width="14.42578125" style="20" customWidth="1"/>
    <col min="15867" max="15867" width="7.140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85546875" style="20" customWidth="1"/>
    <col min="16121" max="16121" width="9.85546875" style="20" customWidth="1"/>
    <col min="16122" max="16122" width="14.42578125" style="20" customWidth="1"/>
    <col min="16123" max="16123" width="7.140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8" ht="46.5" customHeight="1">
      <c r="A1" s="179" t="s">
        <v>0</v>
      </c>
      <c r="B1" s="179"/>
      <c r="C1" s="179"/>
      <c r="D1" s="179"/>
      <c r="E1" s="179"/>
      <c r="F1" s="179"/>
      <c r="G1" s="179"/>
      <c r="H1" s="179"/>
    </row>
    <row r="2" spans="1:8" ht="16.5" customHeight="1">
      <c r="A2" s="122" t="s">
        <v>1</v>
      </c>
      <c r="B2" s="122"/>
      <c r="C2" s="122"/>
      <c r="D2" s="122"/>
      <c r="E2" s="122"/>
      <c r="F2" s="122"/>
      <c r="G2" s="122"/>
      <c r="H2" s="122"/>
    </row>
    <row r="3" spans="1:8">
      <c r="A3" s="94" t="s">
        <v>2</v>
      </c>
      <c r="B3" s="94"/>
      <c r="C3" s="94"/>
      <c r="D3" s="94"/>
      <c r="E3" s="180" t="str">
        <f ca="1">TEXT(TODAY(),"DD/MM/YYYY")</f>
        <v>13/09/2025</v>
      </c>
      <c r="F3" s="180"/>
      <c r="G3" s="180"/>
      <c r="H3" s="180"/>
    </row>
    <row r="4" spans="1:8" ht="15" customHeight="1">
      <c r="A4" s="94" t="s">
        <v>3</v>
      </c>
      <c r="B4" s="94"/>
      <c r="C4" s="94"/>
      <c r="D4" s="94"/>
      <c r="E4" s="181" t="s">
        <v>4</v>
      </c>
      <c r="F4" s="181"/>
      <c r="G4" s="181"/>
      <c r="H4" s="181"/>
    </row>
    <row r="5" spans="1:8">
      <c r="A5" s="94" t="s">
        <v>5</v>
      </c>
      <c r="B5" s="94"/>
      <c r="C5" s="94"/>
      <c r="D5" s="94"/>
      <c r="E5" s="180">
        <v>45911</v>
      </c>
      <c r="F5" s="180"/>
      <c r="G5" s="180"/>
      <c r="H5" s="180"/>
    </row>
    <row r="6" spans="1:8" ht="16.5" customHeight="1">
      <c r="A6" s="94" t="s">
        <v>6</v>
      </c>
      <c r="B6" s="94"/>
      <c r="C6" s="94"/>
      <c r="D6" s="94"/>
      <c r="E6" s="66" t="s">
        <v>7</v>
      </c>
      <c r="F6" s="66"/>
      <c r="G6" s="66"/>
      <c r="H6" s="66"/>
    </row>
    <row r="7" spans="1:8" ht="15" customHeight="1">
      <c r="A7" s="94" t="s">
        <v>8</v>
      </c>
      <c r="B7" s="94"/>
      <c r="C7" s="94"/>
      <c r="D7" s="94"/>
      <c r="E7" s="66" t="str">
        <f>E6</f>
        <v>M/s. Shreedham Developers</v>
      </c>
      <c r="F7" s="66"/>
      <c r="G7" s="66"/>
      <c r="H7" s="66"/>
    </row>
    <row r="8" spans="1:8">
      <c r="A8" s="94" t="s">
        <v>9</v>
      </c>
      <c r="B8" s="94"/>
      <c r="C8" s="94"/>
      <c r="D8" s="94"/>
      <c r="E8" s="158" t="s">
        <v>10</v>
      </c>
      <c r="F8" s="158"/>
      <c r="G8" s="158"/>
      <c r="H8" s="158"/>
    </row>
    <row r="9" spans="1:8">
      <c r="A9" s="94" t="s">
        <v>11</v>
      </c>
      <c r="B9" s="94"/>
      <c r="C9" s="94"/>
      <c r="D9" s="94"/>
      <c r="E9" s="144">
        <v>7738898870</v>
      </c>
      <c r="F9" s="144"/>
      <c r="G9" s="144"/>
      <c r="H9" s="144"/>
    </row>
    <row r="10" spans="1:8" ht="14.45" hidden="1" customHeight="1">
      <c r="A10" s="60" t="s">
        <v>12</v>
      </c>
      <c r="B10" s="94"/>
      <c r="C10" s="94"/>
      <c r="D10" s="94"/>
      <c r="E10" s="144" t="s">
        <v>13</v>
      </c>
      <c r="F10" s="144"/>
      <c r="G10" s="144"/>
      <c r="H10" s="144"/>
    </row>
    <row r="11" spans="1:8">
      <c r="A11" s="61" t="s">
        <v>14</v>
      </c>
      <c r="B11" s="61"/>
      <c r="C11" s="61"/>
      <c r="D11" s="61"/>
      <c r="E11" s="144" t="s">
        <v>15</v>
      </c>
      <c r="F11" s="144"/>
      <c r="G11" s="144"/>
      <c r="H11" s="144"/>
    </row>
    <row r="12" spans="1:8">
      <c r="A12" s="94" t="s">
        <v>16</v>
      </c>
      <c r="B12" s="94"/>
      <c r="C12" s="94"/>
      <c r="D12" s="94"/>
      <c r="E12" s="176" t="s">
        <v>17</v>
      </c>
      <c r="F12" s="176"/>
      <c r="G12" s="176"/>
      <c r="H12" s="176"/>
    </row>
    <row r="13" spans="1:8">
      <c r="A13" s="94" t="s">
        <v>18</v>
      </c>
      <c r="B13" s="94"/>
      <c r="C13" s="94"/>
      <c r="D13" s="94"/>
      <c r="E13" s="177" t="s">
        <v>19</v>
      </c>
      <c r="F13" s="178"/>
      <c r="G13" s="178"/>
      <c r="H13" s="178"/>
    </row>
    <row r="14" spans="1:8" ht="51.75" customHeight="1">
      <c r="A14" s="60" t="s">
        <v>20</v>
      </c>
      <c r="B14" s="60"/>
      <c r="C14" s="138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Ashirwad Chs Ltd, C.T.S No.5662, Existing Building No.106, near Shree Ganesh Building No.45, Yashvant Seth Jadhav Marg, Pant Nagar, Ghatkoper (East), Kurla, Mumbai - 400075.</v>
      </c>
      <c r="D14" s="138"/>
      <c r="E14" s="138"/>
      <c r="F14" s="138"/>
      <c r="G14" s="138"/>
      <c r="H14" s="138"/>
    </row>
    <row r="15" spans="1:8">
      <c r="A15" s="60" t="s">
        <v>21</v>
      </c>
      <c r="B15" s="60"/>
      <c r="C15" s="138" t="s">
        <v>22</v>
      </c>
      <c r="D15" s="138"/>
      <c r="E15" s="138"/>
      <c r="F15" s="138"/>
      <c r="G15" s="138"/>
      <c r="H15" s="138"/>
    </row>
    <row r="16" spans="1:8" ht="15.75" customHeight="1">
      <c r="A16" s="60" t="s">
        <v>23</v>
      </c>
      <c r="B16" s="60"/>
      <c r="C16" s="61" t="s">
        <v>24</v>
      </c>
      <c r="D16" s="61"/>
      <c r="E16" s="138" t="s">
        <v>25</v>
      </c>
      <c r="F16" s="138"/>
      <c r="G16" s="138" t="s">
        <v>26</v>
      </c>
      <c r="H16" s="138"/>
    </row>
    <row r="17" spans="1:8">
      <c r="A17" s="94" t="s">
        <v>27</v>
      </c>
      <c r="B17" s="94"/>
      <c r="C17" s="138" t="s">
        <v>28</v>
      </c>
      <c r="D17" s="138"/>
      <c r="E17" s="138" t="s">
        <v>29</v>
      </c>
      <c r="F17" s="138"/>
      <c r="G17" s="170" t="s">
        <v>30</v>
      </c>
      <c r="H17" s="170"/>
    </row>
    <row r="18" spans="1:8">
      <c r="A18" s="94" t="s">
        <v>31</v>
      </c>
      <c r="B18" s="94"/>
      <c r="C18" s="138" t="s">
        <v>32</v>
      </c>
      <c r="D18" s="138"/>
      <c r="E18" s="138" t="s">
        <v>33</v>
      </c>
      <c r="F18" s="138"/>
      <c r="G18" s="138">
        <v>400075</v>
      </c>
      <c r="H18" s="138"/>
    </row>
    <row r="19" spans="1:8" ht="32.25" customHeight="1">
      <c r="A19" s="94" t="s">
        <v>34</v>
      </c>
      <c r="B19" s="94"/>
      <c r="C19" s="66" t="s">
        <v>35</v>
      </c>
      <c r="D19" s="66"/>
      <c r="E19" s="138" t="s">
        <v>36</v>
      </c>
      <c r="F19" s="138"/>
      <c r="G19" s="138" t="s">
        <v>37</v>
      </c>
      <c r="H19" s="138"/>
    </row>
    <row r="20" spans="1:8" ht="15" customHeight="1">
      <c r="A20" s="60" t="s">
        <v>38</v>
      </c>
      <c r="B20" s="60"/>
      <c r="C20" s="60"/>
      <c r="D20" s="60"/>
      <c r="E20" s="61" t="s">
        <v>39</v>
      </c>
      <c r="F20" s="61"/>
      <c r="G20" s="61"/>
      <c r="H20" s="61"/>
    </row>
    <row r="21" spans="1:8" ht="18.75" customHeight="1">
      <c r="A21" s="60"/>
      <c r="B21" s="60"/>
      <c r="C21" s="60"/>
      <c r="D21" s="60"/>
      <c r="E21" s="61"/>
      <c r="F21" s="61"/>
      <c r="G21" s="61"/>
      <c r="H21" s="61"/>
    </row>
    <row r="22" spans="1:8" ht="15" customHeight="1">
      <c r="A22" s="60" t="s">
        <v>40</v>
      </c>
      <c r="B22" s="60"/>
      <c r="C22" s="60"/>
      <c r="D22" s="60"/>
      <c r="E22" s="138" t="s">
        <v>41</v>
      </c>
      <c r="F22" s="138"/>
      <c r="G22" s="138"/>
      <c r="H22" s="138"/>
    </row>
    <row r="23" spans="1:8" ht="15" customHeight="1">
      <c r="A23" s="94" t="s">
        <v>42</v>
      </c>
      <c r="B23" s="94"/>
      <c r="C23" s="94"/>
      <c r="D23" s="94"/>
      <c r="E23" s="138" t="str">
        <f>IF(AND(G17="Mumbai"),"Upper Class","Middle Class")</f>
        <v>Upper Class</v>
      </c>
      <c r="F23" s="138"/>
      <c r="G23" s="138"/>
      <c r="H23" s="138"/>
    </row>
    <row r="24" spans="1:8">
      <c r="A24" s="94" t="s">
        <v>43</v>
      </c>
      <c r="B24" s="94"/>
      <c r="C24" s="94"/>
      <c r="D24" s="94"/>
      <c r="E24" s="138" t="s">
        <v>44</v>
      </c>
      <c r="F24" s="138"/>
      <c r="G24" s="138"/>
      <c r="H24" s="138"/>
    </row>
    <row r="25" spans="1:8" ht="15.75" customHeight="1">
      <c r="A25" s="94" t="s">
        <v>45</v>
      </c>
      <c r="B25" s="94"/>
      <c r="C25" s="94"/>
      <c r="D25" s="94"/>
      <c r="E25" s="138" t="str">
        <f>IF(AND(G17="Mumbai"),"Developed","Developing")</f>
        <v>Developed</v>
      </c>
      <c r="F25" s="138"/>
      <c r="G25" s="138"/>
      <c r="H25" s="138"/>
    </row>
    <row r="26" spans="1:8">
      <c r="A26" s="94" t="s">
        <v>46</v>
      </c>
      <c r="B26" s="94"/>
      <c r="C26" s="94"/>
      <c r="D26" s="94"/>
      <c r="E26" s="138" t="s">
        <v>47</v>
      </c>
      <c r="F26" s="138"/>
      <c r="G26" s="138"/>
      <c r="H26" s="138"/>
    </row>
    <row r="27" spans="1:8">
      <c r="A27" s="94" t="s">
        <v>48</v>
      </c>
      <c r="B27" s="94"/>
      <c r="C27" s="94"/>
      <c r="D27" s="94"/>
      <c r="E27" s="138" t="s">
        <v>49</v>
      </c>
      <c r="F27" s="138"/>
      <c r="G27" s="138"/>
      <c r="H27" s="138"/>
    </row>
    <row r="28" spans="1:8" ht="15" customHeight="1">
      <c r="A28" s="60" t="s">
        <v>50</v>
      </c>
      <c r="B28" s="60"/>
      <c r="C28" s="60"/>
      <c r="D28" s="60"/>
      <c r="E28" s="173" t="str">
        <f>IF(ISNUMBER(SEARCH("Shop",D56)),"Residential + Commercial",IF(ISNUMBER(SEARCH("Office",D56)),"Residential + Commercial",IF(SEARCH("Flats",D56),"Residential","")))</f>
        <v>Residential + Commercial</v>
      </c>
      <c r="F28" s="173"/>
      <c r="G28" s="173"/>
      <c r="H28" s="173"/>
    </row>
    <row r="29" spans="1:8">
      <c r="A29" s="60" t="s">
        <v>51</v>
      </c>
      <c r="B29" s="60"/>
      <c r="C29" s="60"/>
      <c r="D29" s="60"/>
      <c r="E29" s="60" t="s">
        <v>52</v>
      </c>
      <c r="F29" s="60"/>
      <c r="G29" s="60"/>
      <c r="H29" s="60"/>
    </row>
    <row r="30" spans="1:8" s="13" customFormat="1">
      <c r="A30" s="174" t="s">
        <v>53</v>
      </c>
      <c r="B30" s="174"/>
      <c r="C30" s="175" t="s">
        <v>54</v>
      </c>
      <c r="D30" s="175"/>
      <c r="E30" s="175"/>
      <c r="F30" s="175" t="s">
        <v>55</v>
      </c>
      <c r="G30" s="175"/>
      <c r="H30" s="175"/>
    </row>
    <row r="31" spans="1:8" s="13" customFormat="1">
      <c r="A31" s="167" t="s">
        <v>56</v>
      </c>
      <c r="B31" s="167" t="s">
        <v>57</v>
      </c>
      <c r="C31" s="137" t="s">
        <v>57</v>
      </c>
      <c r="D31" s="137"/>
      <c r="E31" s="137"/>
      <c r="F31" s="137" t="s">
        <v>58</v>
      </c>
      <c r="G31" s="137"/>
      <c r="H31" s="137"/>
    </row>
    <row r="32" spans="1:8" ht="32.25" customHeight="1">
      <c r="A32" s="171" t="s">
        <v>59</v>
      </c>
      <c r="B32" s="171" t="s">
        <v>57</v>
      </c>
      <c r="C32" s="171" t="s">
        <v>57</v>
      </c>
      <c r="D32" s="171"/>
      <c r="E32" s="171"/>
      <c r="F32" s="172" t="s">
        <v>60</v>
      </c>
      <c r="G32" s="171"/>
      <c r="H32" s="171"/>
    </row>
    <row r="33" spans="1:9" s="13" customFormat="1">
      <c r="A33" s="167" t="s">
        <v>61</v>
      </c>
      <c r="B33" s="167" t="s">
        <v>57</v>
      </c>
      <c r="C33" s="137" t="s">
        <v>57</v>
      </c>
      <c r="D33" s="137"/>
      <c r="E33" s="137"/>
      <c r="F33" s="137" t="s">
        <v>62</v>
      </c>
      <c r="G33" s="137"/>
      <c r="H33" s="137"/>
    </row>
    <row r="34" spans="1:9">
      <c r="A34" s="167" t="s">
        <v>63</v>
      </c>
      <c r="B34" s="167" t="s">
        <v>57</v>
      </c>
      <c r="C34" s="137" t="s">
        <v>57</v>
      </c>
      <c r="D34" s="137"/>
      <c r="E34" s="137"/>
      <c r="F34" s="137" t="s">
        <v>64</v>
      </c>
      <c r="G34" s="137"/>
      <c r="H34" s="137"/>
    </row>
    <row r="35" spans="1:9">
      <c r="A35" s="61" t="s">
        <v>65</v>
      </c>
      <c r="B35" s="61"/>
      <c r="C35" s="61"/>
      <c r="D35" s="61"/>
      <c r="E35" s="61"/>
      <c r="F35" s="61"/>
      <c r="G35" s="61"/>
      <c r="H35" s="61"/>
    </row>
    <row r="36" spans="1:9" ht="15.75" customHeight="1">
      <c r="A36" s="61" t="s">
        <v>66</v>
      </c>
      <c r="B36" s="61"/>
      <c r="C36" s="168" t="s">
        <v>67</v>
      </c>
      <c r="D36" s="168"/>
      <c r="E36" s="168"/>
      <c r="F36" s="168"/>
      <c r="G36" s="168"/>
      <c r="H36" s="168"/>
    </row>
    <row r="37" spans="1:9" ht="15.75" customHeight="1">
      <c r="A37" s="61" t="s">
        <v>68</v>
      </c>
      <c r="B37" s="61"/>
      <c r="C37" s="169" t="s">
        <v>69</v>
      </c>
      <c r="D37" s="170"/>
      <c r="E37" s="170"/>
      <c r="F37" s="170"/>
      <c r="G37" s="170"/>
      <c r="H37" s="170"/>
    </row>
    <row r="38" spans="1:9">
      <c r="A38" s="130" t="s">
        <v>70</v>
      </c>
      <c r="B38" s="130"/>
      <c r="C38" s="130"/>
      <c r="D38" s="130"/>
      <c r="E38" s="130"/>
      <c r="F38" s="130"/>
      <c r="G38" s="130"/>
      <c r="H38" s="130"/>
    </row>
    <row r="39" spans="1:9">
      <c r="A39" s="94" t="s">
        <v>71</v>
      </c>
      <c r="B39" s="94"/>
      <c r="C39" s="94"/>
      <c r="D39" s="94"/>
      <c r="E39" s="163">
        <v>742.04</v>
      </c>
      <c r="F39" s="163"/>
      <c r="G39" s="163"/>
      <c r="H39" s="163"/>
    </row>
    <row r="40" spans="1:9">
      <c r="A40" s="94" t="s">
        <v>72</v>
      </c>
      <c r="B40" s="94"/>
      <c r="C40" s="94"/>
      <c r="D40" s="94"/>
      <c r="E40" s="164">
        <v>1.5</v>
      </c>
      <c r="F40" s="164"/>
      <c r="G40" s="164"/>
      <c r="H40" s="164"/>
    </row>
    <row r="41" spans="1:9">
      <c r="A41" s="94" t="s">
        <v>73</v>
      </c>
      <c r="B41" s="94"/>
      <c r="C41" s="94"/>
      <c r="D41" s="94"/>
      <c r="E41" s="165">
        <f>E43/E39-E40</f>
        <v>3.6562179936391574</v>
      </c>
      <c r="F41" s="165"/>
      <c r="G41" s="165"/>
      <c r="H41" s="165"/>
    </row>
    <row r="42" spans="1:9">
      <c r="A42" s="94" t="s">
        <v>74</v>
      </c>
      <c r="B42" s="94"/>
      <c r="C42" s="94"/>
      <c r="D42" s="94"/>
      <c r="E42" s="165">
        <f>E40+E41</f>
        <v>5.1562179936391574</v>
      </c>
      <c r="F42" s="165"/>
      <c r="G42" s="165"/>
      <c r="H42" s="165"/>
    </row>
    <row r="43" spans="1:9">
      <c r="A43" s="94" t="s">
        <v>75</v>
      </c>
      <c r="B43" s="94"/>
      <c r="C43" s="94"/>
      <c r="D43" s="94"/>
      <c r="E43" s="166">
        <v>3826.12</v>
      </c>
      <c r="F43" s="166"/>
      <c r="G43" s="166"/>
      <c r="H43" s="166"/>
      <c r="I43" s="20">
        <v>5102.42</v>
      </c>
    </row>
    <row r="44" spans="1:9">
      <c r="A44" s="61" t="s">
        <v>76</v>
      </c>
      <c r="B44" s="61"/>
      <c r="C44" s="61"/>
      <c r="D44" s="61"/>
      <c r="E44" s="144" t="s">
        <v>77</v>
      </c>
      <c r="F44" s="144"/>
      <c r="G44" s="144"/>
      <c r="H44" s="144"/>
    </row>
    <row r="45" spans="1:9">
      <c r="A45" s="130" t="s">
        <v>78</v>
      </c>
      <c r="B45" s="130"/>
      <c r="C45" s="130"/>
      <c r="D45" s="130"/>
      <c r="E45" s="130"/>
      <c r="F45" s="130"/>
      <c r="G45" s="130"/>
      <c r="H45" s="130"/>
    </row>
    <row r="46" spans="1:9" ht="33.75" customHeight="1">
      <c r="A46" s="150" t="s">
        <v>79</v>
      </c>
      <c r="B46" s="152"/>
      <c r="C46" s="160" t="s">
        <v>80</v>
      </c>
      <c r="D46" s="161"/>
      <c r="E46" s="161"/>
      <c r="F46" s="161"/>
      <c r="G46" s="161"/>
      <c r="H46" s="162"/>
    </row>
    <row r="47" spans="1:9">
      <c r="A47" s="66" t="s">
        <v>81</v>
      </c>
      <c r="B47" s="66"/>
      <c r="C47" s="66" t="s">
        <v>82</v>
      </c>
      <c r="D47" s="66"/>
      <c r="E47" s="66"/>
      <c r="F47" s="22" t="s">
        <v>83</v>
      </c>
      <c r="G47" s="149">
        <v>45027</v>
      </c>
      <c r="H47" s="149"/>
    </row>
    <row r="48" spans="1:9">
      <c r="A48" s="144" t="s">
        <v>84</v>
      </c>
      <c r="B48" s="144"/>
      <c r="C48" s="66" t="str">
        <f>C47</f>
        <v>MHADA-1/399/2023</v>
      </c>
      <c r="D48" s="66"/>
      <c r="E48" s="66"/>
      <c r="F48" s="22" t="s">
        <v>83</v>
      </c>
      <c r="G48" s="149">
        <f>G47</f>
        <v>45027</v>
      </c>
      <c r="H48" s="149"/>
    </row>
    <row r="49" spans="1:14" s="14" customFormat="1" ht="30.75" hidden="1" customHeight="1">
      <c r="A49" s="66" t="s">
        <v>85</v>
      </c>
      <c r="B49" s="66"/>
      <c r="C49" s="66" t="s">
        <v>86</v>
      </c>
      <c r="D49" s="144"/>
      <c r="E49" s="144"/>
      <c r="F49" s="23" t="s">
        <v>83</v>
      </c>
      <c r="G49" s="149">
        <v>44791</v>
      </c>
      <c r="H49" s="149"/>
    </row>
    <row r="50" spans="1:14" s="14" customFormat="1" ht="96.75" hidden="1" customHeight="1">
      <c r="A50" s="66"/>
      <c r="B50" s="66"/>
      <c r="C50" s="150" t="s">
        <v>87</v>
      </c>
      <c r="D50" s="151"/>
      <c r="E50" s="152"/>
      <c r="F50" s="24" t="s">
        <v>88</v>
      </c>
      <c r="G50" s="153">
        <v>44892</v>
      </c>
      <c r="H50" s="152"/>
    </row>
    <row r="51" spans="1:14" s="14" customFormat="1" ht="30.75" customHeight="1">
      <c r="A51" s="66" t="s">
        <v>89</v>
      </c>
      <c r="B51" s="66"/>
      <c r="C51" s="66" t="s">
        <v>90</v>
      </c>
      <c r="D51" s="144"/>
      <c r="E51" s="144"/>
      <c r="F51" s="23" t="s">
        <v>83</v>
      </c>
      <c r="G51" s="154" t="s">
        <v>91</v>
      </c>
      <c r="H51" s="154"/>
    </row>
    <row r="52" spans="1:14" s="14" customFormat="1" ht="80.099999999999994" customHeight="1">
      <c r="A52" s="66"/>
      <c r="B52" s="66"/>
      <c r="C52" s="150" t="s">
        <v>92</v>
      </c>
      <c r="D52" s="151"/>
      <c r="E52" s="152"/>
      <c r="F52" s="24" t="s">
        <v>88</v>
      </c>
      <c r="G52" s="155" t="s">
        <v>93</v>
      </c>
      <c r="H52" s="156"/>
    </row>
    <row r="53" spans="1:14">
      <c r="A53" s="157" t="s">
        <v>94</v>
      </c>
      <c r="B53" s="157"/>
      <c r="C53" s="157" t="s">
        <v>95</v>
      </c>
      <c r="D53" s="158"/>
      <c r="E53" s="158" t="s">
        <v>96</v>
      </c>
      <c r="F53" s="21" t="s">
        <v>83</v>
      </c>
      <c r="G53" s="159" t="s">
        <v>57</v>
      </c>
      <c r="H53" s="159"/>
    </row>
    <row r="54" spans="1:14">
      <c r="A54" s="143" t="s">
        <v>97</v>
      </c>
      <c r="B54" s="143"/>
      <c r="C54" s="143"/>
      <c r="D54" s="143"/>
      <c r="E54" s="143"/>
      <c r="F54" s="143"/>
      <c r="G54" s="143"/>
      <c r="H54" s="143"/>
    </row>
    <row r="55" spans="1:14">
      <c r="A55" s="66" t="s">
        <v>98</v>
      </c>
      <c r="B55" s="66"/>
      <c r="C55" s="66"/>
      <c r="D55" s="144">
        <f>E43</f>
        <v>3826.12</v>
      </c>
      <c r="E55" s="144"/>
      <c r="F55" s="144"/>
      <c r="G55" s="144"/>
      <c r="H55" s="144"/>
    </row>
    <row r="56" spans="1:14">
      <c r="A56" s="138" t="s">
        <v>99</v>
      </c>
      <c r="B56" s="61"/>
      <c r="C56" s="61"/>
      <c r="D56" s="61" t="s">
        <v>100</v>
      </c>
      <c r="E56" s="61"/>
      <c r="F56" s="61"/>
      <c r="G56" s="61"/>
      <c r="H56" s="61"/>
      <c r="I56" s="25"/>
    </row>
    <row r="57" spans="1:14" ht="15.75" customHeight="1">
      <c r="A57" s="145" t="s">
        <v>101</v>
      </c>
      <c r="B57" s="146"/>
      <c r="C57" s="147"/>
      <c r="D57" s="148" t="s">
        <v>102</v>
      </c>
      <c r="E57" s="148"/>
      <c r="F57" s="148"/>
      <c r="G57" s="148"/>
      <c r="H57" s="148"/>
    </row>
    <row r="58" spans="1:14" ht="15.75" customHeight="1">
      <c r="A58" s="145" t="s">
        <v>103</v>
      </c>
      <c r="B58" s="146"/>
      <c r="C58" s="146"/>
      <c r="D58" s="144" t="s">
        <v>104</v>
      </c>
      <c r="E58" s="144"/>
      <c r="F58" s="144"/>
      <c r="G58" s="144"/>
      <c r="H58" s="144"/>
    </row>
    <row r="59" spans="1:14" ht="15.75" customHeight="1">
      <c r="A59" s="94" t="s">
        <v>105</v>
      </c>
      <c r="B59" s="94"/>
      <c r="C59" s="94"/>
      <c r="D59" s="66" t="s">
        <v>238</v>
      </c>
      <c r="E59" s="66"/>
      <c r="F59" s="66"/>
      <c r="G59" s="66"/>
      <c r="H59" s="66"/>
      <c r="J59" s="26"/>
      <c r="K59" s="25"/>
      <c r="N59" s="25"/>
    </row>
    <row r="60" spans="1:14" ht="15.75" customHeight="1">
      <c r="A60" s="94" t="s">
        <v>106</v>
      </c>
      <c r="B60" s="94"/>
      <c r="C60" s="94"/>
      <c r="D60" s="142" t="str">
        <f>(IF(G53="NA","60 Years After Completion",IF(G53&lt;&gt;"NA",""&amp;60-ROUNDDOWN((E3-G53)/360,0)&amp;" Years"," ")))</f>
        <v>60 Years After Completion</v>
      </c>
      <c r="E60" s="142"/>
      <c r="F60" s="142"/>
      <c r="G60" s="142"/>
      <c r="H60" s="142"/>
      <c r="N60" s="25"/>
    </row>
    <row r="61" spans="1:14" ht="15.75" customHeight="1">
      <c r="A61" s="94" t="s">
        <v>107</v>
      </c>
      <c r="B61" s="94"/>
      <c r="C61" s="94"/>
      <c r="D61" s="60" t="s">
        <v>47</v>
      </c>
      <c r="E61" s="60"/>
      <c r="F61" s="60"/>
      <c r="G61" s="60"/>
      <c r="H61" s="60"/>
      <c r="J61" s="27"/>
      <c r="K61" s="27"/>
    </row>
    <row r="62" spans="1:14" ht="30.75" customHeight="1">
      <c r="A62" s="94" t="s">
        <v>108</v>
      </c>
      <c r="B62" s="94"/>
      <c r="C62" s="94"/>
      <c r="D62" s="138" t="s">
        <v>109</v>
      </c>
      <c r="E62" s="60"/>
      <c r="F62" s="60"/>
      <c r="G62" s="60"/>
      <c r="H62" s="60"/>
    </row>
    <row r="63" spans="1:14">
      <c r="A63" s="60" t="s">
        <v>110</v>
      </c>
      <c r="B63" s="60"/>
      <c r="C63" s="60"/>
      <c r="D63" s="60" t="s">
        <v>57</v>
      </c>
      <c r="E63" s="60"/>
      <c r="F63" s="60"/>
      <c r="G63" s="60"/>
      <c r="H63" s="60"/>
      <c r="I63" s="28"/>
      <c r="J63" s="28"/>
      <c r="K63" s="28"/>
      <c r="L63" s="28"/>
      <c r="M63" s="28"/>
      <c r="N63" s="28"/>
    </row>
    <row r="64" spans="1:14" ht="15.75" customHeight="1">
      <c r="A64" s="94" t="s">
        <v>111</v>
      </c>
      <c r="B64" s="94"/>
      <c r="C64" s="94"/>
      <c r="D64" s="138" t="str">
        <f ca="1">(IF(G70&gt;95%,"Nothing",IF(G70&gt;0%,"Cement, Aggregate, Steel, etc",IF(G70=0%,"Work not yet Started"))))</f>
        <v>Cement, Aggregate, Steel, etc</v>
      </c>
      <c r="E64" s="138"/>
      <c r="F64" s="138"/>
      <c r="G64" s="138"/>
      <c r="H64" s="138"/>
      <c r="J64" s="27"/>
    </row>
    <row r="65" spans="1:10" ht="33.75" customHeight="1">
      <c r="A65" s="60" t="s">
        <v>112</v>
      </c>
      <c r="B65" s="60"/>
      <c r="C65" s="60"/>
      <c r="D65" s="138" t="str">
        <f ca="1">(IF(D64="Nothing","Yes",IF(D64="Cement, Aggregate, Steel, etc","Under Construction",IF(D64="Work not yet Started","Work not yet Started"))))</f>
        <v>Under Construction</v>
      </c>
      <c r="E65" s="138"/>
      <c r="F65" s="138" t="str">
        <f ca="1">(IF(D64="Nothing","Yes",IF(D64="Cement, Aggregate, Steel, etc","Under Construction",IF(D64="Work not yet Started","Work not yet Started"))))</f>
        <v>Under Construction</v>
      </c>
      <c r="G65" s="138"/>
      <c r="H65" s="138"/>
    </row>
    <row r="66" spans="1:10" ht="15.75" customHeight="1">
      <c r="A66" s="139" t="s">
        <v>113</v>
      </c>
      <c r="B66" s="139"/>
      <c r="C66" s="139" t="str">
        <f>D58</f>
        <v>Gr/St + 1st to 15th Floor</v>
      </c>
      <c r="D66" s="139"/>
      <c r="E66" s="139"/>
      <c r="F66" s="139"/>
      <c r="G66" s="139"/>
      <c r="H66" s="139"/>
      <c r="I66" s="41" t="str">
        <f ca="1">(IF(E70&gt;99%,"All work completed. Please provide OC.",IF(E70&gt;89.8%,"Plinth, RCC, Brick, Plaster, Flooring, Painting work Completed. Finishing work is in process.",IF(E70&lt;94%,(IF(C70=0,"Work not yet Started.",IF(D70=25%,"Piling work in process",IF(D70=50%,"Excavation work in process",IF(D70=100%,"Excavation work Completed. ","0")))&amp;(IF(C71=0%,"",IF(C71=J72,"Footing work is process",IF(C71=J73,"Footing work Completed",IF(C71=J74,"1st Basement Completed",IF(C71=J75,"1st &amp; 2nd Basement Completed",IF(C71=J76,"1st to 3rd Basement Completed",IF(C71=J77,"1st to 4th Basement Completed",IF(C71=J78,"Plinth work is process",IF(C71=J79,"Plinth work completed","0")))))))))))&amp;(IF(C72=(D67+F67+H67),", RCC Slab Completed",IF(C72&gt;0,", RCC upto "&amp;C72&amp;" Slab Completed",""))&amp;(IF(C73=H67,", Brickwork Completed",IF(C73&gt;0,", Brickwork upto "&amp;C73&amp;" Floor Completed",""))&amp;(IF(C74=H67,", Internal Plaster Completed",IF(C74&gt;0,", Internal Plaster upto "&amp;C74&amp;" Floor Completed",""))&amp;(IF(C75=H67,", External Plaster Completed",IF(C75&gt;0,", External Plaster upto "&amp;C75&amp;" Floor Completed",""))&amp;(IF(C76=H67,", Flooring Completed",IF(C76&gt;0,", Flooring upto "&amp;C76&amp;" Floor Completed",""))&amp;(IF(C77=H67,", Painting Completed",IF(C77&gt;0,", Painting upto "&amp;C77&amp;" Floor Completed",""))&amp;(IF(C78&gt;0,", Finishing upto "&amp;C78&amp;" Floor Completed","")&amp;(IF(C72&gt;0.5,".",""))))))))))))))</f>
        <v>Excavation work Completed. Plinth work completed, RCC Slab Completed, Brickwork Completed, Internal Plaster Completed, External Plaster Completed, Flooring upto 12 Floor Completed, Painting upto 12 Floor Completed, Finishing upto 4 Floor Completed.</v>
      </c>
      <c r="J66" s="42"/>
    </row>
    <row r="67" spans="1:10">
      <c r="A67" s="58" t="s">
        <v>114</v>
      </c>
      <c r="B67" s="58">
        <v>0</v>
      </c>
      <c r="C67" s="58" t="s">
        <v>115</v>
      </c>
      <c r="D67" s="58">
        <v>1</v>
      </c>
      <c r="E67" s="58" t="s">
        <v>116</v>
      </c>
      <c r="F67" s="58">
        <v>0</v>
      </c>
      <c r="G67" s="58" t="s">
        <v>117</v>
      </c>
      <c r="H67" s="58">
        <f ca="1">--TRIM(RIGHT(SUBSTITUTE(LEFT(C66,_xlfn.AGGREGATE(16,6,FIND({0,1,2,3,4,5,6,7,8,9},C66,ROW(INDIRECT("1:"&amp;LEN(C66)))),1))," ",REPT(" ",LEN(C66))),LEN(C66)))</f>
        <v>15</v>
      </c>
      <c r="I67" s="27"/>
      <c r="J67" s="43"/>
    </row>
    <row r="68" spans="1:10" ht="62.45" customHeight="1">
      <c r="A68" s="140" t="s">
        <v>118</v>
      </c>
      <c r="B68" s="140"/>
      <c r="C68" s="139" t="str">
        <f ca="1">(IF($G$53="NA",I66,"All work Completed. OC Received."))</f>
        <v>Excavation work Completed. Plinth work completed, RCC Slab Completed, Brickwork Completed, Internal Plaster Completed, External Plaster Completed, Flooring upto 12 Floor Completed, Painting upto 12 Floor Completed, Finishing upto 4 Floor Completed.</v>
      </c>
      <c r="D68" s="139"/>
      <c r="E68" s="139"/>
      <c r="F68" s="139"/>
      <c r="G68" s="139"/>
      <c r="H68" s="139"/>
      <c r="I68" s="27" t="s">
        <v>119</v>
      </c>
      <c r="J68" s="43"/>
    </row>
    <row r="69" spans="1:10" ht="15.75" customHeight="1">
      <c r="A69" s="134" t="s">
        <v>120</v>
      </c>
      <c r="B69" s="135"/>
      <c r="C69" s="29" t="s">
        <v>121</v>
      </c>
      <c r="D69" s="29" t="s">
        <v>122</v>
      </c>
      <c r="E69" s="135" t="s">
        <v>123</v>
      </c>
      <c r="F69" s="135"/>
      <c r="G69" s="135" t="s">
        <v>124</v>
      </c>
      <c r="H69" s="141"/>
      <c r="I69" s="44" t="s">
        <v>125</v>
      </c>
      <c r="J69" s="45">
        <f ca="1">H67*25%</f>
        <v>3.75</v>
      </c>
    </row>
    <row r="70" spans="1:10">
      <c r="A70" s="134" t="s">
        <v>126</v>
      </c>
      <c r="B70" s="135"/>
      <c r="C70" s="30">
        <f ca="1">J71</f>
        <v>15</v>
      </c>
      <c r="D70" s="31">
        <f ca="1">((100/H67)*C70)/100</f>
        <v>1</v>
      </c>
      <c r="E70" s="62">
        <f ca="1">(((C71/H67*10)+(40/(D67+F67+H67)*C72)+(7.5/(H67)*C73)+(7.5/(H67)*C74)+(10/H67*C75)+(10/H67*C76)+(5/H67*C77)+(5/H67*C78)+(5/H67*C79))/100)</f>
        <v>0.8833333333333333</v>
      </c>
      <c r="F70" s="62"/>
      <c r="G70" s="62">
        <f ca="1">((((C70/H67)*20)+((C71/H67)*25)+(30/(H67+F67+D67)*C72)+(5/H67*C73)+(5/H67*C74)+(5/H67*C75)+(5/H67*C76)+(0/H67*C77)+(0/H67*C78)+(5/H67*C79))/100)</f>
        <v>0.94</v>
      </c>
      <c r="H70" s="64"/>
      <c r="I70" s="44" t="s">
        <v>127</v>
      </c>
      <c r="J70" s="46">
        <f ca="1">H67*50%</f>
        <v>7.5</v>
      </c>
    </row>
    <row r="71" spans="1:10">
      <c r="A71" s="134" t="s">
        <v>128</v>
      </c>
      <c r="B71" s="135"/>
      <c r="C71" s="32">
        <f ca="1">J79</f>
        <v>15</v>
      </c>
      <c r="D71" s="31">
        <f ca="1">((100/H67)*C71)/100</f>
        <v>1</v>
      </c>
      <c r="E71" s="62"/>
      <c r="F71" s="62"/>
      <c r="G71" s="62"/>
      <c r="H71" s="64"/>
      <c r="I71" s="44" t="s">
        <v>129</v>
      </c>
      <c r="J71" s="46">
        <f ca="1">H67</f>
        <v>15</v>
      </c>
    </row>
    <row r="72" spans="1:10" ht="15.75" customHeight="1">
      <c r="A72" s="136" t="s">
        <v>130</v>
      </c>
      <c r="B72" s="137"/>
      <c r="C72" s="32">
        <v>16</v>
      </c>
      <c r="D72" s="31">
        <f ca="1">((100/(D67+F67+H67))*C72)/100</f>
        <v>1</v>
      </c>
      <c r="E72" s="62"/>
      <c r="F72" s="62"/>
      <c r="G72" s="62"/>
      <c r="H72" s="64"/>
      <c r="I72" s="44" t="s">
        <v>131</v>
      </c>
      <c r="J72" s="47">
        <f ca="1">(IF(B67&gt;1,(H67/(B67+2)),H67/4))</f>
        <v>3.75</v>
      </c>
    </row>
    <row r="73" spans="1:10" ht="15.75" customHeight="1">
      <c r="A73" s="134" t="s">
        <v>132</v>
      </c>
      <c r="B73" s="135" t="s">
        <v>133</v>
      </c>
      <c r="C73" s="30">
        <v>15</v>
      </c>
      <c r="D73" s="31">
        <f ca="1">((100/H67)*C73)/100</f>
        <v>1</v>
      </c>
      <c r="E73" s="62"/>
      <c r="F73" s="62"/>
      <c r="G73" s="62"/>
      <c r="H73" s="64"/>
      <c r="I73" s="44" t="s">
        <v>134</v>
      </c>
      <c r="J73" s="47">
        <f ca="1">(IF(B67&gt;1,(H67/(B67+2)+J72),H67/4+J72))</f>
        <v>7.5</v>
      </c>
    </row>
    <row r="74" spans="1:10" ht="15.75" customHeight="1">
      <c r="A74" s="134" t="s">
        <v>135</v>
      </c>
      <c r="B74" s="135" t="s">
        <v>133</v>
      </c>
      <c r="C74" s="30">
        <v>15</v>
      </c>
      <c r="D74" s="31">
        <f ca="1">((100/H67)*C74)/100</f>
        <v>1</v>
      </c>
      <c r="E74" s="62"/>
      <c r="F74" s="62"/>
      <c r="G74" s="62"/>
      <c r="H74" s="64"/>
      <c r="I74" s="44" t="s">
        <v>136</v>
      </c>
      <c r="J74" s="47">
        <f>(IF(B67&gt;1,(H67/(B67+2)+J73),0))</f>
        <v>0</v>
      </c>
    </row>
    <row r="75" spans="1:10" ht="15" customHeight="1">
      <c r="A75" s="134" t="s">
        <v>137</v>
      </c>
      <c r="B75" s="135" t="s">
        <v>138</v>
      </c>
      <c r="C75" s="30">
        <v>15</v>
      </c>
      <c r="D75" s="31">
        <f ca="1">((100/(H67))*C75)/100</f>
        <v>1</v>
      </c>
      <c r="E75" s="62"/>
      <c r="F75" s="62"/>
      <c r="G75" s="62"/>
      <c r="H75" s="64"/>
      <c r="I75" s="44" t="s">
        <v>139</v>
      </c>
      <c r="J75" s="47">
        <f>(IF(B67&gt;2,(H67/(B67+2)+J74),0))</f>
        <v>0</v>
      </c>
    </row>
    <row r="76" spans="1:10" ht="15.75" customHeight="1">
      <c r="A76" s="134" t="s">
        <v>140</v>
      </c>
      <c r="B76" s="135" t="s">
        <v>140</v>
      </c>
      <c r="C76" s="30">
        <v>12</v>
      </c>
      <c r="D76" s="31">
        <f ca="1">((100/H67)*C76)/100</f>
        <v>0.8</v>
      </c>
      <c r="E76" s="62"/>
      <c r="F76" s="62"/>
      <c r="G76" s="62"/>
      <c r="H76" s="64"/>
      <c r="I76" s="44" t="s">
        <v>141</v>
      </c>
      <c r="J76" s="48">
        <f>(IF(B67&gt;3,(H67/(B67+2)+J75),0))</f>
        <v>0</v>
      </c>
    </row>
    <row r="77" spans="1:10" ht="15.75" customHeight="1">
      <c r="A77" s="134" t="s">
        <v>142</v>
      </c>
      <c r="B77" s="135"/>
      <c r="C77" s="30">
        <v>12</v>
      </c>
      <c r="D77" s="31">
        <f ca="1">((100/H67)*C77)/100</f>
        <v>0.8</v>
      </c>
      <c r="E77" s="62"/>
      <c r="F77" s="62"/>
      <c r="G77" s="62"/>
      <c r="H77" s="64"/>
      <c r="I77" s="44" t="s">
        <v>143</v>
      </c>
      <c r="J77" s="47">
        <f>(IF(B67&gt;4,(H67/(B67+2)+J76),0))</f>
        <v>0</v>
      </c>
    </row>
    <row r="78" spans="1:10" ht="15.75" customHeight="1">
      <c r="A78" s="134" t="s">
        <v>144</v>
      </c>
      <c r="B78" s="135" t="s">
        <v>144</v>
      </c>
      <c r="C78" s="30">
        <v>4</v>
      </c>
      <c r="D78" s="31">
        <f ca="1">((100/(H67))*C78)/100</f>
        <v>0.26666666666666666</v>
      </c>
      <c r="E78" s="62"/>
      <c r="F78" s="62"/>
      <c r="G78" s="62"/>
      <c r="H78" s="64"/>
      <c r="I78" s="44" t="s">
        <v>145</v>
      </c>
      <c r="J78" s="47">
        <f ca="1">(IF(B67=1,(H67/(B67+3)+J73),IF(B67=0,(H67/4+J73),IF(B67&gt;1,0))))</f>
        <v>11.25</v>
      </c>
    </row>
    <row r="79" spans="1:10">
      <c r="A79" s="131" t="s">
        <v>146</v>
      </c>
      <c r="B79" s="132"/>
      <c r="C79" s="33">
        <v>0</v>
      </c>
      <c r="D79" s="34">
        <f ca="1">((100/(H67))*C79)/100</f>
        <v>0</v>
      </c>
      <c r="E79" s="63"/>
      <c r="F79" s="63"/>
      <c r="G79" s="63"/>
      <c r="H79" s="65"/>
      <c r="I79" s="49" t="s">
        <v>147</v>
      </c>
      <c r="J79" s="50">
        <f ca="1">(IF(B67&gt;1.5,(H67/(B67+2)+J73+MAX(0,J74-J73)+MAX(0,J75-J74)+MAX(0,J76-J75)+MAX(0,J77-J76)+MAX(0,J78-J77)),IF(B67=1,(H67/(B67+3)+J78),IF(B67=0,H67/4+J78))))</f>
        <v>15</v>
      </c>
    </row>
    <row r="80" spans="1:10">
      <c r="A80" s="130" t="s">
        <v>148</v>
      </c>
      <c r="B80" s="130"/>
      <c r="C80" s="130"/>
      <c r="D80" s="130"/>
      <c r="E80" s="130"/>
      <c r="F80" s="130"/>
      <c r="G80" s="130"/>
      <c r="H80" s="130"/>
    </row>
    <row r="81" spans="1:8">
      <c r="A81" s="94" t="s">
        <v>149</v>
      </c>
      <c r="B81" s="94"/>
      <c r="C81" s="94"/>
      <c r="D81" s="94"/>
      <c r="E81" s="94"/>
      <c r="F81" s="133">
        <v>16000</v>
      </c>
      <c r="G81" s="133"/>
      <c r="H81" s="133"/>
    </row>
    <row r="82" spans="1:8">
      <c r="A82" s="94" t="s">
        <v>150</v>
      </c>
      <c r="B82" s="94"/>
      <c r="C82" s="94"/>
      <c r="D82" s="94"/>
      <c r="E82" s="94"/>
      <c r="F82" s="129">
        <v>25000</v>
      </c>
      <c r="G82" s="129"/>
      <c r="H82" s="129"/>
    </row>
    <row r="83" spans="1:8" s="15" customFormat="1" hidden="1">
      <c r="A83" s="94" t="s">
        <v>151</v>
      </c>
      <c r="B83" s="94"/>
      <c r="C83" s="94"/>
      <c r="D83" s="94"/>
      <c r="E83" s="94"/>
      <c r="F83" s="129"/>
      <c r="G83" s="129"/>
      <c r="H83" s="129"/>
    </row>
    <row r="84" spans="1:8" s="15" customFormat="1" hidden="1">
      <c r="A84" s="94" t="s">
        <v>152</v>
      </c>
      <c r="B84" s="94"/>
      <c r="C84" s="94"/>
      <c r="D84" s="94"/>
      <c r="E84" s="94"/>
      <c r="F84" s="129"/>
      <c r="G84" s="129"/>
      <c r="H84" s="129"/>
    </row>
    <row r="85" spans="1:8" s="15" customFormat="1" hidden="1">
      <c r="A85" s="94" t="s">
        <v>153</v>
      </c>
      <c r="B85" s="94"/>
      <c r="C85" s="94"/>
      <c r="D85" s="94"/>
      <c r="E85" s="94"/>
      <c r="F85" s="129"/>
      <c r="G85" s="129"/>
      <c r="H85" s="129"/>
    </row>
    <row r="86" spans="1:8" s="15" customFormat="1" hidden="1">
      <c r="A86" s="94" t="s">
        <v>154</v>
      </c>
      <c r="B86" s="94"/>
      <c r="C86" s="94"/>
      <c r="D86" s="94"/>
      <c r="E86" s="94"/>
      <c r="F86" s="129"/>
      <c r="G86" s="129"/>
      <c r="H86" s="129"/>
    </row>
    <row r="87" spans="1:8" s="15" customFormat="1" hidden="1">
      <c r="A87" s="94" t="s">
        <v>155</v>
      </c>
      <c r="B87" s="94"/>
      <c r="C87" s="94"/>
      <c r="D87" s="94"/>
      <c r="E87" s="94"/>
      <c r="F87" s="129"/>
      <c r="G87" s="129"/>
      <c r="H87" s="129"/>
    </row>
    <row r="88" spans="1:8" s="15" customFormat="1" hidden="1">
      <c r="A88" s="94" t="s">
        <v>156</v>
      </c>
      <c r="B88" s="94"/>
      <c r="C88" s="94"/>
      <c r="D88" s="94"/>
      <c r="E88" s="94"/>
      <c r="F88" s="129"/>
      <c r="G88" s="129"/>
      <c r="H88" s="129"/>
    </row>
    <row r="89" spans="1:8" s="15" customFormat="1" hidden="1">
      <c r="A89" s="94" t="s">
        <v>157</v>
      </c>
      <c r="B89" s="94"/>
      <c r="C89" s="94"/>
      <c r="D89" s="94"/>
      <c r="E89" s="94"/>
      <c r="F89" s="129"/>
      <c r="G89" s="129"/>
      <c r="H89" s="129"/>
    </row>
    <row r="90" spans="1:8" s="15" customFormat="1" hidden="1">
      <c r="A90" s="94" t="s">
        <v>158</v>
      </c>
      <c r="B90" s="94"/>
      <c r="C90" s="94"/>
      <c r="D90" s="94"/>
      <c r="E90" s="94"/>
      <c r="F90" s="129"/>
      <c r="G90" s="129"/>
      <c r="H90" s="129"/>
    </row>
    <row r="91" spans="1:8">
      <c r="A91" s="94" t="s">
        <v>159</v>
      </c>
      <c r="B91" s="94"/>
      <c r="C91" s="94"/>
      <c r="D91" s="94"/>
      <c r="E91" s="94"/>
      <c r="F91" s="129">
        <v>700000</v>
      </c>
      <c r="G91" s="129"/>
      <c r="H91" s="129"/>
    </row>
    <row r="92" spans="1:8" s="16" customFormat="1">
      <c r="A92" s="130" t="s">
        <v>160</v>
      </c>
      <c r="B92" s="130"/>
      <c r="C92" s="130"/>
      <c r="D92" s="130"/>
      <c r="E92" s="130"/>
      <c r="F92" s="129">
        <f>F81*0.8</f>
        <v>12800</v>
      </c>
      <c r="G92" s="129"/>
      <c r="H92" s="129"/>
    </row>
    <row r="93" spans="1:8" s="17" customFormat="1" ht="15.75" customHeight="1">
      <c r="A93" s="125" t="s">
        <v>161</v>
      </c>
      <c r="B93" s="125"/>
      <c r="C93" s="125"/>
      <c r="D93" s="125"/>
      <c r="E93" s="125"/>
      <c r="F93" s="125"/>
      <c r="G93" s="125"/>
      <c r="H93" s="125"/>
    </row>
    <row r="94" spans="1:8" s="17" customFormat="1" ht="15.75" customHeight="1">
      <c r="A94" s="126" t="s">
        <v>162</v>
      </c>
      <c r="B94" s="126"/>
      <c r="C94" s="127" t="s">
        <v>163</v>
      </c>
      <c r="D94" s="127"/>
      <c r="E94" s="128" t="s">
        <v>164</v>
      </c>
      <c r="F94" s="128"/>
      <c r="G94" s="126" t="s">
        <v>165</v>
      </c>
      <c r="H94" s="126"/>
    </row>
    <row r="95" spans="1:8" s="17" customFormat="1">
      <c r="A95" s="119" t="s">
        <v>166</v>
      </c>
      <c r="B95" s="119"/>
      <c r="C95" s="120">
        <f>COUNT(D104:D117)</f>
        <v>14</v>
      </c>
      <c r="D95" s="123"/>
      <c r="E95" s="121">
        <f>SUM(D104:D117)</f>
        <v>2770.3844999999997</v>
      </c>
      <c r="F95" s="124"/>
      <c r="G95" s="121">
        <f>SUM(F104:F117)</f>
        <v>4432.6151999999993</v>
      </c>
      <c r="H95" s="124"/>
    </row>
    <row r="96" spans="1:8" s="17" customFormat="1">
      <c r="A96" s="125" t="s">
        <v>167</v>
      </c>
      <c r="B96" s="125"/>
      <c r="C96" s="125"/>
      <c r="D96" s="125"/>
      <c r="E96" s="125"/>
      <c r="F96" s="125"/>
      <c r="G96" s="125"/>
      <c r="H96" s="125"/>
    </row>
    <row r="97" spans="1:14" s="17" customFormat="1" ht="15.75" customHeight="1">
      <c r="A97" s="126" t="s">
        <v>162</v>
      </c>
      <c r="B97" s="126"/>
      <c r="C97" s="127" t="s">
        <v>163</v>
      </c>
      <c r="D97" s="127"/>
      <c r="E97" s="128" t="s">
        <v>164</v>
      </c>
      <c r="F97" s="128"/>
      <c r="G97" s="126" t="s">
        <v>165</v>
      </c>
      <c r="H97" s="126"/>
    </row>
    <row r="98" spans="1:14" s="17" customFormat="1">
      <c r="A98" s="119" t="s">
        <v>168</v>
      </c>
      <c r="B98" s="119"/>
      <c r="C98" s="120">
        <f>COUNT(D123,D126:D128)+COUNT(D130:D135)*9+COUNT(D137:D138,D141:D142)+COUNT(D144:D149)*2+COUNT(D151:D154,D156)</f>
        <v>79</v>
      </c>
      <c r="D98" s="120"/>
      <c r="E98" s="121">
        <f>SUM(D123,D126:D128)+SUM(D130:D135)*9+SUM(D137:D138,D141:D142)+SUM(D144:D149)*2+SUM(D151:D154,D156)</f>
        <v>46233.131302799993</v>
      </c>
      <c r="F98" s="121"/>
      <c r="G98" s="121">
        <f>SUM(F123,F126:F128)+SUM(F130:F135)*9+SUM(F137:F138,F141:F142)+SUM(F144:F149)*2+SUM(F151:F154,F156)</f>
        <v>71661.353519340002</v>
      </c>
      <c r="H98" s="121"/>
    </row>
    <row r="99" spans="1:14" s="16" customFormat="1">
      <c r="A99" s="122" t="s">
        <v>169</v>
      </c>
      <c r="B99" s="122"/>
      <c r="C99" s="122"/>
      <c r="D99" s="122"/>
      <c r="E99" s="122"/>
      <c r="F99" s="122"/>
      <c r="G99" s="122"/>
      <c r="H99" s="122"/>
    </row>
    <row r="100" spans="1:14">
      <c r="A100" s="122" t="s">
        <v>170</v>
      </c>
      <c r="B100" s="122"/>
      <c r="C100" s="122"/>
      <c r="D100" s="122"/>
      <c r="E100" s="122"/>
      <c r="F100" s="122"/>
      <c r="G100" s="122"/>
      <c r="H100" s="122"/>
    </row>
    <row r="101" spans="1:14" ht="47.25" customHeight="1">
      <c r="A101" s="78" t="s">
        <v>171</v>
      </c>
      <c r="B101" s="78" t="s">
        <v>172</v>
      </c>
      <c r="C101" s="78" t="s">
        <v>173</v>
      </c>
      <c r="D101" s="78" t="s">
        <v>174</v>
      </c>
      <c r="E101" s="117" t="s">
        <v>175</v>
      </c>
      <c r="F101" s="36" t="s">
        <v>176</v>
      </c>
      <c r="G101" s="67" t="s">
        <v>177</v>
      </c>
      <c r="H101" s="68"/>
    </row>
    <row r="102" spans="1:14" s="18" customFormat="1">
      <c r="A102" s="79"/>
      <c r="B102" s="79"/>
      <c r="C102" s="79"/>
      <c r="D102" s="79"/>
      <c r="E102" s="118"/>
      <c r="F102" s="37">
        <v>0.6</v>
      </c>
      <c r="G102" s="69"/>
      <c r="H102" s="70"/>
    </row>
    <row r="103" spans="1:14" s="18" customFormat="1">
      <c r="A103" s="116" t="s">
        <v>178</v>
      </c>
      <c r="B103" s="116"/>
      <c r="C103" s="116"/>
      <c r="D103" s="116"/>
      <c r="E103" s="116"/>
      <c r="F103" s="116"/>
      <c r="G103" s="116"/>
      <c r="H103" s="116"/>
      <c r="J103" s="51"/>
    </row>
    <row r="104" spans="1:14" s="18" customFormat="1" ht="15.75" customHeight="1">
      <c r="A104" s="93">
        <v>1</v>
      </c>
      <c r="B104" s="93"/>
      <c r="C104" s="56" t="s">
        <v>179</v>
      </c>
      <c r="D104" s="56">
        <f>(9.18*6.84)*10.764</f>
        <v>675.8844767999999</v>
      </c>
      <c r="E104" s="56">
        <v>0</v>
      </c>
      <c r="F104" s="56">
        <f>D104*(($F$102)+1)+(IF(E104&lt;101,E104,IF(E104&lt;201,E104/2,IF(E104&lt;=301,E104/3,E104/4))))</f>
        <v>1081.4151628799998</v>
      </c>
      <c r="G104" s="93" t="str">
        <f>A103</f>
        <v>Ground Floor for Entrance Lobby, Pump Room, Meter Room, Commercial &amp; Parking</v>
      </c>
      <c r="H104" s="93"/>
      <c r="I104" s="51"/>
      <c r="L104" s="112"/>
      <c r="M104" s="112"/>
      <c r="N104" s="51"/>
    </row>
    <row r="105" spans="1:14" s="18" customFormat="1" ht="15.75" customHeight="1">
      <c r="A105" s="93">
        <f t="shared" ref="A105:A117" si="0">A104+1</f>
        <v>2</v>
      </c>
      <c r="B105" s="93"/>
      <c r="C105" s="56" t="s">
        <v>179</v>
      </c>
      <c r="D105" s="56">
        <f>(7.54*4.03)*10.764</f>
        <v>327.07705679999998</v>
      </c>
      <c r="E105" s="56">
        <v>0</v>
      </c>
      <c r="F105" s="56">
        <f t="shared" ref="F105:F110" si="1">D105*(($F$102)+1)+(IF(E105&lt;101,E105,IF(E105&lt;201,E105/2,IF(E105&lt;=301,E105/3,E105/4))))</f>
        <v>523.32329087999994</v>
      </c>
      <c r="G105" s="93"/>
      <c r="H105" s="93"/>
      <c r="I105" s="51"/>
      <c r="L105" s="112"/>
      <c r="M105" s="112"/>
      <c r="N105" s="51"/>
    </row>
    <row r="106" spans="1:14" s="18" customFormat="1" ht="15.75" customHeight="1">
      <c r="A106" s="93">
        <f t="shared" si="0"/>
        <v>3</v>
      </c>
      <c r="B106" s="93"/>
      <c r="C106" s="56" t="s">
        <v>179</v>
      </c>
      <c r="D106" s="56">
        <f>(2.65*3.1+1.2*0.8)*10.764</f>
        <v>98.759699999999995</v>
      </c>
      <c r="E106" s="56">
        <v>0</v>
      </c>
      <c r="F106" s="56">
        <f t="shared" si="1"/>
        <v>158.01552000000001</v>
      </c>
      <c r="G106" s="93"/>
      <c r="H106" s="93"/>
      <c r="I106" s="51"/>
      <c r="L106" s="112"/>
      <c r="M106" s="112"/>
      <c r="N106" s="51"/>
    </row>
    <row r="107" spans="1:14" s="18" customFormat="1" ht="15.75" customHeight="1">
      <c r="A107" s="93">
        <f t="shared" si="0"/>
        <v>4</v>
      </c>
      <c r="B107" s="93"/>
      <c r="C107" s="56" t="s">
        <v>179</v>
      </c>
      <c r="D107" s="56">
        <f>(2.64*4.1)*10.764</f>
        <v>116.509536</v>
      </c>
      <c r="E107" s="56">
        <v>0</v>
      </c>
      <c r="F107" s="56">
        <f t="shared" si="1"/>
        <v>186.41525760000002</v>
      </c>
      <c r="G107" s="93"/>
      <c r="H107" s="93"/>
      <c r="I107" s="51"/>
      <c r="L107" s="112"/>
      <c r="M107" s="112"/>
      <c r="N107" s="51"/>
    </row>
    <row r="108" spans="1:14" s="18" customFormat="1" ht="15.75" customHeight="1">
      <c r="A108" s="93">
        <f t="shared" si="0"/>
        <v>5</v>
      </c>
      <c r="B108" s="93"/>
      <c r="C108" s="56" t="s">
        <v>179</v>
      </c>
      <c r="D108" s="56">
        <f>(2.29*4.1)*10.764</f>
        <v>101.06319599999999</v>
      </c>
      <c r="E108" s="56">
        <v>0</v>
      </c>
      <c r="F108" s="56">
        <f t="shared" si="1"/>
        <v>161.70111359999999</v>
      </c>
      <c r="G108" s="93"/>
      <c r="H108" s="93"/>
      <c r="I108" s="51"/>
      <c r="L108" s="112"/>
      <c r="M108" s="112"/>
      <c r="N108" s="51"/>
    </row>
    <row r="109" spans="1:14" s="18" customFormat="1" ht="15.75" customHeight="1">
      <c r="A109" s="93">
        <f t="shared" si="0"/>
        <v>6</v>
      </c>
      <c r="B109" s="93"/>
      <c r="C109" s="56" t="s">
        <v>179</v>
      </c>
      <c r="D109" s="56">
        <f>(2.32*4.1)*10.764</f>
        <v>102.38716799999997</v>
      </c>
      <c r="E109" s="56">
        <v>0</v>
      </c>
      <c r="F109" s="56">
        <f t="shared" si="1"/>
        <v>163.81946879999998</v>
      </c>
      <c r="G109" s="93"/>
      <c r="H109" s="93"/>
      <c r="I109" s="51"/>
      <c r="L109" s="112"/>
      <c r="M109" s="112"/>
      <c r="N109" s="51"/>
    </row>
    <row r="110" spans="1:14" s="18" customFormat="1" ht="15.75" customHeight="1">
      <c r="A110" s="93">
        <f t="shared" si="0"/>
        <v>7</v>
      </c>
      <c r="B110" s="93"/>
      <c r="C110" s="56" t="s">
        <v>179</v>
      </c>
      <c r="D110" s="56">
        <f>(2.62*4.1)*10.764</f>
        <v>115.62688799999998</v>
      </c>
      <c r="E110" s="56">
        <v>0</v>
      </c>
      <c r="F110" s="56">
        <f t="shared" si="1"/>
        <v>185.00302079999997</v>
      </c>
      <c r="G110" s="93"/>
      <c r="H110" s="93"/>
      <c r="I110" s="51"/>
      <c r="L110" s="112"/>
      <c r="M110" s="112"/>
      <c r="N110" s="51"/>
    </row>
    <row r="111" spans="1:14" s="18" customFormat="1" ht="15.75" customHeight="1">
      <c r="A111" s="93">
        <f t="shared" si="0"/>
        <v>8</v>
      </c>
      <c r="B111" s="93"/>
      <c r="C111" s="56" t="s">
        <v>179</v>
      </c>
      <c r="D111" s="56">
        <f>(2.1*3.8+2.02*4.1)*10.764</f>
        <v>175.04416799999998</v>
      </c>
      <c r="E111" s="56">
        <v>0</v>
      </c>
      <c r="F111" s="56">
        <f t="shared" ref="F111:F112" si="2">D111*(($F$102)+1)+(IF(E111&lt;101,E111,IF(E111&lt;201,E111/2,IF(E111&lt;=301,E111/3,E111/4))))</f>
        <v>280.07066879999996</v>
      </c>
      <c r="G111" s="93"/>
      <c r="H111" s="93"/>
      <c r="I111" s="51"/>
      <c r="L111" s="112"/>
      <c r="M111" s="112"/>
      <c r="N111" s="51"/>
    </row>
    <row r="112" spans="1:14" s="18" customFormat="1" ht="15.75" customHeight="1">
      <c r="A112" s="93">
        <f t="shared" si="0"/>
        <v>9</v>
      </c>
      <c r="B112" s="93"/>
      <c r="C112" s="56" t="s">
        <v>179</v>
      </c>
      <c r="D112" s="56">
        <f>(2.5*5.8)*10.764</f>
        <v>156.078</v>
      </c>
      <c r="E112" s="56">
        <v>0</v>
      </c>
      <c r="F112" s="56">
        <f t="shared" si="2"/>
        <v>249.72480000000002</v>
      </c>
      <c r="G112" s="93"/>
      <c r="H112" s="93"/>
      <c r="I112" s="51"/>
      <c r="L112" s="112"/>
      <c r="M112" s="112"/>
      <c r="N112" s="51"/>
    </row>
    <row r="113" spans="1:14" s="18" customFormat="1" ht="15.75" customHeight="1">
      <c r="A113" s="93">
        <f t="shared" si="0"/>
        <v>10</v>
      </c>
      <c r="B113" s="93"/>
      <c r="C113" s="56" t="s">
        <v>179</v>
      </c>
      <c r="D113" s="56">
        <f>(3.34*5.04)*10.764</f>
        <v>181.19687039999999</v>
      </c>
      <c r="E113" s="56">
        <v>0</v>
      </c>
      <c r="F113" s="56">
        <f t="shared" ref="F113:F114" si="3">D113*(($F$102)+1)+(IF(E113&lt;101,E113,IF(E113&lt;201,E113/2,IF(E113&lt;=301,E113/3,E113/4))))</f>
        <v>289.91499263999998</v>
      </c>
      <c r="G113" s="93"/>
      <c r="H113" s="93"/>
      <c r="I113" s="51"/>
      <c r="L113" s="112"/>
      <c r="M113" s="112"/>
      <c r="N113" s="51"/>
    </row>
    <row r="114" spans="1:14" s="18" customFormat="1" ht="15.75" customHeight="1">
      <c r="A114" s="93">
        <f t="shared" si="0"/>
        <v>11</v>
      </c>
      <c r="B114" s="93"/>
      <c r="C114" s="56" t="s">
        <v>179</v>
      </c>
      <c r="D114" s="39">
        <f>(3.06*5.85)*10.764</f>
        <v>192.686364</v>
      </c>
      <c r="E114" s="56">
        <v>0</v>
      </c>
      <c r="F114" s="56">
        <f t="shared" si="3"/>
        <v>308.29818240000003</v>
      </c>
      <c r="G114" s="93"/>
      <c r="H114" s="93"/>
      <c r="I114" s="51"/>
      <c r="L114" s="112"/>
      <c r="M114" s="112"/>
      <c r="N114" s="51"/>
    </row>
    <row r="115" spans="1:14" s="18" customFormat="1" ht="15.75" customHeight="1">
      <c r="A115" s="93">
        <f t="shared" si="0"/>
        <v>12</v>
      </c>
      <c r="B115" s="93"/>
      <c r="C115" s="56" t="s">
        <v>179</v>
      </c>
      <c r="D115" s="56">
        <f>(3.14*5.85)*10.764</f>
        <v>197.72391599999997</v>
      </c>
      <c r="E115" s="56">
        <v>0</v>
      </c>
      <c r="F115" s="56">
        <f t="shared" ref="F115" si="4">D115*(($F$102)+1)+(IF(E115&lt;101,E115,IF(E115&lt;201,E115/2,IF(E115&lt;=301,E115/3,E115/4))))</f>
        <v>316.35826559999998</v>
      </c>
      <c r="G115" s="93"/>
      <c r="H115" s="93"/>
      <c r="I115" s="51"/>
      <c r="L115" s="112"/>
      <c r="M115" s="112"/>
      <c r="N115" s="51"/>
    </row>
    <row r="116" spans="1:14" s="18" customFormat="1" ht="15.75" customHeight="1">
      <c r="A116" s="93">
        <f t="shared" si="0"/>
        <v>13</v>
      </c>
      <c r="B116" s="93"/>
      <c r="C116" s="56" t="s">
        <v>179</v>
      </c>
      <c r="D116" s="56">
        <f>(2.4*5.7)*10.764</f>
        <v>147.25152</v>
      </c>
      <c r="E116" s="56">
        <v>0</v>
      </c>
      <c r="F116" s="56">
        <f t="shared" ref="F116" si="5">D116*(($F$102)+1)+(IF(E116&lt;101,E116,IF(E116&lt;201,E116/2,IF(E116&lt;=301,E116/3,E116/4))))</f>
        <v>235.60243200000002</v>
      </c>
      <c r="G116" s="93"/>
      <c r="H116" s="93"/>
      <c r="I116" s="51"/>
      <c r="L116" s="112"/>
      <c r="M116" s="112"/>
      <c r="N116" s="51"/>
    </row>
    <row r="117" spans="1:14" s="18" customFormat="1" ht="15.75" customHeight="1">
      <c r="A117" s="93">
        <f t="shared" si="0"/>
        <v>14</v>
      </c>
      <c r="B117" s="93"/>
      <c r="C117" s="56" t="s">
        <v>179</v>
      </c>
      <c r="D117" s="56">
        <f>(6.3*2.7)*10.764</f>
        <v>183.09564</v>
      </c>
      <c r="E117" s="56">
        <v>0</v>
      </c>
      <c r="F117" s="56">
        <f t="shared" ref="F117" si="6">D117*(($F$102)+1)+(IF(E117&lt;101,E117,IF(E117&lt;201,E117/2,IF(E117&lt;=301,E117/3,E117/4))))</f>
        <v>292.95302400000003</v>
      </c>
      <c r="G117" s="93"/>
      <c r="H117" s="93"/>
      <c r="I117" s="51"/>
      <c r="L117" s="112"/>
      <c r="M117" s="112"/>
      <c r="N117" s="51"/>
    </row>
    <row r="118" spans="1:14" s="18" customFormat="1">
      <c r="A118" s="87"/>
      <c r="B118" s="105"/>
      <c r="C118" s="105"/>
      <c r="D118" s="105"/>
      <c r="E118" s="105"/>
      <c r="F118" s="105"/>
      <c r="G118" s="105"/>
      <c r="H118" s="88"/>
      <c r="I118" s="51"/>
      <c r="N118" s="51"/>
    </row>
    <row r="119" spans="1:14" ht="47.25" customHeight="1">
      <c r="A119" s="67" t="s">
        <v>180</v>
      </c>
      <c r="B119" s="67" t="s">
        <v>181</v>
      </c>
      <c r="C119" s="78" t="s">
        <v>173</v>
      </c>
      <c r="D119" s="78" t="s">
        <v>174</v>
      </c>
      <c r="E119" s="117" t="s">
        <v>175</v>
      </c>
      <c r="F119" s="36" t="s">
        <v>176</v>
      </c>
      <c r="G119" s="67" t="s">
        <v>177</v>
      </c>
      <c r="H119" s="68"/>
      <c r="I119" s="51"/>
    </row>
    <row r="120" spans="1:14" s="18" customFormat="1">
      <c r="A120" s="69"/>
      <c r="B120" s="69"/>
      <c r="C120" s="79"/>
      <c r="D120" s="79"/>
      <c r="E120" s="118"/>
      <c r="F120" s="37">
        <v>0.55000000000000004</v>
      </c>
      <c r="G120" s="69"/>
      <c r="H120" s="70"/>
      <c r="I120" s="51"/>
    </row>
    <row r="121" spans="1:14" s="18" customFormat="1" hidden="1">
      <c r="A121" s="113" t="s">
        <v>182</v>
      </c>
      <c r="B121" s="114"/>
      <c r="C121" s="114"/>
      <c r="D121" s="114"/>
      <c r="E121" s="114"/>
      <c r="F121" s="114"/>
      <c r="G121" s="114"/>
      <c r="H121" s="115"/>
      <c r="J121" s="51"/>
    </row>
    <row r="122" spans="1:14" s="18" customFormat="1">
      <c r="A122" s="116" t="s">
        <v>183</v>
      </c>
      <c r="B122" s="116"/>
      <c r="C122" s="116"/>
      <c r="D122" s="116"/>
      <c r="E122" s="116"/>
      <c r="F122" s="116"/>
      <c r="G122" s="116"/>
      <c r="H122" s="116"/>
      <c r="I122" s="51"/>
      <c r="L122" s="112"/>
      <c r="M122" s="112"/>
    </row>
    <row r="123" spans="1:14" s="18" customFormat="1" ht="15.75" customHeight="1">
      <c r="A123" s="93">
        <v>1</v>
      </c>
      <c r="B123" s="93"/>
      <c r="C123" s="38" t="s">
        <v>184</v>
      </c>
      <c r="D123" s="38">
        <f>(48.19)*10.764</f>
        <v>518.71715999999992</v>
      </c>
      <c r="E123" s="38">
        <v>0</v>
      </c>
      <c r="F123" s="38">
        <f t="shared" ref="F123" si="7">D123*(($F$120)+1)+(IF(E123&lt;101,E123,IF(E123&lt;201,E123/2,IF(E123&lt;=301,E123/3,E123/4))))</f>
        <v>804.01159799999994</v>
      </c>
      <c r="G123" s="106" t="str">
        <f>A122</f>
        <v>1st Floor for Residential &amp; Amenities</v>
      </c>
      <c r="H123" s="107"/>
      <c r="I123" s="51"/>
      <c r="N123" s="51"/>
    </row>
    <row r="124" spans="1:14" s="18" customFormat="1" ht="15.75" customHeight="1">
      <c r="A124" s="93">
        <f>A123+1</f>
        <v>2</v>
      </c>
      <c r="B124" s="93"/>
      <c r="C124" s="87" t="s">
        <v>185</v>
      </c>
      <c r="D124" s="105"/>
      <c r="E124" s="105"/>
      <c r="F124" s="88"/>
      <c r="G124" s="108"/>
      <c r="H124" s="109"/>
      <c r="I124" s="51"/>
      <c r="N124" s="51"/>
    </row>
    <row r="125" spans="1:14" s="18" customFormat="1" ht="15.75" customHeight="1">
      <c r="A125" s="93">
        <f>A124+1</f>
        <v>3</v>
      </c>
      <c r="B125" s="93"/>
      <c r="C125" s="87" t="s">
        <v>186</v>
      </c>
      <c r="D125" s="105"/>
      <c r="E125" s="105"/>
      <c r="F125" s="88"/>
      <c r="G125" s="108"/>
      <c r="H125" s="109"/>
      <c r="I125" s="51"/>
      <c r="N125" s="51"/>
    </row>
    <row r="126" spans="1:14" s="18" customFormat="1" ht="15.75" customHeight="1">
      <c r="A126" s="93">
        <f>A125+1</f>
        <v>4</v>
      </c>
      <c r="B126" s="93"/>
      <c r="C126" s="38" t="s">
        <v>187</v>
      </c>
      <c r="D126" s="38">
        <f>(46.55)*10.764</f>
        <v>501.06419999999991</v>
      </c>
      <c r="E126" s="38">
        <v>0</v>
      </c>
      <c r="F126" s="38">
        <f t="shared" ref="F126:F128" si="8">D126*(($F$120)+1)+(IF(E126&lt;101,E126,IF(E126&lt;201,E126/2,IF(E126&lt;=301,E126/3,E126/4))))</f>
        <v>776.64950999999985</v>
      </c>
      <c r="G126" s="108"/>
      <c r="H126" s="109"/>
      <c r="I126" s="51"/>
      <c r="N126" s="51"/>
    </row>
    <row r="127" spans="1:14" s="18" customFormat="1" ht="15.75" customHeight="1">
      <c r="A127" s="92">
        <f>A126+1</f>
        <v>5</v>
      </c>
      <c r="B127" s="92"/>
      <c r="C127" s="40" t="s">
        <v>184</v>
      </c>
      <c r="D127" s="40">
        <f>(54)*10.764</f>
        <v>581.25599999999997</v>
      </c>
      <c r="E127" s="40">
        <v>0</v>
      </c>
      <c r="F127" s="40">
        <f t="shared" si="8"/>
        <v>900.94679999999994</v>
      </c>
      <c r="G127" s="108"/>
      <c r="H127" s="109"/>
      <c r="I127" s="51"/>
      <c r="N127" s="51"/>
    </row>
    <row r="128" spans="1:14" s="18" customFormat="1" ht="15.75" customHeight="1">
      <c r="A128" s="92">
        <f>A127+1</f>
        <v>6</v>
      </c>
      <c r="B128" s="92"/>
      <c r="C128" s="40" t="s">
        <v>184</v>
      </c>
      <c r="D128" s="40">
        <f>(56.42)*10.764</f>
        <v>607.30488000000003</v>
      </c>
      <c r="E128" s="40">
        <v>0</v>
      </c>
      <c r="F128" s="40">
        <f t="shared" si="8"/>
        <v>941.32256400000006</v>
      </c>
      <c r="G128" s="110"/>
      <c r="H128" s="111"/>
      <c r="I128" s="51"/>
      <c r="N128" s="51"/>
    </row>
    <row r="129" spans="1:11" s="18" customFormat="1" ht="15.75" customHeight="1">
      <c r="A129" s="100" t="s">
        <v>188</v>
      </c>
      <c r="B129" s="101"/>
      <c r="C129" s="101"/>
      <c r="D129" s="101"/>
      <c r="E129" s="101"/>
      <c r="F129" s="101"/>
      <c r="G129" s="101"/>
      <c r="H129" s="102"/>
      <c r="I129" s="51"/>
    </row>
    <row r="130" spans="1:11" s="18" customFormat="1" ht="15.75" customHeight="1">
      <c r="A130" s="89">
        <v>1</v>
      </c>
      <c r="B130" s="90"/>
      <c r="C130" s="40" t="s">
        <v>184</v>
      </c>
      <c r="D130" s="40">
        <f>(48.19)*10.764</f>
        <v>518.71715999999992</v>
      </c>
      <c r="E130" s="40">
        <v>0</v>
      </c>
      <c r="F130" s="40">
        <f t="shared" ref="F130:F135" si="9">D130*(($F$120)+1)+(IF(E130&lt;101,E130,IF(E130&lt;201,E130/2,IF(E130&lt;=301,E130/3,E130/4))))</f>
        <v>804.01159799999994</v>
      </c>
      <c r="G130" s="71" t="str">
        <f>A129</f>
        <v>2nd to 6th &amp; 8th to 11th Floor</v>
      </c>
      <c r="H130" s="72"/>
      <c r="I130" s="51"/>
      <c r="J130" s="18">
        <f>1*0.86+2.88*4.1+1.72*2.25+3.1*1.55+2.77*3.35+2.9*3.15+3.9*1+1.8*1.2+1.17*2.1</f>
        <v>48.274499999999996</v>
      </c>
    </row>
    <row r="131" spans="1:11" s="18" customFormat="1" ht="15.75" customHeight="1">
      <c r="A131" s="87">
        <v>2</v>
      </c>
      <c r="B131" s="88"/>
      <c r="C131" s="38" t="s">
        <v>184</v>
      </c>
      <c r="D131" s="38">
        <f>(62.38+1.23*2.73)*10.764</f>
        <v>707.60275559999991</v>
      </c>
      <c r="E131" s="38">
        <v>0</v>
      </c>
      <c r="F131" s="38">
        <f t="shared" si="9"/>
        <v>1096.7842711799999</v>
      </c>
      <c r="G131" s="73"/>
      <c r="H131" s="74"/>
      <c r="I131" s="51">
        <f>16600000/F131</f>
        <v>15135.155049352155</v>
      </c>
      <c r="J131" s="18">
        <f>7.5*2.73+2.17*0.98+3.69*1.3+2.86*1.8+2.9*3.3+2.75*3.7+0.9*1.85+1.79*1.46+2.2*1.25</f>
        <v>59.32</v>
      </c>
    </row>
    <row r="132" spans="1:11" s="18" customFormat="1" ht="15.75" customHeight="1">
      <c r="A132" s="87">
        <v>3</v>
      </c>
      <c r="B132" s="88"/>
      <c r="C132" s="38" t="s">
        <v>187</v>
      </c>
      <c r="D132" s="38">
        <f>(39.8)*10.764</f>
        <v>428.40719999999993</v>
      </c>
      <c r="E132" s="38">
        <v>0</v>
      </c>
      <c r="F132" s="38">
        <f t="shared" si="9"/>
        <v>664.03115999999989</v>
      </c>
      <c r="G132" s="73"/>
      <c r="H132" s="74"/>
      <c r="I132" s="51">
        <f>11100000/F132</f>
        <v>16716.083022369014</v>
      </c>
      <c r="J132" s="18">
        <f>2.74*5.27+1.89*1.1+1.72*1.62+2.3*0.7+1.8*2.75+2.7*3.18+0.9*1.29+2.02*1.2+1.7*1.19</f>
        <v>40.059200000000004</v>
      </c>
    </row>
    <row r="133" spans="1:11" s="18" customFormat="1" ht="15.75" customHeight="1">
      <c r="A133" s="87">
        <v>4</v>
      </c>
      <c r="B133" s="88"/>
      <c r="C133" s="38" t="s">
        <v>184</v>
      </c>
      <c r="D133" s="38">
        <f>(61.29)*10.764</f>
        <v>659.72555999999997</v>
      </c>
      <c r="E133" s="38">
        <v>0</v>
      </c>
      <c r="F133" s="38">
        <f t="shared" si="9"/>
        <v>1022.574618</v>
      </c>
      <c r="G133" s="73"/>
      <c r="H133" s="74"/>
      <c r="I133" s="51"/>
    </row>
    <row r="134" spans="1:11" s="18" customFormat="1" ht="15.75" customHeight="1">
      <c r="A134" s="87">
        <v>5</v>
      </c>
      <c r="B134" s="88"/>
      <c r="C134" s="38" t="s">
        <v>184</v>
      </c>
      <c r="D134" s="38">
        <f>(54)*10.764</f>
        <v>581.25599999999997</v>
      </c>
      <c r="E134" s="38">
        <v>0</v>
      </c>
      <c r="F134" s="38">
        <f t="shared" si="9"/>
        <v>900.94679999999994</v>
      </c>
      <c r="G134" s="73"/>
      <c r="H134" s="74"/>
      <c r="I134" s="51">
        <f>13800000/F134</f>
        <v>15317.219618294888</v>
      </c>
    </row>
    <row r="135" spans="1:11" s="18" customFormat="1" ht="15.75" customHeight="1">
      <c r="A135" s="89">
        <v>6</v>
      </c>
      <c r="B135" s="90"/>
      <c r="C135" s="40" t="s">
        <v>184</v>
      </c>
      <c r="D135" s="40">
        <f>(56.42)*10.764</f>
        <v>607.30488000000003</v>
      </c>
      <c r="E135" s="40">
        <v>0</v>
      </c>
      <c r="F135" s="40">
        <f t="shared" si="9"/>
        <v>941.32256400000006</v>
      </c>
      <c r="G135" s="75"/>
      <c r="H135" s="76"/>
      <c r="I135" s="51"/>
    </row>
    <row r="136" spans="1:11" s="18" customFormat="1">
      <c r="A136" s="100" t="s">
        <v>189</v>
      </c>
      <c r="B136" s="101"/>
      <c r="C136" s="101"/>
      <c r="D136" s="101"/>
      <c r="E136" s="101"/>
      <c r="F136" s="101"/>
      <c r="G136" s="101"/>
      <c r="H136" s="102"/>
      <c r="I136" s="51"/>
    </row>
    <row r="137" spans="1:11" s="18" customFormat="1" ht="15.75" customHeight="1">
      <c r="A137" s="89">
        <v>1</v>
      </c>
      <c r="B137" s="90"/>
      <c r="C137" s="40" t="s">
        <v>184</v>
      </c>
      <c r="D137" s="40">
        <f>(48.19)*10.764</f>
        <v>518.71715999999992</v>
      </c>
      <c r="E137" s="40">
        <v>0</v>
      </c>
      <c r="F137" s="40">
        <f>D137*(($F$120)+1)+(IF(E137&lt;101,E137,IF(E137&lt;201,E137/2,IF(E137&lt;=301,E137/3,E137/4))))</f>
        <v>804.01159799999994</v>
      </c>
      <c r="G137" s="71" t="str">
        <f>A136</f>
        <v>7th Floor (Part Refuge Area)</v>
      </c>
      <c r="H137" s="72"/>
      <c r="I137" s="51"/>
    </row>
    <row r="138" spans="1:11" s="18" customFormat="1" ht="15.75" customHeight="1">
      <c r="A138" s="89">
        <v>2</v>
      </c>
      <c r="B138" s="90"/>
      <c r="C138" s="40" t="s">
        <v>190</v>
      </c>
      <c r="D138" s="40">
        <f>(76.78+1.23*2.73)*10.764</f>
        <v>862.60435559999996</v>
      </c>
      <c r="E138" s="40">
        <v>0</v>
      </c>
      <c r="F138" s="40">
        <f>D138*(($F$120)+1)+(IF(E138&lt;101,E138,IF(E138&lt;201,E138/2,IF(E138&lt;=301,E138/3,E138/4))))</f>
        <v>1337.03675118</v>
      </c>
      <c r="G138" s="73"/>
      <c r="H138" s="74"/>
      <c r="I138" s="51"/>
    </row>
    <row r="139" spans="1:11" s="18" customFormat="1" ht="15.75" customHeight="1">
      <c r="A139" s="89">
        <v>3</v>
      </c>
      <c r="B139" s="90"/>
      <c r="C139" s="71" t="s">
        <v>191</v>
      </c>
      <c r="D139" s="103"/>
      <c r="E139" s="103"/>
      <c r="F139" s="72"/>
      <c r="G139" s="73"/>
      <c r="H139" s="74"/>
      <c r="I139" s="51"/>
    </row>
    <row r="140" spans="1:11" s="18" customFormat="1" ht="15.75" customHeight="1">
      <c r="A140" s="89">
        <v>4</v>
      </c>
      <c r="B140" s="90"/>
      <c r="C140" s="75"/>
      <c r="D140" s="104"/>
      <c r="E140" s="104"/>
      <c r="F140" s="76"/>
      <c r="G140" s="73"/>
      <c r="H140" s="74"/>
      <c r="I140" s="51"/>
    </row>
    <row r="141" spans="1:11" s="18" customFormat="1" ht="15.75" customHeight="1">
      <c r="A141" s="89">
        <v>5</v>
      </c>
      <c r="B141" s="90"/>
      <c r="C141" s="40" t="s">
        <v>184</v>
      </c>
      <c r="D141" s="40">
        <f>(54)*10.764</f>
        <v>581.25599999999997</v>
      </c>
      <c r="E141" s="40">
        <v>0</v>
      </c>
      <c r="F141" s="40">
        <f>D141*(($F$120)+1)+(IF(E141&lt;101,E141,IF(E141&lt;201,E141/2,IF(E141&lt;=301,E141/3,E141/4))))</f>
        <v>900.94679999999994</v>
      </c>
      <c r="G141" s="73"/>
      <c r="H141" s="74"/>
      <c r="I141" s="51"/>
      <c r="K141" s="18">
        <f>14*6-2-2-1</f>
        <v>79</v>
      </c>
    </row>
    <row r="142" spans="1:11" s="18" customFormat="1" ht="15.75" customHeight="1">
      <c r="A142" s="89">
        <v>6</v>
      </c>
      <c r="B142" s="90"/>
      <c r="C142" s="40" t="s">
        <v>184</v>
      </c>
      <c r="D142" s="40">
        <f>(56.42)*10.764</f>
        <v>607.30488000000003</v>
      </c>
      <c r="E142" s="40">
        <v>0</v>
      </c>
      <c r="F142" s="40">
        <f>D142*(($F$120)+1)+(IF(E142&lt;101,E142,IF(E142&lt;201,E142/2,IF(E142&lt;=301,E142/3,E142/4))))</f>
        <v>941.32256400000006</v>
      </c>
      <c r="G142" s="75"/>
      <c r="H142" s="76"/>
      <c r="I142" s="51"/>
    </row>
    <row r="143" spans="1:11" s="18" customFormat="1" ht="15.75" customHeight="1">
      <c r="A143" s="100" t="s">
        <v>192</v>
      </c>
      <c r="B143" s="101"/>
      <c r="C143" s="101"/>
      <c r="D143" s="101"/>
      <c r="E143" s="101"/>
      <c r="F143" s="101"/>
      <c r="G143" s="101"/>
      <c r="H143" s="102"/>
      <c r="I143" s="51"/>
    </row>
    <row r="144" spans="1:11" s="18" customFormat="1" ht="15.75" customHeight="1">
      <c r="A144" s="89">
        <v>1</v>
      </c>
      <c r="B144" s="90"/>
      <c r="C144" s="40" t="s">
        <v>184</v>
      </c>
      <c r="D144" s="40">
        <f>(48.19)*10.764</f>
        <v>518.71715999999992</v>
      </c>
      <c r="E144" s="40">
        <v>0</v>
      </c>
      <c r="F144" s="40">
        <f t="shared" ref="F144:F149" si="10">D144*(($F$120)+1)+(IF(E144&lt;101,E144,IF(E144&lt;201,E144/2,IF(E144&lt;=301,E144/3,E144/4))))</f>
        <v>804.01159799999994</v>
      </c>
      <c r="G144" s="71" t="str">
        <f>A143</f>
        <v>12th &amp; 13th Floor</v>
      </c>
      <c r="H144" s="72"/>
      <c r="I144" s="51"/>
    </row>
    <row r="145" spans="1:11" s="18" customFormat="1" ht="15.75" customHeight="1">
      <c r="A145" s="87">
        <v>2</v>
      </c>
      <c r="B145" s="88"/>
      <c r="C145" s="38" t="s">
        <v>184</v>
      </c>
      <c r="D145" s="38">
        <f>(62.38+1.23*2.73)*10.764</f>
        <v>707.60275559999991</v>
      </c>
      <c r="E145" s="38">
        <v>0</v>
      </c>
      <c r="F145" s="38">
        <f t="shared" si="10"/>
        <v>1096.7842711799999</v>
      </c>
      <c r="G145" s="73"/>
      <c r="H145" s="74"/>
      <c r="I145" s="51"/>
    </row>
    <row r="146" spans="1:11" s="18" customFormat="1" ht="15.75" customHeight="1">
      <c r="A146" s="87">
        <v>3</v>
      </c>
      <c r="B146" s="88"/>
      <c r="C146" s="38" t="s">
        <v>187</v>
      </c>
      <c r="D146" s="38">
        <f>(39.8)*10.764</f>
        <v>428.40719999999993</v>
      </c>
      <c r="E146" s="38">
        <v>0</v>
      </c>
      <c r="F146" s="38">
        <f t="shared" si="10"/>
        <v>664.03115999999989</v>
      </c>
      <c r="G146" s="73"/>
      <c r="H146" s="74"/>
      <c r="I146" s="51"/>
    </row>
    <row r="147" spans="1:11" s="18" customFormat="1" ht="15.75" customHeight="1">
      <c r="A147" s="87">
        <v>4</v>
      </c>
      <c r="B147" s="88"/>
      <c r="C147" s="38" t="s">
        <v>184</v>
      </c>
      <c r="D147" s="38">
        <f>(61.29)*10.764</f>
        <v>659.72555999999997</v>
      </c>
      <c r="E147" s="38">
        <v>0</v>
      </c>
      <c r="F147" s="38">
        <f t="shared" si="10"/>
        <v>1022.574618</v>
      </c>
      <c r="G147" s="73"/>
      <c r="H147" s="74"/>
      <c r="I147" s="51"/>
    </row>
    <row r="148" spans="1:11" s="18" customFormat="1" ht="15.75" customHeight="1">
      <c r="A148" s="87">
        <v>5</v>
      </c>
      <c r="B148" s="88"/>
      <c r="C148" s="38" t="s">
        <v>184</v>
      </c>
      <c r="D148" s="38">
        <f>(54)*10.764</f>
        <v>581.25599999999997</v>
      </c>
      <c r="E148" s="38">
        <v>0</v>
      </c>
      <c r="F148" s="38">
        <f t="shared" si="10"/>
        <v>900.94679999999994</v>
      </c>
      <c r="G148" s="73"/>
      <c r="H148" s="74"/>
      <c r="I148" s="51"/>
      <c r="K148" s="18">
        <f>28+28</f>
        <v>56</v>
      </c>
    </row>
    <row r="149" spans="1:11" s="18" customFormat="1" ht="15.75" customHeight="1">
      <c r="A149" s="89">
        <v>6</v>
      </c>
      <c r="B149" s="90"/>
      <c r="C149" s="40" t="s">
        <v>184</v>
      </c>
      <c r="D149" s="40">
        <f>(56.42)*10.764</f>
        <v>607.30488000000003</v>
      </c>
      <c r="E149" s="40">
        <v>0</v>
      </c>
      <c r="F149" s="40">
        <f t="shared" si="10"/>
        <v>941.32256400000006</v>
      </c>
      <c r="G149" s="75"/>
      <c r="H149" s="76"/>
      <c r="I149" s="51"/>
    </row>
    <row r="150" spans="1:11" s="18" customFormat="1" ht="15.75" customHeight="1">
      <c r="A150" s="91" t="s">
        <v>193</v>
      </c>
      <c r="B150" s="91"/>
      <c r="C150" s="91"/>
      <c r="D150" s="91"/>
      <c r="E150" s="91"/>
      <c r="F150" s="91"/>
      <c r="G150" s="91"/>
      <c r="H150" s="91"/>
      <c r="I150" s="51"/>
    </row>
    <row r="151" spans="1:11" s="18" customFormat="1" ht="15.75" customHeight="1">
      <c r="A151" s="92">
        <v>1</v>
      </c>
      <c r="B151" s="92"/>
      <c r="C151" s="57" t="s">
        <v>184</v>
      </c>
      <c r="D151" s="57">
        <f>(48.19)*10.764</f>
        <v>518.71715999999992</v>
      </c>
      <c r="E151" s="57">
        <v>0</v>
      </c>
      <c r="F151" s="57">
        <f>D151*(($F$120)+1)+(IF(E151&lt;101,E151,IF(E151&lt;201,E151/2,IF(E151&lt;=301,E151/3,E151/4))))</f>
        <v>804.01159799999994</v>
      </c>
      <c r="G151" s="92" t="str">
        <f>A150</f>
        <v>14th Floor (Part Terrace Area)</v>
      </c>
      <c r="H151" s="92"/>
      <c r="I151" s="51"/>
    </row>
    <row r="152" spans="1:11" s="18" customFormat="1" ht="15.75" customHeight="1">
      <c r="A152" s="93">
        <v>2</v>
      </c>
      <c r="B152" s="93"/>
      <c r="C152" s="56" t="s">
        <v>184</v>
      </c>
      <c r="D152" s="56">
        <f>(62.38+1.23*2.73)*10.764</f>
        <v>707.60275559999991</v>
      </c>
      <c r="E152" s="56">
        <v>0</v>
      </c>
      <c r="F152" s="56">
        <f>D152*(($F$120)+1)+(IF(E152&lt;101,E152,IF(E152&lt;201,E152/2,IF(E152&lt;=301,E152/3,E152/4))))</f>
        <v>1096.7842711799999</v>
      </c>
      <c r="G152" s="92"/>
      <c r="H152" s="92"/>
      <c r="I152" s="51"/>
    </row>
    <row r="153" spans="1:11" s="18" customFormat="1" ht="15.75" customHeight="1">
      <c r="A153" s="93">
        <v>3</v>
      </c>
      <c r="B153" s="93"/>
      <c r="C153" s="56" t="s">
        <v>187</v>
      </c>
      <c r="D153" s="56">
        <f>(39.8)*10.764</f>
        <v>428.40719999999993</v>
      </c>
      <c r="E153" s="56">
        <v>0</v>
      </c>
      <c r="F153" s="56">
        <f>D153*(($F$120)+1)+(IF(E153&lt;101,E153,IF(E153&lt;201,E153/2,IF(E153&lt;=301,E153/3,E153/4))))</f>
        <v>664.03115999999989</v>
      </c>
      <c r="G153" s="92"/>
      <c r="H153" s="92"/>
      <c r="I153" s="51"/>
    </row>
    <row r="154" spans="1:11" s="18" customFormat="1" ht="15.75" customHeight="1">
      <c r="A154" s="93">
        <v>4</v>
      </c>
      <c r="B154" s="93"/>
      <c r="C154" s="56" t="s">
        <v>184</v>
      </c>
      <c r="D154" s="56">
        <f>(61.29)*10.764</f>
        <v>659.72555999999997</v>
      </c>
      <c r="E154" s="56">
        <v>0</v>
      </c>
      <c r="F154" s="56">
        <f>D154*(($F$120)+1)+(IF(E154&lt;101,E154,IF(E154&lt;201,E154/2,IF(E154&lt;=301,E154/3,E154/4))))</f>
        <v>1022.574618</v>
      </c>
      <c r="G154" s="92"/>
      <c r="H154" s="92"/>
      <c r="I154" s="51"/>
    </row>
    <row r="155" spans="1:11" s="18" customFormat="1" ht="15.75" customHeight="1">
      <c r="A155" s="93">
        <v>5</v>
      </c>
      <c r="B155" s="93"/>
      <c r="C155" s="93" t="s">
        <v>194</v>
      </c>
      <c r="D155" s="93"/>
      <c r="E155" s="93"/>
      <c r="F155" s="93"/>
      <c r="G155" s="92"/>
      <c r="H155" s="92"/>
      <c r="I155" s="51"/>
    </row>
    <row r="156" spans="1:11" s="18" customFormat="1" ht="15.75" customHeight="1">
      <c r="A156" s="92">
        <v>6</v>
      </c>
      <c r="B156" s="92"/>
      <c r="C156" s="57" t="s">
        <v>184</v>
      </c>
      <c r="D156" s="57">
        <f>(56.42)*10.764</f>
        <v>607.30488000000003</v>
      </c>
      <c r="E156" s="57">
        <v>0</v>
      </c>
      <c r="F156" s="57">
        <f>D156*(($F$120)+1)+(IF(E156&lt;101,E156,IF(E156&lt;201,E156/2,IF(E156&lt;=301,E156/3,E156/4))))</f>
        <v>941.32256400000006</v>
      </c>
      <c r="G156" s="92"/>
      <c r="H156" s="92"/>
      <c r="I156" s="51"/>
    </row>
    <row r="157" spans="1:11" s="17" customFormat="1">
      <c r="A157" s="80" t="s">
        <v>195</v>
      </c>
      <c r="B157" s="80"/>
      <c r="C157" s="80"/>
      <c r="D157" s="80"/>
      <c r="E157" s="80"/>
      <c r="F157" s="80"/>
      <c r="G157" s="80"/>
      <c r="H157" s="80"/>
    </row>
    <row r="158" spans="1:11" s="17" customFormat="1" ht="15.95" customHeight="1">
      <c r="A158" s="35" t="s">
        <v>196</v>
      </c>
      <c r="B158" s="81" t="s">
        <v>236</v>
      </c>
      <c r="C158" s="82"/>
      <c r="D158" s="82"/>
      <c r="E158" s="82"/>
      <c r="F158" s="82"/>
      <c r="G158" s="82"/>
      <c r="H158" s="83"/>
    </row>
    <row r="159" spans="1:11" s="17" customFormat="1">
      <c r="A159" s="35" t="s">
        <v>196</v>
      </c>
      <c r="B159" s="81" t="str">
        <f>(IF(F119="Saleable area Loading :","We have considered Saleable area of Flats as per our Calculation.","We considered Saleable area of Flat as per Builder area Sheet."))</f>
        <v>We have considered Saleable area of Flats as per our Calculation.</v>
      </c>
      <c r="C159" s="82"/>
      <c r="D159" s="82"/>
      <c r="E159" s="82"/>
      <c r="F159" s="82"/>
      <c r="G159" s="82"/>
      <c r="H159" s="83"/>
    </row>
    <row r="160" spans="1:11" s="17" customFormat="1">
      <c r="A160" s="35" t="s">
        <v>196</v>
      </c>
      <c r="B160" s="81" t="str">
        <f>(IF(F101="Saleable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0" s="82"/>
      <c r="D160" s="82"/>
      <c r="E160" s="82"/>
      <c r="F160" s="82"/>
      <c r="G160" s="82"/>
      <c r="H160" s="83"/>
    </row>
    <row r="161" spans="1:8" s="17" customFormat="1">
      <c r="A161" s="35" t="s">
        <v>196</v>
      </c>
      <c r="B161" s="81" t="s">
        <v>197</v>
      </c>
      <c r="C161" s="82"/>
      <c r="D161" s="82"/>
      <c r="E161" s="82"/>
      <c r="F161" s="82"/>
      <c r="G161" s="82"/>
      <c r="H161" s="83"/>
    </row>
    <row r="162" spans="1:8" s="17" customFormat="1">
      <c r="A162" s="35" t="s">
        <v>196</v>
      </c>
      <c r="B162" s="84" t="s">
        <v>198</v>
      </c>
      <c r="C162" s="85"/>
      <c r="D162" s="85"/>
      <c r="E162" s="85"/>
      <c r="F162" s="85"/>
      <c r="G162" s="85"/>
      <c r="H162" s="86"/>
    </row>
    <row r="163" spans="1:8" s="17" customFormat="1">
      <c r="A163" s="35" t="s">
        <v>196</v>
      </c>
      <c r="B163" s="84" t="s">
        <v>199</v>
      </c>
      <c r="C163" s="85"/>
      <c r="D163" s="85"/>
      <c r="E163" s="85"/>
      <c r="F163" s="85"/>
      <c r="G163" s="85"/>
      <c r="H163" s="86"/>
    </row>
    <row r="164" spans="1:8" s="17" customFormat="1">
      <c r="A164" s="35" t="s">
        <v>196</v>
      </c>
      <c r="B164" s="84" t="s">
        <v>200</v>
      </c>
      <c r="C164" s="85"/>
      <c r="D164" s="85"/>
      <c r="E164" s="85"/>
      <c r="F164" s="85"/>
      <c r="G164" s="85"/>
      <c r="H164" s="86"/>
    </row>
    <row r="165" spans="1:8" s="17" customFormat="1" ht="34.5" customHeight="1">
      <c r="A165" s="35" t="s">
        <v>196</v>
      </c>
      <c r="B165" s="84" t="s">
        <v>201</v>
      </c>
      <c r="C165" s="85"/>
      <c r="D165" s="85"/>
      <c r="E165" s="85"/>
      <c r="F165" s="85"/>
      <c r="G165" s="85"/>
      <c r="H165" s="86"/>
    </row>
    <row r="166" spans="1:8" s="17" customFormat="1">
      <c r="A166" s="35" t="s">
        <v>196</v>
      </c>
      <c r="B166" s="84" t="s">
        <v>202</v>
      </c>
      <c r="C166" s="85"/>
      <c r="D166" s="85"/>
      <c r="E166" s="85"/>
      <c r="F166" s="85"/>
      <c r="G166" s="85"/>
      <c r="H166" s="86"/>
    </row>
    <row r="167" spans="1:8" s="17" customFormat="1" hidden="1">
      <c r="A167" s="35" t="s">
        <v>196</v>
      </c>
      <c r="B167" s="81" t="s">
        <v>203</v>
      </c>
      <c r="C167" s="82"/>
      <c r="D167" s="82"/>
      <c r="E167" s="82"/>
      <c r="F167" s="82"/>
      <c r="G167" s="82"/>
      <c r="H167" s="83"/>
    </row>
    <row r="168" spans="1:8" s="17" customFormat="1">
      <c r="A168" s="35" t="s">
        <v>196</v>
      </c>
      <c r="B168" s="81" t="s">
        <v>204</v>
      </c>
      <c r="C168" s="82"/>
      <c r="D168" s="82"/>
      <c r="E168" s="82"/>
      <c r="F168" s="82"/>
      <c r="G168" s="82"/>
      <c r="H168" s="83"/>
    </row>
    <row r="169" spans="1:8" s="17" customFormat="1" hidden="1">
      <c r="A169" s="35" t="s">
        <v>196</v>
      </c>
      <c r="B169" s="81" t="s">
        <v>205</v>
      </c>
      <c r="C169" s="82"/>
      <c r="D169" s="82"/>
      <c r="E169" s="82"/>
      <c r="F169" s="82"/>
      <c r="G169" s="82"/>
      <c r="H169" s="83"/>
    </row>
    <row r="170" spans="1:8" s="17" customFormat="1" hidden="1">
      <c r="A170" s="35" t="s">
        <v>196</v>
      </c>
      <c r="B170" s="81" t="s">
        <v>206</v>
      </c>
      <c r="C170" s="82"/>
      <c r="D170" s="82"/>
      <c r="E170" s="82"/>
      <c r="F170" s="82"/>
      <c r="G170" s="82"/>
      <c r="H170" s="83"/>
    </row>
    <row r="171" spans="1:8" s="17" customFormat="1">
      <c r="A171" s="35" t="s">
        <v>196</v>
      </c>
      <c r="B171" s="81" t="s">
        <v>207</v>
      </c>
      <c r="C171" s="82"/>
      <c r="D171" s="82"/>
      <c r="E171" s="82"/>
      <c r="F171" s="82"/>
      <c r="G171" s="82"/>
      <c r="H171" s="83"/>
    </row>
    <row r="172" spans="1:8" s="17" customFormat="1">
      <c r="A172" s="35" t="s">
        <v>196</v>
      </c>
      <c r="B172" s="81" t="s">
        <v>208</v>
      </c>
      <c r="C172" s="82"/>
      <c r="D172" s="82"/>
      <c r="E172" s="82"/>
      <c r="F172" s="82"/>
      <c r="G172" s="82"/>
      <c r="H172" s="83"/>
    </row>
    <row r="173" spans="1:8" s="17" customFormat="1" hidden="1">
      <c r="A173" s="35" t="s">
        <v>196</v>
      </c>
      <c r="B173" s="81" t="s">
        <v>209</v>
      </c>
      <c r="C173" s="82"/>
      <c r="D173" s="82"/>
      <c r="E173" s="82"/>
      <c r="F173" s="82"/>
      <c r="G173" s="82"/>
      <c r="H173" s="83"/>
    </row>
    <row r="174" spans="1:8" s="17" customFormat="1">
      <c r="A174" s="35" t="s">
        <v>196</v>
      </c>
      <c r="B174" s="81" t="s">
        <v>241</v>
      </c>
      <c r="C174" s="82"/>
      <c r="D174" s="82"/>
      <c r="E174" s="82"/>
      <c r="F174" s="82"/>
      <c r="G174" s="82"/>
      <c r="H174" s="83"/>
    </row>
    <row r="175" spans="1:8" s="17" customFormat="1" ht="15.6" hidden="1" customHeight="1">
      <c r="A175" s="55" t="s">
        <v>196</v>
      </c>
      <c r="B175" s="81" t="s">
        <v>210</v>
      </c>
      <c r="C175" s="82"/>
      <c r="D175" s="82"/>
      <c r="E175" s="82"/>
      <c r="F175" s="82"/>
      <c r="G175" s="82"/>
      <c r="H175" s="83"/>
    </row>
    <row r="176" spans="1:8" s="17" customFormat="1" ht="35.450000000000003" customHeight="1">
      <c r="A176" s="55" t="s">
        <v>196</v>
      </c>
      <c r="B176" s="81" t="s">
        <v>242</v>
      </c>
      <c r="C176" s="82"/>
      <c r="D176" s="82"/>
      <c r="E176" s="82"/>
      <c r="F176" s="82"/>
      <c r="G176" s="82"/>
      <c r="H176" s="83"/>
    </row>
    <row r="177" spans="1:8" s="17" customFormat="1" ht="35.450000000000003" hidden="1" customHeight="1">
      <c r="A177" s="55" t="s">
        <v>196</v>
      </c>
      <c r="B177" s="96" t="s">
        <v>237</v>
      </c>
      <c r="C177" s="97"/>
      <c r="D177" s="97"/>
      <c r="E177" s="97"/>
      <c r="F177" s="97"/>
      <c r="G177" s="97"/>
      <c r="H177" s="98"/>
    </row>
    <row r="178" spans="1:8">
      <c r="A178" s="99" t="s">
        <v>211</v>
      </c>
      <c r="B178" s="99"/>
      <c r="C178" s="99"/>
      <c r="D178" s="99"/>
      <c r="E178" s="99"/>
      <c r="F178" s="99"/>
      <c r="G178" s="99"/>
      <c r="H178" s="99"/>
    </row>
    <row r="179" spans="1:8">
      <c r="A179" s="94" t="s">
        <v>212</v>
      </c>
      <c r="B179" s="94"/>
      <c r="C179" s="94"/>
      <c r="D179" s="94"/>
      <c r="E179" s="94"/>
      <c r="F179" s="94"/>
      <c r="G179" s="94"/>
      <c r="H179" s="94"/>
    </row>
    <row r="180" spans="1:8" ht="15.75" customHeight="1">
      <c r="A180" s="95" t="s">
        <v>213</v>
      </c>
      <c r="B180" s="95"/>
      <c r="C180" s="95"/>
      <c r="D180" s="95"/>
      <c r="E180" s="95"/>
      <c r="F180" s="95"/>
      <c r="G180" s="95"/>
      <c r="H180" s="95"/>
    </row>
    <row r="181" spans="1:8">
      <c r="A181" s="94" t="s">
        <v>214</v>
      </c>
      <c r="B181" s="94"/>
      <c r="C181" s="94"/>
      <c r="D181" s="94"/>
      <c r="E181" s="94"/>
      <c r="F181" s="94"/>
      <c r="G181" s="94"/>
      <c r="H181" s="94"/>
    </row>
    <row r="182" spans="1:8">
      <c r="A182" s="94" t="s">
        <v>215</v>
      </c>
      <c r="B182" s="94"/>
      <c r="C182" s="94"/>
      <c r="D182" s="94"/>
      <c r="E182" s="94"/>
      <c r="F182" s="94"/>
      <c r="G182" s="94"/>
      <c r="H182" s="94"/>
    </row>
    <row r="183" spans="1:8">
      <c r="A183" s="94" t="s">
        <v>216</v>
      </c>
      <c r="B183" s="94"/>
      <c r="C183" s="94"/>
      <c r="D183" s="94"/>
      <c r="E183" s="94"/>
      <c r="F183" s="94"/>
      <c r="G183" s="94"/>
      <c r="H183" s="94"/>
    </row>
    <row r="184" spans="1:8" ht="35.25" customHeight="1">
      <c r="A184" s="60" t="s">
        <v>217</v>
      </c>
      <c r="B184" s="60"/>
      <c r="C184" s="60"/>
      <c r="D184" s="60"/>
      <c r="E184" s="60"/>
      <c r="F184" s="60"/>
      <c r="G184" s="60"/>
      <c r="H184" s="60"/>
    </row>
    <row r="185" spans="1:8">
      <c r="A185" s="77" t="s">
        <v>218</v>
      </c>
      <c r="B185" s="77"/>
      <c r="C185" s="77" t="s">
        <v>239</v>
      </c>
      <c r="D185" s="77"/>
      <c r="E185" s="77" t="s">
        <v>219</v>
      </c>
      <c r="F185" s="77"/>
      <c r="G185" s="77" t="s">
        <v>240</v>
      </c>
      <c r="H185" s="77"/>
    </row>
    <row r="186" spans="1:8">
      <c r="A186" s="59" t="s">
        <v>220</v>
      </c>
      <c r="B186" s="59"/>
      <c r="C186" s="59"/>
      <c r="D186" s="59"/>
      <c r="E186" s="59"/>
      <c r="F186" s="59"/>
      <c r="G186" s="59"/>
      <c r="H186" s="59"/>
    </row>
    <row r="187" spans="1:8">
      <c r="A187" s="59"/>
      <c r="B187" s="59"/>
      <c r="C187" s="59"/>
      <c r="D187" s="59"/>
      <c r="E187" s="59"/>
      <c r="F187" s="59"/>
      <c r="G187" s="59"/>
      <c r="H187" s="59"/>
    </row>
    <row r="188" spans="1:8">
      <c r="A188" s="59"/>
      <c r="B188" s="59"/>
      <c r="C188" s="59"/>
      <c r="D188" s="59"/>
      <c r="E188" s="59"/>
      <c r="F188" s="59"/>
      <c r="G188" s="59"/>
      <c r="H188" s="59"/>
    </row>
    <row r="189" spans="1:8">
      <c r="A189" s="59"/>
      <c r="B189" s="59"/>
      <c r="C189" s="59"/>
      <c r="D189" s="59"/>
      <c r="E189" s="59"/>
      <c r="F189" s="59"/>
      <c r="G189" s="59"/>
      <c r="H189" s="59"/>
    </row>
    <row r="190" spans="1:8">
      <c r="A190" s="52" t="s">
        <v>221</v>
      </c>
      <c r="B190" s="53"/>
      <c r="C190" s="53"/>
      <c r="D190" s="52" t="str">
        <f>E8</f>
        <v>Ashirwad Chs Ltd</v>
      </c>
      <c r="F190" s="53"/>
      <c r="G190" s="53"/>
      <c r="H190" s="53"/>
    </row>
    <row r="191" spans="1:8">
      <c r="A191" s="53"/>
      <c r="B191" s="53"/>
      <c r="C191" s="53"/>
      <c r="D191" s="53"/>
      <c r="E191" s="53"/>
      <c r="F191" s="53"/>
      <c r="G191" s="53"/>
      <c r="H191" s="53"/>
    </row>
    <row r="192" spans="1:8">
      <c r="A192" s="53"/>
      <c r="B192" s="53"/>
      <c r="C192" s="53"/>
      <c r="D192" s="53"/>
      <c r="E192" s="53"/>
      <c r="F192" s="53"/>
      <c r="G192" s="53"/>
      <c r="H192" s="53"/>
    </row>
    <row r="193" ht="15" customHeight="1"/>
    <row r="233" spans="1:1">
      <c r="A233" s="54" t="s">
        <v>222</v>
      </c>
    </row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spans="1:1" hidden="1"/>
    <row r="276" spans="1:1">
      <c r="A276" s="54" t="s">
        <v>223</v>
      </c>
    </row>
  </sheetData>
  <mergeCells count="326"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2:D12"/>
    <mergeCell ref="E12:H12"/>
    <mergeCell ref="A13:D13"/>
    <mergeCell ref="E13:H13"/>
    <mergeCell ref="A14:B14"/>
    <mergeCell ref="C14:H14"/>
    <mergeCell ref="A15:B15"/>
    <mergeCell ref="C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2:D22"/>
    <mergeCell ref="E22:H22"/>
    <mergeCell ref="A23:D23"/>
    <mergeCell ref="E23:H23"/>
    <mergeCell ref="A24:D24"/>
    <mergeCell ref="E24:H24"/>
    <mergeCell ref="A25:D25"/>
    <mergeCell ref="E25:H25"/>
    <mergeCell ref="A26:D26"/>
    <mergeCell ref="E26:H26"/>
    <mergeCell ref="A27:D27"/>
    <mergeCell ref="E27:H27"/>
    <mergeCell ref="A28:D28"/>
    <mergeCell ref="E28:H28"/>
    <mergeCell ref="A29:D29"/>
    <mergeCell ref="E29:H29"/>
    <mergeCell ref="A30:B30"/>
    <mergeCell ref="C30:E30"/>
    <mergeCell ref="F30:H30"/>
    <mergeCell ref="A31:B31"/>
    <mergeCell ref="C31:E31"/>
    <mergeCell ref="F31:H31"/>
    <mergeCell ref="A32:B32"/>
    <mergeCell ref="C32:E32"/>
    <mergeCell ref="F32:H32"/>
    <mergeCell ref="A33:B33"/>
    <mergeCell ref="C33:E33"/>
    <mergeCell ref="F33:H33"/>
    <mergeCell ref="A34:B34"/>
    <mergeCell ref="C34:E34"/>
    <mergeCell ref="F34:H34"/>
    <mergeCell ref="A35:H35"/>
    <mergeCell ref="A36:B36"/>
    <mergeCell ref="C36:H36"/>
    <mergeCell ref="A37:B37"/>
    <mergeCell ref="C37:H37"/>
    <mergeCell ref="A38:H38"/>
    <mergeCell ref="A39:D39"/>
    <mergeCell ref="E39:H39"/>
    <mergeCell ref="A40:D40"/>
    <mergeCell ref="E40:H40"/>
    <mergeCell ref="A41:D41"/>
    <mergeCell ref="E41:H41"/>
    <mergeCell ref="A42:D42"/>
    <mergeCell ref="E42:H42"/>
    <mergeCell ref="A43:D43"/>
    <mergeCell ref="E43:H43"/>
    <mergeCell ref="A44:D44"/>
    <mergeCell ref="E44:H44"/>
    <mergeCell ref="A45:H45"/>
    <mergeCell ref="A46:B46"/>
    <mergeCell ref="C46:H46"/>
    <mergeCell ref="A47:B47"/>
    <mergeCell ref="C47:E47"/>
    <mergeCell ref="G47:H47"/>
    <mergeCell ref="A48:B48"/>
    <mergeCell ref="C48:E48"/>
    <mergeCell ref="G48:H48"/>
    <mergeCell ref="C49:E49"/>
    <mergeCell ref="G49:H49"/>
    <mergeCell ref="C50:E50"/>
    <mergeCell ref="G50:H50"/>
    <mergeCell ref="C51:E51"/>
    <mergeCell ref="G51:H51"/>
    <mergeCell ref="C52:E52"/>
    <mergeCell ref="G52:H52"/>
    <mergeCell ref="A53:B53"/>
    <mergeCell ref="C53:E53"/>
    <mergeCell ref="G53:H53"/>
    <mergeCell ref="A54:H54"/>
    <mergeCell ref="A55:C55"/>
    <mergeCell ref="D55:H55"/>
    <mergeCell ref="A56:C56"/>
    <mergeCell ref="D56:H56"/>
    <mergeCell ref="A57:C57"/>
    <mergeCell ref="D57:H57"/>
    <mergeCell ref="A58:C58"/>
    <mergeCell ref="D58:H58"/>
    <mergeCell ref="A59:C59"/>
    <mergeCell ref="D59:H59"/>
    <mergeCell ref="A60:C60"/>
    <mergeCell ref="D60:H60"/>
    <mergeCell ref="A61:C61"/>
    <mergeCell ref="D61:H61"/>
    <mergeCell ref="A62:C62"/>
    <mergeCell ref="D62:H62"/>
    <mergeCell ref="A63:C63"/>
    <mergeCell ref="D63:H63"/>
    <mergeCell ref="A64:C64"/>
    <mergeCell ref="D64:H64"/>
    <mergeCell ref="A65:C65"/>
    <mergeCell ref="D65:H65"/>
    <mergeCell ref="A66:B66"/>
    <mergeCell ref="C66:H66"/>
    <mergeCell ref="A68:B68"/>
    <mergeCell ref="C68:H68"/>
    <mergeCell ref="A69:B69"/>
    <mergeCell ref="E69:F69"/>
    <mergeCell ref="G69:H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H80"/>
    <mergeCell ref="A81:E81"/>
    <mergeCell ref="F81:H81"/>
    <mergeCell ref="A82:E82"/>
    <mergeCell ref="F82:H82"/>
    <mergeCell ref="A83:E83"/>
    <mergeCell ref="F83:H83"/>
    <mergeCell ref="A84:E84"/>
    <mergeCell ref="F84:H84"/>
    <mergeCell ref="A85:E85"/>
    <mergeCell ref="F85:H85"/>
    <mergeCell ref="A86:E86"/>
    <mergeCell ref="F86:H86"/>
    <mergeCell ref="A87:E87"/>
    <mergeCell ref="F87:H87"/>
    <mergeCell ref="A88:E88"/>
    <mergeCell ref="F88:H88"/>
    <mergeCell ref="A89:E89"/>
    <mergeCell ref="F89:H89"/>
    <mergeCell ref="A90:E90"/>
    <mergeCell ref="F90:H90"/>
    <mergeCell ref="A91:E91"/>
    <mergeCell ref="F91:H91"/>
    <mergeCell ref="A92:E92"/>
    <mergeCell ref="F92:H92"/>
    <mergeCell ref="A93:H93"/>
    <mergeCell ref="A94:B94"/>
    <mergeCell ref="C94:D94"/>
    <mergeCell ref="E94:F94"/>
    <mergeCell ref="G94:H94"/>
    <mergeCell ref="A95:B95"/>
    <mergeCell ref="C95:D95"/>
    <mergeCell ref="E95:F95"/>
    <mergeCell ref="G95:H95"/>
    <mergeCell ref="A96:H96"/>
    <mergeCell ref="A97:B97"/>
    <mergeCell ref="C97:D97"/>
    <mergeCell ref="E97:F97"/>
    <mergeCell ref="G97:H97"/>
    <mergeCell ref="A106:B106"/>
    <mergeCell ref="L106:M106"/>
    <mergeCell ref="A107:B107"/>
    <mergeCell ref="L107:M107"/>
    <mergeCell ref="A108:B108"/>
    <mergeCell ref="L108:M108"/>
    <mergeCell ref="A109:B109"/>
    <mergeCell ref="L109:M109"/>
    <mergeCell ref="A98:B98"/>
    <mergeCell ref="C98:D98"/>
    <mergeCell ref="E98:F98"/>
    <mergeCell ref="G98:H98"/>
    <mergeCell ref="A99:H99"/>
    <mergeCell ref="A100:H100"/>
    <mergeCell ref="A103:H103"/>
    <mergeCell ref="A104:B104"/>
    <mergeCell ref="L104:M104"/>
    <mergeCell ref="E101:E102"/>
    <mergeCell ref="A115:B115"/>
    <mergeCell ref="L115:M115"/>
    <mergeCell ref="A116:B116"/>
    <mergeCell ref="L116:M116"/>
    <mergeCell ref="A117:B117"/>
    <mergeCell ref="L117:M117"/>
    <mergeCell ref="A118:H118"/>
    <mergeCell ref="A121:H121"/>
    <mergeCell ref="A122:H122"/>
    <mergeCell ref="L122:M122"/>
    <mergeCell ref="E119:E120"/>
    <mergeCell ref="G104:H117"/>
    <mergeCell ref="A110:B110"/>
    <mergeCell ref="L110:M110"/>
    <mergeCell ref="A111:B111"/>
    <mergeCell ref="L111:M111"/>
    <mergeCell ref="A112:B112"/>
    <mergeCell ref="L112:M112"/>
    <mergeCell ref="A113:B113"/>
    <mergeCell ref="L113:M113"/>
    <mergeCell ref="A114:B114"/>
    <mergeCell ref="L114:M114"/>
    <mergeCell ref="A105:B105"/>
    <mergeCell ref="L105:M105"/>
    <mergeCell ref="A123:B123"/>
    <mergeCell ref="A124:B124"/>
    <mergeCell ref="C124:F124"/>
    <mergeCell ref="A125:B125"/>
    <mergeCell ref="C125:F125"/>
    <mergeCell ref="A126:B126"/>
    <mergeCell ref="A127:B127"/>
    <mergeCell ref="A128:B128"/>
    <mergeCell ref="A129:H129"/>
    <mergeCell ref="G123:H128"/>
    <mergeCell ref="A130:B130"/>
    <mergeCell ref="A131:B131"/>
    <mergeCell ref="A132:B132"/>
    <mergeCell ref="A133:B133"/>
    <mergeCell ref="A134:B134"/>
    <mergeCell ref="A135:B135"/>
    <mergeCell ref="A136:H136"/>
    <mergeCell ref="A137:B137"/>
    <mergeCell ref="A138:B138"/>
    <mergeCell ref="A139:B139"/>
    <mergeCell ref="A140:B140"/>
    <mergeCell ref="A141:B141"/>
    <mergeCell ref="A142:B142"/>
    <mergeCell ref="A143:H143"/>
    <mergeCell ref="A144:B144"/>
    <mergeCell ref="A145:B145"/>
    <mergeCell ref="A146:B146"/>
    <mergeCell ref="A147:B147"/>
    <mergeCell ref="C139:F140"/>
    <mergeCell ref="A179:H179"/>
    <mergeCell ref="A180:H180"/>
    <mergeCell ref="A181:H181"/>
    <mergeCell ref="A182:H182"/>
    <mergeCell ref="A183:H183"/>
    <mergeCell ref="A184:H184"/>
    <mergeCell ref="B165:H165"/>
    <mergeCell ref="B166:H166"/>
    <mergeCell ref="B167:H167"/>
    <mergeCell ref="B168:H168"/>
    <mergeCell ref="B169:H169"/>
    <mergeCell ref="B170:H170"/>
    <mergeCell ref="B171:H171"/>
    <mergeCell ref="B172:H172"/>
    <mergeCell ref="B173:H173"/>
    <mergeCell ref="B177:H177"/>
    <mergeCell ref="B176:H176"/>
    <mergeCell ref="B174:H174"/>
    <mergeCell ref="B175:H175"/>
    <mergeCell ref="A178:H178"/>
    <mergeCell ref="A157:H157"/>
    <mergeCell ref="B158:H158"/>
    <mergeCell ref="B159:H159"/>
    <mergeCell ref="B160:H160"/>
    <mergeCell ref="B161:H161"/>
    <mergeCell ref="B162:H162"/>
    <mergeCell ref="B163:H163"/>
    <mergeCell ref="B164:H164"/>
    <mergeCell ref="A148:B148"/>
    <mergeCell ref="A149:B149"/>
    <mergeCell ref="A150:H150"/>
    <mergeCell ref="A151:B151"/>
    <mergeCell ref="A152:B152"/>
    <mergeCell ref="A153:B153"/>
    <mergeCell ref="A154:B154"/>
    <mergeCell ref="A155:B155"/>
    <mergeCell ref="C155:F155"/>
    <mergeCell ref="G151:H156"/>
    <mergeCell ref="A156:B156"/>
    <mergeCell ref="A186:H189"/>
    <mergeCell ref="A20:D21"/>
    <mergeCell ref="E20:H21"/>
    <mergeCell ref="E70:F79"/>
    <mergeCell ref="G70:H79"/>
    <mergeCell ref="A51:B52"/>
    <mergeCell ref="G101:H102"/>
    <mergeCell ref="G137:H142"/>
    <mergeCell ref="G130:H135"/>
    <mergeCell ref="G144:H149"/>
    <mergeCell ref="G119:H120"/>
    <mergeCell ref="A49:B50"/>
    <mergeCell ref="A185:B185"/>
    <mergeCell ref="C185:D185"/>
    <mergeCell ref="E185:F185"/>
    <mergeCell ref="G185:H185"/>
    <mergeCell ref="A101:A102"/>
    <mergeCell ref="A119:A120"/>
    <mergeCell ref="B101:B102"/>
    <mergeCell ref="B119:B120"/>
    <mergeCell ref="C101:C102"/>
    <mergeCell ref="C119:C120"/>
    <mergeCell ref="D101:D102"/>
    <mergeCell ref="D119:D120"/>
  </mergeCells>
  <hyperlinks>
    <hyperlink ref="C37" r:id="rId1"/>
  </hyperlinks>
  <printOptions horizontalCentered="1"/>
  <pageMargins left="0.39370078740157499" right="0.39370078740157499" top="0.78740157480314998" bottom="0.78740157480314998" header="0.196850393700787" footer="0.196850393700787"/>
  <pageSetup paperSize="2" scale="99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189" max="16383" man="1"/>
    <brk id="232" max="7" man="1"/>
    <brk id="27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85546875" defaultRowHeight="15"/>
  <cols>
    <col min="1" max="1" width="8.855468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85546875" style="1"/>
  </cols>
  <sheetData>
    <row r="1" spans="1:9" ht="15" customHeight="1"/>
    <row r="2" spans="1:9" ht="15" customHeight="1">
      <c r="A2" s="2"/>
      <c r="B2" s="2"/>
      <c r="C2" s="2"/>
      <c r="D2" s="2"/>
      <c r="E2" s="2"/>
      <c r="F2" s="2"/>
      <c r="G2" s="2"/>
      <c r="H2" s="2"/>
    </row>
    <row r="3" spans="1:9" ht="15.75" customHeight="1">
      <c r="A3" s="2"/>
      <c r="B3" s="182" t="s">
        <v>224</v>
      </c>
      <c r="C3" s="182"/>
      <c r="D3" s="182"/>
      <c r="E3" s="182"/>
      <c r="F3" s="182"/>
      <c r="G3" s="182"/>
      <c r="H3" s="182"/>
    </row>
    <row r="4" spans="1:9">
      <c r="A4" s="2"/>
      <c r="B4" s="3" t="s">
        <v>225</v>
      </c>
      <c r="C4" s="3" t="s">
        <v>226</v>
      </c>
      <c r="D4" s="3" t="s">
        <v>227</v>
      </c>
      <c r="E4" s="3" t="s">
        <v>228</v>
      </c>
      <c r="F4" s="3" t="s">
        <v>229</v>
      </c>
      <c r="G4" s="3" t="s">
        <v>230</v>
      </c>
      <c r="H4" s="3" t="s">
        <v>231</v>
      </c>
    </row>
    <row r="5" spans="1:9" ht="15" customHeight="1">
      <c r="A5" s="2"/>
      <c r="B5" s="4" t="s">
        <v>232</v>
      </c>
      <c r="C5" s="5"/>
      <c r="D5" s="4"/>
      <c r="E5" s="4"/>
      <c r="F5" s="6">
        <f>E5*1.6</f>
        <v>0</v>
      </c>
      <c r="G5" s="6" t="e">
        <f>H5/F5</f>
        <v>#DIV/0!</v>
      </c>
      <c r="H5" s="7"/>
    </row>
    <row r="6" spans="1:9">
      <c r="A6" s="2"/>
      <c r="B6" s="4" t="s">
        <v>232</v>
      </c>
      <c r="C6" s="8"/>
      <c r="D6" s="4"/>
      <c r="E6" s="4"/>
      <c r="F6" s="6">
        <f t="shared" ref="F6:F11" si="0">E6*1.6</f>
        <v>0</v>
      </c>
      <c r="G6" s="6" t="e">
        <f t="shared" ref="G6:G11" si="1">H6/F6</f>
        <v>#DIV/0!</v>
      </c>
      <c r="H6" s="7"/>
    </row>
    <row r="7" spans="1:9" ht="15" customHeight="1">
      <c r="A7" s="2"/>
      <c r="B7" s="4" t="s">
        <v>232</v>
      </c>
      <c r="C7" s="5"/>
      <c r="D7" s="4"/>
      <c r="E7" s="4"/>
      <c r="F7" s="6">
        <f t="shared" si="0"/>
        <v>0</v>
      </c>
      <c r="G7" s="6" t="e">
        <f t="shared" si="1"/>
        <v>#DIV/0!</v>
      </c>
      <c r="H7" s="7"/>
    </row>
    <row r="8" spans="1:9">
      <c r="A8" s="2"/>
      <c r="B8" s="4" t="s">
        <v>232</v>
      </c>
      <c r="C8" s="8"/>
      <c r="D8" s="4"/>
      <c r="E8" s="4"/>
      <c r="F8" s="6">
        <f t="shared" si="0"/>
        <v>0</v>
      </c>
      <c r="G8" s="6" t="e">
        <f t="shared" si="1"/>
        <v>#DIV/0!</v>
      </c>
      <c r="H8" s="7"/>
    </row>
    <row r="9" spans="1:9" ht="15" customHeight="1">
      <c r="A9" s="2"/>
      <c r="B9" s="4" t="s">
        <v>232</v>
      </c>
      <c r="C9" s="8"/>
      <c r="D9" s="4"/>
      <c r="E9" s="4"/>
      <c r="F9" s="6">
        <f t="shared" si="0"/>
        <v>0</v>
      </c>
      <c r="G9" s="6" t="e">
        <f t="shared" si="1"/>
        <v>#DIV/0!</v>
      </c>
      <c r="H9" s="7"/>
    </row>
    <row r="10" spans="1:9" ht="15" customHeight="1">
      <c r="A10" s="2"/>
      <c r="B10" s="4" t="s">
        <v>233</v>
      </c>
      <c r="C10" s="5"/>
      <c r="D10" s="4"/>
      <c r="E10" s="4"/>
      <c r="F10" s="6">
        <f t="shared" si="0"/>
        <v>0</v>
      </c>
      <c r="G10" s="6" t="e">
        <f t="shared" si="1"/>
        <v>#DIV/0!</v>
      </c>
      <c r="H10" s="7"/>
    </row>
    <row r="11" spans="1:9" ht="15" customHeight="1">
      <c r="A11" s="2"/>
      <c r="B11" s="4" t="s">
        <v>233</v>
      </c>
      <c r="C11" s="5"/>
      <c r="D11" s="4"/>
      <c r="E11" s="4"/>
      <c r="F11" s="6">
        <f t="shared" si="0"/>
        <v>0</v>
      </c>
      <c r="G11" s="6" t="e">
        <f t="shared" si="1"/>
        <v>#DIV/0!</v>
      </c>
      <c r="H11" s="7"/>
    </row>
    <row r="12" spans="1:9" ht="15" customHeight="1">
      <c r="A12" s="2"/>
      <c r="B12" s="9" t="s">
        <v>234</v>
      </c>
      <c r="C12" s="4"/>
      <c r="D12" s="4"/>
      <c r="E12" s="4"/>
      <c r="F12" s="4"/>
      <c r="G12" s="10" t="e">
        <f>AVERAGE(G5:G11)</f>
        <v>#DIV/0!</v>
      </c>
      <c r="H12" s="4"/>
    </row>
    <row r="13" spans="1:9" ht="15" customHeight="1">
      <c r="B13" s="9" t="s">
        <v>235</v>
      </c>
      <c r="C13" s="4"/>
      <c r="D13" s="4"/>
      <c r="E13" s="4"/>
      <c r="F13" s="11"/>
      <c r="G13" s="9"/>
      <c r="H13" s="9"/>
      <c r="I13" s="12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2025-09-13T05:50:04Z</cp:lastPrinted>
  <dcterms:created xsi:type="dcterms:W3CDTF">2019-07-16T09:29:00Z</dcterms:created>
  <dcterms:modified xsi:type="dcterms:W3CDTF">2025-09-13T05:56:37Z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690878E7D38647A885CFDA435A7F99CC_12</vt:lpwstr>
  </property>
  <property fmtid="{D5CDD505-2E9C-101B-9397-08002B2CF9AE}" pid="3" name="KSOProductBuildVer">
    <vt:lpwstr>1033-12.2.0.17562</vt:lpwstr>
  </property>
</Properties>
</file>