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Shruti\Sept 25\Dump\"/>
    </mc:Choice>
  </mc:AlternateContent>
  <bookViews>
    <workbookView xWindow="0" yWindow="0" windowWidth="20490" windowHeight="7755" tabRatio="725"/>
  </bookViews>
  <sheets>
    <sheet name="Report" sheetId="1" r:id="rId1"/>
    <sheet name="valuation" sheetId="5" r:id="rId2"/>
    <sheet name="Note" sheetId="4" r:id="rId3"/>
  </sheets>
  <definedNames>
    <definedName name="_xlnm.Print_Area" localSheetId="0">Report!$A$1:$H$615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2" i="1" l="1"/>
  <c r="J131" i="1"/>
  <c r="J130" i="1"/>
  <c r="J129" i="1"/>
  <c r="J104" i="1"/>
  <c r="J103" i="1"/>
  <c r="J102" i="1"/>
  <c r="J101" i="1"/>
  <c r="J90" i="1"/>
  <c r="J89" i="1"/>
  <c r="J88" i="1"/>
  <c r="J87" i="1"/>
  <c r="D189" i="1" l="1"/>
  <c r="D200" i="1"/>
  <c r="D202" i="1"/>
  <c r="D203" i="1"/>
  <c r="D198" i="1"/>
  <c r="D190" i="1"/>
  <c r="D191" i="1"/>
  <c r="D192" i="1"/>
  <c r="D193" i="1"/>
  <c r="D194" i="1"/>
  <c r="D195" i="1"/>
  <c r="D196" i="1"/>
  <c r="D186" i="1"/>
  <c r="D185" i="1"/>
  <c r="D184" i="1"/>
  <c r="D183" i="1"/>
  <c r="D182" i="1"/>
  <c r="D181" i="1"/>
  <c r="D180" i="1"/>
  <c r="D179" i="1"/>
  <c r="D177" i="1"/>
  <c r="D176" i="1"/>
  <c r="D175" i="1"/>
  <c r="D174" i="1"/>
  <c r="D173" i="1"/>
  <c r="D172" i="1"/>
  <c r="D171" i="1"/>
  <c r="D170" i="1"/>
  <c r="D224" i="1"/>
  <c r="D223" i="1"/>
  <c r="D222" i="1"/>
  <c r="D221" i="1"/>
  <c r="D220" i="1"/>
  <c r="D219" i="1"/>
  <c r="D218" i="1"/>
  <c r="D217" i="1"/>
  <c r="D204" i="1" l="1"/>
  <c r="I452" i="1"/>
  <c r="D422" i="1"/>
  <c r="D421" i="1"/>
  <c r="D420" i="1"/>
  <c r="D419" i="1"/>
  <c r="D418" i="1"/>
  <c r="D417" i="1"/>
  <c r="D416" i="1"/>
  <c r="D415" i="1"/>
  <c r="I161" i="1"/>
  <c r="D371" i="1"/>
  <c r="F371" i="1" s="1"/>
  <c r="D366" i="1"/>
  <c r="F366" i="1" s="1"/>
  <c r="D367" i="1"/>
  <c r="F367" i="1"/>
  <c r="D368" i="1"/>
  <c r="F368" i="1" s="1"/>
  <c r="D369" i="1"/>
  <c r="F369" i="1"/>
  <c r="D372" i="1"/>
  <c r="F372" i="1"/>
  <c r="D373" i="1"/>
  <c r="F373" i="1"/>
  <c r="D337" i="1"/>
  <c r="D336" i="1"/>
  <c r="D335" i="1"/>
  <c r="D334" i="1"/>
  <c r="D333" i="1"/>
  <c r="D332" i="1"/>
  <c r="D331" i="1"/>
  <c r="D330" i="1"/>
  <c r="D298" i="1"/>
  <c r="F298" i="1" s="1"/>
  <c r="D205" i="1"/>
  <c r="D199" i="1"/>
  <c r="D210" i="1"/>
  <c r="A209" i="1"/>
  <c r="A210" i="1" s="1"/>
  <c r="A211" i="1" s="1"/>
  <c r="A212" i="1" s="1"/>
  <c r="A213" i="1" s="1"/>
  <c r="A214" i="1" s="1"/>
  <c r="A215" i="1" s="1"/>
  <c r="A200" i="1"/>
  <c r="A201" i="1" s="1"/>
  <c r="A202" i="1" s="1"/>
  <c r="A203" i="1" s="1"/>
  <c r="A190" i="1"/>
  <c r="A191" i="1" s="1"/>
  <c r="A192" i="1" s="1"/>
  <c r="A193" i="1" s="1"/>
  <c r="A194" i="1" s="1"/>
  <c r="A195" i="1" s="1"/>
  <c r="A196" i="1" s="1"/>
  <c r="A182" i="1"/>
  <c r="A183" i="1" s="1"/>
  <c r="A184" i="1" s="1"/>
  <c r="A185" i="1" s="1"/>
  <c r="A171" i="1"/>
  <c r="A172" i="1" s="1"/>
  <c r="A173" i="1" s="1"/>
  <c r="A174" i="1" s="1"/>
  <c r="A175" i="1" s="1"/>
  <c r="A176" i="1" s="1"/>
  <c r="A177" i="1" s="1"/>
  <c r="F199" i="1" l="1"/>
  <c r="D456" i="1"/>
  <c r="F456" i="1" s="1"/>
  <c r="D404" i="1"/>
  <c r="F404" i="1" s="1"/>
  <c r="D403" i="1"/>
  <c r="F403" i="1" s="1"/>
  <c r="D402" i="1"/>
  <c r="F402" i="1" s="1"/>
  <c r="D401" i="1"/>
  <c r="F401" i="1" s="1"/>
  <c r="A398" i="1"/>
  <c r="A399" i="1" s="1"/>
  <c r="A400" i="1" s="1"/>
  <c r="A401" i="1" s="1"/>
  <c r="A402" i="1" s="1"/>
  <c r="A403" i="1" s="1"/>
  <c r="A404" i="1" s="1"/>
  <c r="G397" i="1"/>
  <c r="D458" i="1"/>
  <c r="F458" i="1" s="1"/>
  <c r="D457" i="1"/>
  <c r="F457" i="1" s="1"/>
  <c r="D454" i="1"/>
  <c r="F454" i="1" s="1"/>
  <c r="D453" i="1"/>
  <c r="F453" i="1" s="1"/>
  <c r="A453" i="1"/>
  <c r="A454" i="1" s="1"/>
  <c r="A455" i="1" s="1"/>
  <c r="A456" i="1" s="1"/>
  <c r="A457" i="1" s="1"/>
  <c r="A458" i="1" s="1"/>
  <c r="D452" i="1"/>
  <c r="F452" i="1" s="1"/>
  <c r="G451" i="1"/>
  <c r="D451" i="1"/>
  <c r="F451" i="1" s="1"/>
  <c r="D449" i="1"/>
  <c r="F449" i="1" s="1"/>
  <c r="D448" i="1"/>
  <c r="F448" i="1" s="1"/>
  <c r="D447" i="1"/>
  <c r="F447" i="1" s="1"/>
  <c r="D446" i="1"/>
  <c r="F446" i="1" s="1"/>
  <c r="D445" i="1"/>
  <c r="F445" i="1" s="1"/>
  <c r="D444" i="1"/>
  <c r="F444" i="1" s="1"/>
  <c r="A444" i="1"/>
  <c r="A445" i="1" s="1"/>
  <c r="A446" i="1" s="1"/>
  <c r="A447" i="1" s="1"/>
  <c r="A448" i="1" s="1"/>
  <c r="A449" i="1" s="1"/>
  <c r="D443" i="1"/>
  <c r="F443" i="1" s="1"/>
  <c r="G442" i="1"/>
  <c r="D442" i="1"/>
  <c r="F442" i="1" s="1"/>
  <c r="I441" i="1"/>
  <c r="D440" i="1"/>
  <c r="F440" i="1" s="1"/>
  <c r="D439" i="1"/>
  <c r="F439" i="1" s="1"/>
  <c r="D436" i="1"/>
  <c r="F436" i="1" s="1"/>
  <c r="D435" i="1"/>
  <c r="F435" i="1" s="1"/>
  <c r="A435" i="1"/>
  <c r="A436" i="1" s="1"/>
  <c r="A437" i="1" s="1"/>
  <c r="A438" i="1" s="1"/>
  <c r="A439" i="1" s="1"/>
  <c r="A440" i="1" s="1"/>
  <c r="D434" i="1"/>
  <c r="F434" i="1" s="1"/>
  <c r="G433" i="1"/>
  <c r="D433" i="1"/>
  <c r="F433" i="1" s="1"/>
  <c r="D431" i="1"/>
  <c r="F431" i="1" s="1"/>
  <c r="D430" i="1"/>
  <c r="F430" i="1" s="1"/>
  <c r="D427" i="1"/>
  <c r="F427" i="1" s="1"/>
  <c r="D426" i="1"/>
  <c r="F426" i="1" s="1"/>
  <c r="A426" i="1"/>
  <c r="A427" i="1" s="1"/>
  <c r="A428" i="1" s="1"/>
  <c r="A429" i="1" s="1"/>
  <c r="A430" i="1" s="1"/>
  <c r="A431" i="1" s="1"/>
  <c r="D425" i="1"/>
  <c r="F425" i="1" s="1"/>
  <c r="G424" i="1"/>
  <c r="D424" i="1"/>
  <c r="F424" i="1" s="1"/>
  <c r="F422" i="1"/>
  <c r="F421" i="1"/>
  <c r="F420" i="1"/>
  <c r="F419" i="1"/>
  <c r="F418" i="1"/>
  <c r="F417" i="1"/>
  <c r="A417" i="1"/>
  <c r="A418" i="1" s="1"/>
  <c r="A419" i="1" s="1"/>
  <c r="A420" i="1" s="1"/>
  <c r="A421" i="1" s="1"/>
  <c r="A422" i="1" s="1"/>
  <c r="F416" i="1"/>
  <c r="G415" i="1"/>
  <c r="F415" i="1"/>
  <c r="D413" i="1"/>
  <c r="F413" i="1" s="1"/>
  <c r="D412" i="1"/>
  <c r="F412" i="1" s="1"/>
  <c r="D411" i="1"/>
  <c r="F411" i="1" s="1"/>
  <c r="D410" i="1"/>
  <c r="F410" i="1" s="1"/>
  <c r="A407" i="1"/>
  <c r="A408" i="1" s="1"/>
  <c r="A409" i="1" s="1"/>
  <c r="A410" i="1" s="1"/>
  <c r="A411" i="1" s="1"/>
  <c r="A412" i="1" s="1"/>
  <c r="A413" i="1" s="1"/>
  <c r="G406" i="1"/>
  <c r="D395" i="1"/>
  <c r="F395" i="1" s="1"/>
  <c r="D394" i="1"/>
  <c r="F394" i="1" s="1"/>
  <c r="D393" i="1"/>
  <c r="F393" i="1" s="1"/>
  <c r="D392" i="1"/>
  <c r="F392" i="1" s="1"/>
  <c r="A389" i="1"/>
  <c r="A390" i="1" s="1"/>
  <c r="A391" i="1" s="1"/>
  <c r="A392" i="1" s="1"/>
  <c r="A393" i="1" s="1"/>
  <c r="A394" i="1" s="1"/>
  <c r="A395" i="1" s="1"/>
  <c r="G388" i="1"/>
  <c r="D386" i="1"/>
  <c r="F386" i="1" s="1"/>
  <c r="D385" i="1"/>
  <c r="F385" i="1" s="1"/>
  <c r="D384" i="1"/>
  <c r="F384" i="1" s="1"/>
  <c r="D383" i="1"/>
  <c r="F383" i="1" s="1"/>
  <c r="I380" i="1"/>
  <c r="A380" i="1"/>
  <c r="A381" i="1" s="1"/>
  <c r="A382" i="1" s="1"/>
  <c r="A383" i="1" s="1"/>
  <c r="A384" i="1" s="1"/>
  <c r="A385" i="1" s="1"/>
  <c r="A386" i="1" s="1"/>
  <c r="G379" i="1"/>
  <c r="A368" i="1"/>
  <c r="A369" i="1" s="1"/>
  <c r="A370" i="1" s="1"/>
  <c r="A371" i="1" s="1"/>
  <c r="A372" i="1" s="1"/>
  <c r="A373" i="1" s="1"/>
  <c r="G366" i="1"/>
  <c r="D364" i="1"/>
  <c r="D363" i="1"/>
  <c r="D362" i="1"/>
  <c r="D361" i="1"/>
  <c r="D360" i="1"/>
  <c r="D359" i="1"/>
  <c r="D358" i="1"/>
  <c r="D357" i="1"/>
  <c r="D355" i="1"/>
  <c r="D354" i="1"/>
  <c r="D351" i="1"/>
  <c r="D350" i="1"/>
  <c r="D349" i="1"/>
  <c r="D348" i="1"/>
  <c r="D346" i="1"/>
  <c r="D345" i="1"/>
  <c r="D342" i="1"/>
  <c r="D341" i="1"/>
  <c r="D340" i="1"/>
  <c r="D339" i="1"/>
  <c r="I356" i="1"/>
  <c r="D328" i="1"/>
  <c r="D327" i="1"/>
  <c r="D326" i="1"/>
  <c r="D325" i="1"/>
  <c r="D319" i="1"/>
  <c r="D318" i="1"/>
  <c r="D317" i="1"/>
  <c r="D316" i="1"/>
  <c r="D310" i="1"/>
  <c r="D309" i="1"/>
  <c r="D308" i="1"/>
  <c r="D307" i="1"/>
  <c r="D300" i="1"/>
  <c r="D299" i="1"/>
  <c r="D296" i="1"/>
  <c r="D295" i="1"/>
  <c r="D294" i="1"/>
  <c r="D293" i="1"/>
  <c r="D290" i="1"/>
  <c r="D289" i="1"/>
  <c r="D286" i="1"/>
  <c r="D291" i="1"/>
  <c r="D288" i="1"/>
  <c r="D287" i="1"/>
  <c r="D285" i="1"/>
  <c r="D284" i="1"/>
  <c r="K291" i="1"/>
  <c r="K290" i="1"/>
  <c r="K289" i="1"/>
  <c r="K288" i="1"/>
  <c r="K287" i="1"/>
  <c r="K286" i="1"/>
  <c r="K285" i="1"/>
  <c r="K284" i="1"/>
  <c r="I283" i="1"/>
  <c r="D282" i="1"/>
  <c r="D281" i="1"/>
  <c r="D278" i="1"/>
  <c r="D277" i="1"/>
  <c r="D276" i="1"/>
  <c r="D275" i="1"/>
  <c r="D269" i="1"/>
  <c r="D268" i="1"/>
  <c r="D267" i="1"/>
  <c r="D266" i="1"/>
  <c r="D273" i="1"/>
  <c r="D272" i="1"/>
  <c r="I256" i="1"/>
  <c r="D263" i="1"/>
  <c r="D262" i="1"/>
  <c r="D259" i="1"/>
  <c r="D258" i="1"/>
  <c r="D264" i="1"/>
  <c r="D261" i="1"/>
  <c r="D260" i="1"/>
  <c r="D257" i="1"/>
  <c r="I252" i="1"/>
  <c r="I251" i="1"/>
  <c r="I243" i="1"/>
  <c r="I242" i="1"/>
  <c r="D252" i="1"/>
  <c r="D255" i="1"/>
  <c r="D254" i="1"/>
  <c r="D253" i="1"/>
  <c r="I234" i="1"/>
  <c r="I233" i="1"/>
  <c r="D246" i="1"/>
  <c r="D245" i="1"/>
  <c r="D244" i="1"/>
  <c r="D243" i="1"/>
  <c r="D236" i="1"/>
  <c r="D235" i="1"/>
  <c r="D237" i="1"/>
  <c r="D234" i="1"/>
  <c r="F204" i="1"/>
  <c r="F180" i="1"/>
  <c r="F185" i="1"/>
  <c r="F224" i="1"/>
  <c r="F223" i="1"/>
  <c r="F222" i="1"/>
  <c r="F221" i="1"/>
  <c r="F220" i="1"/>
  <c r="F219" i="1"/>
  <c r="F218" i="1"/>
  <c r="F217" i="1"/>
  <c r="G217" i="1"/>
  <c r="D215" i="1"/>
  <c r="F215" i="1" s="1"/>
  <c r="D213" i="1"/>
  <c r="F213" i="1" s="1"/>
  <c r="D212" i="1"/>
  <c r="F212" i="1" s="1"/>
  <c r="D211" i="1"/>
  <c r="F211" i="1" s="1"/>
  <c r="F210" i="1"/>
  <c r="D208" i="1"/>
  <c r="D214" i="1"/>
  <c r="F214" i="1" s="1"/>
  <c r="D209" i="1"/>
  <c r="F209" i="1" s="1"/>
  <c r="G208" i="1"/>
  <c r="C121" i="1"/>
  <c r="C107" i="1"/>
  <c r="E159" i="1" l="1"/>
  <c r="G161" i="1"/>
  <c r="F208" i="1"/>
  <c r="G155" i="1" s="1"/>
  <c r="E155" i="1"/>
  <c r="C160" i="1"/>
  <c r="E160" i="1"/>
  <c r="C161" i="1"/>
  <c r="C155" i="1"/>
  <c r="E161" i="1"/>
  <c r="C93" i="1"/>
  <c r="C79" i="1"/>
  <c r="E162" i="1" l="1"/>
  <c r="J118" i="1"/>
  <c r="J117" i="1"/>
  <c r="J116" i="1"/>
  <c r="J115" i="1"/>
  <c r="H108" i="1"/>
  <c r="J107" i="1" l="1"/>
  <c r="J109" i="1" s="1"/>
  <c r="J110" i="1"/>
  <c r="D115" i="1"/>
  <c r="D113" i="1"/>
  <c r="D120" i="1"/>
  <c r="D119" i="1"/>
  <c r="D118" i="1"/>
  <c r="D117" i="1"/>
  <c r="D116" i="1"/>
  <c r="D114" i="1"/>
  <c r="J113" i="1"/>
  <c r="J114" i="1" s="1"/>
  <c r="J112" i="1"/>
  <c r="C111" i="1" s="1"/>
  <c r="J111" i="1"/>
  <c r="C100" i="1"/>
  <c r="D111" i="1" l="1"/>
  <c r="C101" i="1"/>
  <c r="C102" i="1"/>
  <c r="J119" i="1"/>
  <c r="J150" i="1"/>
  <c r="J120" i="1" l="1"/>
  <c r="C86" i="1"/>
  <c r="G198" i="1"/>
  <c r="G179" i="1"/>
  <c r="F186" i="1"/>
  <c r="F184" i="1"/>
  <c r="F183" i="1"/>
  <c r="F182" i="1"/>
  <c r="F181" i="1"/>
  <c r="F179" i="1"/>
  <c r="G189" i="1"/>
  <c r="F364" i="1"/>
  <c r="F363" i="1"/>
  <c r="F362" i="1"/>
  <c r="F361" i="1"/>
  <c r="F360" i="1"/>
  <c r="F359" i="1"/>
  <c r="A359" i="1"/>
  <c r="A360" i="1" s="1"/>
  <c r="A361" i="1" s="1"/>
  <c r="A362" i="1" s="1"/>
  <c r="A363" i="1" s="1"/>
  <c r="A364" i="1" s="1"/>
  <c r="F358" i="1"/>
  <c r="G357" i="1"/>
  <c r="F357" i="1"/>
  <c r="F355" i="1"/>
  <c r="F354" i="1"/>
  <c r="F351" i="1"/>
  <c r="F350" i="1"/>
  <c r="A350" i="1"/>
  <c r="A351" i="1" s="1"/>
  <c r="A352" i="1" s="1"/>
  <c r="A353" i="1" s="1"/>
  <c r="A354" i="1" s="1"/>
  <c r="A355" i="1" s="1"/>
  <c r="F349" i="1"/>
  <c r="G348" i="1"/>
  <c r="F348" i="1"/>
  <c r="F346" i="1"/>
  <c r="F345" i="1"/>
  <c r="F342" i="1"/>
  <c r="F341" i="1"/>
  <c r="A341" i="1"/>
  <c r="A342" i="1" s="1"/>
  <c r="A343" i="1" s="1"/>
  <c r="A344" i="1" s="1"/>
  <c r="A345" i="1" s="1"/>
  <c r="A346" i="1" s="1"/>
  <c r="F340" i="1"/>
  <c r="G339" i="1"/>
  <c r="F339" i="1"/>
  <c r="F337" i="1"/>
  <c r="F336" i="1"/>
  <c r="F335" i="1"/>
  <c r="F334" i="1"/>
  <c r="F333" i="1"/>
  <c r="F332" i="1"/>
  <c r="A332" i="1"/>
  <c r="A333" i="1" s="1"/>
  <c r="A334" i="1" s="1"/>
  <c r="A335" i="1" s="1"/>
  <c r="A336" i="1" s="1"/>
  <c r="A337" i="1" s="1"/>
  <c r="F331" i="1"/>
  <c r="G330" i="1"/>
  <c r="F330" i="1"/>
  <c r="F328" i="1"/>
  <c r="F327" i="1"/>
  <c r="F326" i="1"/>
  <c r="F325" i="1"/>
  <c r="A322" i="1"/>
  <c r="A323" i="1" s="1"/>
  <c r="A324" i="1" s="1"/>
  <c r="A325" i="1" s="1"/>
  <c r="A326" i="1" s="1"/>
  <c r="A327" i="1" s="1"/>
  <c r="A328" i="1" s="1"/>
  <c r="G321" i="1"/>
  <c r="F319" i="1"/>
  <c r="F318" i="1"/>
  <c r="F317" i="1"/>
  <c r="F316" i="1"/>
  <c r="A313" i="1"/>
  <c r="A314" i="1" s="1"/>
  <c r="A315" i="1" s="1"/>
  <c r="A316" i="1" s="1"/>
  <c r="A317" i="1" s="1"/>
  <c r="A318" i="1" s="1"/>
  <c r="A319" i="1" s="1"/>
  <c r="G312" i="1"/>
  <c r="F310" i="1"/>
  <c r="F309" i="1"/>
  <c r="F308" i="1"/>
  <c r="I304" i="1"/>
  <c r="F307" i="1"/>
  <c r="A304" i="1"/>
  <c r="A305" i="1" s="1"/>
  <c r="A306" i="1" s="1"/>
  <c r="A307" i="1" s="1"/>
  <c r="A308" i="1" s="1"/>
  <c r="A309" i="1" s="1"/>
  <c r="A310" i="1" s="1"/>
  <c r="G303" i="1"/>
  <c r="I231" i="1"/>
  <c r="F205" i="1"/>
  <c r="F203" i="1"/>
  <c r="F202" i="1"/>
  <c r="D201" i="1"/>
  <c r="F200" i="1"/>
  <c r="F198" i="1"/>
  <c r="F196" i="1"/>
  <c r="F195" i="1"/>
  <c r="F194" i="1"/>
  <c r="F193" i="1"/>
  <c r="F192" i="1"/>
  <c r="F191" i="1"/>
  <c r="F190" i="1"/>
  <c r="F189" i="1"/>
  <c r="C112" i="1" l="1"/>
  <c r="J108" i="1" s="1"/>
  <c r="F201" i="1"/>
  <c r="G154" i="1" s="1"/>
  <c r="C154" i="1"/>
  <c r="E154" i="1"/>
  <c r="G160" i="1"/>
  <c r="D112" i="1" l="1"/>
  <c r="I108" i="1" s="1"/>
  <c r="I109" i="1" s="1"/>
  <c r="I107" i="1" s="1"/>
  <c r="C109" i="1" s="1"/>
  <c r="G111" i="1"/>
  <c r="E111" i="1"/>
  <c r="F300" i="1"/>
  <c r="F299" i="1"/>
  <c r="F296" i="1"/>
  <c r="F295" i="1"/>
  <c r="A295" i="1"/>
  <c r="A296" i="1" s="1"/>
  <c r="A297" i="1" s="1"/>
  <c r="A298" i="1" s="1"/>
  <c r="A299" i="1" s="1"/>
  <c r="A300" i="1" s="1"/>
  <c r="F294" i="1"/>
  <c r="G293" i="1"/>
  <c r="F293" i="1"/>
  <c r="F289" i="1"/>
  <c r="F288" i="1"/>
  <c r="F287" i="1"/>
  <c r="F286" i="1"/>
  <c r="F285" i="1"/>
  <c r="F284" i="1"/>
  <c r="F291" i="1"/>
  <c r="F290" i="1"/>
  <c r="A286" i="1"/>
  <c r="A287" i="1" s="1"/>
  <c r="A288" i="1" s="1"/>
  <c r="A289" i="1" s="1"/>
  <c r="A290" i="1" s="1"/>
  <c r="A291" i="1" s="1"/>
  <c r="G284" i="1"/>
  <c r="F282" i="1"/>
  <c r="F281" i="1"/>
  <c r="F278" i="1"/>
  <c r="F277" i="1"/>
  <c r="A277" i="1"/>
  <c r="A278" i="1" s="1"/>
  <c r="A279" i="1" s="1"/>
  <c r="A280" i="1" s="1"/>
  <c r="A281" i="1" s="1"/>
  <c r="A282" i="1" s="1"/>
  <c r="F276" i="1"/>
  <c r="G275" i="1"/>
  <c r="F275" i="1"/>
  <c r="F273" i="1"/>
  <c r="F272" i="1"/>
  <c r="F269" i="1"/>
  <c r="F268" i="1"/>
  <c r="A268" i="1"/>
  <c r="A269" i="1" s="1"/>
  <c r="A270" i="1" s="1"/>
  <c r="A271" i="1" s="1"/>
  <c r="A272" i="1" s="1"/>
  <c r="A273" i="1" s="1"/>
  <c r="F267" i="1"/>
  <c r="G266" i="1"/>
  <c r="F266" i="1"/>
  <c r="F263" i="1"/>
  <c r="F262" i="1"/>
  <c r="F264" i="1"/>
  <c r="F255" i="1"/>
  <c r="F254" i="1"/>
  <c r="F253" i="1"/>
  <c r="A249" i="1"/>
  <c r="A250" i="1" s="1"/>
  <c r="A251" i="1" s="1"/>
  <c r="A252" i="1" s="1"/>
  <c r="A253" i="1" s="1"/>
  <c r="A254" i="1" s="1"/>
  <c r="A255" i="1" s="1"/>
  <c r="G248" i="1"/>
  <c r="F246" i="1"/>
  <c r="F245" i="1"/>
  <c r="F244" i="1"/>
  <c r="F243" i="1"/>
  <c r="A240" i="1"/>
  <c r="A241" i="1" s="1"/>
  <c r="A242" i="1" s="1"/>
  <c r="A243" i="1" s="1"/>
  <c r="A244" i="1" s="1"/>
  <c r="A245" i="1" s="1"/>
  <c r="A246" i="1" s="1"/>
  <c r="G239" i="1"/>
  <c r="F236" i="1"/>
  <c r="F237" i="1"/>
  <c r="F235" i="1"/>
  <c r="F234" i="1"/>
  <c r="F175" i="1"/>
  <c r="F174" i="1"/>
  <c r="E153" i="1"/>
  <c r="E156" i="1" s="1"/>
  <c r="F170" i="1"/>
  <c r="F177" i="1"/>
  <c r="F176" i="1"/>
  <c r="C153" i="1" l="1"/>
  <c r="C156" i="1" s="1"/>
  <c r="F252" i="1"/>
  <c r="C159" i="1"/>
  <c r="C162" i="1" s="1"/>
  <c r="G170" i="1"/>
  <c r="F171" i="1"/>
  <c r="F172" i="1"/>
  <c r="F173" i="1"/>
  <c r="G153" i="1" l="1"/>
  <c r="G156" i="1" s="1"/>
  <c r="E163" i="1"/>
  <c r="C163" i="1"/>
  <c r="E7" i="1"/>
  <c r="C14" i="1" l="1"/>
  <c r="E29" i="1" l="1"/>
  <c r="A231" i="1" l="1"/>
  <c r="A232" i="1" s="1"/>
  <c r="A233" i="1" s="1"/>
  <c r="A234" i="1" s="1"/>
  <c r="A235" i="1" s="1"/>
  <c r="A236" i="1" s="1"/>
  <c r="A237" i="1" s="1"/>
  <c r="G230" i="1"/>
  <c r="F150" i="1" l="1"/>
  <c r="B461" i="1" l="1"/>
  <c r="F261" i="1" l="1"/>
  <c r="F260" i="1"/>
  <c r="F258" i="1"/>
  <c r="F257" i="1"/>
  <c r="F259" i="1"/>
  <c r="G159" i="1" l="1"/>
  <c r="G162" i="1" s="1"/>
  <c r="G163" i="1" s="1"/>
  <c r="B462" i="1"/>
  <c r="F11" i="5" l="1"/>
  <c r="G11" i="5" s="1"/>
  <c r="F10" i="5"/>
  <c r="G10" i="5" s="1"/>
  <c r="F9" i="5"/>
  <c r="G9" i="5" s="1"/>
  <c r="F8" i="5"/>
  <c r="G8" i="5" s="1"/>
  <c r="F7" i="5"/>
  <c r="G7" i="5" s="1"/>
  <c r="F6" i="5"/>
  <c r="G6" i="5" s="1"/>
  <c r="F5" i="5"/>
  <c r="G5" i="5" s="1"/>
  <c r="G12" i="5" s="1"/>
  <c r="D490" i="1"/>
  <c r="G257" i="1"/>
  <c r="A259" i="1"/>
  <c r="A260" i="1" s="1"/>
  <c r="A261" i="1" s="1"/>
  <c r="A262" i="1" s="1"/>
  <c r="A263" i="1" s="1"/>
  <c r="A264" i="1" s="1"/>
  <c r="D65" i="1"/>
  <c r="E42" i="1"/>
  <c r="E43" i="1" s="1"/>
  <c r="E26" i="1"/>
  <c r="E24" i="1"/>
  <c r="E3" i="1"/>
  <c r="H80" i="1"/>
  <c r="J83" i="1" l="1"/>
  <c r="J82" i="1"/>
  <c r="J85" i="1"/>
  <c r="J86" i="1" s="1"/>
  <c r="J91" i="1" s="1"/>
  <c r="J92" i="1" s="1"/>
  <c r="J84" i="1"/>
  <c r="D73" i="1"/>
  <c r="D92" i="1"/>
  <c r="D90" i="1"/>
  <c r="D89" i="1"/>
  <c r="D88" i="1"/>
  <c r="D86" i="1"/>
  <c r="J79" i="1"/>
  <c r="D91" i="1"/>
  <c r="D87" i="1"/>
  <c r="D85" i="1" l="1"/>
  <c r="J81" i="1"/>
  <c r="E83" i="1"/>
  <c r="D84" i="1"/>
  <c r="G83" i="1"/>
  <c r="D77" i="1" s="1"/>
  <c r="D78" i="1" s="1"/>
  <c r="D83" i="1"/>
  <c r="H94" i="1"/>
  <c r="H122" i="1"/>
  <c r="J124" i="1" l="1"/>
  <c r="J127" i="1"/>
  <c r="J128" i="1" s="1"/>
  <c r="J133" i="1" s="1"/>
  <c r="J121" i="1"/>
  <c r="J123" i="1" s="1"/>
  <c r="J126" i="1"/>
  <c r="C125" i="1" s="1"/>
  <c r="J125" i="1"/>
  <c r="J96" i="1"/>
  <c r="J97" i="1"/>
  <c r="J99" i="1"/>
  <c r="J100" i="1" s="1"/>
  <c r="J105" i="1" s="1"/>
  <c r="J106" i="1" s="1"/>
  <c r="J93" i="1"/>
  <c r="J95" i="1" s="1"/>
  <c r="J98" i="1"/>
  <c r="D134" i="1"/>
  <c r="D131" i="1"/>
  <c r="D129" i="1"/>
  <c r="D127" i="1"/>
  <c r="D132" i="1"/>
  <c r="D128" i="1"/>
  <c r="D133" i="1"/>
  <c r="D130" i="1"/>
  <c r="E97" i="1"/>
  <c r="D106" i="1"/>
  <c r="D105" i="1"/>
  <c r="D104" i="1"/>
  <c r="D103" i="1"/>
  <c r="D102" i="1"/>
  <c r="D101" i="1"/>
  <c r="D100" i="1"/>
  <c r="D99" i="1"/>
  <c r="D98" i="1"/>
  <c r="D97" i="1"/>
  <c r="I80" i="1"/>
  <c r="J80" i="1"/>
  <c r="F78" i="1"/>
  <c r="J134" i="1" l="1"/>
  <c r="C126" i="1" s="1"/>
  <c r="G125" i="1" s="1"/>
  <c r="I94" i="1"/>
  <c r="I95" i="1" s="1"/>
  <c r="J94" i="1"/>
  <c r="D125" i="1"/>
  <c r="G97" i="1"/>
  <c r="I81" i="1"/>
  <c r="I79" i="1" s="1"/>
  <c r="C81" i="1" s="1"/>
  <c r="J122" i="1" l="1"/>
  <c r="I93" i="1"/>
  <c r="C95" i="1" s="1"/>
  <c r="E125" i="1"/>
  <c r="D126" i="1"/>
  <c r="I122" i="1" s="1"/>
  <c r="I123" i="1" l="1"/>
  <c r="I121" i="1" s="1"/>
  <c r="C123" i="1" s="1"/>
</calcChain>
</file>

<file path=xl/sharedStrings.xml><?xml version="1.0" encoding="utf-8"?>
<sst xmlns="http://schemas.openxmlformats.org/spreadsheetml/2006/main" count="676" uniqueCount="281">
  <si>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</si>
  <si>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</si>
  <si>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</si>
  <si>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</si>
  <si>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</si>
  <si>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</si>
  <si>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</si>
  <si>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</si>
  <si>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</si>
  <si>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</si>
  <si>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</si>
  <si>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</si>
  <si>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</si>
  <si>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</si>
  <si>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</si>
  <si>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</si>
  <si>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</si>
  <si>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</si>
  <si>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</si>
  <si>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</si>
  <si>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</si>
  <si>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</si>
  <si>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</si>
  <si>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</si>
  <si>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</si>
  <si>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</si>
  <si>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</si>
  <si>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</si>
  <si>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</si>
  <si>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</si>
  <si>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</si>
  <si>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</si>
  <si>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</si>
  <si>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</si>
  <si>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</si>
  <si>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</si>
  <si>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</si>
  <si>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</si>
  <si>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</si>
  <si>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</si>
  <si>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</si>
  <si>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Dated</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</si>
  <si>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</si>
  <si>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</si>
  <si>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</si>
  <si>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</si>
  <si>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</si>
  <si>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</si>
  <si>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</si>
  <si>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</si>
  <si>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</si>
  <si>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</si>
  <si>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</si>
  <si>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</si>
  <si>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</si>
  <si>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</si>
  <si>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</si>
  <si>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</si>
  <si>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</si>
  <si>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</si>
  <si>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</si>
  <si>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</si>
  <si>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</si>
  <si>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</si>
  <si>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</si>
  <si>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</si>
  <si>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</si>
  <si>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</si>
  <si>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</si>
  <si>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</si>
  <si>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</si>
  <si>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</si>
  <si>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</si>
  <si>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</si>
  <si>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</si>
  <si>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</si>
  <si>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</si>
  <si>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</si>
  <si>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</si>
  <si>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</si>
  <si>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</si>
  <si>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</si>
  <si>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</si>
  <si>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</si>
  <si>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</si>
  <si>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</si>
  <si>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</si>
  <si>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</si>
  <si>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</si>
  <si>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</si>
  <si>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</si>
  <si>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</si>
  <si>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</si>
  <si>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</si>
  <si>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</si>
  <si>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</si>
  <si>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</si>
  <si>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</si>
  <si>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</si>
  <si>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</si>
  <si>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</si>
  <si>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</si>
  <si>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</si>
  <si>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</si>
  <si>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</si>
  <si>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</si>
  <si>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</si>
  <si>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</si>
  <si>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</si>
  <si>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</si>
  <si>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</si>
  <si>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</si>
  <si>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</si>
  <si>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</si>
  <si>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</si>
  <si>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</si>
  <si>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</si>
  <si>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</si>
  <si>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</si>
  <si>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</si>
  <si>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</si>
  <si>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</si>
  <si>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</si>
  <si>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</si>
  <si>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</si>
  <si>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</si>
  <si>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</si>
  <si>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</si>
  <si>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</si>
  <si>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</si>
  <si>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</si>
  <si>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</si>
  <si>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</si>
  <si>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</si>
  <si>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</si>
  <si>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</si>
  <si>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</si>
  <si>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</si>
  <si>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</si>
  <si>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</si>
  <si>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</si>
  <si>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</si>
  <si>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</si>
  <si>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</si>
  <si>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</si>
  <si>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</si>
  <si>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</si>
  <si>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</si>
  <si>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</si>
  <si>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</si>
  <si>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</si>
  <si>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</si>
  <si>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</si>
  <si>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</si>
  <si>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</si>
  <si>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</si>
  <si>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</si>
  <si>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Floor Rise Rate</t>
  </si>
  <si>
    <t>Recommended rate of the Shop Per Sq. Ft.</t>
  </si>
  <si>
    <t>Recommended rate of the Flat Per Sq. Ft.</t>
  </si>
  <si>
    <t>Recommended rate of the Office Per Sq. Ft.</t>
  </si>
  <si>
    <t>On Saleable Area</t>
  </si>
  <si>
    <t>Legal Charges</t>
  </si>
  <si>
    <t>Location Link</t>
  </si>
  <si>
    <t>Locality</t>
  </si>
  <si>
    <t>Provided Contact Details ( Name &amp; Contact No.)</t>
  </si>
  <si>
    <t>Site Person - Contact Details ( Name &amp; Contact No.)</t>
  </si>
  <si>
    <t>Layout :</t>
  </si>
  <si>
    <t>Axis Thane</t>
  </si>
  <si>
    <t>Approved Plans, CC</t>
  </si>
  <si>
    <t>Slums</t>
  </si>
  <si>
    <t>Raycon IT Park Road</t>
  </si>
  <si>
    <t>Skyline Sparkle</t>
  </si>
  <si>
    <t>https://goo.gl/maps/Rm2Y2nse95xnGnW97</t>
  </si>
  <si>
    <t>CTS No</t>
  </si>
  <si>
    <t>Bhandup</t>
  </si>
  <si>
    <t>LBS Road</t>
  </si>
  <si>
    <t>Bhandup West</t>
  </si>
  <si>
    <t>S Ward</t>
  </si>
  <si>
    <t>Mumbai</t>
  </si>
  <si>
    <t>Kurla</t>
  </si>
  <si>
    <t>0.45Km from Nahur Railway Station</t>
  </si>
  <si>
    <t>358/11 to 25</t>
  </si>
  <si>
    <t>Ground Floor For Part Commercial &amp; Meter Room, Fire Control Room &amp; Society Office</t>
  </si>
  <si>
    <t>Shop</t>
  </si>
  <si>
    <t>1st Podium Floor Part Commercial &amp; Meter Room, LV Room &amp; Panel Room</t>
  </si>
  <si>
    <t>2nd Podium Floor For Residential, Parking &amp; Meter Room</t>
  </si>
  <si>
    <t>Parking Area</t>
  </si>
  <si>
    <t>2BHK</t>
  </si>
  <si>
    <t>1BHK</t>
  </si>
  <si>
    <t>5th Podium Floor For Residential, Parking &amp; Meter Room</t>
  </si>
  <si>
    <t>6th, 7th, 9th to 14th, 16th to 21st &amp; 23rd to 28th Floor For Residential</t>
  </si>
  <si>
    <t>8th, 15th &amp; 22nd Floor (Part Refuge Area)</t>
  </si>
  <si>
    <t>Refuge Area</t>
  </si>
  <si>
    <t>29th Floor (Part Refuge Area)</t>
  </si>
  <si>
    <t>30th to 35th &amp; 37th to 39th Floor</t>
  </si>
  <si>
    <t>36th Floor (Part Refuge Area)</t>
  </si>
  <si>
    <t>A Wing</t>
  </si>
  <si>
    <t>Grand Total</t>
  </si>
  <si>
    <t xml:space="preserve">We have updated revised approved floor plan &amp; C.C (on 01/08/2023).
</t>
  </si>
  <si>
    <t xml:space="preserve">Office No. 1031, Wing J, Akshar Business Park, Plot No. 03 Sector 25, Near APMC Market, Vashi, Navi Mumbai, Maharashtra 400703 TEL: 022-46090378/79/80                                                                                                                             Email : vsjcapf@gmail.com. Web site : www.vsjadon.com
</t>
  </si>
  <si>
    <t>Nainesh Tambe</t>
  </si>
  <si>
    <t>Environmental Clearance Certificate No.</t>
  </si>
  <si>
    <t>B Wing</t>
  </si>
  <si>
    <t>We have updated latest approved floor plans &amp; CC (On 04/04/2024).</t>
  </si>
  <si>
    <t>P-9962/2022/(358/11)/S
Ward/BHANDUP-W/337/3/Amend</t>
  </si>
  <si>
    <t>Format1.0/CAC-CELL/UAN No.0000158829/CE/2307000867
CTS No. 358/11 to 25
Total Plot Area = 29,277.75 SqMtrs
BUA = 1,80,106.83 SqMtrs</t>
  </si>
  <si>
    <t xml:space="preserve">3rd &amp; 4th Podium Floor For Residential, &amp; Parking </t>
  </si>
  <si>
    <t>We refer Environmental Clearance Certificate from MCGM site on 05/04/2024.</t>
  </si>
  <si>
    <t>Club Membership &amp; Infra Development</t>
  </si>
  <si>
    <t>Electric Meter Charges</t>
  </si>
  <si>
    <t>Water Meter Charges</t>
  </si>
  <si>
    <t>Gas Supply Connection</t>
  </si>
  <si>
    <t>Recommended Rates/Other charges of the Property have been revised on 30/08/2024.</t>
  </si>
  <si>
    <t>Add OC (Except Legal Charges) and Park 8L 
Akash Mote Cost sheet     On 30/08/2024</t>
  </si>
  <si>
    <t>Full C.C. up to top of 39th upper floor + LMR &amp; OHT for Wing ‘B’ and C.C. re-endorsement up to ‘Top of Plinth’ for wings, ‘C’, ‘D’, ‘E’ ‘F’ and ‘G’ and Full C.C. re-endorsement up to top of 39th upper floor + LMR &amp; OHT for Wing ‘A’ and full C.C. reendorsement up to top of 21st upper floor + OHT/LMR for EWS Wing as per last approved amended plans dated 10.10.2024</t>
  </si>
  <si>
    <t>As per layout</t>
  </si>
  <si>
    <t>13.40 M DP Road</t>
  </si>
  <si>
    <t>Other Plot</t>
  </si>
  <si>
    <t>P-9962/2022/(358/11)/S
Ward/BHANDUP-W/337/1/New</t>
  </si>
  <si>
    <t>Municipal Corporation of Greater Mumbai</t>
  </si>
  <si>
    <t>Wmi Real Estate Developers LLP</t>
  </si>
  <si>
    <t xml:space="preserve">Layout Approval No   </t>
  </si>
  <si>
    <t xml:space="preserve">Commencement-CC No
Valid Up to: </t>
  </si>
  <si>
    <t xml:space="preserve">A Wing = Gr + P1 to P4 + P5 + 6th to 39th Floor
</t>
  </si>
  <si>
    <t>B Wing = Gr + P1 to P4 + P5 + 6th to 39th Floor
F Wing = Gr + P1 to P4 + P5 + 6th to 39th Floor</t>
  </si>
  <si>
    <t>P-9962/2022/(358/11)/S
Ward/BHANDUP-W/FCC/2/Amend</t>
  </si>
  <si>
    <t>F Wing = 1B + Gr + 1st to 4th Floor</t>
  </si>
  <si>
    <t>We have added Wing F on 14/02/2025</t>
  </si>
  <si>
    <t>Ground Floor (Plinth Level Floor)</t>
  </si>
  <si>
    <t>Basement Floor For Domestic Tank, Pump Room &amp; Fire Water Tank</t>
  </si>
  <si>
    <t xml:space="preserve">Mr. Shailesh Admane 9326916505 </t>
  </si>
  <si>
    <t>Ashford Regal Wing A, B &amp; F</t>
  </si>
  <si>
    <t>Latitude,Longitude</t>
  </si>
  <si>
    <t>19.152278,72.944306</t>
  </si>
  <si>
    <t>RM Asford Legal Road</t>
  </si>
  <si>
    <t>P-9962/2022/(358/11)/S
Ward/BHANDUP-W/FCC/1/Amend</t>
  </si>
  <si>
    <t xml:space="preserve">27/09/2024
</t>
  </si>
  <si>
    <t>Phase III  (Wing F)</t>
  </si>
  <si>
    <t>15.25 M Wide Road</t>
  </si>
  <si>
    <t>Subhash Nagar Road/Skyline Sparkle</t>
  </si>
  <si>
    <t>Full C.C. is granted up to top of 39th upper floor i.e. total height of 119.75 mt. AGL+ LMR &amp; OHT for Wing ‘A’ and Further C.C. is granted up to Top of 21st upper floor i.e. total height of 66.65 mt. AGL for Wing ‘B’ as per last approved amended plans dated. 21.11.2023 subject to timely renewal of B.G, SWM NOC, Workmen’s compensation policy and taking all sorts of precautions during construction and for air pollution.</t>
  </si>
  <si>
    <t>C Wing = Gr + P1 to P4 + P5 + 6th to 39th Floor</t>
  </si>
  <si>
    <t xml:space="preserve">As per RERA - Wing A = 30/06/2027
                         Wing B = 31/12/2027
                         Wing F = 31/12/2025
                         Wing C = 30/06/2029
</t>
  </si>
  <si>
    <t>04 Wings</t>
  </si>
  <si>
    <t>Phase IV  (Wing C)</t>
  </si>
  <si>
    <t>Ground Floor For Part Commercial &amp; Meter Room, Panel Room &amp; Society Office</t>
  </si>
  <si>
    <t>6th to 7th, 9th to 14th, 16th to 21st &amp; 23rd to 28th Floor For Residential</t>
  </si>
  <si>
    <t>`</t>
  </si>
  <si>
    <t xml:space="preserve">3rd  Podium Floor For Residential, &amp; Parking </t>
  </si>
  <si>
    <t xml:space="preserve"> 4th Podium Floor For Residential, &amp; Parking </t>
  </si>
  <si>
    <t>C Wing</t>
  </si>
  <si>
    <t>Phase I (Wing A)
Phase II (Wing B)
Phase III (Wing F)
Phase IV (Wing C)</t>
  </si>
  <si>
    <t>6th to7th, 9th to 14th, 16th to 21st &amp; 23rd to 28th Floor For Residential</t>
  </si>
  <si>
    <t>Phase I (Wing A) = P51800047421
Phase II (Wing B) = P51800047384
Phase III (Wing F) = P51800048460
Phase IV (Wing C) = PM1183032400064</t>
  </si>
  <si>
    <t>Approved Floor plan No.</t>
  </si>
  <si>
    <t>We have added Wing C on 12/03/2025</t>
  </si>
  <si>
    <t>We have updated approved plan &amp; CC for Wing A &amp; B on 12/03/2025</t>
  </si>
  <si>
    <t xml:space="preserve">Club House, Outdoor Toddlers' Play Area, Party Lawn, Swimming Pool, High-speed Elevators, Expansive 5-level Podium with Lifestyle Amenities, Continuous Power Supply, Fire-safety Compliant, 24/7 Security Systems
</t>
  </si>
  <si>
    <t xml:space="preserve">Details of Commercial &amp; Residential in Building   </t>
  </si>
  <si>
    <t>1A</t>
  </si>
  <si>
    <t>6A</t>
  </si>
  <si>
    <t>12A</t>
  </si>
  <si>
    <t>7A</t>
  </si>
  <si>
    <t>13A</t>
  </si>
  <si>
    <t>18A</t>
  </si>
  <si>
    <t>We considered Gross carpet area = Net carpet + Open Deck Area</t>
  </si>
  <si>
    <t>Phase I (Wing A)</t>
  </si>
  <si>
    <t xml:space="preserve"> Phase II (Wing B)</t>
  </si>
  <si>
    <t>Flats - 837, Shops - 48</t>
  </si>
  <si>
    <t>Ashford Regal Wing A, B, C &amp; F</t>
  </si>
  <si>
    <t>A Wing = Gr + P1 to P4 + P5 + 6th to 39th Floor
B Wing = Gr + P1 to P4 + P5 + 6th to 39th Floor
F Wing = 1B + Gr (Plinth Level) Floor
C Wing = Gr + P1 to P4 + P5 + 6th to 39th Floor</t>
  </si>
  <si>
    <t xml:space="preserve">Construction work is in process at the time of Visit. (Internal photo was not allowed.)
</t>
  </si>
  <si>
    <t>Mr. Rakesh Kumar 9892049887</t>
  </si>
  <si>
    <t>Shruti Tathare</t>
  </si>
  <si>
    <t>P-9962/2022/(358/11)/S
Ward/BHANDUP-W/FCC/3/Amend</t>
  </si>
  <si>
    <t>C.C. re-endorsement up to ‘Top of Plinth’ for wings, ‘C’, ‘D’, ‘E’ ‘F’ and ‘G’ and to Full C.C. re-endorsement up to top of 39th upper floor + LMR &amp; OHT for wing ‘A’ &amp; ‘B’ and Full C.C. re-endorsement up to top of 21st upper floor + OHT/LMR for EWS Wing as per last approved amended plans dated 24.03.2025. (SWM NOC and Janta Insurance Policy shall be renewed time to time.)</t>
  </si>
  <si>
    <t>P-9962/2022/(358/11)/S
Ward/BHANDUP-W/FCC/4/Amend</t>
  </si>
  <si>
    <t>We have updated latest CC from MCGM site On 02/01/2025 &amp; 15/09/2025.</t>
  </si>
  <si>
    <t>Further C.C. is granted up to top of 26th upper floor level for wing ‘C’ and Full C.C. is granted up to top of 4th upper floor + LMR &amp; OHT for wing ‘F’ as per last approved amended plans dated 24.03 .2025, subject to timely renewal of B.G., SWM NOC, Workmen’s compensation policy and taking all sorts of precautions during construction along with precautionary measures for air pollution.</t>
  </si>
  <si>
    <t>Please provide revised approved plans dtd. 24/03/2025.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</si>
</sst>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28">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5" xfId="8" applyFont="1" applyFill="1" applyBorder="1" applyAlignment="1" applyProtection="1">
      <alignment horizontal="center" vertical="top" wrapText="1"/>
      <protection locked="0"/>
    </xf>
    <xf numFmtId="0" fontId="17" fillId="0" borderId="0" xfId="0" applyFont="1" applyProtection="1">
      <protection hidden="1"/>
    </xf>
    <xf numFmtId="0" fontId="17"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4" fillId="2" borderId="29" xfId="0" applyFont="1" applyFill="1" applyBorder="1"/>
    <xf numFmtId="0" fontId="25" fillId="0" borderId="30" xfId="0" applyFont="1" applyBorder="1"/>
    <xf numFmtId="0" fontId="25" fillId="0" borderId="1" xfId="0" applyFont="1" applyBorder="1"/>
    <xf numFmtId="0" fontId="25" fillId="0" borderId="4" xfId="0" applyFont="1" applyBorder="1"/>
    <xf numFmtId="9" fontId="12" fillId="0" borderId="1" xfId="8" applyFont="1" applyFill="1" applyBorder="1" applyAlignment="1" applyProtection="1">
      <alignment horizontal="center" vertical="top" wrapText="1"/>
      <protection locked="0"/>
    </xf>
    <xf numFmtId="9" fontId="12" fillId="0" borderId="6" xfId="8" applyFont="1" applyFill="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0" fontId="12" fillId="0" borderId="6" xfId="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lignment horizontal="center" vertical="center"/>
    </xf>
    <xf numFmtId="1" fontId="6" fillId="0" borderId="7" xfId="1" applyNumberFormat="1" applyFont="1" applyBorder="1" applyAlignment="1">
      <alignment horizontal="center" vertical="center" wrapText="1"/>
    </xf>
    <xf numFmtId="1" fontId="12" fillId="0" borderId="7" xfId="1" applyNumberFormat="1" applyFont="1" applyBorder="1" applyAlignment="1">
      <alignment horizontal="center" vertical="center" wrapText="1"/>
    </xf>
    <xf numFmtId="0" fontId="7" fillId="0" borderId="0" xfId="1" applyFont="1" applyAlignment="1">
      <alignment horizontal="center" vertical="center"/>
    </xf>
    <xf numFmtId="1" fontId="10" fillId="0" borderId="7" xfId="1" applyNumberFormat="1" applyFont="1" applyBorder="1" applyAlignment="1" applyProtection="1">
      <alignment horizontal="center" vertical="center" wrapText="1"/>
      <protection locked="0"/>
    </xf>
    <xf numFmtId="1" fontId="10" fillId="0" borderId="20" xfId="1" applyNumberFormat="1" applyFont="1" applyBorder="1" applyAlignment="1" applyProtection="1">
      <alignment horizontal="center" vertical="center" wrapText="1"/>
      <protection locked="0"/>
    </xf>
    <xf numFmtId="1" fontId="10" fillId="0" borderId="8"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0" xfId="1" applyNumberFormat="1" applyFont="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31"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6" fillId="0" borderId="7"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1" fontId="12" fillId="0" borderId="1" xfId="0" applyNumberFormat="1" applyFont="1" applyBorder="1" applyAlignment="1" applyProtection="1">
      <alignment horizontal="center" vertical="top" wrapText="1"/>
      <protection locked="0"/>
    </xf>
    <xf numFmtId="0" fontId="12" fillId="0" borderId="1" xfId="0"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wrapText="1"/>
      <protection locked="0"/>
    </xf>
    <xf numFmtId="1" fontId="12" fillId="0" borderId="7" xfId="0" applyNumberFormat="1" applyFont="1" applyBorder="1" applyAlignment="1" applyProtection="1">
      <alignment horizontal="center" vertical="top" wrapText="1"/>
      <protection locked="0"/>
    </xf>
    <xf numFmtId="1" fontId="12" fillId="0" borderId="8" xfId="0" applyNumberFormat="1" applyFont="1" applyBorder="1" applyAlignment="1" applyProtection="1">
      <alignment horizontal="center" vertical="top" wrapText="1"/>
      <protection locked="0"/>
    </xf>
    <xf numFmtId="1" fontId="8" fillId="3" borderId="7" xfId="1" applyNumberFormat="1" applyFont="1" applyFill="1" applyBorder="1" applyAlignment="1" applyProtection="1">
      <alignment horizontal="center" vertical="center" wrapText="1"/>
      <protection locked="0"/>
    </xf>
    <xf numFmtId="1" fontId="8" fillId="3" borderId="20" xfId="1" applyNumberFormat="1" applyFont="1" applyFill="1" applyBorder="1" applyAlignment="1" applyProtection="1">
      <alignment horizontal="center" vertical="center" wrapText="1"/>
      <protection locked="0"/>
    </xf>
    <xf numFmtId="1" fontId="8" fillId="3" borderId="8" xfId="1" applyNumberFormat="1" applyFont="1" applyFill="1" applyBorder="1" applyAlignment="1" applyProtection="1">
      <alignment horizontal="center" vertical="center" wrapText="1"/>
      <protection locked="0"/>
    </xf>
    <xf numFmtId="1" fontId="12" fillId="0" borderId="7" xfId="1" applyNumberFormat="1" applyFont="1" applyBorder="1" applyAlignment="1" applyProtection="1">
      <alignment horizontal="center" vertical="center" wrapText="1"/>
      <protection locked="0"/>
    </xf>
    <xf numFmtId="1" fontId="12" fillId="0" borderId="8" xfId="1" applyNumberFormat="1" applyFont="1" applyBorder="1" applyAlignment="1" applyProtection="1">
      <alignment horizontal="center" vertical="center" wrapText="1"/>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7" xfId="0" applyNumberFormat="1" applyFont="1" applyBorder="1" applyAlignment="1" applyProtection="1">
      <alignment horizontal="left" vertical="top" wrapText="1"/>
      <protection locked="0"/>
    </xf>
    <xf numFmtId="1" fontId="8" fillId="0" borderId="20" xfId="0" applyNumberFormat="1" applyFont="1" applyBorder="1" applyAlignment="1" applyProtection="1">
      <alignment horizontal="left" vertical="top" wrapText="1"/>
      <protection locked="0"/>
    </xf>
    <xf numFmtId="1" fontId="8" fillId="0" borderId="8" xfId="0" applyNumberFormat="1" applyFont="1" applyBorder="1" applyAlignment="1" applyProtection="1">
      <alignment horizontal="left" vertical="top" wrapText="1"/>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2" fontId="15" fillId="0" borderId="1" xfId="1" applyNumberFormat="1" applyFont="1" applyBorder="1" applyAlignment="1" applyProtection="1">
      <alignment horizontal="left" vertical="top"/>
      <protection locked="0"/>
    </xf>
    <xf numFmtId="0" fontId="13" fillId="0" borderId="21"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12"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2" fillId="0" borderId="3"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center" wrapText="1"/>
      <protection locked="0"/>
    </xf>
    <xf numFmtId="9" fontId="12" fillId="0" borderId="17"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9" xfId="8" applyFont="1" applyFill="1" applyBorder="1" applyAlignment="1" applyProtection="1">
      <alignment horizontal="center" vertical="center" wrapText="1"/>
      <protection locked="0"/>
    </xf>
    <xf numFmtId="9" fontId="12" fillId="0" borderId="11" xfId="8" applyFont="1" applyFill="1" applyBorder="1" applyAlignment="1" applyProtection="1">
      <alignment horizontal="center" vertical="center" wrapText="1"/>
      <protection locked="0"/>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0" fontId="8" fillId="0" borderId="15"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0" fontId="13" fillId="0" borderId="1" xfId="0" applyFont="1" applyBorder="1" applyAlignment="1" applyProtection="1">
      <alignment horizontal="center" vertical="center"/>
      <protection locked="0"/>
    </xf>
    <xf numFmtId="1" fontId="13" fillId="0" borderId="1" xfId="0"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horizontal="center" vertical="top" wrapText="1"/>
      <protection locked="0"/>
    </xf>
    <xf numFmtId="1" fontId="13" fillId="0" borderId="7" xfId="1" applyNumberFormat="1" applyFont="1" applyBorder="1" applyAlignment="1" applyProtection="1">
      <alignment horizontal="center" vertical="center" wrapText="1"/>
      <protection locked="0"/>
    </xf>
    <xf numFmtId="1" fontId="13" fillId="0" borderId="20" xfId="1" applyNumberFormat="1" applyFont="1" applyBorder="1" applyAlignment="1" applyProtection="1">
      <alignment horizontal="center" vertical="center" wrapText="1"/>
      <protection locked="0"/>
    </xf>
    <xf numFmtId="1" fontId="13" fillId="0" borderId="8" xfId="1" applyNumberFormat="1" applyFont="1" applyBorder="1" applyAlignment="1" applyProtection="1">
      <alignment horizontal="center" vertical="center" wrapText="1"/>
      <protection locked="0"/>
    </xf>
    <xf numFmtId="1" fontId="12" fillId="0" borderId="24" xfId="1" applyNumberFormat="1" applyFont="1" applyBorder="1" applyAlignment="1" applyProtection="1">
      <alignment horizontal="center" vertical="center" wrapText="1"/>
      <protection locked="0"/>
    </xf>
    <xf numFmtId="1" fontId="12" fillId="0" borderId="25" xfId="1" applyNumberFormat="1" applyFont="1" applyBorder="1" applyAlignment="1" applyProtection="1">
      <alignment horizontal="center" vertical="center" wrapText="1"/>
      <protection locked="0"/>
    </xf>
    <xf numFmtId="1" fontId="12" fillId="0" borderId="18" xfId="1" applyNumberFormat="1" applyFont="1" applyBorder="1" applyAlignment="1" applyProtection="1">
      <alignment horizontal="center" vertical="center" wrapText="1"/>
      <protection locked="0"/>
    </xf>
    <xf numFmtId="1" fontId="12" fillId="0" borderId="19" xfId="1" applyNumberFormat="1" applyFont="1" applyBorder="1" applyAlignment="1" applyProtection="1">
      <alignment horizontal="center" vertical="center" wrapText="1"/>
      <protection locked="0"/>
    </xf>
    <xf numFmtId="1" fontId="8" fillId="0" borderId="16"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0" fontId="8" fillId="0" borderId="15" xfId="1" applyFont="1" applyBorder="1" applyAlignment="1" applyProtection="1">
      <alignment horizontal="center" vertical="top"/>
      <protection locked="0"/>
    </xf>
    <xf numFmtId="0" fontId="26"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7"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3" fillId="0" borderId="7"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0" fontId="13"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top" wrapText="1"/>
      <protection locked="0"/>
    </xf>
    <xf numFmtId="164" fontId="12" fillId="0" borderId="1" xfId="1" applyNumberFormat="1" applyFont="1" applyBorder="1" applyAlignment="1" applyProtection="1">
      <alignment horizontal="left" vertical="top"/>
      <protection locked="0"/>
    </xf>
    <xf numFmtId="2"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6" fillId="0" borderId="16" xfId="1" applyFont="1" applyBorder="1" applyAlignment="1" applyProtection="1">
      <alignment horizontal="left" vertical="top" wrapText="1"/>
      <protection locked="0"/>
    </xf>
    <xf numFmtId="0" fontId="6" fillId="0" borderId="23"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31"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6" fillId="0" borderId="25" xfId="1" applyFont="1" applyBorder="1" applyAlignment="1" applyProtection="1">
      <alignment horizontal="left" vertical="top" wrapText="1"/>
      <protection locked="0"/>
    </xf>
    <xf numFmtId="2" fontId="12"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center" wrapText="1"/>
      <protection locked="0"/>
    </xf>
    <xf numFmtId="0" fontId="12" fillId="0" borderId="1" xfId="1" applyFont="1" applyBorder="1" applyAlignment="1" applyProtection="1">
      <alignment horizontal="center" vertical="center"/>
      <protection locked="0"/>
    </xf>
    <xf numFmtId="0" fontId="8" fillId="0" borderId="1" xfId="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6" fillId="0" borderId="1"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12" fillId="0" borderId="24"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31"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14" fontId="12"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6" xfId="1" applyFont="1" applyBorder="1" applyAlignment="1" applyProtection="1">
      <alignment horizontal="center" vertical="top" wrapText="1"/>
      <protection locked="0"/>
    </xf>
    <xf numFmtId="0" fontId="13" fillId="0" borderId="23" xfId="1" applyFont="1" applyBorder="1" applyAlignment="1" applyProtection="1">
      <alignment horizontal="center" vertical="top" wrapText="1"/>
      <protection locked="0"/>
    </xf>
    <xf numFmtId="0" fontId="13" fillId="0" borderId="17" xfId="1" applyFont="1" applyBorder="1" applyAlignment="1" applyProtection="1">
      <alignment horizontal="center" vertical="top" wrapText="1"/>
      <protection locked="0"/>
    </xf>
    <xf numFmtId="0" fontId="13" fillId="0" borderId="24" xfId="1" applyFont="1" applyBorder="1" applyAlignment="1" applyProtection="1">
      <alignment horizontal="center" vertical="top" wrapText="1"/>
      <protection locked="0"/>
    </xf>
    <xf numFmtId="0" fontId="13" fillId="0" borderId="0" xfId="1" applyFont="1" applyAlignment="1" applyProtection="1">
      <alignment horizontal="center" vertical="top" wrapText="1"/>
      <protection locked="0"/>
    </xf>
    <xf numFmtId="0" fontId="13" fillId="0" borderId="25" xfId="1" applyFont="1" applyBorder="1" applyAlignment="1" applyProtection="1">
      <alignment horizontal="center" vertical="top" wrapText="1"/>
      <protection locked="0"/>
    </xf>
    <xf numFmtId="0" fontId="13" fillId="0" borderId="18" xfId="1" applyFont="1" applyBorder="1" applyAlignment="1" applyProtection="1">
      <alignment horizontal="center" vertical="top" wrapText="1"/>
      <protection locked="0"/>
    </xf>
    <xf numFmtId="0" fontId="13" fillId="0" borderId="31" xfId="1" applyFont="1" applyBorder="1" applyAlignment="1" applyProtection="1">
      <alignment horizontal="center" vertical="top" wrapText="1"/>
      <protection locked="0"/>
    </xf>
    <xf numFmtId="0" fontId="13" fillId="0" borderId="19"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6" fillId="0" borderId="7" xfId="1" applyFont="1" applyBorder="1" applyAlignment="1" applyProtection="1">
      <alignment horizontal="left" vertical="top"/>
      <protection locked="0"/>
    </xf>
    <xf numFmtId="0" fontId="6" fillId="0" borderId="20" xfId="1" applyFont="1" applyBorder="1" applyAlignment="1" applyProtection="1">
      <alignment horizontal="left" vertical="top"/>
      <protection locked="0"/>
    </xf>
    <xf numFmtId="0" fontId="6" fillId="0" borderId="8" xfId="1" applyFont="1" applyBorder="1" applyAlignment="1" applyProtection="1">
      <alignment horizontal="left" vertical="top"/>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1" fontId="13" fillId="0" borderId="1" xfId="0" applyNumberFormat="1" applyFont="1" applyBorder="1" applyAlignment="1" applyProtection="1">
      <alignment horizontal="center" vertical="center"/>
      <protection locked="0"/>
    </xf>
    <xf numFmtId="0" fontId="6" fillId="0" borderId="7" xfId="1" applyFont="1" applyBorder="1" applyAlignment="1" applyProtection="1">
      <alignment vertical="top"/>
      <protection locked="0"/>
    </xf>
    <xf numFmtId="0" fontId="6" fillId="0" borderId="20" xfId="1" applyFont="1" applyBorder="1" applyAlignment="1" applyProtection="1">
      <alignment vertical="top"/>
      <protection locked="0"/>
    </xf>
    <xf numFmtId="0" fontId="6" fillId="0" borderId="8" xfId="1" applyFont="1" applyBorder="1" applyAlignment="1" applyProtection="1">
      <alignment vertical="top"/>
      <protection locked="0"/>
    </xf>
    <xf numFmtId="0" fontId="8" fillId="0" borderId="7" xfId="1" applyFont="1" applyBorder="1" applyAlignment="1" applyProtection="1">
      <alignment vertical="top"/>
      <protection locked="0"/>
    </xf>
    <xf numFmtId="0" fontId="8" fillId="0" borderId="20" xfId="1" applyFont="1" applyBorder="1" applyAlignment="1" applyProtection="1">
      <alignment vertical="top"/>
      <protection locked="0"/>
    </xf>
    <xf numFmtId="0" fontId="8" fillId="0" borderId="8" xfId="1" applyFont="1" applyBorder="1" applyAlignment="1" applyProtection="1">
      <alignment vertical="top"/>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7" fillId="0" borderId="7" xfId="1" applyFont="1" applyBorder="1" applyAlignment="1" applyProtection="1">
      <alignment horizontal="left"/>
      <protection locked="0"/>
    </xf>
    <xf numFmtId="0" fontId="7" fillId="0" borderId="20" xfId="1" applyFont="1" applyBorder="1" applyAlignment="1" applyProtection="1">
      <alignment horizontal="left"/>
      <protection locked="0"/>
    </xf>
    <xf numFmtId="0" fontId="7" fillId="0" borderId="8" xfId="1" applyFont="1" applyBorder="1" applyAlignment="1" applyProtection="1">
      <alignment horizontal="left"/>
      <protection locked="0"/>
    </xf>
    <xf numFmtId="0" fontId="12" fillId="0" borderId="7" xfId="1" applyFont="1" applyBorder="1" applyAlignment="1" applyProtection="1">
      <alignment horizontal="left" vertical="top"/>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573</xdr:row>
      <xdr:rowOff>85725</xdr:rowOff>
    </xdr:from>
    <xdr:to>
      <xdr:col>6</xdr:col>
      <xdr:colOff>685800</xdr:colOff>
      <xdr:row>591</xdr:row>
      <xdr:rowOff>161164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809625" y="95964375"/>
          <a:ext cx="4791075" cy="3675888"/>
        </a:xfrm>
        <a:prstGeom prst="rect">
          <a:avLst/>
        </a:prstGeom>
        <a:ln>
          <a:solidFill>
            <a:schemeClr val="tx1"/>
          </a:solidFill>
        </a:ln>
      </xdr:spPr>
    </xdr:pic>
    <xdr:clientData/>
  </xdr:twoCellAnchor>
  <xdr:twoCellAnchor>
    <xdr:from>
      <xdr:col>2</xdr:col>
      <xdr:colOff>95250</xdr:colOff>
      <xdr:row>598</xdr:row>
      <xdr:rowOff>114300</xdr:rowOff>
    </xdr:from>
    <xdr:to>
      <xdr:col>2</xdr:col>
      <xdr:colOff>228600</xdr:colOff>
      <xdr:row>611</xdr:row>
      <xdr:rowOff>47625</xdr:rowOff>
    </xdr:to>
    <xdr:cxnSp macro="">
      <xdr:nvCxnSpPr>
        <xdr:cNvPr id="6" name="Straight Connector 5">
          <a:extLst>
            <a:ext uri="{FF2B5EF4-FFF2-40B4-BE49-F238E27FC236}">
              <a16:creationId xmlns:a16="http://schemas.microsoft.com/office/drawing/2014/main" xmlns="" id="{00000000-0008-0000-0000-000006000000}"/>
            </a:ext>
          </a:extLst>
        </xdr:cNvPr>
        <xdr:cNvCxnSpPr/>
      </xdr:nvCxnSpPr>
      <xdr:spPr>
        <a:xfrm>
          <a:off x="1771650" y="47367825"/>
          <a:ext cx="133350" cy="2533650"/>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xdr:from>
      <xdr:col>2</xdr:col>
      <xdr:colOff>95250</xdr:colOff>
      <xdr:row>598</xdr:row>
      <xdr:rowOff>133350</xdr:rowOff>
    </xdr:from>
    <xdr:to>
      <xdr:col>3</xdr:col>
      <xdr:colOff>676275</xdr:colOff>
      <xdr:row>600</xdr:row>
      <xdr:rowOff>28575</xdr:rowOff>
    </xdr:to>
    <xdr:cxnSp macro="">
      <xdr:nvCxnSpPr>
        <xdr:cNvPr id="8" name="Straight Connector 7">
          <a:extLst>
            <a:ext uri="{FF2B5EF4-FFF2-40B4-BE49-F238E27FC236}">
              <a16:creationId xmlns:a16="http://schemas.microsoft.com/office/drawing/2014/main" xmlns="" id="{00000000-0008-0000-0000-000008000000}"/>
            </a:ext>
          </a:extLst>
        </xdr:cNvPr>
        <xdr:cNvCxnSpPr/>
      </xdr:nvCxnSpPr>
      <xdr:spPr>
        <a:xfrm>
          <a:off x="1771650" y="47386875"/>
          <a:ext cx="1495425" cy="295275"/>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xdr:from>
      <xdr:col>2</xdr:col>
      <xdr:colOff>228600</xdr:colOff>
      <xdr:row>600</xdr:row>
      <xdr:rowOff>38100</xdr:rowOff>
    </xdr:from>
    <xdr:to>
      <xdr:col>3</xdr:col>
      <xdr:colOff>676275</xdr:colOff>
      <xdr:row>611</xdr:row>
      <xdr:rowOff>57150</xdr:rowOff>
    </xdr:to>
    <xdr:cxnSp macro="">
      <xdr:nvCxnSpPr>
        <xdr:cNvPr id="10" name="Straight Connector 9">
          <a:extLst>
            <a:ext uri="{FF2B5EF4-FFF2-40B4-BE49-F238E27FC236}">
              <a16:creationId xmlns:a16="http://schemas.microsoft.com/office/drawing/2014/main" xmlns="" id="{00000000-0008-0000-0000-00000A000000}"/>
            </a:ext>
          </a:extLst>
        </xdr:cNvPr>
        <xdr:cNvCxnSpPr/>
      </xdr:nvCxnSpPr>
      <xdr:spPr>
        <a:xfrm flipH="1">
          <a:off x="1790700" y="98736150"/>
          <a:ext cx="1295400" cy="2219325"/>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xdr:from>
      <xdr:col>2</xdr:col>
      <xdr:colOff>123825</xdr:colOff>
      <xdr:row>600</xdr:row>
      <xdr:rowOff>85725</xdr:rowOff>
    </xdr:from>
    <xdr:to>
      <xdr:col>3</xdr:col>
      <xdr:colOff>457200</xdr:colOff>
      <xdr:row>601</xdr:row>
      <xdr:rowOff>133350</xdr:rowOff>
    </xdr:to>
    <xdr:cxnSp macro="">
      <xdr:nvCxnSpPr>
        <xdr:cNvPr id="12" name="Straight Connector 11">
          <a:extLst>
            <a:ext uri="{FF2B5EF4-FFF2-40B4-BE49-F238E27FC236}">
              <a16:creationId xmlns:a16="http://schemas.microsoft.com/office/drawing/2014/main" xmlns="" id="{00000000-0008-0000-0000-00000C000000}"/>
            </a:ext>
          </a:extLst>
        </xdr:cNvPr>
        <xdr:cNvCxnSpPr/>
      </xdr:nvCxnSpPr>
      <xdr:spPr>
        <a:xfrm>
          <a:off x="1800225" y="47739300"/>
          <a:ext cx="1247775" cy="247650"/>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xdr:from>
      <xdr:col>2</xdr:col>
      <xdr:colOff>133350</xdr:colOff>
      <xdr:row>602</xdr:row>
      <xdr:rowOff>107823</xdr:rowOff>
    </xdr:from>
    <xdr:to>
      <xdr:col>3</xdr:col>
      <xdr:colOff>219075</xdr:colOff>
      <xdr:row>603</xdr:row>
      <xdr:rowOff>104775</xdr:rowOff>
    </xdr:to>
    <xdr:cxnSp macro="">
      <xdr:nvCxnSpPr>
        <xdr:cNvPr id="14" name="Straight Connector 13">
          <a:extLst>
            <a:ext uri="{FF2B5EF4-FFF2-40B4-BE49-F238E27FC236}">
              <a16:creationId xmlns:a16="http://schemas.microsoft.com/office/drawing/2014/main" xmlns="" id="{00000000-0008-0000-0000-00000E000000}"/>
            </a:ext>
          </a:extLst>
        </xdr:cNvPr>
        <xdr:cNvCxnSpPr/>
      </xdr:nvCxnSpPr>
      <xdr:spPr>
        <a:xfrm>
          <a:off x="1809750" y="48161448"/>
          <a:ext cx="1000125" cy="196977"/>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xdr:from>
      <xdr:col>2</xdr:col>
      <xdr:colOff>180975</xdr:colOff>
      <xdr:row>604</xdr:row>
      <xdr:rowOff>136398</xdr:rowOff>
    </xdr:from>
    <xdr:to>
      <xdr:col>3</xdr:col>
      <xdr:colOff>9525</xdr:colOff>
      <xdr:row>605</xdr:row>
      <xdr:rowOff>85725</xdr:rowOff>
    </xdr:to>
    <xdr:cxnSp macro="">
      <xdr:nvCxnSpPr>
        <xdr:cNvPr id="16" name="Straight Connector 15">
          <a:extLst>
            <a:ext uri="{FF2B5EF4-FFF2-40B4-BE49-F238E27FC236}">
              <a16:creationId xmlns:a16="http://schemas.microsoft.com/office/drawing/2014/main" xmlns="" id="{00000000-0008-0000-0000-000010000000}"/>
            </a:ext>
          </a:extLst>
        </xdr:cNvPr>
        <xdr:cNvCxnSpPr/>
      </xdr:nvCxnSpPr>
      <xdr:spPr>
        <a:xfrm>
          <a:off x="1857375" y="48590073"/>
          <a:ext cx="742950" cy="149352"/>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xdr:from>
      <xdr:col>2</xdr:col>
      <xdr:colOff>171450</xdr:colOff>
      <xdr:row>606</xdr:row>
      <xdr:rowOff>174498</xdr:rowOff>
    </xdr:from>
    <xdr:to>
      <xdr:col>2</xdr:col>
      <xdr:colOff>666750</xdr:colOff>
      <xdr:row>607</xdr:row>
      <xdr:rowOff>95250</xdr:rowOff>
    </xdr:to>
    <xdr:cxnSp macro="">
      <xdr:nvCxnSpPr>
        <xdr:cNvPr id="18" name="Straight Connector 17">
          <a:extLst>
            <a:ext uri="{FF2B5EF4-FFF2-40B4-BE49-F238E27FC236}">
              <a16:creationId xmlns:a16="http://schemas.microsoft.com/office/drawing/2014/main" xmlns="" id="{00000000-0008-0000-0000-000012000000}"/>
            </a:ext>
          </a:extLst>
        </xdr:cNvPr>
        <xdr:cNvCxnSpPr/>
      </xdr:nvCxnSpPr>
      <xdr:spPr>
        <a:xfrm>
          <a:off x="1847850" y="49028223"/>
          <a:ext cx="495300" cy="120777"/>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xdr:from>
      <xdr:col>2</xdr:col>
      <xdr:colOff>190500</xdr:colOff>
      <xdr:row>609</xdr:row>
      <xdr:rowOff>41148</xdr:rowOff>
    </xdr:from>
    <xdr:to>
      <xdr:col>2</xdr:col>
      <xdr:colOff>438150</xdr:colOff>
      <xdr:row>609</xdr:row>
      <xdr:rowOff>85725</xdr:rowOff>
    </xdr:to>
    <xdr:cxnSp macro="">
      <xdr:nvCxnSpPr>
        <xdr:cNvPr id="20" name="Straight Connector 19">
          <a:extLst>
            <a:ext uri="{FF2B5EF4-FFF2-40B4-BE49-F238E27FC236}">
              <a16:creationId xmlns:a16="http://schemas.microsoft.com/office/drawing/2014/main" xmlns="" id="{00000000-0008-0000-0000-000014000000}"/>
            </a:ext>
          </a:extLst>
        </xdr:cNvPr>
        <xdr:cNvCxnSpPr/>
      </xdr:nvCxnSpPr>
      <xdr:spPr>
        <a:xfrm>
          <a:off x="1866900" y="49494948"/>
          <a:ext cx="247650" cy="44577"/>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editAs="oneCell">
    <xdr:from>
      <xdr:col>11</xdr:col>
      <xdr:colOff>76201</xdr:colOff>
      <xdr:row>75</xdr:row>
      <xdr:rowOff>113553</xdr:rowOff>
    </xdr:from>
    <xdr:to>
      <xdr:col>15</xdr:col>
      <xdr:colOff>655321</xdr:colOff>
      <xdr:row>99</xdr:row>
      <xdr:rowOff>48631</xdr:rowOff>
    </xdr:to>
    <xdr:pic>
      <xdr:nvPicPr>
        <xdr:cNvPr id="41" name="Picture 40">
          <a:extLst>
            <a:ext uri="{FF2B5EF4-FFF2-40B4-BE49-F238E27FC236}">
              <a16:creationId xmlns:a16="http://schemas.microsoft.com/office/drawing/2014/main" xmlns="" id="{00000000-0008-0000-0000-000029000000}"/>
            </a:ext>
          </a:extLst>
        </xdr:cNvPr>
        <xdr:cNvPicPr>
          <a:picLocks noChangeAspect="1"/>
        </xdr:cNvPicPr>
      </xdr:nvPicPr>
      <xdr:blipFill rotWithShape="1">
        <a:blip xmlns:r="http://schemas.openxmlformats.org/officeDocument/2006/relationships" r:embed="rId2"/>
        <a:srcRect l="36508" t="37264" r="46121" b="9905"/>
        <a:stretch/>
      </xdr:blipFill>
      <xdr:spPr>
        <a:xfrm>
          <a:off x="9479281" y="21579093"/>
          <a:ext cx="3657600" cy="5334968"/>
        </a:xfrm>
        <a:prstGeom prst="rect">
          <a:avLst/>
        </a:prstGeom>
        <a:ln>
          <a:solidFill>
            <a:schemeClr val="tx1"/>
          </a:solidFill>
        </a:ln>
      </xdr:spPr>
    </xdr:pic>
    <xdr:clientData/>
  </xdr:twoCellAnchor>
  <xdr:twoCellAnchor editAs="oneCell">
    <xdr:from>
      <xdr:col>10</xdr:col>
      <xdr:colOff>625475</xdr:colOff>
      <xdr:row>116</xdr:row>
      <xdr:rowOff>133350</xdr:rowOff>
    </xdr:from>
    <xdr:to>
      <xdr:col>14</xdr:col>
      <xdr:colOff>67821</xdr:colOff>
      <xdr:row>122</xdr:row>
      <xdr:rowOff>182474</xdr:rowOff>
    </xdr:to>
    <xdr:pic>
      <xdr:nvPicPr>
        <xdr:cNvPr id="43" name="Picture 42">
          <a:extLst>
            <a:ext uri="{FF2B5EF4-FFF2-40B4-BE49-F238E27FC236}">
              <a16:creationId xmlns:a16="http://schemas.microsoft.com/office/drawing/2014/main" xmlns="" id="{00000000-0008-0000-0000-00002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9074150" y="30994350"/>
          <a:ext cx="2480821" cy="1258799"/>
        </a:xfrm>
        <a:prstGeom prst="rect">
          <a:avLst/>
        </a:prstGeom>
        <a:ln>
          <a:solidFill>
            <a:schemeClr val="tx1"/>
          </a:solidFill>
        </a:ln>
      </xdr:spPr>
    </xdr:pic>
    <xdr:clientData/>
  </xdr:twoCellAnchor>
  <xdr:oneCellAnchor>
    <xdr:from>
      <xdr:col>9</xdr:col>
      <xdr:colOff>0</xdr:colOff>
      <xdr:row>484</xdr:row>
      <xdr:rowOff>0</xdr:rowOff>
    </xdr:from>
    <xdr:ext cx="362728" cy="468013"/>
    <xdr:sp macro="" textlink="">
      <xdr:nvSpPr>
        <xdr:cNvPr id="42" name="TextBox 41">
          <a:extLst>
            <a:ext uri="{FF2B5EF4-FFF2-40B4-BE49-F238E27FC236}">
              <a16:creationId xmlns:a16="http://schemas.microsoft.com/office/drawing/2014/main" xmlns="" id="{00000000-0008-0000-0000-00002A000000}"/>
            </a:ext>
          </a:extLst>
        </xdr:cNvPr>
        <xdr:cNvSpPr txBox="1"/>
      </xdr:nvSpPr>
      <xdr:spPr>
        <a:xfrm>
          <a:off x="8064500" y="70821550"/>
          <a:ext cx="362728" cy="46801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2400" b="0" cap="none" spc="0">
              <a:ln w="0"/>
              <a:solidFill>
                <a:sysClr val="windowText" lastClr="000000"/>
              </a:solidFill>
              <a:effectLst>
                <a:outerShdw blurRad="38100" dist="25400" dir="5400000" algn="ctr" rotWithShape="0">
                  <a:srgbClr val="6E747A">
                    <a:alpha val="43000"/>
                  </a:srgbClr>
                </a:outerShdw>
              </a:effectLst>
            </a:rPr>
            <a:t>A</a:t>
          </a:r>
        </a:p>
      </xdr:txBody>
    </xdr:sp>
    <xdr:clientData/>
  </xdr:oneCellAnchor>
  <xdr:oneCellAnchor>
    <xdr:from>
      <xdr:col>11</xdr:col>
      <xdr:colOff>727190</xdr:colOff>
      <xdr:row>487</xdr:row>
      <xdr:rowOff>95250</xdr:rowOff>
    </xdr:from>
    <xdr:ext cx="408171" cy="468013"/>
    <xdr:sp macro="" textlink="">
      <xdr:nvSpPr>
        <xdr:cNvPr id="44" name="TextBox 43">
          <a:extLst>
            <a:ext uri="{FF2B5EF4-FFF2-40B4-BE49-F238E27FC236}">
              <a16:creationId xmlns:a16="http://schemas.microsoft.com/office/drawing/2014/main" xmlns="" id="{00000000-0008-0000-0000-00002C000000}"/>
            </a:ext>
          </a:extLst>
        </xdr:cNvPr>
        <xdr:cNvSpPr txBox="1"/>
      </xdr:nvSpPr>
      <xdr:spPr>
        <a:xfrm>
          <a:off x="10328390" y="71507350"/>
          <a:ext cx="408171" cy="46801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N" sz="2400" b="0" cap="none" spc="0">
              <a:ln w="0"/>
              <a:solidFill>
                <a:sysClr val="windowText" lastClr="000000"/>
              </a:solidFill>
              <a:effectLst>
                <a:outerShdw blurRad="38100" dist="25400" dir="5400000" algn="ctr" rotWithShape="0">
                  <a:srgbClr val="6E747A">
                    <a:alpha val="43000"/>
                  </a:srgbClr>
                </a:outerShdw>
              </a:effectLst>
            </a:rPr>
            <a:t>B</a:t>
          </a:r>
        </a:p>
      </xdr:txBody>
    </xdr:sp>
    <xdr:clientData/>
  </xdr:oneCellAnchor>
  <xdr:twoCellAnchor>
    <xdr:from>
      <xdr:col>11</xdr:col>
      <xdr:colOff>577850</xdr:colOff>
      <xdr:row>489</xdr:row>
      <xdr:rowOff>175913</xdr:rowOff>
    </xdr:from>
    <xdr:to>
      <xdr:col>12</xdr:col>
      <xdr:colOff>194676</xdr:colOff>
      <xdr:row>495</xdr:row>
      <xdr:rowOff>76200</xdr:rowOff>
    </xdr:to>
    <xdr:cxnSp macro="">
      <xdr:nvCxnSpPr>
        <xdr:cNvPr id="45" name="Straight Arrow Connector 44">
          <a:extLst>
            <a:ext uri="{FF2B5EF4-FFF2-40B4-BE49-F238E27FC236}">
              <a16:creationId xmlns:a16="http://schemas.microsoft.com/office/drawing/2014/main" xmlns="" id="{00000000-0008-0000-0000-00002D000000}"/>
            </a:ext>
          </a:extLst>
        </xdr:cNvPr>
        <xdr:cNvCxnSpPr>
          <a:stCxn id="44" idx="2"/>
        </xdr:cNvCxnSpPr>
      </xdr:nvCxnSpPr>
      <xdr:spPr>
        <a:xfrm flipH="1">
          <a:off x="10179050" y="71975363"/>
          <a:ext cx="353426" cy="108138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523875</xdr:colOff>
      <xdr:row>592</xdr:row>
      <xdr:rowOff>76199</xdr:rowOff>
    </xdr:from>
    <xdr:to>
      <xdr:col>7</xdr:col>
      <xdr:colOff>73094</xdr:colOff>
      <xdr:row>613</xdr:row>
      <xdr:rowOff>38769</xdr:rowOff>
    </xdr:to>
    <xdr:grpSp>
      <xdr:nvGrpSpPr>
        <xdr:cNvPr id="15" name="Group 14">
          <a:extLst>
            <a:ext uri="{FF2B5EF4-FFF2-40B4-BE49-F238E27FC236}">
              <a16:creationId xmlns:a16="http://schemas.microsoft.com/office/drawing/2014/main" xmlns="" id="{00000000-0008-0000-0000-00000F000000}"/>
            </a:ext>
          </a:extLst>
        </xdr:cNvPr>
        <xdr:cNvGrpSpPr/>
      </xdr:nvGrpSpPr>
      <xdr:grpSpPr>
        <a:xfrm>
          <a:off x="523875" y="130142875"/>
          <a:ext cx="5253013" cy="4198394"/>
          <a:chOff x="609600" y="97307399"/>
          <a:chExt cx="5245169" cy="4163095"/>
        </a:xfrm>
      </xdr:grpSpPr>
      <xdr:pic>
        <xdr:nvPicPr>
          <xdr:cNvPr id="7" name="Picture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4"/>
          <a:stretch>
            <a:fillRect/>
          </a:stretch>
        </xdr:blipFill>
        <xdr:spPr>
          <a:xfrm>
            <a:off x="609600" y="97307399"/>
            <a:ext cx="5245169" cy="4163095"/>
          </a:xfrm>
          <a:prstGeom prst="rect">
            <a:avLst/>
          </a:prstGeom>
        </xdr:spPr>
      </xdr:pic>
      <xdr:sp macro="" textlink="">
        <xdr:nvSpPr>
          <xdr:cNvPr id="11" name="Rectangle 10">
            <a:extLst>
              <a:ext uri="{FF2B5EF4-FFF2-40B4-BE49-F238E27FC236}">
                <a16:creationId xmlns:a16="http://schemas.microsoft.com/office/drawing/2014/main" xmlns="" id="{00000000-0008-0000-0000-00000B000000}"/>
              </a:ext>
            </a:extLst>
          </xdr:cNvPr>
          <xdr:cNvSpPr/>
        </xdr:nvSpPr>
        <xdr:spPr>
          <a:xfrm>
            <a:off x="1809750" y="98298000"/>
            <a:ext cx="704850" cy="2257425"/>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11</xdr:col>
      <xdr:colOff>108136</xdr:colOff>
      <xdr:row>103</xdr:row>
      <xdr:rowOff>81801</xdr:rowOff>
    </xdr:from>
    <xdr:to>
      <xdr:col>14</xdr:col>
      <xdr:colOff>289890</xdr:colOff>
      <xdr:row>114</xdr:row>
      <xdr:rowOff>79309</xdr:rowOff>
    </xdr:to>
    <xdr:pic>
      <xdr:nvPicPr>
        <xdr:cNvPr id="17" name="Picture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5"/>
        <a:stretch>
          <a:fillRect/>
        </a:stretch>
      </xdr:blipFill>
      <xdr:spPr>
        <a:xfrm>
          <a:off x="9252136" y="27555214"/>
          <a:ext cx="2509167" cy="2184118"/>
        </a:xfrm>
        <a:prstGeom prst="rect">
          <a:avLst/>
        </a:prstGeom>
      </xdr:spPr>
    </xdr:pic>
    <xdr:clientData/>
  </xdr:twoCellAnchor>
  <xdr:twoCellAnchor editAs="oneCell">
    <xdr:from>
      <xdr:col>8</xdr:col>
      <xdr:colOff>309689</xdr:colOff>
      <xdr:row>52</xdr:row>
      <xdr:rowOff>0</xdr:rowOff>
    </xdr:from>
    <xdr:to>
      <xdr:col>11</xdr:col>
      <xdr:colOff>676275</xdr:colOff>
      <xdr:row>60</xdr:row>
      <xdr:rowOff>828226</xdr:rowOff>
    </xdr:to>
    <xdr:pic>
      <xdr:nvPicPr>
        <xdr:cNvPr id="19" name="Picture 18">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6"/>
        <a:stretch>
          <a:fillRect/>
        </a:stretch>
      </xdr:blipFill>
      <xdr:spPr>
        <a:xfrm>
          <a:off x="6834314" y="14627446"/>
          <a:ext cx="2995486" cy="5066179"/>
        </a:xfrm>
        <a:prstGeom prst="rect">
          <a:avLst/>
        </a:prstGeom>
      </xdr:spPr>
    </xdr:pic>
    <xdr:clientData/>
  </xdr:twoCellAnchor>
  <xdr:twoCellAnchor editAs="oneCell">
    <xdr:from>
      <xdr:col>8</xdr:col>
      <xdr:colOff>485775</xdr:colOff>
      <xdr:row>50</xdr:row>
      <xdr:rowOff>123825</xdr:rowOff>
    </xdr:from>
    <xdr:to>
      <xdr:col>13</xdr:col>
      <xdr:colOff>449762</xdr:colOff>
      <xdr:row>51</xdr:row>
      <xdr:rowOff>838200</xdr:rowOff>
    </xdr:to>
    <xdr:pic>
      <xdr:nvPicPr>
        <xdr:cNvPr id="21" name="Picture 20">
          <a:extLst>
            <a:ext uri="{FF2B5EF4-FFF2-40B4-BE49-F238E27FC236}">
              <a16:creationId xmlns:a16="http://schemas.microsoft.com/office/drawing/2014/main" xmlns="" id="{00000000-0008-0000-0000-000015000000}"/>
            </a:ext>
          </a:extLst>
        </xdr:cNvPr>
        <xdr:cNvPicPr>
          <a:picLocks noChangeAspect="1"/>
        </xdr:cNvPicPr>
      </xdr:nvPicPr>
      <xdr:blipFill>
        <a:blip xmlns:r="http://schemas.openxmlformats.org/officeDocument/2006/relationships" r:embed="rId7"/>
        <a:stretch>
          <a:fillRect/>
        </a:stretch>
      </xdr:blipFill>
      <xdr:spPr>
        <a:xfrm>
          <a:off x="7010400" y="12954000"/>
          <a:ext cx="4088312" cy="1114425"/>
        </a:xfrm>
        <a:prstGeom prst="rect">
          <a:avLst/>
        </a:prstGeom>
      </xdr:spPr>
    </xdr:pic>
    <xdr:clientData/>
  </xdr:twoCellAnchor>
  <xdr:twoCellAnchor editAs="oneCell">
    <xdr:from>
      <xdr:col>8</xdr:col>
      <xdr:colOff>795338</xdr:colOff>
      <xdr:row>220</xdr:row>
      <xdr:rowOff>161925</xdr:rowOff>
    </xdr:from>
    <xdr:to>
      <xdr:col>17</xdr:col>
      <xdr:colOff>261631</xdr:colOff>
      <xdr:row>252</xdr:row>
      <xdr:rowOff>47624</xdr:rowOff>
    </xdr:to>
    <xdr:pic>
      <xdr:nvPicPr>
        <xdr:cNvPr id="24" name="Picture 23">
          <a:extLst>
            <a:ext uri="{FF2B5EF4-FFF2-40B4-BE49-F238E27FC236}">
              <a16:creationId xmlns:a16="http://schemas.microsoft.com/office/drawing/2014/main" xmlns="" id="{00000000-0008-0000-0000-000018000000}"/>
            </a:ext>
          </a:extLst>
        </xdr:cNvPr>
        <xdr:cNvPicPr>
          <a:picLocks noChangeAspect="1"/>
        </xdr:cNvPicPr>
      </xdr:nvPicPr>
      <xdr:blipFill>
        <a:blip xmlns:r="http://schemas.openxmlformats.org/officeDocument/2006/relationships" r:embed="rId8"/>
        <a:stretch>
          <a:fillRect/>
        </a:stretch>
      </xdr:blipFill>
      <xdr:spPr>
        <a:xfrm>
          <a:off x="7367588" y="49596675"/>
          <a:ext cx="6514793" cy="6386512"/>
        </a:xfrm>
        <a:prstGeom prst="rect">
          <a:avLst/>
        </a:prstGeom>
      </xdr:spPr>
    </xdr:pic>
    <xdr:clientData/>
  </xdr:twoCellAnchor>
  <xdr:twoCellAnchor editAs="oneCell">
    <xdr:from>
      <xdr:col>8</xdr:col>
      <xdr:colOff>880382</xdr:colOff>
      <xdr:row>153</xdr:row>
      <xdr:rowOff>141515</xdr:rowOff>
    </xdr:from>
    <xdr:to>
      <xdr:col>9</xdr:col>
      <xdr:colOff>737380</xdr:colOff>
      <xdr:row>158</xdr:row>
      <xdr:rowOff>84248</xdr:rowOff>
    </xdr:to>
    <xdr:pic>
      <xdr:nvPicPr>
        <xdr:cNvPr id="26" name="Picture 25">
          <a:extLst>
            <a:ext uri="{FF2B5EF4-FFF2-40B4-BE49-F238E27FC236}">
              <a16:creationId xmlns:a16="http://schemas.microsoft.com/office/drawing/2014/main" xmlns="" id="{00000000-0008-0000-0000-00001A000000}"/>
            </a:ext>
          </a:extLst>
        </xdr:cNvPr>
        <xdr:cNvPicPr>
          <a:picLocks noChangeAspect="1"/>
        </xdr:cNvPicPr>
      </xdr:nvPicPr>
      <xdr:blipFill>
        <a:blip xmlns:r="http://schemas.openxmlformats.org/officeDocument/2006/relationships" r:embed="rId9"/>
        <a:stretch>
          <a:fillRect/>
        </a:stretch>
      </xdr:blipFill>
      <xdr:spPr>
        <a:xfrm>
          <a:off x="7384596" y="37506729"/>
          <a:ext cx="1013605" cy="963268"/>
        </a:xfrm>
        <a:prstGeom prst="rect">
          <a:avLst/>
        </a:prstGeom>
      </xdr:spPr>
    </xdr:pic>
    <xdr:clientData/>
  </xdr:twoCellAnchor>
  <xdr:twoCellAnchor>
    <xdr:from>
      <xdr:col>0</xdr:col>
      <xdr:colOff>392863</xdr:colOff>
      <xdr:row>533</xdr:row>
      <xdr:rowOff>190500</xdr:rowOff>
    </xdr:from>
    <xdr:to>
      <xdr:col>7</xdr:col>
      <xdr:colOff>171450</xdr:colOff>
      <xdr:row>569</xdr:row>
      <xdr:rowOff>103681</xdr:rowOff>
    </xdr:to>
    <xdr:grpSp>
      <xdr:nvGrpSpPr>
        <xdr:cNvPr id="34" name="Group 33">
          <a:extLst>
            <a:ext uri="{FF2B5EF4-FFF2-40B4-BE49-F238E27FC236}">
              <a16:creationId xmlns:a16="http://schemas.microsoft.com/office/drawing/2014/main" xmlns="" id="{00000000-0008-0000-0000-000022000000}"/>
            </a:ext>
          </a:extLst>
        </xdr:cNvPr>
        <xdr:cNvGrpSpPr/>
      </xdr:nvGrpSpPr>
      <xdr:grpSpPr>
        <a:xfrm>
          <a:off x="392863" y="118356529"/>
          <a:ext cx="5482381" cy="7174593"/>
          <a:chOff x="640513" y="114216346"/>
          <a:chExt cx="4837747" cy="6426210"/>
        </a:xfrm>
      </xdr:grpSpPr>
      <xdr:pic>
        <xdr:nvPicPr>
          <xdr:cNvPr id="22" name="Picture 21">
            <a:extLst>
              <a:ext uri="{FF2B5EF4-FFF2-40B4-BE49-F238E27FC236}">
                <a16:creationId xmlns:a16="http://schemas.microsoft.com/office/drawing/2014/main" xmlns="" id="{00000000-0008-0000-0000-000016000000}"/>
              </a:ext>
            </a:extLst>
          </xdr:cNvPr>
          <xdr:cNvPicPr>
            <a:picLocks noChangeAspect="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a:xfrm>
            <a:off x="640513" y="114216346"/>
            <a:ext cx="4837747" cy="6426210"/>
          </a:xfrm>
          <a:prstGeom prst="rect">
            <a:avLst/>
          </a:prstGeom>
          <a:ln>
            <a:solidFill>
              <a:schemeClr val="tx1"/>
            </a:solidFill>
          </a:ln>
        </xdr:spPr>
      </xdr:pic>
      <xdr:sp macro="" textlink="">
        <xdr:nvSpPr>
          <xdr:cNvPr id="31" name="TextBox 30">
            <a:extLst>
              <a:ext uri="{FF2B5EF4-FFF2-40B4-BE49-F238E27FC236}">
                <a16:creationId xmlns:a16="http://schemas.microsoft.com/office/drawing/2014/main" xmlns="" id="{00000000-0008-0000-0000-00001F000000}"/>
              </a:ext>
            </a:extLst>
          </xdr:cNvPr>
          <xdr:cNvSpPr txBox="1"/>
        </xdr:nvSpPr>
        <xdr:spPr>
          <a:xfrm>
            <a:off x="1358348" y="117235525"/>
            <a:ext cx="371192"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400" b="1">
                <a:solidFill>
                  <a:schemeClr val="tx1"/>
                </a:solidFill>
              </a:rPr>
              <a:t>A</a:t>
            </a:r>
          </a:p>
        </xdr:txBody>
      </xdr:sp>
      <xdr:sp macro="" textlink="">
        <xdr:nvSpPr>
          <xdr:cNvPr id="36" name="TextBox 35">
            <a:extLst>
              <a:ext uri="{FF2B5EF4-FFF2-40B4-BE49-F238E27FC236}">
                <a16:creationId xmlns:a16="http://schemas.microsoft.com/office/drawing/2014/main" xmlns="" id="{00000000-0008-0000-0000-000024000000}"/>
              </a:ext>
            </a:extLst>
          </xdr:cNvPr>
          <xdr:cNvSpPr txBox="1"/>
        </xdr:nvSpPr>
        <xdr:spPr>
          <a:xfrm>
            <a:off x="1370480" y="116359422"/>
            <a:ext cx="357214"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400" b="1">
                <a:solidFill>
                  <a:schemeClr val="tx1"/>
                </a:solidFill>
              </a:rPr>
              <a:t>B</a:t>
            </a:r>
          </a:p>
        </xdr:txBody>
      </xdr:sp>
      <xdr:sp macro="" textlink="">
        <xdr:nvSpPr>
          <xdr:cNvPr id="37" name="TextBox 36">
            <a:extLst>
              <a:ext uri="{FF2B5EF4-FFF2-40B4-BE49-F238E27FC236}">
                <a16:creationId xmlns:a16="http://schemas.microsoft.com/office/drawing/2014/main" xmlns="" id="{00000000-0008-0000-0000-000025000000}"/>
              </a:ext>
            </a:extLst>
          </xdr:cNvPr>
          <xdr:cNvSpPr txBox="1"/>
        </xdr:nvSpPr>
        <xdr:spPr>
          <a:xfrm>
            <a:off x="1308654" y="115326165"/>
            <a:ext cx="325923"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400" b="1">
                <a:solidFill>
                  <a:schemeClr val="tx1"/>
                </a:solidFill>
              </a:rPr>
              <a:t>F</a:t>
            </a:r>
          </a:p>
        </xdr:txBody>
      </xdr:sp>
      <xdr:sp macro="" textlink="">
        <xdr:nvSpPr>
          <xdr:cNvPr id="38" name="TextBox 37">
            <a:extLst>
              <a:ext uri="{FF2B5EF4-FFF2-40B4-BE49-F238E27FC236}">
                <a16:creationId xmlns:a16="http://schemas.microsoft.com/office/drawing/2014/main" xmlns="" id="{00000000-0008-0000-0000-000026000000}"/>
              </a:ext>
            </a:extLst>
          </xdr:cNvPr>
          <xdr:cNvSpPr txBox="1"/>
        </xdr:nvSpPr>
        <xdr:spPr>
          <a:xfrm>
            <a:off x="3318963" y="114968015"/>
            <a:ext cx="334772"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400" b="1">
                <a:solidFill>
                  <a:schemeClr val="tx1"/>
                </a:solidFill>
              </a:rPr>
              <a:t>E</a:t>
            </a:r>
          </a:p>
        </xdr:txBody>
      </xdr:sp>
      <xdr:sp macro="" textlink="">
        <xdr:nvSpPr>
          <xdr:cNvPr id="39" name="TextBox 38">
            <a:extLst>
              <a:ext uri="{FF2B5EF4-FFF2-40B4-BE49-F238E27FC236}">
                <a16:creationId xmlns:a16="http://schemas.microsoft.com/office/drawing/2014/main" xmlns="" id="{00000000-0008-0000-0000-000027000000}"/>
              </a:ext>
            </a:extLst>
          </xdr:cNvPr>
          <xdr:cNvSpPr txBox="1"/>
        </xdr:nvSpPr>
        <xdr:spPr>
          <a:xfrm>
            <a:off x="2603735" y="115004069"/>
            <a:ext cx="378693"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400" b="1">
                <a:solidFill>
                  <a:schemeClr val="tx1"/>
                </a:solidFill>
              </a:rPr>
              <a:t>D</a:t>
            </a:r>
          </a:p>
        </xdr:txBody>
      </xdr:sp>
      <xdr:sp macro="" textlink="">
        <xdr:nvSpPr>
          <xdr:cNvPr id="40" name="TextBox 39">
            <a:extLst>
              <a:ext uri="{FF2B5EF4-FFF2-40B4-BE49-F238E27FC236}">
                <a16:creationId xmlns:a16="http://schemas.microsoft.com/office/drawing/2014/main" xmlns="" id="{00000000-0008-0000-0000-000028000000}"/>
              </a:ext>
            </a:extLst>
          </xdr:cNvPr>
          <xdr:cNvSpPr txBox="1"/>
        </xdr:nvSpPr>
        <xdr:spPr>
          <a:xfrm>
            <a:off x="1881224" y="115014789"/>
            <a:ext cx="347596"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400" b="1">
                <a:solidFill>
                  <a:schemeClr val="tx1"/>
                </a:solidFill>
              </a:rPr>
              <a:t>C</a:t>
            </a:r>
          </a:p>
        </xdr:txBody>
      </xdr:sp>
      <xdr:sp macro="" textlink="">
        <xdr:nvSpPr>
          <xdr:cNvPr id="3" name="Rectangle 2">
            <a:extLst>
              <a:ext uri="{FF2B5EF4-FFF2-40B4-BE49-F238E27FC236}">
                <a16:creationId xmlns:a16="http://schemas.microsoft.com/office/drawing/2014/main" xmlns="" id="{00000000-0008-0000-0000-000003000000}"/>
              </a:ext>
            </a:extLst>
          </xdr:cNvPr>
          <xdr:cNvSpPr/>
        </xdr:nvSpPr>
        <xdr:spPr>
          <a:xfrm>
            <a:off x="3138695" y="114948528"/>
            <a:ext cx="802170" cy="550379"/>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7" name="Rectangle 66">
            <a:extLst>
              <a:ext uri="{FF2B5EF4-FFF2-40B4-BE49-F238E27FC236}">
                <a16:creationId xmlns:a16="http://schemas.microsoft.com/office/drawing/2014/main" xmlns="" id="{00000000-0008-0000-0000-000043000000}"/>
              </a:ext>
            </a:extLst>
          </xdr:cNvPr>
          <xdr:cNvSpPr/>
        </xdr:nvSpPr>
        <xdr:spPr>
          <a:xfrm>
            <a:off x="2398644" y="114956811"/>
            <a:ext cx="756616" cy="524289"/>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8" name="Rectangle 67">
            <a:extLst>
              <a:ext uri="{FF2B5EF4-FFF2-40B4-BE49-F238E27FC236}">
                <a16:creationId xmlns:a16="http://schemas.microsoft.com/office/drawing/2014/main" xmlns="" id="{00000000-0008-0000-0000-000044000000}"/>
              </a:ext>
            </a:extLst>
          </xdr:cNvPr>
          <xdr:cNvSpPr/>
        </xdr:nvSpPr>
        <xdr:spPr>
          <a:xfrm>
            <a:off x="1636644" y="114956811"/>
            <a:ext cx="753717" cy="524289"/>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9" name="Rectangle 68">
            <a:extLst>
              <a:ext uri="{FF2B5EF4-FFF2-40B4-BE49-F238E27FC236}">
                <a16:creationId xmlns:a16="http://schemas.microsoft.com/office/drawing/2014/main" xmlns="" id="{00000000-0008-0000-0000-000045000000}"/>
              </a:ext>
            </a:extLst>
          </xdr:cNvPr>
          <xdr:cNvSpPr/>
        </xdr:nvSpPr>
        <xdr:spPr>
          <a:xfrm rot="5400000">
            <a:off x="1114012" y="116318474"/>
            <a:ext cx="791817" cy="485363"/>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70" name="Rectangle 69">
            <a:extLst>
              <a:ext uri="{FF2B5EF4-FFF2-40B4-BE49-F238E27FC236}">
                <a16:creationId xmlns:a16="http://schemas.microsoft.com/office/drawing/2014/main" xmlns="" id="{00000000-0008-0000-0000-000046000000}"/>
              </a:ext>
            </a:extLst>
          </xdr:cNvPr>
          <xdr:cNvSpPr/>
        </xdr:nvSpPr>
        <xdr:spPr>
          <a:xfrm rot="5400000">
            <a:off x="1105730" y="117135141"/>
            <a:ext cx="791817" cy="485363"/>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9" name="Freeform 28">
            <a:extLst>
              <a:ext uri="{FF2B5EF4-FFF2-40B4-BE49-F238E27FC236}">
                <a16:creationId xmlns:a16="http://schemas.microsoft.com/office/drawing/2014/main" xmlns="" id="{00000000-0008-0000-0000-00001D000000}"/>
              </a:ext>
            </a:extLst>
          </xdr:cNvPr>
          <xdr:cNvSpPr/>
        </xdr:nvSpPr>
        <xdr:spPr>
          <a:xfrm>
            <a:off x="1300370" y="114989941"/>
            <a:ext cx="278295" cy="1100759"/>
          </a:xfrm>
          <a:custGeom>
            <a:avLst/>
            <a:gdLst>
              <a:gd name="connsiteX0" fmla="*/ 281608 w 281608"/>
              <a:gd name="connsiteY0" fmla="*/ 0 h 1093305"/>
              <a:gd name="connsiteX1" fmla="*/ 91108 w 281608"/>
              <a:gd name="connsiteY1" fmla="*/ 16565 h 1093305"/>
              <a:gd name="connsiteX2" fmla="*/ 57978 w 281608"/>
              <a:gd name="connsiteY2" fmla="*/ 281609 h 1093305"/>
              <a:gd name="connsiteX3" fmla="*/ 0 w 281608"/>
              <a:gd name="connsiteY3" fmla="*/ 1085022 h 1093305"/>
              <a:gd name="connsiteX4" fmla="*/ 265043 w 281608"/>
              <a:gd name="connsiteY4" fmla="*/ 1093305 h 1093305"/>
              <a:gd name="connsiteX5" fmla="*/ 281608 w 281608"/>
              <a:gd name="connsiteY5" fmla="*/ 0 h 1093305"/>
              <a:gd name="connsiteX0" fmla="*/ 281608 w 281608"/>
              <a:gd name="connsiteY0" fmla="*/ 0 h 1093305"/>
              <a:gd name="connsiteX1" fmla="*/ 91108 w 281608"/>
              <a:gd name="connsiteY1" fmla="*/ 16565 h 1093305"/>
              <a:gd name="connsiteX2" fmla="*/ 74543 w 281608"/>
              <a:gd name="connsiteY2" fmla="*/ 173935 h 1093305"/>
              <a:gd name="connsiteX3" fmla="*/ 57978 w 281608"/>
              <a:gd name="connsiteY3" fmla="*/ 281609 h 1093305"/>
              <a:gd name="connsiteX4" fmla="*/ 0 w 281608"/>
              <a:gd name="connsiteY4" fmla="*/ 1085022 h 1093305"/>
              <a:gd name="connsiteX5" fmla="*/ 265043 w 281608"/>
              <a:gd name="connsiteY5" fmla="*/ 1093305 h 1093305"/>
              <a:gd name="connsiteX6" fmla="*/ 281608 w 281608"/>
              <a:gd name="connsiteY6" fmla="*/ 0 h 10933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81608" h="1093305">
                <a:moveTo>
                  <a:pt x="281608" y="0"/>
                </a:moveTo>
                <a:lnTo>
                  <a:pt x="91108" y="16565"/>
                </a:lnTo>
                <a:cubicBezTo>
                  <a:pt x="85586" y="57978"/>
                  <a:pt x="80065" y="132522"/>
                  <a:pt x="74543" y="173935"/>
                </a:cubicBezTo>
                <a:lnTo>
                  <a:pt x="57978" y="281609"/>
                </a:lnTo>
                <a:lnTo>
                  <a:pt x="0" y="1085022"/>
                </a:lnTo>
                <a:lnTo>
                  <a:pt x="265043" y="1093305"/>
                </a:lnTo>
                <a:lnTo>
                  <a:pt x="281608" y="0"/>
                </a:lnTo>
                <a:close/>
              </a:path>
            </a:pathLst>
          </a:cu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11</xdr:col>
      <xdr:colOff>554355</xdr:colOff>
      <xdr:row>512</xdr:row>
      <xdr:rowOff>30480</xdr:rowOff>
    </xdr:from>
    <xdr:to>
      <xdr:col>12</xdr:col>
      <xdr:colOff>617361</xdr:colOff>
      <xdr:row>513</xdr:row>
      <xdr:rowOff>83043</xdr:rowOff>
    </xdr:to>
    <xdr:sp macro="" textlink="">
      <xdr:nvSpPr>
        <xdr:cNvPr id="71" name="TextBox 48">
          <a:extLst>
            <a:ext uri="{FF2B5EF4-FFF2-40B4-BE49-F238E27FC236}">
              <a16:creationId xmlns:a16="http://schemas.microsoft.com/office/drawing/2014/main" xmlns="" id="{00000000-0008-0000-0000-000047000000}"/>
            </a:ext>
          </a:extLst>
        </xdr:cNvPr>
        <xdr:cNvSpPr txBox="1"/>
      </xdr:nvSpPr>
      <xdr:spPr>
        <a:xfrm>
          <a:off x="9957435" y="108287820"/>
          <a:ext cx="786906" cy="250683"/>
        </a:xfrm>
        <a:prstGeom prst="rect">
          <a:avLst/>
        </a:prstGeom>
        <a:solidFill>
          <a:schemeClr val="bg1"/>
        </a:solid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100" b="1">
              <a:latin typeface="Times New Roman" panose="02020603050405020304" pitchFamily="18" charset="0"/>
              <a:cs typeface="Times New Roman" panose="02020603050405020304" pitchFamily="18" charset="0"/>
            </a:rPr>
            <a:t>Wing</a:t>
          </a:r>
          <a:r>
            <a:rPr lang="en-US" sz="1100" b="1" baseline="0">
              <a:latin typeface="Times New Roman" panose="02020603050405020304" pitchFamily="18" charset="0"/>
              <a:cs typeface="Times New Roman" panose="02020603050405020304" pitchFamily="18" charset="0"/>
            </a:rPr>
            <a:t> C</a:t>
          </a:r>
          <a:endParaRPr lang="en-IN" sz="1100" b="1">
            <a:latin typeface="Times New Roman" panose="02020603050405020304" pitchFamily="18" charset="0"/>
            <a:cs typeface="Times New Roman" panose="02020603050405020304" pitchFamily="18" charset="0"/>
          </a:endParaRPr>
        </a:p>
      </xdr:txBody>
    </xdr:sp>
    <xdr:clientData/>
  </xdr:twoCellAnchor>
  <xdr:twoCellAnchor>
    <xdr:from>
      <xdr:col>12</xdr:col>
      <xdr:colOff>211526</xdr:colOff>
      <xdr:row>513</xdr:row>
      <xdr:rowOff>83043</xdr:rowOff>
    </xdr:from>
    <xdr:to>
      <xdr:col>12</xdr:col>
      <xdr:colOff>779145</xdr:colOff>
      <xdr:row>515</xdr:row>
      <xdr:rowOff>104775</xdr:rowOff>
    </xdr:to>
    <xdr:cxnSp macro="">
      <xdr:nvCxnSpPr>
        <xdr:cNvPr id="48" name="Straight Arrow Connector 47">
          <a:extLst>
            <a:ext uri="{FF2B5EF4-FFF2-40B4-BE49-F238E27FC236}">
              <a16:creationId xmlns:a16="http://schemas.microsoft.com/office/drawing/2014/main" xmlns="" id="{00000000-0008-0000-0000-000030000000}"/>
            </a:ext>
          </a:extLst>
        </xdr:cNvPr>
        <xdr:cNvCxnSpPr>
          <a:stCxn id="71" idx="2"/>
        </xdr:cNvCxnSpPr>
      </xdr:nvCxnSpPr>
      <xdr:spPr>
        <a:xfrm>
          <a:off x="10338506" y="108538503"/>
          <a:ext cx="567619" cy="41797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398145</xdr:colOff>
      <xdr:row>517</xdr:row>
      <xdr:rowOff>76200</xdr:rowOff>
    </xdr:from>
    <xdr:to>
      <xdr:col>15</xdr:col>
      <xdr:colOff>482106</xdr:colOff>
      <xdr:row>518</xdr:row>
      <xdr:rowOff>130668</xdr:rowOff>
    </xdr:to>
    <xdr:sp macro="" textlink="">
      <xdr:nvSpPr>
        <xdr:cNvPr id="75" name="TextBox 48">
          <a:extLst>
            <a:ext uri="{FF2B5EF4-FFF2-40B4-BE49-F238E27FC236}">
              <a16:creationId xmlns:a16="http://schemas.microsoft.com/office/drawing/2014/main" xmlns="" id="{00000000-0008-0000-0000-00004B000000}"/>
            </a:ext>
          </a:extLst>
        </xdr:cNvPr>
        <xdr:cNvSpPr txBox="1"/>
      </xdr:nvSpPr>
      <xdr:spPr>
        <a:xfrm>
          <a:off x="12201525" y="109324140"/>
          <a:ext cx="762141" cy="252588"/>
        </a:xfrm>
        <a:prstGeom prst="rect">
          <a:avLst/>
        </a:prstGeom>
        <a:solidFill>
          <a:schemeClr val="bg1"/>
        </a:solid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100" b="1">
              <a:latin typeface="Times New Roman" panose="02020603050405020304" pitchFamily="18" charset="0"/>
              <a:cs typeface="Times New Roman" panose="02020603050405020304" pitchFamily="18" charset="0"/>
            </a:rPr>
            <a:t>Wing</a:t>
          </a:r>
          <a:r>
            <a:rPr lang="en-US" sz="1100" b="1" baseline="0">
              <a:latin typeface="Times New Roman" panose="02020603050405020304" pitchFamily="18" charset="0"/>
              <a:cs typeface="Times New Roman" panose="02020603050405020304" pitchFamily="18" charset="0"/>
            </a:rPr>
            <a:t> F</a:t>
          </a:r>
          <a:endParaRPr lang="en-IN" sz="1100" b="1">
            <a:latin typeface="Times New Roman" panose="02020603050405020304" pitchFamily="18" charset="0"/>
            <a:cs typeface="Times New Roman" panose="02020603050405020304" pitchFamily="18" charset="0"/>
          </a:endParaRPr>
        </a:p>
      </xdr:txBody>
    </xdr:sp>
    <xdr:clientData/>
  </xdr:twoCellAnchor>
  <xdr:twoCellAnchor>
    <xdr:from>
      <xdr:col>8</xdr:col>
      <xdr:colOff>840105</xdr:colOff>
      <xdr:row>491</xdr:row>
      <xdr:rowOff>161925</xdr:rowOff>
    </xdr:from>
    <xdr:to>
      <xdr:col>9</xdr:col>
      <xdr:colOff>428766</xdr:colOff>
      <xdr:row>493</xdr:row>
      <xdr:rowOff>18273</xdr:rowOff>
    </xdr:to>
    <xdr:sp macro="" textlink="">
      <xdr:nvSpPr>
        <xdr:cNvPr id="76" name="TextBox 48">
          <a:extLst>
            <a:ext uri="{FF2B5EF4-FFF2-40B4-BE49-F238E27FC236}">
              <a16:creationId xmlns:a16="http://schemas.microsoft.com/office/drawing/2014/main" xmlns="" id="{00000000-0008-0000-0000-00004C000000}"/>
            </a:ext>
          </a:extLst>
        </xdr:cNvPr>
        <xdr:cNvSpPr txBox="1"/>
      </xdr:nvSpPr>
      <xdr:spPr>
        <a:xfrm>
          <a:off x="7538085" y="104258745"/>
          <a:ext cx="785001" cy="252588"/>
        </a:xfrm>
        <a:prstGeom prst="rect">
          <a:avLst/>
        </a:prstGeom>
        <a:solidFill>
          <a:schemeClr val="bg1"/>
        </a:solid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100" b="1">
              <a:latin typeface="Times New Roman" panose="02020603050405020304" pitchFamily="18" charset="0"/>
              <a:cs typeface="Times New Roman" panose="02020603050405020304" pitchFamily="18" charset="0"/>
            </a:rPr>
            <a:t>Wing</a:t>
          </a:r>
          <a:r>
            <a:rPr lang="en-US" sz="1100" b="1" baseline="0">
              <a:latin typeface="Times New Roman" panose="02020603050405020304" pitchFamily="18" charset="0"/>
              <a:cs typeface="Times New Roman" panose="02020603050405020304" pitchFamily="18" charset="0"/>
            </a:rPr>
            <a:t> A</a:t>
          </a:r>
          <a:endParaRPr lang="en-IN" sz="1100" b="1">
            <a:latin typeface="Times New Roman" panose="02020603050405020304" pitchFamily="18" charset="0"/>
            <a:cs typeface="Times New Roman" panose="02020603050405020304" pitchFamily="18" charset="0"/>
          </a:endParaRPr>
        </a:p>
      </xdr:txBody>
    </xdr:sp>
    <xdr:clientData/>
  </xdr:twoCellAnchor>
  <xdr:twoCellAnchor>
    <xdr:from>
      <xdr:col>13</xdr:col>
      <xdr:colOff>706755</xdr:colOff>
      <xdr:row>504</xdr:row>
      <xdr:rowOff>152400</xdr:rowOff>
    </xdr:from>
    <xdr:to>
      <xdr:col>14</xdr:col>
      <xdr:colOff>626886</xdr:colOff>
      <xdr:row>506</xdr:row>
      <xdr:rowOff>8748</xdr:rowOff>
    </xdr:to>
    <xdr:sp macro="" textlink="">
      <xdr:nvSpPr>
        <xdr:cNvPr id="77" name="TextBox 48">
          <a:extLst>
            <a:ext uri="{FF2B5EF4-FFF2-40B4-BE49-F238E27FC236}">
              <a16:creationId xmlns:a16="http://schemas.microsoft.com/office/drawing/2014/main" xmlns="" id="{00000000-0008-0000-0000-00004D000000}"/>
            </a:ext>
          </a:extLst>
        </xdr:cNvPr>
        <xdr:cNvSpPr txBox="1"/>
      </xdr:nvSpPr>
      <xdr:spPr>
        <a:xfrm>
          <a:off x="11649075" y="106824780"/>
          <a:ext cx="781191" cy="252588"/>
        </a:xfrm>
        <a:prstGeom prst="rect">
          <a:avLst/>
        </a:prstGeom>
        <a:solidFill>
          <a:schemeClr val="bg1"/>
        </a:solid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100" b="1">
              <a:latin typeface="Times New Roman" panose="02020603050405020304" pitchFamily="18" charset="0"/>
              <a:cs typeface="Times New Roman" panose="02020603050405020304" pitchFamily="18" charset="0"/>
            </a:rPr>
            <a:t>Wing</a:t>
          </a:r>
          <a:r>
            <a:rPr lang="en-US" sz="1100" b="1" baseline="0">
              <a:latin typeface="Times New Roman" panose="02020603050405020304" pitchFamily="18" charset="0"/>
              <a:cs typeface="Times New Roman" panose="02020603050405020304" pitchFamily="18" charset="0"/>
            </a:rPr>
            <a:t> B</a:t>
          </a:r>
          <a:endParaRPr lang="en-IN" sz="1100" b="1">
            <a:latin typeface="Times New Roman" panose="02020603050405020304" pitchFamily="18" charset="0"/>
            <a:cs typeface="Times New Roman" panose="02020603050405020304" pitchFamily="18" charset="0"/>
          </a:endParaRPr>
        </a:p>
      </xdr:txBody>
    </xdr:sp>
    <xdr:clientData/>
  </xdr:twoCellAnchor>
  <xdr:twoCellAnchor>
    <xdr:from>
      <xdr:col>11</xdr:col>
      <xdr:colOff>0</xdr:colOff>
      <xdr:row>492</xdr:row>
      <xdr:rowOff>85725</xdr:rowOff>
    </xdr:from>
    <xdr:to>
      <xdr:col>12</xdr:col>
      <xdr:colOff>59196</xdr:colOff>
      <xdr:row>493</xdr:row>
      <xdr:rowOff>140193</xdr:rowOff>
    </xdr:to>
    <xdr:sp macro="" textlink="">
      <xdr:nvSpPr>
        <xdr:cNvPr id="78" name="TextBox 48">
          <a:extLst>
            <a:ext uri="{FF2B5EF4-FFF2-40B4-BE49-F238E27FC236}">
              <a16:creationId xmlns:a16="http://schemas.microsoft.com/office/drawing/2014/main" xmlns="" id="{00000000-0008-0000-0000-00004E000000}"/>
            </a:ext>
          </a:extLst>
        </xdr:cNvPr>
        <xdr:cNvSpPr txBox="1"/>
      </xdr:nvSpPr>
      <xdr:spPr>
        <a:xfrm>
          <a:off x="9403080" y="104380665"/>
          <a:ext cx="783096" cy="252588"/>
        </a:xfrm>
        <a:prstGeom prst="rect">
          <a:avLst/>
        </a:prstGeom>
        <a:solidFill>
          <a:schemeClr val="bg1"/>
        </a:solid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100" b="1">
              <a:latin typeface="Times New Roman" panose="02020603050405020304" pitchFamily="18" charset="0"/>
              <a:cs typeface="Times New Roman" panose="02020603050405020304" pitchFamily="18" charset="0"/>
            </a:rPr>
            <a:t>Wing</a:t>
          </a:r>
          <a:r>
            <a:rPr lang="en-US" sz="1100" b="1" baseline="0">
              <a:latin typeface="Times New Roman" panose="02020603050405020304" pitchFamily="18" charset="0"/>
              <a:cs typeface="Times New Roman" panose="02020603050405020304" pitchFamily="18" charset="0"/>
            </a:rPr>
            <a:t> B</a:t>
          </a:r>
          <a:endParaRPr lang="en-IN" sz="1100" b="1">
            <a:latin typeface="Times New Roman" panose="02020603050405020304" pitchFamily="18" charset="0"/>
            <a:cs typeface="Times New Roman" panose="02020603050405020304" pitchFamily="18" charset="0"/>
          </a:endParaRPr>
        </a:p>
      </xdr:txBody>
    </xdr:sp>
    <xdr:clientData/>
  </xdr:twoCellAnchor>
  <xdr:twoCellAnchor>
    <xdr:from>
      <xdr:col>0</xdr:col>
      <xdr:colOff>596153</xdr:colOff>
      <xdr:row>490</xdr:row>
      <xdr:rowOff>78438</xdr:rowOff>
    </xdr:from>
    <xdr:to>
      <xdr:col>7</xdr:col>
      <xdr:colOff>217355</xdr:colOff>
      <xdr:row>531</xdr:row>
      <xdr:rowOff>73464</xdr:rowOff>
    </xdr:to>
    <xdr:grpSp>
      <xdr:nvGrpSpPr>
        <xdr:cNvPr id="52" name="Group 51"/>
        <xdr:cNvGrpSpPr/>
      </xdr:nvGrpSpPr>
      <xdr:grpSpPr>
        <a:xfrm>
          <a:off x="596153" y="109571114"/>
          <a:ext cx="5324996" cy="8264968"/>
          <a:chOff x="596153" y="105671467"/>
          <a:chExt cx="5324996" cy="8264968"/>
        </a:xfrm>
      </xdr:grpSpPr>
      <xdr:pic>
        <xdr:nvPicPr>
          <xdr:cNvPr id="73" name="Picture 72" descr="https://vsjcllp.vsjadon.com/upload/insp-246576-84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667871" y="111774193"/>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9" name="Picture 78" descr="https://vsjcllp.vsjadon.com/upload/insp-246576-849.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2407024" y="111776435"/>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3" name="Picture 82" descr="https://vsjcllp.vsjadon.com/upload/insp-246576-931.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4152899" y="111762987"/>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nvGrpSpPr>
          <xdr:cNvPr id="28" name="Group 27"/>
          <xdr:cNvGrpSpPr/>
        </xdr:nvGrpSpPr>
        <xdr:grpSpPr>
          <a:xfrm>
            <a:off x="596153" y="105673710"/>
            <a:ext cx="2604208" cy="3462619"/>
            <a:chOff x="596153" y="105673710"/>
            <a:chExt cx="2604208" cy="3462619"/>
          </a:xfrm>
        </xdr:grpSpPr>
        <xdr:pic>
          <xdr:nvPicPr>
            <xdr:cNvPr id="74" name="Picture 73" descr="https://vsjcllp.vsjadon.com/upload/insp-246576-847.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596153" y="105673710"/>
              <a:ext cx="2604208" cy="346261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84" name="TextBox 29">
              <a:extLst>
                <a:ext uri="{FF2B5EF4-FFF2-40B4-BE49-F238E27FC236}">
                  <a16:creationId xmlns:a16="http://schemas.microsoft.com/office/drawing/2014/main" xmlns="" id="{44F0C8B7-6F94-E9B4-B276-962A1CA55A5A}"/>
                </a:ext>
              </a:extLst>
            </xdr:cNvPr>
            <xdr:cNvSpPr txBox="1"/>
          </xdr:nvSpPr>
          <xdr:spPr>
            <a:xfrm>
              <a:off x="719418" y="105707328"/>
              <a:ext cx="813469" cy="31332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t>Wing A</a:t>
              </a:r>
            </a:p>
          </xdr:txBody>
        </xdr:sp>
        <xdr:sp macro="" textlink="">
          <xdr:nvSpPr>
            <xdr:cNvPr id="85" name="TextBox 29">
              <a:extLst>
                <a:ext uri="{FF2B5EF4-FFF2-40B4-BE49-F238E27FC236}">
                  <a16:creationId xmlns:a16="http://schemas.microsoft.com/office/drawing/2014/main" xmlns="" id="{44F0C8B7-6F94-E9B4-B276-962A1CA55A5A}"/>
                </a:ext>
              </a:extLst>
            </xdr:cNvPr>
            <xdr:cNvSpPr txBox="1"/>
          </xdr:nvSpPr>
          <xdr:spPr>
            <a:xfrm>
              <a:off x="1969995" y="106005404"/>
              <a:ext cx="813469" cy="31332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t>Wing B</a:t>
              </a:r>
            </a:p>
          </xdr:txBody>
        </xdr:sp>
        <xdr:sp macro="" textlink="">
          <xdr:nvSpPr>
            <xdr:cNvPr id="86" name="TextBox 29">
              <a:extLst>
                <a:ext uri="{FF2B5EF4-FFF2-40B4-BE49-F238E27FC236}">
                  <a16:creationId xmlns:a16="http://schemas.microsoft.com/office/drawing/2014/main" xmlns="" id="{44F0C8B7-6F94-E9B4-B276-962A1CA55A5A}"/>
                </a:ext>
              </a:extLst>
            </xdr:cNvPr>
            <xdr:cNvSpPr txBox="1"/>
          </xdr:nvSpPr>
          <xdr:spPr>
            <a:xfrm>
              <a:off x="2321859" y="107007210"/>
              <a:ext cx="813469" cy="31332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t>Wing C</a:t>
              </a:r>
            </a:p>
          </xdr:txBody>
        </xdr:sp>
      </xdr:grpSp>
      <xdr:grpSp>
        <xdr:nvGrpSpPr>
          <xdr:cNvPr id="46" name="Group 45"/>
          <xdr:cNvGrpSpPr/>
        </xdr:nvGrpSpPr>
        <xdr:grpSpPr>
          <a:xfrm>
            <a:off x="3316941" y="105671467"/>
            <a:ext cx="2604208" cy="3462619"/>
            <a:chOff x="3316941" y="105671467"/>
            <a:chExt cx="2604208" cy="3462619"/>
          </a:xfrm>
        </xdr:grpSpPr>
        <xdr:pic>
          <xdr:nvPicPr>
            <xdr:cNvPr id="82" name="Picture 81" descr="https://vsjcllp.vsjadon.com/upload/insp-246576-883.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3316941" y="105671467"/>
              <a:ext cx="2604208" cy="346261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87" name="TextBox 29">
              <a:extLst>
                <a:ext uri="{FF2B5EF4-FFF2-40B4-BE49-F238E27FC236}">
                  <a16:creationId xmlns:a16="http://schemas.microsoft.com/office/drawing/2014/main" xmlns="" id="{44F0C8B7-6F94-E9B4-B276-962A1CA55A5A}"/>
                </a:ext>
              </a:extLst>
            </xdr:cNvPr>
            <xdr:cNvSpPr txBox="1"/>
          </xdr:nvSpPr>
          <xdr:spPr>
            <a:xfrm>
              <a:off x="3731558" y="105693879"/>
              <a:ext cx="813469" cy="31332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t>Wing B</a:t>
              </a:r>
            </a:p>
          </xdr:txBody>
        </xdr:sp>
        <xdr:sp macro="" textlink="">
          <xdr:nvSpPr>
            <xdr:cNvPr id="88" name="TextBox 29">
              <a:extLst>
                <a:ext uri="{FF2B5EF4-FFF2-40B4-BE49-F238E27FC236}">
                  <a16:creationId xmlns:a16="http://schemas.microsoft.com/office/drawing/2014/main" xmlns="" id="{44F0C8B7-6F94-E9B4-B276-962A1CA55A5A}"/>
                </a:ext>
              </a:extLst>
            </xdr:cNvPr>
            <xdr:cNvSpPr txBox="1"/>
          </xdr:nvSpPr>
          <xdr:spPr>
            <a:xfrm>
              <a:off x="4791635" y="105790249"/>
              <a:ext cx="813469" cy="31332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t>Wing A</a:t>
              </a:r>
            </a:p>
          </xdr:txBody>
        </xdr:sp>
      </xdr:grpSp>
      <xdr:grpSp>
        <xdr:nvGrpSpPr>
          <xdr:cNvPr id="49" name="Group 48"/>
          <xdr:cNvGrpSpPr/>
        </xdr:nvGrpSpPr>
        <xdr:grpSpPr>
          <a:xfrm>
            <a:off x="605117" y="109228217"/>
            <a:ext cx="1853120" cy="2463953"/>
            <a:chOff x="605117" y="109228217"/>
            <a:chExt cx="1853120" cy="2463953"/>
          </a:xfrm>
        </xdr:grpSpPr>
        <xdr:pic>
          <xdr:nvPicPr>
            <xdr:cNvPr id="81" name="Picture 80" descr="https://vsjcllp.vsjadon.com/upload/insp-246576-871.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605117" y="109228217"/>
              <a:ext cx="1853120" cy="246395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89" name="TextBox 29">
              <a:extLst>
                <a:ext uri="{FF2B5EF4-FFF2-40B4-BE49-F238E27FC236}">
                  <a16:creationId xmlns:a16="http://schemas.microsoft.com/office/drawing/2014/main" xmlns="" id="{44F0C8B7-6F94-E9B4-B276-962A1CA55A5A}"/>
                </a:ext>
              </a:extLst>
            </xdr:cNvPr>
            <xdr:cNvSpPr txBox="1"/>
          </xdr:nvSpPr>
          <xdr:spPr>
            <a:xfrm>
              <a:off x="728382" y="109317864"/>
              <a:ext cx="813469" cy="31332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t>Wing C</a:t>
              </a:r>
            </a:p>
          </xdr:txBody>
        </xdr:sp>
      </xdr:grpSp>
      <xdr:grpSp>
        <xdr:nvGrpSpPr>
          <xdr:cNvPr id="51" name="Group 50"/>
          <xdr:cNvGrpSpPr/>
        </xdr:nvGrpSpPr>
        <xdr:grpSpPr>
          <a:xfrm>
            <a:off x="2555137" y="109219065"/>
            <a:ext cx="3318907" cy="2463953"/>
            <a:chOff x="2555137" y="109219065"/>
            <a:chExt cx="3318907" cy="2463953"/>
          </a:xfrm>
        </xdr:grpSpPr>
        <xdr:pic>
          <xdr:nvPicPr>
            <xdr:cNvPr id="80" name="Picture 79" descr="https://vsjcllp.vsjadon.com/upload/insp-246576-862.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2555137" y="109219065"/>
              <a:ext cx="3268602" cy="246395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90" name="TextBox 29">
              <a:extLst>
                <a:ext uri="{FF2B5EF4-FFF2-40B4-BE49-F238E27FC236}">
                  <a16:creationId xmlns:a16="http://schemas.microsoft.com/office/drawing/2014/main" xmlns="" id="{44F0C8B7-6F94-E9B4-B276-962A1CA55A5A}"/>
                </a:ext>
              </a:extLst>
            </xdr:cNvPr>
            <xdr:cNvSpPr txBox="1"/>
          </xdr:nvSpPr>
          <xdr:spPr>
            <a:xfrm>
              <a:off x="5060575" y="109268558"/>
              <a:ext cx="813469" cy="31332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t>Wing F</a:t>
              </a:r>
            </a:p>
          </xdr:txBody>
        </xdr:sp>
      </xdr:grpSp>
    </xdr:grpSp>
    <xdr:clientData/>
  </xdr:twoCellAnchor>
  <xdr:twoCellAnchor editAs="oneCell">
    <xdr:from>
      <xdr:col>8</xdr:col>
      <xdr:colOff>470647</xdr:colOff>
      <xdr:row>47</xdr:row>
      <xdr:rowOff>246529</xdr:rowOff>
    </xdr:from>
    <xdr:to>
      <xdr:col>19</xdr:col>
      <xdr:colOff>329561</xdr:colOff>
      <xdr:row>54</xdr:row>
      <xdr:rowOff>904925</xdr:rowOff>
    </xdr:to>
    <xdr:pic>
      <xdr:nvPicPr>
        <xdr:cNvPr id="57" name="Picture 56"/>
        <xdr:cNvPicPr>
          <a:picLocks noChangeAspect="1"/>
        </xdr:cNvPicPr>
      </xdr:nvPicPr>
      <xdr:blipFill>
        <a:blip xmlns:r="http://schemas.openxmlformats.org/officeDocument/2006/relationships" r:embed="rId18"/>
        <a:stretch>
          <a:fillRect/>
        </a:stretch>
      </xdr:blipFill>
      <xdr:spPr>
        <a:xfrm>
          <a:off x="7003676" y="11945470"/>
          <a:ext cx="8095238" cy="40761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Rm2Y2nse95xnGnW97"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573"/>
  <sheetViews>
    <sheetView tabSelected="1" view="pageBreakPreview" zoomScale="85" zoomScaleNormal="100" zoomScaleSheetLayoutView="85" zoomScalePageLayoutView="85" workbookViewId="0">
      <selection activeCell="J473" sqref="J473"/>
    </sheetView>
  </sheetViews>
  <sheetFormatPr defaultColWidth="9.140625" defaultRowHeight="15.75" x14ac:dyDescent="0.25"/>
  <cols>
    <col min="1" max="1" width="11.42578125" style="38" customWidth="1"/>
    <col min="2" max="2" width="12" style="38" customWidth="1"/>
    <col min="3" max="3" width="12.7109375" style="38" customWidth="1"/>
    <col min="4" max="4" width="14.140625" style="38" customWidth="1"/>
    <col min="5" max="7" width="11.7109375" style="38" customWidth="1"/>
    <col min="8" max="8" width="12.42578125" style="38" customWidth="1"/>
    <col min="9" max="9" width="17.42578125" style="19" customWidth="1"/>
    <col min="10" max="10" width="11.42578125" style="19" customWidth="1"/>
    <col min="11" max="11" width="10.5703125" style="19" bestFit="1" customWidth="1"/>
    <col min="12" max="12" width="10.5703125" style="19" customWidth="1"/>
    <col min="13" max="13" width="11.85546875" style="19" customWidth="1"/>
    <col min="14" max="14" width="12.5703125" style="19" customWidth="1"/>
    <col min="15" max="15" width="9.85546875" style="19" customWidth="1"/>
    <col min="16" max="16" width="11.7109375" style="19" customWidth="1"/>
    <col min="17" max="247" width="9.140625" style="19"/>
    <col min="248" max="248" width="8.7109375" style="19" customWidth="1"/>
    <col min="249" max="249" width="9.85546875" style="19" customWidth="1"/>
    <col min="250" max="250" width="14.42578125" style="19" customWidth="1"/>
    <col min="251" max="251" width="7.28515625" style="19" customWidth="1"/>
    <col min="252" max="252" width="5.5703125" style="19" customWidth="1"/>
    <col min="253" max="253" width="9" style="19" customWidth="1"/>
    <col min="254" max="255" width="9.85546875" style="19" customWidth="1"/>
    <col min="256" max="256" width="11.140625" style="19" customWidth="1"/>
    <col min="257" max="257" width="2.85546875" style="19" customWidth="1"/>
    <col min="258" max="258" width="3.5703125" style="19" customWidth="1"/>
    <col min="259" max="503" width="9.140625" style="19"/>
    <col min="504" max="504" width="8.7109375" style="19" customWidth="1"/>
    <col min="505" max="505" width="9.85546875" style="19" customWidth="1"/>
    <col min="506" max="506" width="14.42578125" style="19" customWidth="1"/>
    <col min="507" max="507" width="7.28515625" style="19" customWidth="1"/>
    <col min="508" max="508" width="5.5703125" style="19" customWidth="1"/>
    <col min="509" max="509" width="9" style="19" customWidth="1"/>
    <col min="510" max="511" width="9.85546875" style="19" customWidth="1"/>
    <col min="512" max="512" width="11.140625" style="19" customWidth="1"/>
    <col min="513" max="513" width="2.85546875" style="19" customWidth="1"/>
    <col min="514" max="514" width="3.5703125" style="19" customWidth="1"/>
    <col min="515" max="759" width="9.140625" style="19"/>
    <col min="760" max="760" width="8.7109375" style="19" customWidth="1"/>
    <col min="761" max="761" width="9.85546875" style="19" customWidth="1"/>
    <col min="762" max="762" width="14.42578125" style="19" customWidth="1"/>
    <col min="763" max="763" width="7.28515625" style="19" customWidth="1"/>
    <col min="764" max="764" width="5.5703125" style="19" customWidth="1"/>
    <col min="765" max="765" width="9" style="19" customWidth="1"/>
    <col min="766" max="767" width="9.85546875" style="19" customWidth="1"/>
    <col min="768" max="768" width="11.140625" style="19" customWidth="1"/>
    <col min="769" max="769" width="2.85546875" style="19" customWidth="1"/>
    <col min="770" max="770" width="3.5703125" style="19" customWidth="1"/>
    <col min="771" max="1015" width="9.140625" style="19"/>
    <col min="1016" max="1016" width="8.7109375" style="19" customWidth="1"/>
    <col min="1017" max="1017" width="9.85546875" style="19" customWidth="1"/>
    <col min="1018" max="1018" width="14.42578125" style="19" customWidth="1"/>
    <col min="1019" max="1019" width="7.28515625" style="19" customWidth="1"/>
    <col min="1020" max="1020" width="5.5703125" style="19" customWidth="1"/>
    <col min="1021" max="1021" width="9" style="19" customWidth="1"/>
    <col min="1022" max="1023" width="9.85546875" style="19" customWidth="1"/>
    <col min="1024" max="1024" width="11.140625" style="19" customWidth="1"/>
    <col min="1025" max="1025" width="2.85546875" style="19" customWidth="1"/>
    <col min="1026" max="1026" width="3.5703125" style="19" customWidth="1"/>
    <col min="1027" max="1271" width="9.140625" style="19"/>
    <col min="1272" max="1272" width="8.7109375" style="19" customWidth="1"/>
    <col min="1273" max="1273" width="9.85546875" style="19" customWidth="1"/>
    <col min="1274" max="1274" width="14.42578125" style="19" customWidth="1"/>
    <col min="1275" max="1275" width="7.28515625" style="19" customWidth="1"/>
    <col min="1276" max="1276" width="5.5703125" style="19" customWidth="1"/>
    <col min="1277" max="1277" width="9" style="19" customWidth="1"/>
    <col min="1278" max="1279" width="9.85546875" style="19" customWidth="1"/>
    <col min="1280" max="1280" width="11.140625" style="19" customWidth="1"/>
    <col min="1281" max="1281" width="2.85546875" style="19" customWidth="1"/>
    <col min="1282" max="1282" width="3.5703125" style="19" customWidth="1"/>
    <col min="1283" max="1527" width="9.140625" style="19"/>
    <col min="1528" max="1528" width="8.7109375" style="19" customWidth="1"/>
    <col min="1529" max="1529" width="9.85546875" style="19" customWidth="1"/>
    <col min="1530" max="1530" width="14.42578125" style="19" customWidth="1"/>
    <col min="1531" max="1531" width="7.28515625" style="19" customWidth="1"/>
    <col min="1532" max="1532" width="5.5703125" style="19" customWidth="1"/>
    <col min="1533" max="1533" width="9" style="19" customWidth="1"/>
    <col min="1534" max="1535" width="9.85546875" style="19" customWidth="1"/>
    <col min="1536" max="1536" width="11.140625" style="19" customWidth="1"/>
    <col min="1537" max="1537" width="2.85546875" style="19" customWidth="1"/>
    <col min="1538" max="1538" width="3.5703125" style="19" customWidth="1"/>
    <col min="1539" max="1783" width="9.140625" style="19"/>
    <col min="1784" max="1784" width="8.7109375" style="19" customWidth="1"/>
    <col min="1785" max="1785" width="9.85546875" style="19" customWidth="1"/>
    <col min="1786" max="1786" width="14.42578125" style="19" customWidth="1"/>
    <col min="1787" max="1787" width="7.28515625" style="19" customWidth="1"/>
    <col min="1788" max="1788" width="5.5703125" style="19" customWidth="1"/>
    <col min="1789" max="1789" width="9" style="19" customWidth="1"/>
    <col min="1790" max="1791" width="9.85546875" style="19" customWidth="1"/>
    <col min="1792" max="1792" width="11.140625" style="19" customWidth="1"/>
    <col min="1793" max="1793" width="2.85546875" style="19" customWidth="1"/>
    <col min="1794" max="1794" width="3.5703125" style="19" customWidth="1"/>
    <col min="1795" max="2039" width="9.140625" style="19"/>
    <col min="2040" max="2040" width="8.7109375" style="19" customWidth="1"/>
    <col min="2041" max="2041" width="9.85546875" style="19" customWidth="1"/>
    <col min="2042" max="2042" width="14.42578125" style="19" customWidth="1"/>
    <col min="2043" max="2043" width="7.28515625" style="19" customWidth="1"/>
    <col min="2044" max="2044" width="5.5703125" style="19" customWidth="1"/>
    <col min="2045" max="2045" width="9" style="19" customWidth="1"/>
    <col min="2046" max="2047" width="9.85546875" style="19" customWidth="1"/>
    <col min="2048" max="2048" width="11.140625" style="19" customWidth="1"/>
    <col min="2049" max="2049" width="2.85546875" style="19" customWidth="1"/>
    <col min="2050" max="2050" width="3.5703125" style="19" customWidth="1"/>
    <col min="2051" max="2295" width="9.140625" style="19"/>
    <col min="2296" max="2296" width="8.7109375" style="19" customWidth="1"/>
    <col min="2297" max="2297" width="9.85546875" style="19" customWidth="1"/>
    <col min="2298" max="2298" width="14.42578125" style="19" customWidth="1"/>
    <col min="2299" max="2299" width="7.28515625" style="19" customWidth="1"/>
    <col min="2300" max="2300" width="5.5703125" style="19" customWidth="1"/>
    <col min="2301" max="2301" width="9" style="19" customWidth="1"/>
    <col min="2302" max="2303" width="9.85546875" style="19" customWidth="1"/>
    <col min="2304" max="2304" width="11.140625" style="19" customWidth="1"/>
    <col min="2305" max="2305" width="2.85546875" style="19" customWidth="1"/>
    <col min="2306" max="2306" width="3.5703125" style="19" customWidth="1"/>
    <col min="2307" max="2551" width="9.140625" style="19"/>
    <col min="2552" max="2552" width="8.7109375" style="19" customWidth="1"/>
    <col min="2553" max="2553" width="9.85546875" style="19" customWidth="1"/>
    <col min="2554" max="2554" width="14.42578125" style="19" customWidth="1"/>
    <col min="2555" max="2555" width="7.28515625" style="19" customWidth="1"/>
    <col min="2556" max="2556" width="5.5703125" style="19" customWidth="1"/>
    <col min="2557" max="2557" width="9" style="19" customWidth="1"/>
    <col min="2558" max="2559" width="9.85546875" style="19" customWidth="1"/>
    <col min="2560" max="2560" width="11.140625" style="19" customWidth="1"/>
    <col min="2561" max="2561" width="2.85546875" style="19" customWidth="1"/>
    <col min="2562" max="2562" width="3.5703125" style="19" customWidth="1"/>
    <col min="2563" max="2807" width="9.140625" style="19"/>
    <col min="2808" max="2808" width="8.7109375" style="19" customWidth="1"/>
    <col min="2809" max="2809" width="9.85546875" style="19" customWidth="1"/>
    <col min="2810" max="2810" width="14.42578125" style="19" customWidth="1"/>
    <col min="2811" max="2811" width="7.28515625" style="19" customWidth="1"/>
    <col min="2812" max="2812" width="5.5703125" style="19" customWidth="1"/>
    <col min="2813" max="2813" width="9" style="19" customWidth="1"/>
    <col min="2814" max="2815" width="9.85546875" style="19" customWidth="1"/>
    <col min="2816" max="2816" width="11.140625" style="19" customWidth="1"/>
    <col min="2817" max="2817" width="2.85546875" style="19" customWidth="1"/>
    <col min="2818" max="2818" width="3.5703125" style="19" customWidth="1"/>
    <col min="2819" max="3063" width="9.140625" style="19"/>
    <col min="3064" max="3064" width="8.7109375" style="19" customWidth="1"/>
    <col min="3065" max="3065" width="9.85546875" style="19" customWidth="1"/>
    <col min="3066" max="3066" width="14.42578125" style="19" customWidth="1"/>
    <col min="3067" max="3067" width="7.28515625" style="19" customWidth="1"/>
    <col min="3068" max="3068" width="5.5703125" style="19" customWidth="1"/>
    <col min="3069" max="3069" width="9" style="19" customWidth="1"/>
    <col min="3070" max="3071" width="9.85546875" style="19" customWidth="1"/>
    <col min="3072" max="3072" width="11.140625" style="19" customWidth="1"/>
    <col min="3073" max="3073" width="2.85546875" style="19" customWidth="1"/>
    <col min="3074" max="3074" width="3.5703125" style="19" customWidth="1"/>
    <col min="3075" max="3319" width="9.140625" style="19"/>
    <col min="3320" max="3320" width="8.7109375" style="19" customWidth="1"/>
    <col min="3321" max="3321" width="9.85546875" style="19" customWidth="1"/>
    <col min="3322" max="3322" width="14.42578125" style="19" customWidth="1"/>
    <col min="3323" max="3323" width="7.28515625" style="19" customWidth="1"/>
    <col min="3324" max="3324" width="5.5703125" style="19" customWidth="1"/>
    <col min="3325" max="3325" width="9" style="19" customWidth="1"/>
    <col min="3326" max="3327" width="9.85546875" style="19" customWidth="1"/>
    <col min="3328" max="3328" width="11.140625" style="19" customWidth="1"/>
    <col min="3329" max="3329" width="2.85546875" style="19" customWidth="1"/>
    <col min="3330" max="3330" width="3.5703125" style="19" customWidth="1"/>
    <col min="3331" max="3575" width="9.140625" style="19"/>
    <col min="3576" max="3576" width="8.7109375" style="19" customWidth="1"/>
    <col min="3577" max="3577" width="9.85546875" style="19" customWidth="1"/>
    <col min="3578" max="3578" width="14.42578125" style="19" customWidth="1"/>
    <col min="3579" max="3579" width="7.28515625" style="19" customWidth="1"/>
    <col min="3580" max="3580" width="5.5703125" style="19" customWidth="1"/>
    <col min="3581" max="3581" width="9" style="19" customWidth="1"/>
    <col min="3582" max="3583" width="9.85546875" style="19" customWidth="1"/>
    <col min="3584" max="3584" width="11.140625" style="19" customWidth="1"/>
    <col min="3585" max="3585" width="2.85546875" style="19" customWidth="1"/>
    <col min="3586" max="3586" width="3.5703125" style="19" customWidth="1"/>
    <col min="3587" max="3831" width="9.140625" style="19"/>
    <col min="3832" max="3832" width="8.7109375" style="19" customWidth="1"/>
    <col min="3833" max="3833" width="9.85546875" style="19" customWidth="1"/>
    <col min="3834" max="3834" width="14.42578125" style="19" customWidth="1"/>
    <col min="3835" max="3835" width="7.28515625" style="19" customWidth="1"/>
    <col min="3836" max="3836" width="5.5703125" style="19" customWidth="1"/>
    <col min="3837" max="3837" width="9" style="19" customWidth="1"/>
    <col min="3838" max="3839" width="9.85546875" style="19" customWidth="1"/>
    <col min="3840" max="3840" width="11.140625" style="19" customWidth="1"/>
    <col min="3841" max="3841" width="2.85546875" style="19" customWidth="1"/>
    <col min="3842" max="3842" width="3.5703125" style="19" customWidth="1"/>
    <col min="3843" max="4087" width="9.140625" style="19"/>
    <col min="4088" max="4088" width="8.7109375" style="19" customWidth="1"/>
    <col min="4089" max="4089" width="9.85546875" style="19" customWidth="1"/>
    <col min="4090" max="4090" width="14.42578125" style="19" customWidth="1"/>
    <col min="4091" max="4091" width="7.28515625" style="19" customWidth="1"/>
    <col min="4092" max="4092" width="5.5703125" style="19" customWidth="1"/>
    <col min="4093" max="4093" width="9" style="19" customWidth="1"/>
    <col min="4094" max="4095" width="9.85546875" style="19" customWidth="1"/>
    <col min="4096" max="4096" width="11.140625" style="19" customWidth="1"/>
    <col min="4097" max="4097" width="2.85546875" style="19" customWidth="1"/>
    <col min="4098" max="4098" width="3.5703125" style="19" customWidth="1"/>
    <col min="4099" max="4343" width="9.140625" style="19"/>
    <col min="4344" max="4344" width="8.7109375" style="19" customWidth="1"/>
    <col min="4345" max="4345" width="9.85546875" style="19" customWidth="1"/>
    <col min="4346" max="4346" width="14.42578125" style="19" customWidth="1"/>
    <col min="4347" max="4347" width="7.28515625" style="19" customWidth="1"/>
    <col min="4348" max="4348" width="5.5703125" style="19" customWidth="1"/>
    <col min="4349" max="4349" width="9" style="19" customWidth="1"/>
    <col min="4350" max="4351" width="9.85546875" style="19" customWidth="1"/>
    <col min="4352" max="4352" width="11.140625" style="19" customWidth="1"/>
    <col min="4353" max="4353" width="2.85546875" style="19" customWidth="1"/>
    <col min="4354" max="4354" width="3.5703125" style="19" customWidth="1"/>
    <col min="4355" max="4599" width="9.140625" style="19"/>
    <col min="4600" max="4600" width="8.7109375" style="19" customWidth="1"/>
    <col min="4601" max="4601" width="9.85546875" style="19" customWidth="1"/>
    <col min="4602" max="4602" width="14.42578125" style="19" customWidth="1"/>
    <col min="4603" max="4603" width="7.28515625" style="19" customWidth="1"/>
    <col min="4604" max="4604" width="5.5703125" style="19" customWidth="1"/>
    <col min="4605" max="4605" width="9" style="19" customWidth="1"/>
    <col min="4606" max="4607" width="9.85546875" style="19" customWidth="1"/>
    <col min="4608" max="4608" width="11.140625" style="19" customWidth="1"/>
    <col min="4609" max="4609" width="2.85546875" style="19" customWidth="1"/>
    <col min="4610" max="4610" width="3.5703125" style="19" customWidth="1"/>
    <col min="4611" max="4855" width="9.140625" style="19"/>
    <col min="4856" max="4856" width="8.7109375" style="19" customWidth="1"/>
    <col min="4857" max="4857" width="9.85546875" style="19" customWidth="1"/>
    <col min="4858" max="4858" width="14.42578125" style="19" customWidth="1"/>
    <col min="4859" max="4859" width="7.28515625" style="19" customWidth="1"/>
    <col min="4860" max="4860" width="5.5703125" style="19" customWidth="1"/>
    <col min="4861" max="4861" width="9" style="19" customWidth="1"/>
    <col min="4862" max="4863" width="9.85546875" style="19" customWidth="1"/>
    <col min="4864" max="4864" width="11.140625" style="19" customWidth="1"/>
    <col min="4865" max="4865" width="2.85546875" style="19" customWidth="1"/>
    <col min="4866" max="4866" width="3.5703125" style="19" customWidth="1"/>
    <col min="4867" max="5111" width="9.140625" style="19"/>
    <col min="5112" max="5112" width="8.7109375" style="19" customWidth="1"/>
    <col min="5113" max="5113" width="9.85546875" style="19" customWidth="1"/>
    <col min="5114" max="5114" width="14.42578125" style="19" customWidth="1"/>
    <col min="5115" max="5115" width="7.28515625" style="19" customWidth="1"/>
    <col min="5116" max="5116" width="5.5703125" style="19" customWidth="1"/>
    <col min="5117" max="5117" width="9" style="19" customWidth="1"/>
    <col min="5118" max="5119" width="9.85546875" style="19" customWidth="1"/>
    <col min="5120" max="5120" width="11.140625" style="19" customWidth="1"/>
    <col min="5121" max="5121" width="2.85546875" style="19" customWidth="1"/>
    <col min="5122" max="5122" width="3.5703125" style="19" customWidth="1"/>
    <col min="5123" max="5367" width="9.140625" style="19"/>
    <col min="5368" max="5368" width="8.7109375" style="19" customWidth="1"/>
    <col min="5369" max="5369" width="9.85546875" style="19" customWidth="1"/>
    <col min="5370" max="5370" width="14.42578125" style="19" customWidth="1"/>
    <col min="5371" max="5371" width="7.28515625" style="19" customWidth="1"/>
    <col min="5372" max="5372" width="5.5703125" style="19" customWidth="1"/>
    <col min="5373" max="5373" width="9" style="19" customWidth="1"/>
    <col min="5374" max="5375" width="9.85546875" style="19" customWidth="1"/>
    <col min="5376" max="5376" width="11.140625" style="19" customWidth="1"/>
    <col min="5377" max="5377" width="2.85546875" style="19" customWidth="1"/>
    <col min="5378" max="5378" width="3.5703125" style="19" customWidth="1"/>
    <col min="5379" max="5623" width="9.140625" style="19"/>
    <col min="5624" max="5624" width="8.7109375" style="19" customWidth="1"/>
    <col min="5625" max="5625" width="9.85546875" style="19" customWidth="1"/>
    <col min="5626" max="5626" width="14.42578125" style="19" customWidth="1"/>
    <col min="5627" max="5627" width="7.28515625" style="19" customWidth="1"/>
    <col min="5628" max="5628" width="5.5703125" style="19" customWidth="1"/>
    <col min="5629" max="5629" width="9" style="19" customWidth="1"/>
    <col min="5630" max="5631" width="9.85546875" style="19" customWidth="1"/>
    <col min="5632" max="5632" width="11.140625" style="19" customWidth="1"/>
    <col min="5633" max="5633" width="2.85546875" style="19" customWidth="1"/>
    <col min="5634" max="5634" width="3.5703125" style="19" customWidth="1"/>
    <col min="5635" max="5879" width="9.140625" style="19"/>
    <col min="5880" max="5880" width="8.7109375" style="19" customWidth="1"/>
    <col min="5881" max="5881" width="9.85546875" style="19" customWidth="1"/>
    <col min="5882" max="5882" width="14.42578125" style="19" customWidth="1"/>
    <col min="5883" max="5883" width="7.28515625" style="19" customWidth="1"/>
    <col min="5884" max="5884" width="5.5703125" style="19" customWidth="1"/>
    <col min="5885" max="5885" width="9" style="19" customWidth="1"/>
    <col min="5886" max="5887" width="9.85546875" style="19" customWidth="1"/>
    <col min="5888" max="5888" width="11.140625" style="19" customWidth="1"/>
    <col min="5889" max="5889" width="2.85546875" style="19" customWidth="1"/>
    <col min="5890" max="5890" width="3.5703125" style="19" customWidth="1"/>
    <col min="5891" max="6135" width="9.140625" style="19"/>
    <col min="6136" max="6136" width="8.7109375" style="19" customWidth="1"/>
    <col min="6137" max="6137" width="9.85546875" style="19" customWidth="1"/>
    <col min="6138" max="6138" width="14.42578125" style="19" customWidth="1"/>
    <col min="6139" max="6139" width="7.28515625" style="19" customWidth="1"/>
    <col min="6140" max="6140" width="5.5703125" style="19" customWidth="1"/>
    <col min="6141" max="6141" width="9" style="19" customWidth="1"/>
    <col min="6142" max="6143" width="9.85546875" style="19" customWidth="1"/>
    <col min="6144" max="6144" width="11.140625" style="19" customWidth="1"/>
    <col min="6145" max="6145" width="2.85546875" style="19" customWidth="1"/>
    <col min="6146" max="6146" width="3.5703125" style="19" customWidth="1"/>
    <col min="6147" max="6391" width="9.140625" style="19"/>
    <col min="6392" max="6392" width="8.7109375" style="19" customWidth="1"/>
    <col min="6393" max="6393" width="9.85546875" style="19" customWidth="1"/>
    <col min="6394" max="6394" width="14.42578125" style="19" customWidth="1"/>
    <col min="6395" max="6395" width="7.28515625" style="19" customWidth="1"/>
    <col min="6396" max="6396" width="5.5703125" style="19" customWidth="1"/>
    <col min="6397" max="6397" width="9" style="19" customWidth="1"/>
    <col min="6398" max="6399" width="9.85546875" style="19" customWidth="1"/>
    <col min="6400" max="6400" width="11.140625" style="19" customWidth="1"/>
    <col min="6401" max="6401" width="2.85546875" style="19" customWidth="1"/>
    <col min="6402" max="6402" width="3.5703125" style="19" customWidth="1"/>
    <col min="6403" max="6647" width="9.140625" style="19"/>
    <col min="6648" max="6648" width="8.7109375" style="19" customWidth="1"/>
    <col min="6649" max="6649" width="9.85546875" style="19" customWidth="1"/>
    <col min="6650" max="6650" width="14.42578125" style="19" customWidth="1"/>
    <col min="6651" max="6651" width="7.28515625" style="19" customWidth="1"/>
    <col min="6652" max="6652" width="5.5703125" style="19" customWidth="1"/>
    <col min="6653" max="6653" width="9" style="19" customWidth="1"/>
    <col min="6654" max="6655" width="9.85546875" style="19" customWidth="1"/>
    <col min="6656" max="6656" width="11.140625" style="19" customWidth="1"/>
    <col min="6657" max="6657" width="2.85546875" style="19" customWidth="1"/>
    <col min="6658" max="6658" width="3.5703125" style="19" customWidth="1"/>
    <col min="6659" max="6903" width="9.140625" style="19"/>
    <col min="6904" max="6904" width="8.7109375" style="19" customWidth="1"/>
    <col min="6905" max="6905" width="9.85546875" style="19" customWidth="1"/>
    <col min="6906" max="6906" width="14.42578125" style="19" customWidth="1"/>
    <col min="6907" max="6907" width="7.28515625" style="19" customWidth="1"/>
    <col min="6908" max="6908" width="5.5703125" style="19" customWidth="1"/>
    <col min="6909" max="6909" width="9" style="19" customWidth="1"/>
    <col min="6910" max="6911" width="9.85546875" style="19" customWidth="1"/>
    <col min="6912" max="6912" width="11.140625" style="19" customWidth="1"/>
    <col min="6913" max="6913" width="2.85546875" style="19" customWidth="1"/>
    <col min="6914" max="6914" width="3.5703125" style="19" customWidth="1"/>
    <col min="6915" max="7159" width="9.140625" style="19"/>
    <col min="7160" max="7160" width="8.7109375" style="19" customWidth="1"/>
    <col min="7161" max="7161" width="9.85546875" style="19" customWidth="1"/>
    <col min="7162" max="7162" width="14.42578125" style="19" customWidth="1"/>
    <col min="7163" max="7163" width="7.28515625" style="19" customWidth="1"/>
    <col min="7164" max="7164" width="5.5703125" style="19" customWidth="1"/>
    <col min="7165" max="7165" width="9" style="19" customWidth="1"/>
    <col min="7166" max="7167" width="9.85546875" style="19" customWidth="1"/>
    <col min="7168" max="7168" width="11.140625" style="19" customWidth="1"/>
    <col min="7169" max="7169" width="2.85546875" style="19" customWidth="1"/>
    <col min="7170" max="7170" width="3.5703125" style="19" customWidth="1"/>
    <col min="7171" max="7415" width="9.140625" style="19"/>
    <col min="7416" max="7416" width="8.7109375" style="19" customWidth="1"/>
    <col min="7417" max="7417" width="9.85546875" style="19" customWidth="1"/>
    <col min="7418" max="7418" width="14.42578125" style="19" customWidth="1"/>
    <col min="7419" max="7419" width="7.28515625" style="19" customWidth="1"/>
    <col min="7420" max="7420" width="5.5703125" style="19" customWidth="1"/>
    <col min="7421" max="7421" width="9" style="19" customWidth="1"/>
    <col min="7422" max="7423" width="9.85546875" style="19" customWidth="1"/>
    <col min="7424" max="7424" width="11.140625" style="19" customWidth="1"/>
    <col min="7425" max="7425" width="2.85546875" style="19" customWidth="1"/>
    <col min="7426" max="7426" width="3.5703125" style="19" customWidth="1"/>
    <col min="7427" max="7671" width="9.140625" style="19"/>
    <col min="7672" max="7672" width="8.7109375" style="19" customWidth="1"/>
    <col min="7673" max="7673" width="9.85546875" style="19" customWidth="1"/>
    <col min="7674" max="7674" width="14.42578125" style="19" customWidth="1"/>
    <col min="7675" max="7675" width="7.28515625" style="19" customWidth="1"/>
    <col min="7676" max="7676" width="5.5703125" style="19" customWidth="1"/>
    <col min="7677" max="7677" width="9" style="19" customWidth="1"/>
    <col min="7678" max="7679" width="9.85546875" style="19" customWidth="1"/>
    <col min="7680" max="7680" width="11.140625" style="19" customWidth="1"/>
    <col min="7681" max="7681" width="2.85546875" style="19" customWidth="1"/>
    <col min="7682" max="7682" width="3.5703125" style="19" customWidth="1"/>
    <col min="7683" max="7927" width="9.140625" style="19"/>
    <col min="7928" max="7928" width="8.7109375" style="19" customWidth="1"/>
    <col min="7929" max="7929" width="9.85546875" style="19" customWidth="1"/>
    <col min="7930" max="7930" width="14.42578125" style="19" customWidth="1"/>
    <col min="7931" max="7931" width="7.28515625" style="19" customWidth="1"/>
    <col min="7932" max="7932" width="5.5703125" style="19" customWidth="1"/>
    <col min="7933" max="7933" width="9" style="19" customWidth="1"/>
    <col min="7934" max="7935" width="9.85546875" style="19" customWidth="1"/>
    <col min="7936" max="7936" width="11.140625" style="19" customWidth="1"/>
    <col min="7937" max="7937" width="2.85546875" style="19" customWidth="1"/>
    <col min="7938" max="7938" width="3.5703125" style="19" customWidth="1"/>
    <col min="7939" max="8183" width="9.140625" style="19"/>
    <col min="8184" max="8184" width="8.7109375" style="19" customWidth="1"/>
    <col min="8185" max="8185" width="9.85546875" style="19" customWidth="1"/>
    <col min="8186" max="8186" width="14.42578125" style="19" customWidth="1"/>
    <col min="8187" max="8187" width="7.28515625" style="19" customWidth="1"/>
    <col min="8188" max="8188" width="5.5703125" style="19" customWidth="1"/>
    <col min="8189" max="8189" width="9" style="19" customWidth="1"/>
    <col min="8190" max="8191" width="9.85546875" style="19" customWidth="1"/>
    <col min="8192" max="8192" width="11.140625" style="19" customWidth="1"/>
    <col min="8193" max="8193" width="2.85546875" style="19" customWidth="1"/>
    <col min="8194" max="8194" width="3.5703125" style="19" customWidth="1"/>
    <col min="8195" max="8439" width="9.140625" style="19"/>
    <col min="8440" max="8440" width="8.7109375" style="19" customWidth="1"/>
    <col min="8441" max="8441" width="9.85546875" style="19" customWidth="1"/>
    <col min="8442" max="8442" width="14.42578125" style="19" customWidth="1"/>
    <col min="8443" max="8443" width="7.28515625" style="19" customWidth="1"/>
    <col min="8444" max="8444" width="5.5703125" style="19" customWidth="1"/>
    <col min="8445" max="8445" width="9" style="19" customWidth="1"/>
    <col min="8446" max="8447" width="9.85546875" style="19" customWidth="1"/>
    <col min="8448" max="8448" width="11.140625" style="19" customWidth="1"/>
    <col min="8449" max="8449" width="2.85546875" style="19" customWidth="1"/>
    <col min="8450" max="8450" width="3.5703125" style="19" customWidth="1"/>
    <col min="8451" max="8695" width="9.140625" style="19"/>
    <col min="8696" max="8696" width="8.7109375" style="19" customWidth="1"/>
    <col min="8697" max="8697" width="9.85546875" style="19" customWidth="1"/>
    <col min="8698" max="8698" width="14.42578125" style="19" customWidth="1"/>
    <col min="8699" max="8699" width="7.28515625" style="19" customWidth="1"/>
    <col min="8700" max="8700" width="5.5703125" style="19" customWidth="1"/>
    <col min="8701" max="8701" width="9" style="19" customWidth="1"/>
    <col min="8702" max="8703" width="9.85546875" style="19" customWidth="1"/>
    <col min="8704" max="8704" width="11.140625" style="19" customWidth="1"/>
    <col min="8705" max="8705" width="2.85546875" style="19" customWidth="1"/>
    <col min="8706" max="8706" width="3.5703125" style="19" customWidth="1"/>
    <col min="8707" max="8951" width="9.140625" style="19"/>
    <col min="8952" max="8952" width="8.7109375" style="19" customWidth="1"/>
    <col min="8953" max="8953" width="9.85546875" style="19" customWidth="1"/>
    <col min="8954" max="8954" width="14.42578125" style="19" customWidth="1"/>
    <col min="8955" max="8955" width="7.28515625" style="19" customWidth="1"/>
    <col min="8956" max="8956" width="5.5703125" style="19" customWidth="1"/>
    <col min="8957" max="8957" width="9" style="19" customWidth="1"/>
    <col min="8958" max="8959" width="9.85546875" style="19" customWidth="1"/>
    <col min="8960" max="8960" width="11.140625" style="19" customWidth="1"/>
    <col min="8961" max="8961" width="2.85546875" style="19" customWidth="1"/>
    <col min="8962" max="8962" width="3.5703125" style="19" customWidth="1"/>
    <col min="8963" max="9207" width="9.140625" style="19"/>
    <col min="9208" max="9208" width="8.7109375" style="19" customWidth="1"/>
    <col min="9209" max="9209" width="9.85546875" style="19" customWidth="1"/>
    <col min="9210" max="9210" width="14.42578125" style="19" customWidth="1"/>
    <col min="9211" max="9211" width="7.28515625" style="19" customWidth="1"/>
    <col min="9212" max="9212" width="5.5703125" style="19" customWidth="1"/>
    <col min="9213" max="9213" width="9" style="19" customWidth="1"/>
    <col min="9214" max="9215" width="9.85546875" style="19" customWidth="1"/>
    <col min="9216" max="9216" width="11.140625" style="19" customWidth="1"/>
    <col min="9217" max="9217" width="2.85546875" style="19" customWidth="1"/>
    <col min="9218" max="9218" width="3.5703125" style="19" customWidth="1"/>
    <col min="9219" max="9463" width="9.140625" style="19"/>
    <col min="9464" max="9464" width="8.7109375" style="19" customWidth="1"/>
    <col min="9465" max="9465" width="9.85546875" style="19" customWidth="1"/>
    <col min="9466" max="9466" width="14.42578125" style="19" customWidth="1"/>
    <col min="9467" max="9467" width="7.28515625" style="19" customWidth="1"/>
    <col min="9468" max="9468" width="5.5703125" style="19" customWidth="1"/>
    <col min="9469" max="9469" width="9" style="19" customWidth="1"/>
    <col min="9470" max="9471" width="9.85546875" style="19" customWidth="1"/>
    <col min="9472" max="9472" width="11.140625" style="19" customWidth="1"/>
    <col min="9473" max="9473" width="2.85546875" style="19" customWidth="1"/>
    <col min="9474" max="9474" width="3.5703125" style="19" customWidth="1"/>
    <col min="9475" max="9719" width="9.140625" style="19"/>
    <col min="9720" max="9720" width="8.7109375" style="19" customWidth="1"/>
    <col min="9721" max="9721" width="9.85546875" style="19" customWidth="1"/>
    <col min="9722" max="9722" width="14.42578125" style="19" customWidth="1"/>
    <col min="9723" max="9723" width="7.28515625" style="19" customWidth="1"/>
    <col min="9724" max="9724" width="5.5703125" style="19" customWidth="1"/>
    <col min="9725" max="9725" width="9" style="19" customWidth="1"/>
    <col min="9726" max="9727" width="9.85546875" style="19" customWidth="1"/>
    <col min="9728" max="9728" width="11.140625" style="19" customWidth="1"/>
    <col min="9729" max="9729" width="2.85546875" style="19" customWidth="1"/>
    <col min="9730" max="9730" width="3.5703125" style="19" customWidth="1"/>
    <col min="9731" max="9975" width="9.140625" style="19"/>
    <col min="9976" max="9976" width="8.7109375" style="19" customWidth="1"/>
    <col min="9977" max="9977" width="9.85546875" style="19" customWidth="1"/>
    <col min="9978" max="9978" width="14.42578125" style="19" customWidth="1"/>
    <col min="9979" max="9979" width="7.28515625" style="19" customWidth="1"/>
    <col min="9980" max="9980" width="5.5703125" style="19" customWidth="1"/>
    <col min="9981" max="9981" width="9" style="19" customWidth="1"/>
    <col min="9982" max="9983" width="9.85546875" style="19" customWidth="1"/>
    <col min="9984" max="9984" width="11.140625" style="19" customWidth="1"/>
    <col min="9985" max="9985" width="2.85546875" style="19" customWidth="1"/>
    <col min="9986" max="9986" width="3.5703125" style="19" customWidth="1"/>
    <col min="9987" max="10231" width="9.140625" style="19"/>
    <col min="10232" max="10232" width="8.7109375" style="19" customWidth="1"/>
    <col min="10233" max="10233" width="9.85546875" style="19" customWidth="1"/>
    <col min="10234" max="10234" width="14.42578125" style="19" customWidth="1"/>
    <col min="10235" max="10235" width="7.28515625" style="19" customWidth="1"/>
    <col min="10236" max="10236" width="5.5703125" style="19" customWidth="1"/>
    <col min="10237" max="10237" width="9" style="19" customWidth="1"/>
    <col min="10238" max="10239" width="9.85546875" style="19" customWidth="1"/>
    <col min="10240" max="10240" width="11.140625" style="19" customWidth="1"/>
    <col min="10241" max="10241" width="2.85546875" style="19" customWidth="1"/>
    <col min="10242" max="10242" width="3.5703125" style="19" customWidth="1"/>
    <col min="10243" max="10487" width="9.140625" style="19"/>
    <col min="10488" max="10488" width="8.7109375" style="19" customWidth="1"/>
    <col min="10489" max="10489" width="9.85546875" style="19" customWidth="1"/>
    <col min="10490" max="10490" width="14.42578125" style="19" customWidth="1"/>
    <col min="10491" max="10491" width="7.28515625" style="19" customWidth="1"/>
    <col min="10492" max="10492" width="5.5703125" style="19" customWidth="1"/>
    <col min="10493" max="10493" width="9" style="19" customWidth="1"/>
    <col min="10494" max="10495" width="9.85546875" style="19" customWidth="1"/>
    <col min="10496" max="10496" width="11.140625" style="19" customWidth="1"/>
    <col min="10497" max="10497" width="2.85546875" style="19" customWidth="1"/>
    <col min="10498" max="10498" width="3.5703125" style="19" customWidth="1"/>
    <col min="10499" max="10743" width="9.140625" style="19"/>
    <col min="10744" max="10744" width="8.7109375" style="19" customWidth="1"/>
    <col min="10745" max="10745" width="9.85546875" style="19" customWidth="1"/>
    <col min="10746" max="10746" width="14.42578125" style="19" customWidth="1"/>
    <col min="10747" max="10747" width="7.28515625" style="19" customWidth="1"/>
    <col min="10748" max="10748" width="5.5703125" style="19" customWidth="1"/>
    <col min="10749" max="10749" width="9" style="19" customWidth="1"/>
    <col min="10750" max="10751" width="9.85546875" style="19" customWidth="1"/>
    <col min="10752" max="10752" width="11.140625" style="19" customWidth="1"/>
    <col min="10753" max="10753" width="2.85546875" style="19" customWidth="1"/>
    <col min="10754" max="10754" width="3.5703125" style="19" customWidth="1"/>
    <col min="10755" max="10999" width="9.140625" style="19"/>
    <col min="11000" max="11000" width="8.7109375" style="19" customWidth="1"/>
    <col min="11001" max="11001" width="9.85546875" style="19" customWidth="1"/>
    <col min="11002" max="11002" width="14.42578125" style="19" customWidth="1"/>
    <col min="11003" max="11003" width="7.28515625" style="19" customWidth="1"/>
    <col min="11004" max="11004" width="5.5703125" style="19" customWidth="1"/>
    <col min="11005" max="11005" width="9" style="19" customWidth="1"/>
    <col min="11006" max="11007" width="9.85546875" style="19" customWidth="1"/>
    <col min="11008" max="11008" width="11.140625" style="19" customWidth="1"/>
    <col min="11009" max="11009" width="2.85546875" style="19" customWidth="1"/>
    <col min="11010" max="11010" width="3.5703125" style="19" customWidth="1"/>
    <col min="11011" max="11255" width="9.140625" style="19"/>
    <col min="11256" max="11256" width="8.7109375" style="19" customWidth="1"/>
    <col min="11257" max="11257" width="9.85546875" style="19" customWidth="1"/>
    <col min="11258" max="11258" width="14.42578125" style="19" customWidth="1"/>
    <col min="11259" max="11259" width="7.28515625" style="19" customWidth="1"/>
    <col min="11260" max="11260" width="5.5703125" style="19" customWidth="1"/>
    <col min="11261" max="11261" width="9" style="19" customWidth="1"/>
    <col min="11262" max="11263" width="9.85546875" style="19" customWidth="1"/>
    <col min="11264" max="11264" width="11.140625" style="19" customWidth="1"/>
    <col min="11265" max="11265" width="2.85546875" style="19" customWidth="1"/>
    <col min="11266" max="11266" width="3.5703125" style="19" customWidth="1"/>
    <col min="11267" max="11511" width="9.140625" style="19"/>
    <col min="11512" max="11512" width="8.7109375" style="19" customWidth="1"/>
    <col min="11513" max="11513" width="9.85546875" style="19" customWidth="1"/>
    <col min="11514" max="11514" width="14.42578125" style="19" customWidth="1"/>
    <col min="11515" max="11515" width="7.28515625" style="19" customWidth="1"/>
    <col min="11516" max="11516" width="5.5703125" style="19" customWidth="1"/>
    <col min="11517" max="11517" width="9" style="19" customWidth="1"/>
    <col min="11518" max="11519" width="9.85546875" style="19" customWidth="1"/>
    <col min="11520" max="11520" width="11.140625" style="19" customWidth="1"/>
    <col min="11521" max="11521" width="2.85546875" style="19" customWidth="1"/>
    <col min="11522" max="11522" width="3.5703125" style="19" customWidth="1"/>
    <col min="11523" max="11767" width="9.140625" style="19"/>
    <col min="11768" max="11768" width="8.7109375" style="19" customWidth="1"/>
    <col min="11769" max="11769" width="9.85546875" style="19" customWidth="1"/>
    <col min="11770" max="11770" width="14.42578125" style="19" customWidth="1"/>
    <col min="11771" max="11771" width="7.28515625" style="19" customWidth="1"/>
    <col min="11772" max="11772" width="5.5703125" style="19" customWidth="1"/>
    <col min="11773" max="11773" width="9" style="19" customWidth="1"/>
    <col min="11774" max="11775" width="9.85546875" style="19" customWidth="1"/>
    <col min="11776" max="11776" width="11.140625" style="19" customWidth="1"/>
    <col min="11777" max="11777" width="2.85546875" style="19" customWidth="1"/>
    <col min="11778" max="11778" width="3.5703125" style="19" customWidth="1"/>
    <col min="11779" max="12023" width="9.140625" style="19"/>
    <col min="12024" max="12024" width="8.7109375" style="19" customWidth="1"/>
    <col min="12025" max="12025" width="9.85546875" style="19" customWidth="1"/>
    <col min="12026" max="12026" width="14.42578125" style="19" customWidth="1"/>
    <col min="12027" max="12027" width="7.28515625" style="19" customWidth="1"/>
    <col min="12028" max="12028" width="5.5703125" style="19" customWidth="1"/>
    <col min="12029" max="12029" width="9" style="19" customWidth="1"/>
    <col min="12030" max="12031" width="9.85546875" style="19" customWidth="1"/>
    <col min="12032" max="12032" width="11.140625" style="19" customWidth="1"/>
    <col min="12033" max="12033" width="2.85546875" style="19" customWidth="1"/>
    <col min="12034" max="12034" width="3.5703125" style="19" customWidth="1"/>
    <col min="12035" max="12279" width="9.140625" style="19"/>
    <col min="12280" max="12280" width="8.7109375" style="19" customWidth="1"/>
    <col min="12281" max="12281" width="9.85546875" style="19" customWidth="1"/>
    <col min="12282" max="12282" width="14.42578125" style="19" customWidth="1"/>
    <col min="12283" max="12283" width="7.28515625" style="19" customWidth="1"/>
    <col min="12284" max="12284" width="5.5703125" style="19" customWidth="1"/>
    <col min="12285" max="12285" width="9" style="19" customWidth="1"/>
    <col min="12286" max="12287" width="9.85546875" style="19" customWidth="1"/>
    <col min="12288" max="12288" width="11.140625" style="19" customWidth="1"/>
    <col min="12289" max="12289" width="2.85546875" style="19" customWidth="1"/>
    <col min="12290" max="12290" width="3.5703125" style="19" customWidth="1"/>
    <col min="12291" max="12535" width="9.140625" style="19"/>
    <col min="12536" max="12536" width="8.7109375" style="19" customWidth="1"/>
    <col min="12537" max="12537" width="9.85546875" style="19" customWidth="1"/>
    <col min="12538" max="12538" width="14.42578125" style="19" customWidth="1"/>
    <col min="12539" max="12539" width="7.28515625" style="19" customWidth="1"/>
    <col min="12540" max="12540" width="5.5703125" style="19" customWidth="1"/>
    <col min="12541" max="12541" width="9" style="19" customWidth="1"/>
    <col min="12542" max="12543" width="9.85546875" style="19" customWidth="1"/>
    <col min="12544" max="12544" width="11.140625" style="19" customWidth="1"/>
    <col min="12545" max="12545" width="2.85546875" style="19" customWidth="1"/>
    <col min="12546" max="12546" width="3.5703125" style="19" customWidth="1"/>
    <col min="12547" max="12791" width="9.140625" style="19"/>
    <col min="12792" max="12792" width="8.7109375" style="19" customWidth="1"/>
    <col min="12793" max="12793" width="9.85546875" style="19" customWidth="1"/>
    <col min="12794" max="12794" width="14.42578125" style="19" customWidth="1"/>
    <col min="12795" max="12795" width="7.28515625" style="19" customWidth="1"/>
    <col min="12796" max="12796" width="5.5703125" style="19" customWidth="1"/>
    <col min="12797" max="12797" width="9" style="19" customWidth="1"/>
    <col min="12798" max="12799" width="9.85546875" style="19" customWidth="1"/>
    <col min="12800" max="12800" width="11.140625" style="19" customWidth="1"/>
    <col min="12801" max="12801" width="2.85546875" style="19" customWidth="1"/>
    <col min="12802" max="12802" width="3.5703125" style="19" customWidth="1"/>
    <col min="12803" max="13047" width="9.140625" style="19"/>
    <col min="13048" max="13048" width="8.7109375" style="19" customWidth="1"/>
    <col min="13049" max="13049" width="9.85546875" style="19" customWidth="1"/>
    <col min="13050" max="13050" width="14.42578125" style="19" customWidth="1"/>
    <col min="13051" max="13051" width="7.28515625" style="19" customWidth="1"/>
    <col min="13052" max="13052" width="5.5703125" style="19" customWidth="1"/>
    <col min="13053" max="13053" width="9" style="19" customWidth="1"/>
    <col min="13054" max="13055" width="9.85546875" style="19" customWidth="1"/>
    <col min="13056" max="13056" width="11.140625" style="19" customWidth="1"/>
    <col min="13057" max="13057" width="2.85546875" style="19" customWidth="1"/>
    <col min="13058" max="13058" width="3.5703125" style="19" customWidth="1"/>
    <col min="13059" max="13303" width="9.140625" style="19"/>
    <col min="13304" max="13304" width="8.7109375" style="19" customWidth="1"/>
    <col min="13305" max="13305" width="9.85546875" style="19" customWidth="1"/>
    <col min="13306" max="13306" width="14.42578125" style="19" customWidth="1"/>
    <col min="13307" max="13307" width="7.28515625" style="19" customWidth="1"/>
    <col min="13308" max="13308" width="5.5703125" style="19" customWidth="1"/>
    <col min="13309" max="13309" width="9" style="19" customWidth="1"/>
    <col min="13310" max="13311" width="9.85546875" style="19" customWidth="1"/>
    <col min="13312" max="13312" width="11.140625" style="19" customWidth="1"/>
    <col min="13313" max="13313" width="2.85546875" style="19" customWidth="1"/>
    <col min="13314" max="13314" width="3.5703125" style="19" customWidth="1"/>
    <col min="13315" max="13559" width="9.140625" style="19"/>
    <col min="13560" max="13560" width="8.7109375" style="19" customWidth="1"/>
    <col min="13561" max="13561" width="9.85546875" style="19" customWidth="1"/>
    <col min="13562" max="13562" width="14.42578125" style="19" customWidth="1"/>
    <col min="13563" max="13563" width="7.28515625" style="19" customWidth="1"/>
    <col min="13564" max="13564" width="5.5703125" style="19" customWidth="1"/>
    <col min="13565" max="13565" width="9" style="19" customWidth="1"/>
    <col min="13566" max="13567" width="9.85546875" style="19" customWidth="1"/>
    <col min="13568" max="13568" width="11.140625" style="19" customWidth="1"/>
    <col min="13569" max="13569" width="2.85546875" style="19" customWidth="1"/>
    <col min="13570" max="13570" width="3.5703125" style="19" customWidth="1"/>
    <col min="13571" max="13815" width="9.140625" style="19"/>
    <col min="13816" max="13816" width="8.7109375" style="19" customWidth="1"/>
    <col min="13817" max="13817" width="9.85546875" style="19" customWidth="1"/>
    <col min="13818" max="13818" width="14.42578125" style="19" customWidth="1"/>
    <col min="13819" max="13819" width="7.28515625" style="19" customWidth="1"/>
    <col min="13820" max="13820" width="5.5703125" style="19" customWidth="1"/>
    <col min="13821" max="13821" width="9" style="19" customWidth="1"/>
    <col min="13822" max="13823" width="9.85546875" style="19" customWidth="1"/>
    <col min="13824" max="13824" width="11.140625" style="19" customWidth="1"/>
    <col min="13825" max="13825" width="2.85546875" style="19" customWidth="1"/>
    <col min="13826" max="13826" width="3.5703125" style="19" customWidth="1"/>
    <col min="13827" max="14071" width="9.140625" style="19"/>
    <col min="14072" max="14072" width="8.7109375" style="19" customWidth="1"/>
    <col min="14073" max="14073" width="9.85546875" style="19" customWidth="1"/>
    <col min="14074" max="14074" width="14.42578125" style="19" customWidth="1"/>
    <col min="14075" max="14075" width="7.28515625" style="19" customWidth="1"/>
    <col min="14076" max="14076" width="5.5703125" style="19" customWidth="1"/>
    <col min="14077" max="14077" width="9" style="19" customWidth="1"/>
    <col min="14078" max="14079" width="9.85546875" style="19" customWidth="1"/>
    <col min="14080" max="14080" width="11.140625" style="19" customWidth="1"/>
    <col min="14081" max="14081" width="2.85546875" style="19" customWidth="1"/>
    <col min="14082" max="14082" width="3.5703125" style="19" customWidth="1"/>
    <col min="14083" max="14327" width="9.140625" style="19"/>
    <col min="14328" max="14328" width="8.7109375" style="19" customWidth="1"/>
    <col min="14329" max="14329" width="9.85546875" style="19" customWidth="1"/>
    <col min="14330" max="14330" width="14.42578125" style="19" customWidth="1"/>
    <col min="14331" max="14331" width="7.28515625" style="19" customWidth="1"/>
    <col min="14332" max="14332" width="5.5703125" style="19" customWidth="1"/>
    <col min="14333" max="14333" width="9" style="19" customWidth="1"/>
    <col min="14334" max="14335" width="9.85546875" style="19" customWidth="1"/>
    <col min="14336" max="14336" width="11.140625" style="19" customWidth="1"/>
    <col min="14337" max="14337" width="2.85546875" style="19" customWidth="1"/>
    <col min="14338" max="14338" width="3.5703125" style="19" customWidth="1"/>
    <col min="14339" max="14583" width="9.140625" style="19"/>
    <col min="14584" max="14584" width="8.7109375" style="19" customWidth="1"/>
    <col min="14585" max="14585" width="9.85546875" style="19" customWidth="1"/>
    <col min="14586" max="14586" width="14.42578125" style="19" customWidth="1"/>
    <col min="14587" max="14587" width="7.28515625" style="19" customWidth="1"/>
    <col min="14588" max="14588" width="5.5703125" style="19" customWidth="1"/>
    <col min="14589" max="14589" width="9" style="19" customWidth="1"/>
    <col min="14590" max="14591" width="9.85546875" style="19" customWidth="1"/>
    <col min="14592" max="14592" width="11.140625" style="19" customWidth="1"/>
    <col min="14593" max="14593" width="2.85546875" style="19" customWidth="1"/>
    <col min="14594" max="14594" width="3.5703125" style="19" customWidth="1"/>
    <col min="14595" max="14839" width="9.140625" style="19"/>
    <col min="14840" max="14840" width="8.7109375" style="19" customWidth="1"/>
    <col min="14841" max="14841" width="9.85546875" style="19" customWidth="1"/>
    <col min="14842" max="14842" width="14.42578125" style="19" customWidth="1"/>
    <col min="14843" max="14843" width="7.28515625" style="19" customWidth="1"/>
    <col min="14844" max="14844" width="5.5703125" style="19" customWidth="1"/>
    <col min="14845" max="14845" width="9" style="19" customWidth="1"/>
    <col min="14846" max="14847" width="9.85546875" style="19" customWidth="1"/>
    <col min="14848" max="14848" width="11.140625" style="19" customWidth="1"/>
    <col min="14849" max="14849" width="2.85546875" style="19" customWidth="1"/>
    <col min="14850" max="14850" width="3.5703125" style="19" customWidth="1"/>
    <col min="14851" max="15095" width="9.140625" style="19"/>
    <col min="15096" max="15096" width="8.7109375" style="19" customWidth="1"/>
    <col min="15097" max="15097" width="9.85546875" style="19" customWidth="1"/>
    <col min="15098" max="15098" width="14.42578125" style="19" customWidth="1"/>
    <col min="15099" max="15099" width="7.28515625" style="19" customWidth="1"/>
    <col min="15100" max="15100" width="5.5703125" style="19" customWidth="1"/>
    <col min="15101" max="15101" width="9" style="19" customWidth="1"/>
    <col min="15102" max="15103" width="9.85546875" style="19" customWidth="1"/>
    <col min="15104" max="15104" width="11.140625" style="19" customWidth="1"/>
    <col min="15105" max="15105" width="2.85546875" style="19" customWidth="1"/>
    <col min="15106" max="15106" width="3.5703125" style="19" customWidth="1"/>
    <col min="15107" max="15351" width="9.140625" style="19"/>
    <col min="15352" max="15352" width="8.7109375" style="19" customWidth="1"/>
    <col min="15353" max="15353" width="9.85546875" style="19" customWidth="1"/>
    <col min="15354" max="15354" width="14.42578125" style="19" customWidth="1"/>
    <col min="15355" max="15355" width="7.28515625" style="19" customWidth="1"/>
    <col min="15356" max="15356" width="5.5703125" style="19" customWidth="1"/>
    <col min="15357" max="15357" width="9" style="19" customWidth="1"/>
    <col min="15358" max="15359" width="9.85546875" style="19" customWidth="1"/>
    <col min="15360" max="15360" width="11.140625" style="19" customWidth="1"/>
    <col min="15361" max="15361" width="2.85546875" style="19" customWidth="1"/>
    <col min="15362" max="15362" width="3.5703125" style="19" customWidth="1"/>
    <col min="15363" max="15607" width="9.140625" style="19"/>
    <col min="15608" max="15608" width="8.7109375" style="19" customWidth="1"/>
    <col min="15609" max="15609" width="9.85546875" style="19" customWidth="1"/>
    <col min="15610" max="15610" width="14.42578125" style="19" customWidth="1"/>
    <col min="15611" max="15611" width="7.28515625" style="19" customWidth="1"/>
    <col min="15612" max="15612" width="5.5703125" style="19" customWidth="1"/>
    <col min="15613" max="15613" width="9" style="19" customWidth="1"/>
    <col min="15614" max="15615" width="9.85546875" style="19" customWidth="1"/>
    <col min="15616" max="15616" width="11.140625" style="19" customWidth="1"/>
    <col min="15617" max="15617" width="2.85546875" style="19" customWidth="1"/>
    <col min="15618" max="15618" width="3.5703125" style="19" customWidth="1"/>
    <col min="15619" max="15863" width="9.140625" style="19"/>
    <col min="15864" max="15864" width="8.7109375" style="19" customWidth="1"/>
    <col min="15865" max="15865" width="9.85546875" style="19" customWidth="1"/>
    <col min="15866" max="15866" width="14.42578125" style="19" customWidth="1"/>
    <col min="15867" max="15867" width="7.28515625" style="19" customWidth="1"/>
    <col min="15868" max="15868" width="5.5703125" style="19" customWidth="1"/>
    <col min="15869" max="15869" width="9" style="19" customWidth="1"/>
    <col min="15870" max="15871" width="9.85546875" style="19" customWidth="1"/>
    <col min="15872" max="15872" width="11.140625" style="19" customWidth="1"/>
    <col min="15873" max="15873" width="2.85546875" style="19" customWidth="1"/>
    <col min="15874" max="15874" width="3.5703125" style="19" customWidth="1"/>
    <col min="15875" max="16119" width="9.140625" style="19"/>
    <col min="16120" max="16120" width="8.7109375" style="19" customWidth="1"/>
    <col min="16121" max="16121" width="9.85546875" style="19" customWidth="1"/>
    <col min="16122" max="16122" width="14.42578125" style="19" customWidth="1"/>
    <col min="16123" max="16123" width="7.28515625" style="19" customWidth="1"/>
    <col min="16124" max="16124" width="5.5703125" style="19" customWidth="1"/>
    <col min="16125" max="16125" width="9" style="19" customWidth="1"/>
    <col min="16126" max="16127" width="9.85546875" style="19" customWidth="1"/>
    <col min="16128" max="16128" width="11.140625" style="19" customWidth="1"/>
    <col min="16129" max="16129" width="2.85546875" style="19" customWidth="1"/>
    <col min="16130" max="16130" width="3.5703125" style="19" customWidth="1"/>
    <col min="16131" max="16384" width="9.140625" style="19"/>
  </cols>
  <sheetData>
    <row r="1" spans="1:9" ht="46.5" customHeight="1" x14ac:dyDescent="0.25">
      <c r="A1" s="193" t="s">
        <v>200</v>
      </c>
      <c r="B1" s="193"/>
      <c r="C1" s="193"/>
      <c r="D1" s="193"/>
      <c r="E1" s="193"/>
      <c r="F1" s="193"/>
      <c r="G1" s="193"/>
      <c r="H1" s="193"/>
    </row>
    <row r="2" spans="1:9" ht="16.5" customHeight="1" x14ac:dyDescent="0.25">
      <c r="A2" s="194" t="s">
        <v>0</v>
      </c>
      <c r="B2" s="194"/>
      <c r="C2" s="194"/>
      <c r="D2" s="194"/>
      <c r="E2" s="194"/>
      <c r="F2" s="194"/>
      <c r="G2" s="194"/>
      <c r="H2" s="194"/>
    </row>
    <row r="3" spans="1:9" x14ac:dyDescent="0.25">
      <c r="A3" s="156" t="s">
        <v>1</v>
      </c>
      <c r="B3" s="156"/>
      <c r="C3" s="156"/>
      <c r="D3" s="156"/>
      <c r="E3" s="156" t="str">
        <f ca="1">TEXT(TODAY(),"DD/MM/YYYY")</f>
        <v>15/09/2025</v>
      </c>
      <c r="F3" s="156"/>
      <c r="G3" s="156"/>
      <c r="H3" s="156"/>
    </row>
    <row r="4" spans="1:9" ht="15" customHeight="1" x14ac:dyDescent="0.25">
      <c r="A4" s="156" t="s">
        <v>2</v>
      </c>
      <c r="B4" s="156"/>
      <c r="C4" s="156"/>
      <c r="D4" s="156"/>
      <c r="E4" s="156" t="s">
        <v>168</v>
      </c>
      <c r="F4" s="156"/>
      <c r="G4" s="156"/>
      <c r="H4" s="156"/>
    </row>
    <row r="5" spans="1:9" x14ac:dyDescent="0.25">
      <c r="A5" s="156" t="s">
        <v>3</v>
      </c>
      <c r="B5" s="156"/>
      <c r="C5" s="156"/>
      <c r="D5" s="156"/>
      <c r="E5" s="192">
        <v>45909</v>
      </c>
      <c r="F5" s="156"/>
      <c r="G5" s="156"/>
      <c r="H5" s="156"/>
    </row>
    <row r="6" spans="1:9" ht="16.5" customHeight="1" x14ac:dyDescent="0.25">
      <c r="A6" s="156" t="s">
        <v>4</v>
      </c>
      <c r="B6" s="156"/>
      <c r="C6" s="156"/>
      <c r="D6" s="156"/>
      <c r="E6" s="156" t="s">
        <v>221</v>
      </c>
      <c r="F6" s="156"/>
      <c r="G6" s="156"/>
      <c r="H6" s="156"/>
    </row>
    <row r="7" spans="1:9" ht="15" customHeight="1" x14ac:dyDescent="0.25">
      <c r="A7" s="156" t="s">
        <v>5</v>
      </c>
      <c r="B7" s="156"/>
      <c r="C7" s="156"/>
      <c r="D7" s="156"/>
      <c r="E7" s="156" t="str">
        <f>E6</f>
        <v>Wmi Real Estate Developers LLP</v>
      </c>
      <c r="F7" s="156"/>
      <c r="G7" s="156"/>
      <c r="H7" s="156"/>
    </row>
    <row r="8" spans="1:9" x14ac:dyDescent="0.25">
      <c r="A8" s="156" t="s">
        <v>6</v>
      </c>
      <c r="B8" s="156"/>
      <c r="C8" s="156"/>
      <c r="D8" s="156"/>
      <c r="E8" s="108" t="s">
        <v>270</v>
      </c>
      <c r="F8" s="108"/>
      <c r="G8" s="108"/>
      <c r="H8" s="108"/>
    </row>
    <row r="9" spans="1:9" x14ac:dyDescent="0.25">
      <c r="A9" s="156" t="s">
        <v>165</v>
      </c>
      <c r="B9" s="156"/>
      <c r="C9" s="156"/>
      <c r="D9" s="156"/>
      <c r="E9" s="156" t="s">
        <v>231</v>
      </c>
      <c r="F9" s="156"/>
      <c r="G9" s="156"/>
      <c r="H9" s="156"/>
    </row>
    <row r="10" spans="1:9" x14ac:dyDescent="0.25">
      <c r="A10" s="156" t="s">
        <v>166</v>
      </c>
      <c r="B10" s="156"/>
      <c r="C10" s="156"/>
      <c r="D10" s="156"/>
      <c r="E10" s="143" t="s">
        <v>273</v>
      </c>
      <c r="F10" s="156"/>
      <c r="G10" s="156"/>
      <c r="H10" s="156"/>
    </row>
    <row r="11" spans="1:9" ht="62.25" customHeight="1" x14ac:dyDescent="0.25">
      <c r="A11" s="156" t="s">
        <v>7</v>
      </c>
      <c r="B11" s="156"/>
      <c r="C11" s="156"/>
      <c r="D11" s="156"/>
      <c r="E11" s="143" t="s">
        <v>252</v>
      </c>
      <c r="F11" s="156"/>
      <c r="G11" s="156"/>
      <c r="H11" s="156"/>
      <c r="I11" s="19" t="s">
        <v>232</v>
      </c>
    </row>
    <row r="12" spans="1:9" x14ac:dyDescent="0.25">
      <c r="A12" s="149" t="s">
        <v>8</v>
      </c>
      <c r="B12" s="149"/>
      <c r="C12" s="149"/>
      <c r="D12" s="149"/>
      <c r="E12" s="143" t="s">
        <v>169</v>
      </c>
      <c r="F12" s="143"/>
      <c r="G12" s="143"/>
      <c r="H12" s="143"/>
    </row>
    <row r="13" spans="1:9" ht="63.75" customHeight="1" x14ac:dyDescent="0.25">
      <c r="A13" s="149" t="s">
        <v>9</v>
      </c>
      <c r="B13" s="149"/>
      <c r="C13" s="149"/>
      <c r="D13" s="149"/>
      <c r="E13" s="143" t="s">
        <v>254</v>
      </c>
      <c r="F13" s="156"/>
      <c r="G13" s="156"/>
      <c r="H13" s="156"/>
    </row>
    <row r="14" spans="1:9" ht="31.5" customHeight="1" x14ac:dyDescent="0.25">
      <c r="A14" s="143" t="s">
        <v>10</v>
      </c>
      <c r="B14" s="143"/>
      <c r="C14" s="143" t="str">
        <f>CONCATENATE((IF(OR(E8="",E8="NA"),"",E8)),", ",(IF(OR(A15="",A15="NA"),"",A15)),".",(IF(OR(C15="",C15="NA"),"",C15)),", near ",(IF(OR(C20="",C20="NA"),"",C20)),", ",(IF(OR(C17="",C17="NA"),"",C17)),", ",(IF(OR(C16="",C16="NA"),"",C16)),", ",(IF(OR(G17="",G17="NA"),"",G17)),", ",(IF(OR(C18="",C18="NA"),"",C18)),", ",(IF(OR(C19="",C19="NA"),"",C19)),", ",(IF(OR(G18="",G18="NA"),"",G18))," - ",(IF(OR(G19="",G19="NA"),"",G19)),".")</f>
        <v>Ashford Regal Wing A, B, C &amp; F, CTS No.358/11 to 25, near Skyline Sparkle, LBS Road, S Ward, Bhandup, Bhandup West, Kurla, Mumbai - 400078.</v>
      </c>
      <c r="D14" s="143"/>
      <c r="E14" s="143"/>
      <c r="F14" s="143"/>
      <c r="G14" s="143"/>
      <c r="H14" s="143"/>
    </row>
    <row r="15" spans="1:9" x14ac:dyDescent="0.25">
      <c r="A15" s="143" t="s">
        <v>174</v>
      </c>
      <c r="B15" s="143"/>
      <c r="C15" s="143" t="s">
        <v>182</v>
      </c>
      <c r="D15" s="143"/>
      <c r="E15" s="143"/>
      <c r="F15" s="143"/>
      <c r="G15" s="143"/>
      <c r="H15" s="143"/>
    </row>
    <row r="16" spans="1:9" ht="15.75" customHeight="1" x14ac:dyDescent="0.25">
      <c r="A16" s="143" t="s">
        <v>164</v>
      </c>
      <c r="B16" s="143"/>
      <c r="C16" s="143" t="s">
        <v>178</v>
      </c>
      <c r="D16" s="143"/>
      <c r="E16" s="143"/>
      <c r="F16" s="143"/>
      <c r="G16" s="143"/>
      <c r="H16" s="143"/>
    </row>
    <row r="17" spans="1:8" ht="15.75" customHeight="1" x14ac:dyDescent="0.25">
      <c r="A17" s="143" t="s">
        <v>11</v>
      </c>
      <c r="B17" s="143"/>
      <c r="C17" s="156" t="s">
        <v>176</v>
      </c>
      <c r="D17" s="156"/>
      <c r="E17" s="143" t="s">
        <v>71</v>
      </c>
      <c r="F17" s="143"/>
      <c r="G17" s="143" t="s">
        <v>175</v>
      </c>
      <c r="H17" s="143"/>
    </row>
    <row r="18" spans="1:8" x14ac:dyDescent="0.25">
      <c r="A18" s="156" t="s">
        <v>13</v>
      </c>
      <c r="B18" s="156"/>
      <c r="C18" s="143" t="s">
        <v>177</v>
      </c>
      <c r="D18" s="143"/>
      <c r="E18" s="143" t="s">
        <v>12</v>
      </c>
      <c r="F18" s="143"/>
      <c r="G18" s="191" t="s">
        <v>179</v>
      </c>
      <c r="H18" s="191"/>
    </row>
    <row r="19" spans="1:8" x14ac:dyDescent="0.25">
      <c r="A19" s="156" t="s">
        <v>72</v>
      </c>
      <c r="B19" s="156"/>
      <c r="C19" s="143" t="s">
        <v>180</v>
      </c>
      <c r="D19" s="143"/>
      <c r="E19" s="143" t="s">
        <v>14</v>
      </c>
      <c r="F19" s="143"/>
      <c r="G19" s="143">
        <v>400078</v>
      </c>
      <c r="H19" s="143"/>
    </row>
    <row r="20" spans="1:8" ht="32.25" customHeight="1" x14ac:dyDescent="0.25">
      <c r="A20" s="156" t="s">
        <v>122</v>
      </c>
      <c r="B20" s="156"/>
      <c r="C20" s="143" t="s">
        <v>172</v>
      </c>
      <c r="D20" s="143"/>
      <c r="E20" s="143" t="s">
        <v>15</v>
      </c>
      <c r="F20" s="143"/>
      <c r="G20" s="143" t="s">
        <v>181</v>
      </c>
      <c r="H20" s="143"/>
    </row>
    <row r="21" spans="1:8" ht="15" customHeight="1" x14ac:dyDescent="0.25">
      <c r="A21" s="178" t="s">
        <v>75</v>
      </c>
      <c r="B21" s="178"/>
      <c r="C21" s="178"/>
      <c r="D21" s="178"/>
      <c r="E21" s="156" t="s">
        <v>16</v>
      </c>
      <c r="F21" s="156"/>
      <c r="G21" s="156"/>
      <c r="H21" s="156"/>
    </row>
    <row r="22" spans="1:8" ht="18.75" customHeight="1" x14ac:dyDescent="0.25">
      <c r="A22" s="178"/>
      <c r="B22" s="178"/>
      <c r="C22" s="178"/>
      <c r="D22" s="178"/>
      <c r="E22" s="156"/>
      <c r="F22" s="156"/>
      <c r="G22" s="156"/>
      <c r="H22" s="156"/>
    </row>
    <row r="23" spans="1:8" ht="15" customHeight="1" x14ac:dyDescent="0.25">
      <c r="A23" s="178" t="s">
        <v>17</v>
      </c>
      <c r="B23" s="178"/>
      <c r="C23" s="178"/>
      <c r="D23" s="178"/>
      <c r="E23" s="143" t="s">
        <v>18</v>
      </c>
      <c r="F23" s="143"/>
      <c r="G23" s="143"/>
      <c r="H23" s="143"/>
    </row>
    <row r="24" spans="1:8" ht="15" customHeight="1" x14ac:dyDescent="0.25">
      <c r="A24" s="149" t="s">
        <v>19</v>
      </c>
      <c r="B24" s="149"/>
      <c r="C24" s="149"/>
      <c r="D24" s="149"/>
      <c r="E24" s="143" t="str">
        <f>IF(AND(G18="Mumbai"),"Upper Class","Middle Class")</f>
        <v>Upper Class</v>
      </c>
      <c r="F24" s="143"/>
      <c r="G24" s="143"/>
      <c r="H24" s="143"/>
    </row>
    <row r="25" spans="1:8" x14ac:dyDescent="0.25">
      <c r="A25" s="149" t="s">
        <v>20</v>
      </c>
      <c r="B25" s="149"/>
      <c r="C25" s="149"/>
      <c r="D25" s="149"/>
      <c r="E25" s="143" t="s">
        <v>21</v>
      </c>
      <c r="F25" s="143"/>
      <c r="G25" s="143"/>
      <c r="H25" s="143"/>
    </row>
    <row r="26" spans="1:8" ht="15.75" customHeight="1" x14ac:dyDescent="0.25">
      <c r="A26" s="149" t="s">
        <v>22</v>
      </c>
      <c r="B26" s="149"/>
      <c r="C26" s="149"/>
      <c r="D26" s="149"/>
      <c r="E26" s="143" t="str">
        <f>IF(AND(G18="Mumbai"),"Developed","Developing")</f>
        <v>Developed</v>
      </c>
      <c r="F26" s="143"/>
      <c r="G26" s="143"/>
      <c r="H26" s="143"/>
    </row>
    <row r="27" spans="1:8" x14ac:dyDescent="0.25">
      <c r="A27" s="149" t="s">
        <v>23</v>
      </c>
      <c r="B27" s="149"/>
      <c r="C27" s="149"/>
      <c r="D27" s="149"/>
      <c r="E27" s="143" t="s">
        <v>24</v>
      </c>
      <c r="F27" s="143"/>
      <c r="G27" s="143"/>
      <c r="H27" s="143"/>
    </row>
    <row r="28" spans="1:8" ht="15.75" customHeight="1" x14ac:dyDescent="0.25">
      <c r="A28" s="149" t="s">
        <v>80</v>
      </c>
      <c r="B28" s="149"/>
      <c r="C28" s="149"/>
      <c r="D28" s="149"/>
      <c r="E28" s="143" t="s">
        <v>81</v>
      </c>
      <c r="F28" s="143"/>
      <c r="G28" s="143"/>
      <c r="H28" s="143"/>
    </row>
    <row r="29" spans="1:8" ht="15" customHeight="1" x14ac:dyDescent="0.25">
      <c r="A29" s="149" t="s">
        <v>32</v>
      </c>
      <c r="B29" s="149"/>
      <c r="C29" s="149"/>
      <c r="D29" s="149"/>
      <c r="E29" s="143" t="str">
        <f>IF(AND(ISNUMBER(SEARCH("Flat",D66)),ISNUMBER(SEARCH("Shop",D66)),ISNUMBER(SEARCH("Office",D66))),"Residential + Commercial",IF(AND(ISNUMBER(SEARCH("Flat",D66)),ISNUMBER(SEARCH("Shop",D66))),"Residential + Commercial",IF(AND(ISNUMBER(SEARCH("Flat",D66)),ISNUMBER(SEARCH("Office",D66))),"Residential + Commercial",IF(AND(ISNUMBER(SEARCH("Shop",D66)),ISNUMBER(SEARCH("Office",D66))),"Commercial",IF(ISNUMBER(SEARCH("Shop",D66)),"Commercial",IF(ISNUMBER(SEARCH("Office",D66)),"Commercial",IF(ISNUMBER(SEARCH("Flat",D66)),"Residential")))))))</f>
        <v>Residential + Commercial</v>
      </c>
      <c r="F29" s="143"/>
      <c r="G29" s="143"/>
      <c r="H29" s="143"/>
    </row>
    <row r="30" spans="1:8" ht="15.75" customHeight="1" x14ac:dyDescent="0.25">
      <c r="A30" s="149" t="s">
        <v>92</v>
      </c>
      <c r="B30" s="149"/>
      <c r="C30" s="149"/>
      <c r="D30" s="149"/>
      <c r="E30" s="143" t="s">
        <v>33</v>
      </c>
      <c r="F30" s="143"/>
      <c r="G30" s="143"/>
      <c r="H30" s="143"/>
    </row>
    <row r="31" spans="1:8" s="20" customFormat="1" x14ac:dyDescent="0.25">
      <c r="A31" s="190" t="s">
        <v>93</v>
      </c>
      <c r="B31" s="190"/>
      <c r="C31" s="189" t="s">
        <v>216</v>
      </c>
      <c r="D31" s="189"/>
      <c r="E31" s="189"/>
      <c r="F31" s="189" t="s">
        <v>30</v>
      </c>
      <c r="G31" s="189"/>
      <c r="H31" s="189"/>
    </row>
    <row r="32" spans="1:8" s="20" customFormat="1" x14ac:dyDescent="0.25">
      <c r="A32" s="177" t="s">
        <v>25</v>
      </c>
      <c r="B32" s="177" t="s">
        <v>29</v>
      </c>
      <c r="C32" s="168" t="s">
        <v>239</v>
      </c>
      <c r="D32" s="168"/>
      <c r="E32" s="168"/>
      <c r="F32" s="168" t="s">
        <v>235</v>
      </c>
      <c r="G32" s="168"/>
      <c r="H32" s="168"/>
    </row>
    <row r="33" spans="1:12" x14ac:dyDescent="0.25">
      <c r="A33" s="170" t="s">
        <v>26</v>
      </c>
      <c r="B33" s="170" t="s">
        <v>29</v>
      </c>
      <c r="C33" s="170" t="s">
        <v>217</v>
      </c>
      <c r="D33" s="170"/>
      <c r="E33" s="170"/>
      <c r="F33" s="169" t="s">
        <v>240</v>
      </c>
      <c r="G33" s="170"/>
      <c r="H33" s="170"/>
    </row>
    <row r="34" spans="1:12" s="20" customFormat="1" x14ac:dyDescent="0.25">
      <c r="A34" s="177" t="s">
        <v>28</v>
      </c>
      <c r="B34" s="177" t="s">
        <v>29</v>
      </c>
      <c r="C34" s="168" t="s">
        <v>217</v>
      </c>
      <c r="D34" s="168"/>
      <c r="E34" s="168"/>
      <c r="F34" s="168" t="s">
        <v>171</v>
      </c>
      <c r="G34" s="168"/>
      <c r="H34" s="168"/>
    </row>
    <row r="35" spans="1:12" x14ac:dyDescent="0.25">
      <c r="A35" s="177" t="s">
        <v>27</v>
      </c>
      <c r="B35" s="177" t="s">
        <v>29</v>
      </c>
      <c r="C35" s="168" t="s">
        <v>218</v>
      </c>
      <c r="D35" s="168"/>
      <c r="E35" s="168"/>
      <c r="F35" s="168" t="s">
        <v>170</v>
      </c>
      <c r="G35" s="168"/>
      <c r="H35" s="168"/>
    </row>
    <row r="36" spans="1:12" x14ac:dyDescent="0.25">
      <c r="A36" s="149" t="s">
        <v>31</v>
      </c>
      <c r="B36" s="149"/>
      <c r="C36" s="149"/>
      <c r="D36" s="149"/>
      <c r="E36" s="149"/>
      <c r="F36" s="149"/>
      <c r="G36" s="149"/>
      <c r="H36" s="149"/>
    </row>
    <row r="37" spans="1:12" ht="15.75" customHeight="1" x14ac:dyDescent="0.25">
      <c r="A37" s="171" t="s">
        <v>233</v>
      </c>
      <c r="B37" s="171"/>
      <c r="C37" s="223" t="s">
        <v>234</v>
      </c>
      <c r="D37" s="224"/>
      <c r="E37" s="224"/>
      <c r="F37" s="224"/>
      <c r="G37" s="224"/>
      <c r="H37" s="225"/>
    </row>
    <row r="38" spans="1:12" x14ac:dyDescent="0.25">
      <c r="A38" s="171" t="s">
        <v>163</v>
      </c>
      <c r="B38" s="171"/>
      <c r="C38" s="142" t="s">
        <v>173</v>
      </c>
      <c r="D38" s="143"/>
      <c r="E38" s="143"/>
      <c r="F38" s="143"/>
      <c r="G38" s="143"/>
      <c r="H38" s="143"/>
    </row>
    <row r="39" spans="1:12" x14ac:dyDescent="0.25">
      <c r="A39" s="171" t="s">
        <v>34</v>
      </c>
      <c r="B39" s="171"/>
      <c r="C39" s="171"/>
      <c r="D39" s="171"/>
      <c r="E39" s="171"/>
      <c r="F39" s="171"/>
      <c r="G39" s="171"/>
      <c r="H39" s="171"/>
    </row>
    <row r="40" spans="1:12" x14ac:dyDescent="0.25">
      <c r="A40" s="156" t="s">
        <v>35</v>
      </c>
      <c r="B40" s="156"/>
      <c r="C40" s="156"/>
      <c r="D40" s="156"/>
      <c r="E40" s="167">
        <v>20149</v>
      </c>
      <c r="F40" s="167"/>
      <c r="G40" s="167"/>
      <c r="H40" s="167"/>
    </row>
    <row r="41" spans="1:12" x14ac:dyDescent="0.25">
      <c r="A41" s="156" t="s">
        <v>36</v>
      </c>
      <c r="B41" s="156"/>
      <c r="C41" s="156"/>
      <c r="D41" s="156"/>
      <c r="E41" s="154">
        <v>1</v>
      </c>
      <c r="F41" s="154"/>
      <c r="G41" s="154"/>
      <c r="H41" s="154"/>
    </row>
    <row r="42" spans="1:12" x14ac:dyDescent="0.25">
      <c r="A42" s="156" t="s">
        <v>37</v>
      </c>
      <c r="B42" s="156"/>
      <c r="C42" s="156"/>
      <c r="D42" s="156"/>
      <c r="E42" s="154">
        <f>E44/E40-E41</f>
        <v>0.71689810908729945</v>
      </c>
      <c r="F42" s="154"/>
      <c r="G42" s="154"/>
      <c r="H42" s="154"/>
    </row>
    <row r="43" spans="1:12" x14ac:dyDescent="0.25">
      <c r="A43" s="156" t="s">
        <v>38</v>
      </c>
      <c r="B43" s="156"/>
      <c r="C43" s="156"/>
      <c r="D43" s="156"/>
      <c r="E43" s="154">
        <f>E41+E42</f>
        <v>1.7168981090872995</v>
      </c>
      <c r="F43" s="154"/>
      <c r="G43" s="154"/>
      <c r="H43" s="154"/>
    </row>
    <row r="44" spans="1:12" x14ac:dyDescent="0.25">
      <c r="A44" s="156" t="s">
        <v>91</v>
      </c>
      <c r="B44" s="156"/>
      <c r="C44" s="156"/>
      <c r="D44" s="156"/>
      <c r="E44" s="155">
        <v>34593.78</v>
      </c>
      <c r="F44" s="155"/>
      <c r="G44" s="155"/>
      <c r="H44" s="155"/>
      <c r="I44" s="101">
        <v>34593.78</v>
      </c>
      <c r="J44" s="101"/>
      <c r="K44" s="101"/>
      <c r="L44" s="101"/>
    </row>
    <row r="45" spans="1:12" x14ac:dyDescent="0.25">
      <c r="A45" s="156" t="s">
        <v>39</v>
      </c>
      <c r="B45" s="156"/>
      <c r="C45" s="156"/>
      <c r="D45" s="156"/>
      <c r="E45" s="156" t="s">
        <v>244</v>
      </c>
      <c r="F45" s="156"/>
      <c r="G45" s="156"/>
      <c r="H45" s="156"/>
    </row>
    <row r="46" spans="1:12" x14ac:dyDescent="0.25">
      <c r="A46" s="108" t="s">
        <v>40</v>
      </c>
      <c r="B46" s="108"/>
      <c r="C46" s="108"/>
      <c r="D46" s="108"/>
      <c r="E46" s="108"/>
      <c r="F46" s="108"/>
      <c r="G46" s="108"/>
      <c r="H46" s="108"/>
    </row>
    <row r="47" spans="1:12" ht="33.75" customHeight="1" x14ac:dyDescent="0.25">
      <c r="A47" s="144" t="s">
        <v>151</v>
      </c>
      <c r="B47" s="145"/>
      <c r="C47" s="146" t="s">
        <v>220</v>
      </c>
      <c r="D47" s="147"/>
      <c r="E47" s="147"/>
      <c r="F47" s="147"/>
      <c r="G47" s="147"/>
      <c r="H47" s="148"/>
    </row>
    <row r="48" spans="1:12" ht="36.75" customHeight="1" x14ac:dyDescent="0.25">
      <c r="A48" s="162" t="s">
        <v>222</v>
      </c>
      <c r="B48" s="164"/>
      <c r="C48" s="78" t="s">
        <v>219</v>
      </c>
      <c r="D48" s="79"/>
      <c r="E48" s="80"/>
      <c r="F48" s="18" t="s">
        <v>41</v>
      </c>
      <c r="G48" s="81">
        <v>45575</v>
      </c>
      <c r="H48" s="80"/>
    </row>
    <row r="49" spans="1:15" ht="36.75" customHeight="1" x14ac:dyDescent="0.25">
      <c r="A49" s="159" t="s">
        <v>255</v>
      </c>
      <c r="B49" s="161"/>
      <c r="C49" s="78" t="s">
        <v>205</v>
      </c>
      <c r="D49" s="79"/>
      <c r="E49" s="80"/>
      <c r="F49" s="18" t="s">
        <v>41</v>
      </c>
      <c r="G49" s="81">
        <v>45575</v>
      </c>
      <c r="H49" s="80"/>
      <c r="J49" s="78" t="s">
        <v>205</v>
      </c>
      <c r="K49" s="79"/>
      <c r="L49" s="80"/>
      <c r="M49" s="18" t="s">
        <v>41</v>
      </c>
      <c r="N49" s="81">
        <v>45251</v>
      </c>
      <c r="O49" s="80"/>
    </row>
    <row r="50" spans="1:15" s="21" customFormat="1" ht="15.75" customHeight="1" x14ac:dyDescent="0.25">
      <c r="A50" s="159" t="s">
        <v>223</v>
      </c>
      <c r="B50" s="161"/>
      <c r="C50" s="159" t="s">
        <v>236</v>
      </c>
      <c r="D50" s="160"/>
      <c r="E50" s="161"/>
      <c r="F50" s="18" t="s">
        <v>41</v>
      </c>
      <c r="G50" s="81">
        <v>45352</v>
      </c>
      <c r="H50" s="80"/>
    </row>
    <row r="51" spans="1:15" s="21" customFormat="1" ht="31.5" x14ac:dyDescent="0.25">
      <c r="A51" s="165"/>
      <c r="B51" s="166"/>
      <c r="C51" s="162"/>
      <c r="D51" s="163"/>
      <c r="E51" s="164"/>
      <c r="F51" s="18" t="s">
        <v>121</v>
      </c>
      <c r="G51" s="81" t="s">
        <v>237</v>
      </c>
      <c r="H51" s="80"/>
    </row>
    <row r="52" spans="1:15" s="21" customFormat="1" ht="99.75" customHeight="1" x14ac:dyDescent="0.25">
      <c r="A52" s="165"/>
      <c r="B52" s="166"/>
      <c r="C52" s="78" t="s">
        <v>241</v>
      </c>
      <c r="D52" s="79"/>
      <c r="E52" s="79"/>
      <c r="F52" s="79"/>
      <c r="G52" s="79"/>
      <c r="H52" s="80"/>
    </row>
    <row r="53" spans="1:15" x14ac:dyDescent="0.25">
      <c r="A53" s="165"/>
      <c r="B53" s="166"/>
      <c r="C53" s="159" t="s">
        <v>226</v>
      </c>
      <c r="D53" s="160"/>
      <c r="E53" s="161"/>
      <c r="F53" s="18" t="s">
        <v>41</v>
      </c>
      <c r="G53" s="81">
        <v>45642</v>
      </c>
      <c r="H53" s="80"/>
    </row>
    <row r="54" spans="1:15" ht="31.5" x14ac:dyDescent="0.25">
      <c r="A54" s="165"/>
      <c r="B54" s="166"/>
      <c r="C54" s="162"/>
      <c r="D54" s="163"/>
      <c r="E54" s="164"/>
      <c r="F54" s="18" t="s">
        <v>121</v>
      </c>
      <c r="G54" s="81">
        <v>45927</v>
      </c>
      <c r="H54" s="80"/>
    </row>
    <row r="55" spans="1:15" ht="96" customHeight="1" x14ac:dyDescent="0.25">
      <c r="A55" s="162"/>
      <c r="B55" s="164"/>
      <c r="C55" s="78" t="s">
        <v>215</v>
      </c>
      <c r="D55" s="79"/>
      <c r="E55" s="79"/>
      <c r="F55" s="79"/>
      <c r="G55" s="79"/>
      <c r="H55" s="80"/>
    </row>
    <row r="56" spans="1:15" x14ac:dyDescent="0.25">
      <c r="A56" s="159" t="s">
        <v>223</v>
      </c>
      <c r="B56" s="161"/>
      <c r="C56" s="159" t="s">
        <v>275</v>
      </c>
      <c r="D56" s="160"/>
      <c r="E56" s="161"/>
      <c r="F56" s="18" t="s">
        <v>41</v>
      </c>
      <c r="G56" s="81">
        <v>45744</v>
      </c>
      <c r="H56" s="80"/>
    </row>
    <row r="57" spans="1:15" ht="31.5" x14ac:dyDescent="0.25">
      <c r="A57" s="165"/>
      <c r="B57" s="166"/>
      <c r="C57" s="162"/>
      <c r="D57" s="163"/>
      <c r="E57" s="164"/>
      <c r="F57" s="18" t="s">
        <v>121</v>
      </c>
      <c r="G57" s="81">
        <v>46108</v>
      </c>
      <c r="H57" s="80"/>
    </row>
    <row r="58" spans="1:15" ht="95.25" customHeight="1" x14ac:dyDescent="0.25">
      <c r="A58" s="162"/>
      <c r="B58" s="164"/>
      <c r="C58" s="78" t="s">
        <v>276</v>
      </c>
      <c r="D58" s="79"/>
      <c r="E58" s="79"/>
      <c r="F58" s="79"/>
      <c r="G58" s="79"/>
      <c r="H58" s="80"/>
    </row>
    <row r="59" spans="1:15" x14ac:dyDescent="0.25">
      <c r="A59" s="159" t="s">
        <v>223</v>
      </c>
      <c r="B59" s="161"/>
      <c r="C59" s="159" t="s">
        <v>277</v>
      </c>
      <c r="D59" s="160"/>
      <c r="E59" s="161"/>
      <c r="F59" s="18" t="s">
        <v>41</v>
      </c>
      <c r="G59" s="81">
        <v>45786</v>
      </c>
      <c r="H59" s="80"/>
    </row>
    <row r="60" spans="1:15" ht="31.5" x14ac:dyDescent="0.25">
      <c r="A60" s="165"/>
      <c r="B60" s="166"/>
      <c r="C60" s="162"/>
      <c r="D60" s="163"/>
      <c r="E60" s="164"/>
      <c r="F60" s="18" t="s">
        <v>121</v>
      </c>
      <c r="G60" s="81">
        <v>45927</v>
      </c>
      <c r="H60" s="80"/>
    </row>
    <row r="61" spans="1:15" ht="96" customHeight="1" x14ac:dyDescent="0.25">
      <c r="A61" s="162"/>
      <c r="B61" s="164"/>
      <c r="C61" s="78" t="s">
        <v>279</v>
      </c>
      <c r="D61" s="79"/>
      <c r="E61" s="79"/>
      <c r="F61" s="79"/>
      <c r="G61" s="79"/>
      <c r="H61" s="80"/>
    </row>
    <row r="62" spans="1:15" ht="81.75" customHeight="1" x14ac:dyDescent="0.25">
      <c r="A62" s="78" t="s">
        <v>202</v>
      </c>
      <c r="B62" s="80"/>
      <c r="C62" s="78" t="s">
        <v>206</v>
      </c>
      <c r="D62" s="79"/>
      <c r="E62" s="80"/>
      <c r="F62" s="18" t="s">
        <v>41</v>
      </c>
      <c r="G62" s="81">
        <v>45121</v>
      </c>
      <c r="H62" s="80"/>
    </row>
    <row r="63" spans="1:15" x14ac:dyDescent="0.25">
      <c r="A63" s="217" t="s">
        <v>42</v>
      </c>
      <c r="B63" s="218"/>
      <c r="C63" s="217" t="s">
        <v>103</v>
      </c>
      <c r="D63" s="219"/>
      <c r="E63" s="218"/>
      <c r="F63" s="42" t="s">
        <v>41</v>
      </c>
      <c r="G63" s="221" t="s">
        <v>29</v>
      </c>
      <c r="H63" s="222"/>
      <c r="I63" s="22"/>
    </row>
    <row r="64" spans="1:15" x14ac:dyDescent="0.25">
      <c r="A64" s="220" t="s">
        <v>44</v>
      </c>
      <c r="B64" s="220"/>
      <c r="C64" s="220"/>
      <c r="D64" s="220"/>
      <c r="E64" s="220"/>
      <c r="F64" s="220"/>
      <c r="G64" s="220"/>
      <c r="H64" s="220"/>
    </row>
    <row r="65" spans="1:14" ht="15.75" customHeight="1" x14ac:dyDescent="0.25">
      <c r="A65" s="178" t="s">
        <v>90</v>
      </c>
      <c r="B65" s="178"/>
      <c r="C65" s="178"/>
      <c r="D65" s="149">
        <f>E44</f>
        <v>34593.78</v>
      </c>
      <c r="E65" s="149"/>
      <c r="F65" s="149"/>
      <c r="G65" s="149"/>
      <c r="H65" s="149"/>
    </row>
    <row r="66" spans="1:14" ht="15.75" customHeight="1" x14ac:dyDescent="0.25">
      <c r="A66" s="143" t="s">
        <v>45</v>
      </c>
      <c r="B66" s="156"/>
      <c r="C66" s="156"/>
      <c r="D66" s="156" t="s">
        <v>269</v>
      </c>
      <c r="E66" s="156"/>
      <c r="F66" s="156"/>
      <c r="G66" s="156"/>
      <c r="H66" s="156"/>
      <c r="J66" s="23"/>
      <c r="K66" s="22"/>
      <c r="N66" s="22"/>
    </row>
    <row r="67" spans="1:14" ht="65.25" customHeight="1" x14ac:dyDescent="0.25">
      <c r="A67" s="174" t="s">
        <v>46</v>
      </c>
      <c r="B67" s="175"/>
      <c r="C67" s="176"/>
      <c r="D67" s="172" t="s">
        <v>271</v>
      </c>
      <c r="E67" s="173"/>
      <c r="F67" s="173"/>
      <c r="G67" s="173"/>
      <c r="H67" s="173"/>
      <c r="N67" s="22"/>
    </row>
    <row r="68" spans="1:14" ht="15.75" customHeight="1" x14ac:dyDescent="0.25">
      <c r="A68" s="174" t="s">
        <v>88</v>
      </c>
      <c r="B68" s="175"/>
      <c r="C68" s="176"/>
      <c r="D68" s="144" t="s">
        <v>224</v>
      </c>
      <c r="E68" s="157"/>
      <c r="F68" s="157"/>
      <c r="G68" s="157"/>
      <c r="H68" s="158"/>
      <c r="J68" s="24"/>
      <c r="K68" s="24"/>
    </row>
    <row r="69" spans="1:14" ht="15" customHeight="1" x14ac:dyDescent="0.25">
      <c r="A69" s="180"/>
      <c r="B69" s="181"/>
      <c r="C69" s="182"/>
      <c r="D69" s="144" t="s">
        <v>225</v>
      </c>
      <c r="E69" s="157"/>
      <c r="F69" s="157"/>
      <c r="G69" s="157"/>
      <c r="H69" s="158"/>
    </row>
    <row r="70" spans="1:14" ht="15" customHeight="1" x14ac:dyDescent="0.25">
      <c r="A70" s="180"/>
      <c r="B70" s="181"/>
      <c r="C70" s="182"/>
      <c r="D70" s="144" t="s">
        <v>227</v>
      </c>
      <c r="E70" s="157"/>
      <c r="F70" s="157"/>
      <c r="G70" s="157"/>
      <c r="H70" s="158"/>
    </row>
    <row r="71" spans="1:14" ht="15" customHeight="1" x14ac:dyDescent="0.25">
      <c r="A71" s="183"/>
      <c r="B71" s="184"/>
      <c r="C71" s="185"/>
      <c r="D71" s="144" t="s">
        <v>242</v>
      </c>
      <c r="E71" s="157"/>
      <c r="F71" s="157"/>
      <c r="G71" s="157"/>
      <c r="H71" s="158"/>
    </row>
    <row r="72" spans="1:14" ht="64.5" customHeight="1" x14ac:dyDescent="0.25">
      <c r="A72" s="226" t="s">
        <v>43</v>
      </c>
      <c r="B72" s="157"/>
      <c r="C72" s="158"/>
      <c r="D72" s="186" t="s">
        <v>243</v>
      </c>
      <c r="E72" s="186"/>
      <c r="F72" s="186"/>
      <c r="G72" s="186"/>
      <c r="H72" s="186"/>
    </row>
    <row r="73" spans="1:14" x14ac:dyDescent="0.25">
      <c r="A73" s="149" t="s">
        <v>86</v>
      </c>
      <c r="B73" s="149"/>
      <c r="C73" s="149"/>
      <c r="D73" s="187" t="str">
        <f>(IF(G63="NA","60 Years After Completion",IF(G63&lt;&gt;"NA",""&amp;60-ROUNDDOWN((E3-G63)/360,0)&amp;" Years"," ")))</f>
        <v>60 Years After Completion</v>
      </c>
      <c r="E73" s="187"/>
      <c r="F73" s="187"/>
      <c r="G73" s="187"/>
      <c r="H73" s="187"/>
      <c r="I73" s="25"/>
      <c r="J73" s="25"/>
      <c r="K73" s="25"/>
      <c r="L73" s="25"/>
      <c r="M73" s="25"/>
      <c r="N73" s="25"/>
    </row>
    <row r="74" spans="1:14" ht="15.75" customHeight="1" x14ac:dyDescent="0.25">
      <c r="A74" s="149" t="s">
        <v>87</v>
      </c>
      <c r="B74" s="149"/>
      <c r="C74" s="149"/>
      <c r="D74" s="178" t="s">
        <v>24</v>
      </c>
      <c r="E74" s="178"/>
      <c r="F74" s="178"/>
      <c r="G74" s="178"/>
      <c r="H74" s="178"/>
      <c r="J74" s="24"/>
    </row>
    <row r="75" spans="1:14" ht="63" customHeight="1" x14ac:dyDescent="0.25">
      <c r="A75" s="149" t="s">
        <v>73</v>
      </c>
      <c r="B75" s="149"/>
      <c r="C75" s="149"/>
      <c r="D75" s="143" t="s">
        <v>258</v>
      </c>
      <c r="E75" s="178"/>
      <c r="F75" s="178"/>
      <c r="G75" s="178"/>
      <c r="H75" s="178"/>
    </row>
    <row r="76" spans="1:14" ht="15.75" customHeight="1" x14ac:dyDescent="0.25">
      <c r="A76" s="178" t="s">
        <v>148</v>
      </c>
      <c r="B76" s="178"/>
      <c r="C76" s="178"/>
      <c r="D76" s="178" t="s">
        <v>29</v>
      </c>
      <c r="E76" s="178"/>
      <c r="F76" s="178"/>
      <c r="G76" s="178"/>
      <c r="H76" s="178"/>
    </row>
    <row r="77" spans="1:14" x14ac:dyDescent="0.25">
      <c r="A77" s="179" t="s">
        <v>85</v>
      </c>
      <c r="B77" s="179"/>
      <c r="C77" s="179"/>
      <c r="D77" s="172" t="str">
        <f ca="1">(IF(G83&gt;95%,"Nothing",IF(G83&gt;0%,"Cement, Aggregate, Steel, etc",IF(G83=0%,"Work not yet Started"))))</f>
        <v>Cement, Aggregate, Steel, etc</v>
      </c>
      <c r="E77" s="172"/>
      <c r="F77" s="172"/>
      <c r="G77" s="172"/>
      <c r="H77" s="172"/>
    </row>
    <row r="78" spans="1:14" ht="30.95" customHeight="1" thickBot="1" x14ac:dyDescent="0.3">
      <c r="A78" s="188" t="s">
        <v>116</v>
      </c>
      <c r="B78" s="188"/>
      <c r="C78" s="188"/>
      <c r="D78" s="172" t="str">
        <f ca="1">(IF(D77="Nothing","Yes",IF(D77="Cement, Aggregate, Steel, etc","Under Construction",IF(D77="Work not yet Started","Work not yet Started"))))</f>
        <v>Under Construction</v>
      </c>
      <c r="E78" s="172"/>
      <c r="F78" s="172" t="str">
        <f ca="1">(IF(D77="Nothing","Yes",IF(D77="Cement, Aggregate, Steel, etc","Under Construction",IF(D77="Work not yet Started","Work not yet Started"))))</f>
        <v>Under Construction</v>
      </c>
      <c r="G78" s="172"/>
      <c r="H78" s="172"/>
    </row>
    <row r="79" spans="1:14" ht="15.75" customHeight="1" x14ac:dyDescent="0.25">
      <c r="A79" s="102" t="s">
        <v>140</v>
      </c>
      <c r="B79" s="103"/>
      <c r="C79" s="104" t="str">
        <f>D68</f>
        <v xml:space="preserve">A Wing = Gr + P1 to P4 + P5 + 6th to 39th Floor
</v>
      </c>
      <c r="D79" s="105"/>
      <c r="E79" s="105"/>
      <c r="F79" s="105"/>
      <c r="G79" s="105"/>
      <c r="H79" s="106"/>
      <c r="I79" s="44" t="str">
        <f ca="1">IF(D92=100%,"All work Completed. Possession granted to the Building.",IF(D91=100%,"All work Completed, Waiting for OC",I80&amp;""&amp;I81&amp;""&amp;J80&amp;""&amp;J79&amp;" "&amp;J81))</f>
        <v>Excavation, Plinth, RCC Slab, Brickwork Completed, Internal Plaster upto 37 Floor, External Plaster upto 34 Floor, Flooring upto 12 Floor Completed</v>
      </c>
      <c r="J79" s="45" t="str">
        <f ca="1">(IF(C85=(D80+F80+H80),"",IF(C85&gt;0,", RCC upto "&amp;C85&amp;" Slab","")))&amp;(IF(C86=H80,"",IF(C86&gt;0,", Brickwork upto "&amp;C86&amp;" Floor","")))&amp;(IF(C87=H80,"",IF(C87&gt;0,", Internal Plaster upto "&amp;C87&amp;" Floor","")))&amp;(IF(C88=H80,"",IF(C88&gt;0,", External Plaster upto "&amp;C88&amp;" Floor","")))&amp;(IF(C89=H80,"",IF(C89&gt;0,", Flooring upto "&amp;C89&amp;" Floor","")))&amp;(IF(C90=H80,"",IF(C90&gt;0,", Painting upto "&amp;C90&amp;" Floor","")))&amp;(IF(C91=H80,"",IF(C91&gt;0,", Finishing upto "&amp;C91&amp;" Floor","")))&amp;(IF(C92=H80,"",IF(C92&gt;0,", Possession upto "&amp;C92&amp;" Floor","")))</f>
        <v>, Internal Plaster upto 37 Floor, External Plaster upto 34 Floor, Flooring upto 12 Floor</v>
      </c>
    </row>
    <row r="80" spans="1:14" x14ac:dyDescent="0.25">
      <c r="A80" s="16" t="s">
        <v>142</v>
      </c>
      <c r="B80" s="51">
        <v>0</v>
      </c>
      <c r="C80" s="51" t="s">
        <v>70</v>
      </c>
      <c r="D80" s="51">
        <v>1</v>
      </c>
      <c r="E80" s="51" t="s">
        <v>69</v>
      </c>
      <c r="F80" s="51">
        <v>0</v>
      </c>
      <c r="G80" s="51" t="s">
        <v>79</v>
      </c>
      <c r="H80" s="17">
        <f ca="1">--TRIM(RIGHT(SUBSTITUTE(LEFT(C79,_xlfn.AGGREGATE(16,6,FIND({0,1,2,3,4,5,6,7,8,9},C79,ROW(INDIRECT("1:"&amp;LEN(C79)))),1))," ",REPT(" ",LEN(C79))),LEN(C79)))</f>
        <v>39</v>
      </c>
      <c r="I80" s="46" t="str">
        <f ca="1">IF(D83=100%,"Excavation","")&amp;IF(D84=100%,", Plinth","")&amp;IF(D85=100%,", RCC Slab","")&amp;IF(D86=100%,", Brickwork","")&amp;IF(D87=100%,", Internal Plaster","")&amp;IF(D88=100%,", External Plaster","")&amp;IF(D89=100%,", Flooring","")&amp;IF(D90=100%,", Painting","")&amp;IF(D91=100%,", Building common Amenities","")</f>
        <v>Excavation, Plinth, RCC Slab, Brickwork</v>
      </c>
      <c r="J80" s="47" t="str">
        <f ca="1">(IF(C83=0,"Work not yet Started.",IF(D83=25%,"Piling work in process",IF(D83=50%,"Excavation work in process",IF(D83=100%,"","0")))))&amp;(IF(C84=0%,"",IF(C84=J85,", Footing work is process",IF(C84=J86,", Footing work Completed",IF(C84=J87,", 1st Basement Completed",IF(C84=J88,", 1st &amp; 2nd Basement Completed",IF(C84=J89,", 1st to 3rd Basement Completed",IF(C84=J90,", 1st to 4th Basement Completed",IF(C84=J91,", Plinth work is process",IF(C84=J92,"","0"))))))))))</f>
        <v/>
      </c>
    </row>
    <row r="81" spans="1:10" ht="34.5" customHeight="1" x14ac:dyDescent="0.25">
      <c r="A81" s="107" t="s">
        <v>89</v>
      </c>
      <c r="B81" s="108"/>
      <c r="C81" s="111" t="str">
        <f ca="1">I79</f>
        <v>Excavation, Plinth, RCC Slab, Brickwork Completed, Internal Plaster upto 37 Floor, External Plaster upto 34 Floor, Flooring upto 12 Floor Completed</v>
      </c>
      <c r="D81" s="111"/>
      <c r="E81" s="111"/>
      <c r="F81" s="111"/>
      <c r="G81" s="111"/>
      <c r="H81" s="112"/>
      <c r="I81" s="46" t="str">
        <f ca="1">IF(I80&lt;&gt;""," Completed","")</f>
        <v xml:space="preserve"> Completed</v>
      </c>
      <c r="J81" s="47" t="str">
        <f ca="1">IF(J79&lt;&gt;"","Completed","")</f>
        <v>Completed</v>
      </c>
    </row>
    <row r="82" spans="1:10" ht="15.75" customHeight="1" x14ac:dyDescent="0.25">
      <c r="A82" s="109" t="s">
        <v>47</v>
      </c>
      <c r="B82" s="110"/>
      <c r="C82" s="50" t="s">
        <v>139</v>
      </c>
      <c r="D82" s="50" t="s">
        <v>82</v>
      </c>
      <c r="E82" s="110" t="s">
        <v>84</v>
      </c>
      <c r="F82" s="110"/>
      <c r="G82" s="110" t="s">
        <v>83</v>
      </c>
      <c r="H82" s="113"/>
      <c r="I82" s="14" t="s">
        <v>141</v>
      </c>
      <c r="J82" s="26">
        <f ca="1">H80*25%</f>
        <v>9.75</v>
      </c>
    </row>
    <row r="83" spans="1:10" ht="15.75" customHeight="1" x14ac:dyDescent="0.25">
      <c r="A83" s="109" t="s">
        <v>128</v>
      </c>
      <c r="B83" s="110"/>
      <c r="C83" s="50">
        <v>39</v>
      </c>
      <c r="D83" s="48">
        <f ca="1">((100/H80)*C83)/100</f>
        <v>1.0000000000000002</v>
      </c>
      <c r="E83" s="114">
        <f ca="1">(((C84/H80*10)+(40/(D80+F80+H80)*C85)+(7.5/(H80)*C86)+(7.5/(H80)*C87)+(10/H80*C88)+(10/H80*C89)+(5/H80*C90)+(5/H80*C91)+(5/H80*C92))/100)</f>
        <v>0.76410256410256405</v>
      </c>
      <c r="F83" s="115"/>
      <c r="G83" s="114">
        <f ca="1">((((C83/H80)*20)+((C84/H80)*25)+(30/(H80+F80+D80)*C85)+(5/H80*C86)+(5/H80*C87)+(5/H80*C88)+(5/H80*C89)+(0/H80*C90)+(0/H80*C91)+(5/H80*C92))/100)</f>
        <v>0.9064102564102563</v>
      </c>
      <c r="H83" s="120"/>
      <c r="I83" s="14" t="s">
        <v>98</v>
      </c>
      <c r="J83" s="27">
        <f ca="1">H80*50%</f>
        <v>19.5</v>
      </c>
    </row>
    <row r="84" spans="1:10" ht="15.75" customHeight="1" x14ac:dyDescent="0.25">
      <c r="A84" s="109" t="s">
        <v>48</v>
      </c>
      <c r="B84" s="110"/>
      <c r="C84" s="50">
        <v>39</v>
      </c>
      <c r="D84" s="48">
        <f ca="1">((100/H80)*C84)/100</f>
        <v>1.0000000000000002</v>
      </c>
      <c r="E84" s="116"/>
      <c r="F84" s="117"/>
      <c r="G84" s="116"/>
      <c r="H84" s="121"/>
      <c r="I84" s="14" t="s">
        <v>99</v>
      </c>
      <c r="J84" s="27">
        <f ca="1">H80</f>
        <v>39</v>
      </c>
    </row>
    <row r="85" spans="1:10" ht="15" customHeight="1" x14ac:dyDescent="0.25">
      <c r="A85" s="109" t="s">
        <v>129</v>
      </c>
      <c r="B85" s="110"/>
      <c r="C85" s="50">
        <v>40</v>
      </c>
      <c r="D85" s="48">
        <f ca="1">((100/(D80+F80+H80))*C85)/100</f>
        <v>1</v>
      </c>
      <c r="E85" s="116"/>
      <c r="F85" s="117"/>
      <c r="G85" s="116"/>
      <c r="H85" s="121"/>
      <c r="I85" s="14" t="s">
        <v>100</v>
      </c>
      <c r="J85" s="28">
        <f ca="1">(IF(B80&gt;1,(H80/(B80+2)),H80/4))</f>
        <v>9.75</v>
      </c>
    </row>
    <row r="86" spans="1:10" ht="15.75" customHeight="1" x14ac:dyDescent="0.25">
      <c r="A86" s="109" t="s">
        <v>136</v>
      </c>
      <c r="B86" s="110" t="s">
        <v>130</v>
      </c>
      <c r="C86" s="50">
        <f>C85-1</f>
        <v>39</v>
      </c>
      <c r="D86" s="48">
        <f ca="1">((100/H80)*C86)/100</f>
        <v>1.0000000000000002</v>
      </c>
      <c r="E86" s="116"/>
      <c r="F86" s="117"/>
      <c r="G86" s="116"/>
      <c r="H86" s="121"/>
      <c r="I86" s="14" t="s">
        <v>101</v>
      </c>
      <c r="J86" s="28">
        <f ca="1">(IF(B80&gt;1,(H80/(B80+2)+J85),H80/4+J85))</f>
        <v>19.5</v>
      </c>
    </row>
    <row r="87" spans="1:10" ht="15.75" customHeight="1" x14ac:dyDescent="0.25">
      <c r="A87" s="109" t="s">
        <v>137</v>
      </c>
      <c r="B87" s="110" t="s">
        <v>130</v>
      </c>
      <c r="C87" s="53">
        <v>37</v>
      </c>
      <c r="D87" s="48">
        <f ca="1">((100/H80)*C87)/100</f>
        <v>0.94871794871794879</v>
      </c>
      <c r="E87" s="116"/>
      <c r="F87" s="117"/>
      <c r="G87" s="116"/>
      <c r="H87" s="121"/>
      <c r="I87" s="14" t="s">
        <v>146</v>
      </c>
      <c r="J87" s="28">
        <f>(IF(B80&gt;1,(H80/(B80+2)+J86),0))</f>
        <v>0</v>
      </c>
    </row>
    <row r="88" spans="1:10" ht="15.75" customHeight="1" x14ac:dyDescent="0.25">
      <c r="A88" s="109" t="s">
        <v>135</v>
      </c>
      <c r="B88" s="110" t="s">
        <v>132</v>
      </c>
      <c r="C88" s="53">
        <v>34</v>
      </c>
      <c r="D88" s="48">
        <f ca="1">((100/(H80))*C88)/100</f>
        <v>0.87179487179487181</v>
      </c>
      <c r="E88" s="116"/>
      <c r="F88" s="117"/>
      <c r="G88" s="116"/>
      <c r="H88" s="121"/>
      <c r="I88" s="14" t="s">
        <v>143</v>
      </c>
      <c r="J88" s="28">
        <f>(IF(B80&gt;2,(H80/(B80+2)+J87),0))</f>
        <v>0</v>
      </c>
    </row>
    <row r="89" spans="1:10" x14ac:dyDescent="0.25">
      <c r="A89" s="109" t="s">
        <v>131</v>
      </c>
      <c r="B89" s="110" t="s">
        <v>131</v>
      </c>
      <c r="C89" s="50">
        <v>12</v>
      </c>
      <c r="D89" s="48">
        <f ca="1">((100/H80)*C89)/100</f>
        <v>0.30769230769230771</v>
      </c>
      <c r="E89" s="116"/>
      <c r="F89" s="117"/>
      <c r="G89" s="116"/>
      <c r="H89" s="121"/>
      <c r="I89" s="14" t="s">
        <v>144</v>
      </c>
      <c r="J89" s="29">
        <f>(IF(B80&gt;3,(H80/(B80+2)+J88),0))</f>
        <v>0</v>
      </c>
    </row>
    <row r="90" spans="1:10" ht="15.75" customHeight="1" x14ac:dyDescent="0.25">
      <c r="A90" s="109" t="s">
        <v>138</v>
      </c>
      <c r="B90" s="110"/>
      <c r="C90" s="50">
        <v>0</v>
      </c>
      <c r="D90" s="48">
        <f ca="1">((100/H80)*C90)/100</f>
        <v>0</v>
      </c>
      <c r="E90" s="116"/>
      <c r="F90" s="117"/>
      <c r="G90" s="116"/>
      <c r="H90" s="121"/>
      <c r="I90" s="14" t="s">
        <v>145</v>
      </c>
      <c r="J90" s="28">
        <f>(IF(B80&gt;4,(H80/(B80+2)+J89),0))</f>
        <v>0</v>
      </c>
    </row>
    <row r="91" spans="1:10" x14ac:dyDescent="0.25">
      <c r="A91" s="109" t="s">
        <v>133</v>
      </c>
      <c r="B91" s="110" t="s">
        <v>133</v>
      </c>
      <c r="C91" s="50">
        <v>0</v>
      </c>
      <c r="D91" s="48">
        <f ca="1">((100/(H80))*C91)/100</f>
        <v>0</v>
      </c>
      <c r="E91" s="116"/>
      <c r="F91" s="117"/>
      <c r="G91" s="116"/>
      <c r="H91" s="121"/>
      <c r="I91" s="14" t="s">
        <v>147</v>
      </c>
      <c r="J91" s="28">
        <f ca="1">(IF(B80=1,(H80/(B80+3)+J86),IF(B80=0,(H80/4+J86),IF(B80&gt;1,0))))</f>
        <v>29.25</v>
      </c>
    </row>
    <row r="92" spans="1:10" ht="16.5" thickBot="1" x14ac:dyDescent="0.3">
      <c r="A92" s="123" t="s">
        <v>134</v>
      </c>
      <c r="B92" s="124"/>
      <c r="C92" s="52">
        <v>0</v>
      </c>
      <c r="D92" s="49">
        <f ca="1">((100/(H80))*C92)/100</f>
        <v>0</v>
      </c>
      <c r="E92" s="118"/>
      <c r="F92" s="119"/>
      <c r="G92" s="118"/>
      <c r="H92" s="122"/>
      <c r="I92" s="15" t="s">
        <v>102</v>
      </c>
      <c r="J92" s="30">
        <f ca="1">(IF(B80&gt;1.5,(H80/(B80+2)+J86+MAX(0,J87-J86)+MAX(0,J88-J87)+MAX(0,J89-J88)+MAX(0,J90-J89)+MAX(0,J91-J90)),IF(B80=1,(H80/(B80+3)+J91),IF(B80=0,H80/4+J91))))</f>
        <v>39</v>
      </c>
    </row>
    <row r="93" spans="1:10" ht="15.75" customHeight="1" x14ac:dyDescent="0.25">
      <c r="A93" s="102" t="s">
        <v>140</v>
      </c>
      <c r="B93" s="103"/>
      <c r="C93" s="104" t="str">
        <f>D69</f>
        <v>B Wing = Gr + P1 to P4 + P5 + 6th to 39th Floor
F Wing = Gr + P1 to P4 + P5 + 6th to 39th Floor</v>
      </c>
      <c r="D93" s="105"/>
      <c r="E93" s="105"/>
      <c r="F93" s="105"/>
      <c r="G93" s="105"/>
      <c r="H93" s="106"/>
      <c r="I93" s="44" t="str">
        <f ca="1">IF(D106=100%,"All work Completed. Possession granted to the Building.",IF(D105=100%,"All work Completed, Waiting for OC",I94&amp;""&amp;I95&amp;""&amp;J94&amp;""&amp;J93&amp;" "&amp;J95))</f>
        <v>Excavation, Plinth Completed, RCC upto 38 Slab, Brickwork upto 37 Floor, Internal Plaster upto 27.75 Floor, External Plaster upto 24.05 Floor Completed</v>
      </c>
      <c r="J93" s="45" t="str">
        <f ca="1">(IF(C99=(D94+F94+H94),"",IF(C99&gt;0,", RCC upto "&amp;C99&amp;" Slab","")))&amp;(IF(C100=H94,"",IF(C100&gt;0,", Brickwork upto "&amp;C100&amp;" Floor","")))&amp;(IF(C101=H94,"",IF(C101&gt;0,", Internal Plaster upto "&amp;C101&amp;" Floor","")))&amp;(IF(C102=H94,"",IF(C102&gt;0,", External Plaster upto "&amp;C102&amp;" Floor","")))&amp;(IF(C103=H94,"",IF(C103&gt;0,", Flooring upto "&amp;C103&amp;" Floor","")))&amp;(IF(C104=H94,"",IF(C104&gt;0,", Painting upto "&amp;C104&amp;" Floor","")))&amp;(IF(C105=H94,"",IF(C105&gt;0,", Finishing upto "&amp;C105&amp;" Floor","")))&amp;(IF(C106=H94,"",IF(C106&gt;0,", Possession upto "&amp;C106&amp;" Floor","")))</f>
        <v>, RCC upto 38 Slab, Brickwork upto 37 Floor, Internal Plaster upto 27.75 Floor, External Plaster upto 24.05 Floor</v>
      </c>
    </row>
    <row r="94" spans="1:10" x14ac:dyDescent="0.25">
      <c r="A94" s="16" t="s">
        <v>142</v>
      </c>
      <c r="B94" s="51">
        <v>0</v>
      </c>
      <c r="C94" s="51" t="s">
        <v>70</v>
      </c>
      <c r="D94" s="51">
        <v>1</v>
      </c>
      <c r="E94" s="51" t="s">
        <v>69</v>
      </c>
      <c r="F94" s="51">
        <v>0</v>
      </c>
      <c r="G94" s="51" t="s">
        <v>79</v>
      </c>
      <c r="H94" s="17">
        <f ca="1">--TRIM(RIGHT(SUBSTITUTE(LEFT(C93,_xlfn.AGGREGATE(16,6,FIND({0,1,2,3,4,5,6,7,8,9},C93,ROW(INDIRECT("1:"&amp;LEN(C93)))),1))," ",REPT(" ",LEN(C93))),LEN(C93)))</f>
        <v>39</v>
      </c>
      <c r="I94" s="46" t="str">
        <f ca="1">IF(D97=100%,"Excavation","")&amp;IF(D98=100%,", Plinth","")&amp;IF(D99=100%,", RCC Slab","")&amp;IF(D100=100%,", Brickwork","")&amp;IF(D101=100%,", Internal Plaster","")&amp;IF(D102=100%,", External Plaster","")&amp;IF(D103=100%,", Flooring","")&amp;IF(D104=100%,", Painting","")&amp;IF(D105=100%,", Building common Amenities","")</f>
        <v>Excavation, Plinth</v>
      </c>
      <c r="J94" s="47" t="str">
        <f ca="1">(IF(C97=0,"Work not yet Started.",IF(D97=25%,"Piling work in process",IF(D97=50%,"Excavation work in process",IF(D97=100%,"","0")))))&amp;(IF(C98=0%,"",IF(C98=J99,", Footing work is process",IF(C98=J100,", Footing work Completed",IF(C98=J101,", 1st Basement Completed",IF(C98=J102,", 1st &amp; 2nd Basement Completed",IF(C98=J103,", 1st to 3rd Basement Completed",IF(C98=J104,", 1st to 4th Basement Completed",IF(C98=J105,", Plinth work is process",IF(C98=J106,"","0"))))))))))</f>
        <v/>
      </c>
    </row>
    <row r="95" spans="1:10" ht="33.75" customHeight="1" x14ac:dyDescent="0.25">
      <c r="A95" s="107" t="s">
        <v>89</v>
      </c>
      <c r="B95" s="108"/>
      <c r="C95" s="111" t="str">
        <f ca="1">I93</f>
        <v>Excavation, Plinth Completed, RCC upto 38 Slab, Brickwork upto 37 Floor, Internal Plaster upto 27.75 Floor, External Plaster upto 24.05 Floor Completed</v>
      </c>
      <c r="D95" s="111"/>
      <c r="E95" s="111"/>
      <c r="F95" s="111"/>
      <c r="G95" s="111"/>
      <c r="H95" s="112"/>
      <c r="I95" s="46" t="str">
        <f ca="1">IF(I94&lt;&gt;""," Completed","")</f>
        <v xml:space="preserve"> Completed</v>
      </c>
      <c r="J95" s="47" t="str">
        <f ca="1">IF(J93&lt;&gt;"","Completed","")</f>
        <v>Completed</v>
      </c>
    </row>
    <row r="96" spans="1:10" ht="15.75" customHeight="1" x14ac:dyDescent="0.25">
      <c r="A96" s="109" t="s">
        <v>47</v>
      </c>
      <c r="B96" s="110"/>
      <c r="C96" s="50" t="s">
        <v>139</v>
      </c>
      <c r="D96" s="50" t="s">
        <v>82</v>
      </c>
      <c r="E96" s="110" t="s">
        <v>84</v>
      </c>
      <c r="F96" s="110"/>
      <c r="G96" s="110" t="s">
        <v>83</v>
      </c>
      <c r="H96" s="113"/>
      <c r="I96" s="14" t="s">
        <v>141</v>
      </c>
      <c r="J96" s="26">
        <f ca="1">H94*25%</f>
        <v>9.75</v>
      </c>
    </row>
    <row r="97" spans="1:10" ht="15.75" customHeight="1" x14ac:dyDescent="0.25">
      <c r="A97" s="109" t="s">
        <v>128</v>
      </c>
      <c r="B97" s="110"/>
      <c r="C97" s="50">
        <v>39</v>
      </c>
      <c r="D97" s="48">
        <f ca="1">((100/H94)*C97)/100</f>
        <v>1.0000000000000002</v>
      </c>
      <c r="E97" s="114">
        <f ca="1">(((C98/H94*10)+(40/(D94+F94+H94)*C99)+(7.5/(H94)*C100)+(7.5/(H94)*C101)+(10/H94*C102)+(10/H94*C103)+(5/H94*C104)+(5/H94*C105)+(5/H94*C106))/100)</f>
        <v>0.6661858974358974</v>
      </c>
      <c r="F97" s="115"/>
      <c r="G97" s="114">
        <f ca="1">((((C97/H94)*20)+((C98/H94)*25)+(30/(H94+F94+D94)*C99)+(5/H94*C100)+(5/H94*C101)+(5/H94*C102)+(5/H94*C103)+(0/H94*C104)+(0/H94*C105)+(5/H94*C106))/100)</f>
        <v>0.84884615384615369</v>
      </c>
      <c r="H97" s="120"/>
      <c r="I97" s="14" t="s">
        <v>98</v>
      </c>
      <c r="J97" s="27">
        <f ca="1">H94*50%</f>
        <v>19.5</v>
      </c>
    </row>
    <row r="98" spans="1:10" ht="15.75" customHeight="1" x14ac:dyDescent="0.25">
      <c r="A98" s="109" t="s">
        <v>48</v>
      </c>
      <c r="B98" s="110"/>
      <c r="C98" s="50">
        <v>39</v>
      </c>
      <c r="D98" s="48">
        <f ca="1">((100/H94)*C98)/100</f>
        <v>1.0000000000000002</v>
      </c>
      <c r="E98" s="116"/>
      <c r="F98" s="117"/>
      <c r="G98" s="116"/>
      <c r="H98" s="121"/>
      <c r="I98" s="14" t="s">
        <v>99</v>
      </c>
      <c r="J98" s="27">
        <f ca="1">H94</f>
        <v>39</v>
      </c>
    </row>
    <row r="99" spans="1:10" ht="15" customHeight="1" x14ac:dyDescent="0.25">
      <c r="A99" s="109" t="s">
        <v>129</v>
      </c>
      <c r="B99" s="110"/>
      <c r="C99" s="50">
        <v>38</v>
      </c>
      <c r="D99" s="48">
        <f ca="1">((100/(D94+F94+H94))*C99)/100</f>
        <v>0.95</v>
      </c>
      <c r="E99" s="116"/>
      <c r="F99" s="117"/>
      <c r="G99" s="116"/>
      <c r="H99" s="121"/>
      <c r="I99" s="14" t="s">
        <v>100</v>
      </c>
      <c r="J99" s="28">
        <f ca="1">(IF(B94&gt;1,(H94/(B94+2)),H94/4))</f>
        <v>9.75</v>
      </c>
    </row>
    <row r="100" spans="1:10" ht="15.75" customHeight="1" x14ac:dyDescent="0.25">
      <c r="A100" s="109" t="s">
        <v>136</v>
      </c>
      <c r="B100" s="110" t="s">
        <v>130</v>
      </c>
      <c r="C100" s="50">
        <f>C99-1</f>
        <v>37</v>
      </c>
      <c r="D100" s="48">
        <f ca="1">((100/H94)*C100)/100</f>
        <v>0.94871794871794879</v>
      </c>
      <c r="E100" s="116"/>
      <c r="F100" s="117"/>
      <c r="G100" s="116"/>
      <c r="H100" s="121"/>
      <c r="I100" s="14" t="s">
        <v>101</v>
      </c>
      <c r="J100" s="28">
        <f ca="1">(IF(B94&gt;1,(H94/(B94+2)+J99),H94/4+J99))</f>
        <v>19.5</v>
      </c>
    </row>
    <row r="101" spans="1:10" ht="15.75" customHeight="1" x14ac:dyDescent="0.25">
      <c r="A101" s="109" t="s">
        <v>137</v>
      </c>
      <c r="B101" s="110" t="s">
        <v>130</v>
      </c>
      <c r="C101" s="53">
        <f>C100*0.75</f>
        <v>27.75</v>
      </c>
      <c r="D101" s="48">
        <f ca="1">((100/H94)*C101)/100</f>
        <v>0.71153846153846156</v>
      </c>
      <c r="E101" s="116"/>
      <c r="F101" s="117"/>
      <c r="G101" s="116"/>
      <c r="H101" s="121"/>
      <c r="I101" s="14" t="s">
        <v>146</v>
      </c>
      <c r="J101" s="28">
        <f>(IF(B94&gt;1,(H94/(B94+2)+J100),0))</f>
        <v>0</v>
      </c>
    </row>
    <row r="102" spans="1:10" ht="15.75" customHeight="1" x14ac:dyDescent="0.25">
      <c r="A102" s="109" t="s">
        <v>135</v>
      </c>
      <c r="B102" s="110" t="s">
        <v>132</v>
      </c>
      <c r="C102" s="53">
        <f>C100*0.65</f>
        <v>24.05</v>
      </c>
      <c r="D102" s="48">
        <f ca="1">((100/(H94))*C102)/100</f>
        <v>0.6166666666666667</v>
      </c>
      <c r="E102" s="116"/>
      <c r="F102" s="117"/>
      <c r="G102" s="116"/>
      <c r="H102" s="121"/>
      <c r="I102" s="14" t="s">
        <v>143</v>
      </c>
      <c r="J102" s="28">
        <f>(IF(B94&gt;2,(H94/(B94+2)+J101),0))</f>
        <v>0</v>
      </c>
    </row>
    <row r="103" spans="1:10" x14ac:dyDescent="0.25">
      <c r="A103" s="109" t="s">
        <v>131</v>
      </c>
      <c r="B103" s="110" t="s">
        <v>131</v>
      </c>
      <c r="C103" s="50">
        <v>0</v>
      </c>
      <c r="D103" s="48">
        <f ca="1">((100/H94)*C103)/100</f>
        <v>0</v>
      </c>
      <c r="E103" s="116"/>
      <c r="F103" s="117"/>
      <c r="G103" s="116"/>
      <c r="H103" s="121"/>
      <c r="I103" s="14" t="s">
        <v>144</v>
      </c>
      <c r="J103" s="29">
        <f>(IF(B94&gt;3,(H94/(B94+2)+J102),0))</f>
        <v>0</v>
      </c>
    </row>
    <row r="104" spans="1:10" ht="15.75" customHeight="1" x14ac:dyDescent="0.25">
      <c r="A104" s="109" t="s">
        <v>138</v>
      </c>
      <c r="B104" s="110"/>
      <c r="C104" s="50">
        <v>0</v>
      </c>
      <c r="D104" s="48">
        <f ca="1">((100/H94)*C104)/100</f>
        <v>0</v>
      </c>
      <c r="E104" s="116"/>
      <c r="F104" s="117"/>
      <c r="G104" s="116"/>
      <c r="H104" s="121"/>
      <c r="I104" s="14" t="s">
        <v>145</v>
      </c>
      <c r="J104" s="28">
        <f>(IF(B94&gt;4,(H94/(B94+2)+J103),0))</f>
        <v>0</v>
      </c>
    </row>
    <row r="105" spans="1:10" x14ac:dyDescent="0.25">
      <c r="A105" s="109" t="s">
        <v>133</v>
      </c>
      <c r="B105" s="110" t="s">
        <v>133</v>
      </c>
      <c r="C105" s="50">
        <v>0</v>
      </c>
      <c r="D105" s="48">
        <f ca="1">((100/(H94))*C105)/100</f>
        <v>0</v>
      </c>
      <c r="E105" s="116"/>
      <c r="F105" s="117"/>
      <c r="G105" s="116"/>
      <c r="H105" s="121"/>
      <c r="I105" s="14" t="s">
        <v>147</v>
      </c>
      <c r="J105" s="28">
        <f ca="1">(IF(B94=1,(H94/(B94+3)+J100),IF(B94=0,(H94/4+J100),IF(B94&gt;1,0))))</f>
        <v>29.25</v>
      </c>
    </row>
    <row r="106" spans="1:10" ht="16.5" thickBot="1" x14ac:dyDescent="0.3">
      <c r="A106" s="123" t="s">
        <v>134</v>
      </c>
      <c r="B106" s="124"/>
      <c r="C106" s="52">
        <v>0</v>
      </c>
      <c r="D106" s="49">
        <f ca="1">((100/(H94))*C106)/100</f>
        <v>0</v>
      </c>
      <c r="E106" s="118"/>
      <c r="F106" s="119"/>
      <c r="G106" s="118"/>
      <c r="H106" s="122"/>
      <c r="I106" s="15" t="s">
        <v>102</v>
      </c>
      <c r="J106" s="30">
        <f ca="1">(IF(B94&gt;1.5,(H94/(B94+2)+J100+MAX(0,J101-J100)+MAX(0,J102-J101)+MAX(0,J103-J102)+MAX(0,J104-J103)+MAX(0,J105-J104)),IF(B94=1,(H94/(B94+3)+J105),IF(B94=0,H94/4+J105))))</f>
        <v>39</v>
      </c>
    </row>
    <row r="107" spans="1:10" ht="15.75" customHeight="1" x14ac:dyDescent="0.25">
      <c r="A107" s="102" t="s">
        <v>140</v>
      </c>
      <c r="B107" s="103"/>
      <c r="C107" s="104" t="str">
        <f>D70</f>
        <v>F Wing = 1B + Gr + 1st to 4th Floor</v>
      </c>
      <c r="D107" s="105"/>
      <c r="E107" s="105"/>
      <c r="F107" s="105"/>
      <c r="G107" s="105"/>
      <c r="H107" s="106"/>
      <c r="I107" s="44" t="str">
        <f ca="1">IF(D120=100%,"All work Completed. Possession granted to the Building.",IF(D119=100%,"All work Completed, Waiting for OC",I108&amp;""&amp;I109&amp;""&amp;J108&amp;""&amp;J107&amp;" "&amp;J109))</f>
        <v>Excavation, Plinth Completed, RCC upto 4 Slab Completed</v>
      </c>
      <c r="J107" s="45" t="str">
        <f ca="1">(IF(C113=(D108+F108+H108),"",IF(C113&gt;0,", RCC upto "&amp;C113&amp;" Slab","")))&amp;(IF(C114=H108,"",IF(C114&gt;0,", Brickwork upto "&amp;C114&amp;" Floor","")))&amp;(IF(C115=H108,"",IF(C115&gt;0,", Internal Plaster upto "&amp;C115&amp;" Floor","")))&amp;(IF(C116=H108,"",IF(C116&gt;0,", External Plaster upto "&amp;C116&amp;" Floor","")))&amp;(IF(C117=H108,"",IF(C117&gt;0,", Flooring upto "&amp;C117&amp;" Floor","")))&amp;(IF(C118=H108,"",IF(C118&gt;0,", Painting upto "&amp;C118&amp;" Floor","")))&amp;(IF(C119=H108,"",IF(C119&gt;0,", Finishing upto "&amp;C119&amp;" Floor","")))&amp;(IF(C120=H108,"",IF(C120&gt;0,", Possession upto "&amp;C120&amp;" Floor","")))</f>
        <v>, RCC upto 4 Slab</v>
      </c>
    </row>
    <row r="108" spans="1:10" x14ac:dyDescent="0.25">
      <c r="A108" s="16" t="s">
        <v>142</v>
      </c>
      <c r="B108" s="51">
        <v>1</v>
      </c>
      <c r="C108" s="51" t="s">
        <v>70</v>
      </c>
      <c r="D108" s="51">
        <v>1</v>
      </c>
      <c r="E108" s="51" t="s">
        <v>69</v>
      </c>
      <c r="F108" s="51">
        <v>0</v>
      </c>
      <c r="G108" s="51" t="s">
        <v>79</v>
      </c>
      <c r="H108" s="17">
        <f ca="1">--TRIM(RIGHT(SUBSTITUTE(LEFT(C107,_xlfn.AGGREGATE(16,6,FIND({0,1,2,3,4,5,6,7,8,9},C107,ROW(INDIRECT("1:"&amp;LEN(C107)))),1))," ",REPT(" ",LEN(C107))),LEN(C107)))</f>
        <v>4</v>
      </c>
      <c r="I108" s="46" t="str">
        <f ca="1">IF(D111=100%,"Excavation","")&amp;IF(D112=100%,", Plinth","")&amp;IF(D113=100%,", RCC Slab","")&amp;IF(D114=100%,", Brickwork","")&amp;IF(D115=100%,", Internal Plaster","")&amp;IF(D116=100%,", External Plaster","")&amp;IF(D117=100%,", Flooring","")&amp;IF(D118=100%,", Painting","")&amp;IF(D119=100%,", Building common Amenities","")</f>
        <v>Excavation, Plinth</v>
      </c>
      <c r="J108" s="47" t="str">
        <f ca="1">(IF(C111=0,"Work not yet Started.",IF(D111=25%,"Piling work in process",IF(D111=50%,"Excavation work in process",IF(D111=100%,"","0")))))&amp;(IF(C112=0%,"",IF(C112=J113,", Footing work is process",IF(C112=J114,", Footing work Completed",IF(C112=J115,", 1st Basement Completed",IF(C112=J116,", 1st &amp; 2nd Basement Completed",IF(C112=J117,", 1st to 3rd Basement Completed",IF(C112=J118,", 1st to 4th Basement Completed",IF(C112=J119,", Plinth work is process",IF(C112=J120,"","0"))))))))))</f>
        <v/>
      </c>
    </row>
    <row r="109" spans="1:10" x14ac:dyDescent="0.25">
      <c r="A109" s="107" t="s">
        <v>89</v>
      </c>
      <c r="B109" s="108"/>
      <c r="C109" s="111" t="str">
        <f ca="1">I107</f>
        <v>Excavation, Plinth Completed, RCC upto 4 Slab Completed</v>
      </c>
      <c r="D109" s="111"/>
      <c r="E109" s="111"/>
      <c r="F109" s="111"/>
      <c r="G109" s="111"/>
      <c r="H109" s="112"/>
      <c r="I109" s="46" t="str">
        <f ca="1">IF(I108&lt;&gt;""," Completed","")</f>
        <v xml:space="preserve"> Completed</v>
      </c>
      <c r="J109" s="47" t="str">
        <f ca="1">IF(J107&lt;&gt;"","Completed","")</f>
        <v>Completed</v>
      </c>
    </row>
    <row r="110" spans="1:10" ht="15.75" customHeight="1" x14ac:dyDescent="0.25">
      <c r="A110" s="109" t="s">
        <v>47</v>
      </c>
      <c r="B110" s="110"/>
      <c r="C110" s="50" t="s">
        <v>139</v>
      </c>
      <c r="D110" s="50" t="s">
        <v>82</v>
      </c>
      <c r="E110" s="110" t="s">
        <v>84</v>
      </c>
      <c r="F110" s="110"/>
      <c r="G110" s="110" t="s">
        <v>83</v>
      </c>
      <c r="H110" s="113"/>
      <c r="I110" s="14" t="s">
        <v>141</v>
      </c>
      <c r="J110" s="26">
        <f ca="1">H108*25%</f>
        <v>1</v>
      </c>
    </row>
    <row r="111" spans="1:10" ht="15.75" customHeight="1" x14ac:dyDescent="0.25">
      <c r="A111" s="109" t="s">
        <v>128</v>
      </c>
      <c r="B111" s="110"/>
      <c r="C111" s="53">
        <f ca="1">J112</f>
        <v>4</v>
      </c>
      <c r="D111" s="48">
        <f ca="1">((100/H108)*C111)/100</f>
        <v>1</v>
      </c>
      <c r="E111" s="114">
        <f ca="1">(((C112/H108*10)+(40/(D108+F108+H108)*C113)+(7.5/(H108)*C114)+(7.5/(H108)*C115)+(10/H108*C116)+(10/H108*C117)+(5/H108*C118)+(5/H108*C119)+(5/H108*C120))/100)</f>
        <v>0.42</v>
      </c>
      <c r="F111" s="115"/>
      <c r="G111" s="114">
        <f ca="1">((((C111/H108)*20)+((C112/H108)*25)+(30/(H108+F108+D108)*C113)+(5/H108*C114)+(5/H108*C115)+(5/H108*C116)+(5/H108*C117)+(0/H108*C118)+(0/H108*C119)+(5/H108*C120))/100)</f>
        <v>0.69</v>
      </c>
      <c r="H111" s="120"/>
      <c r="I111" s="14" t="s">
        <v>98</v>
      </c>
      <c r="J111" s="27">
        <f ca="1">H108*50%</f>
        <v>2</v>
      </c>
    </row>
    <row r="112" spans="1:10" ht="15.75" customHeight="1" x14ac:dyDescent="0.25">
      <c r="A112" s="109" t="s">
        <v>48</v>
      </c>
      <c r="B112" s="110"/>
      <c r="C112" s="53">
        <f ca="1">J120</f>
        <v>4</v>
      </c>
      <c r="D112" s="48">
        <f ca="1">((100/H108)*C112)/100</f>
        <v>1</v>
      </c>
      <c r="E112" s="116"/>
      <c r="F112" s="117"/>
      <c r="G112" s="116"/>
      <c r="H112" s="121"/>
      <c r="I112" s="14" t="s">
        <v>99</v>
      </c>
      <c r="J112" s="27">
        <f ca="1">H108</f>
        <v>4</v>
      </c>
    </row>
    <row r="113" spans="1:10" ht="15" customHeight="1" x14ac:dyDescent="0.25">
      <c r="A113" s="109" t="s">
        <v>129</v>
      </c>
      <c r="B113" s="110"/>
      <c r="C113" s="50">
        <v>4</v>
      </c>
      <c r="D113" s="48">
        <f ca="1">((100/(D108+F108+H108))*C113)/100</f>
        <v>0.8</v>
      </c>
      <c r="E113" s="116"/>
      <c r="F113" s="117"/>
      <c r="G113" s="116"/>
      <c r="H113" s="121"/>
      <c r="I113" s="14" t="s">
        <v>100</v>
      </c>
      <c r="J113" s="28">
        <f ca="1">(IF(B108&gt;1,(H108/(B108+2)),H108/4))</f>
        <v>1</v>
      </c>
    </row>
    <row r="114" spans="1:10" ht="15.75" customHeight="1" x14ac:dyDescent="0.25">
      <c r="A114" s="109" t="s">
        <v>136</v>
      </c>
      <c r="B114" s="110" t="s">
        <v>130</v>
      </c>
      <c r="C114" s="50">
        <v>0</v>
      </c>
      <c r="D114" s="48">
        <f ca="1">((100/H108)*C114)/100</f>
        <v>0</v>
      </c>
      <c r="E114" s="116"/>
      <c r="F114" s="117"/>
      <c r="G114" s="116"/>
      <c r="H114" s="121"/>
      <c r="I114" s="14" t="s">
        <v>101</v>
      </c>
      <c r="J114" s="28">
        <f ca="1">(IF(B108&gt;1,(H108/(B108+2)+J113),H108/4+J113))</f>
        <v>2</v>
      </c>
    </row>
    <row r="115" spans="1:10" ht="15.75" customHeight="1" x14ac:dyDescent="0.25">
      <c r="A115" s="109" t="s">
        <v>137</v>
      </c>
      <c r="B115" s="110" t="s">
        <v>130</v>
      </c>
      <c r="C115" s="53">
        <v>0</v>
      </c>
      <c r="D115" s="48">
        <f ca="1">((100/H108)*C115)/100</f>
        <v>0</v>
      </c>
      <c r="E115" s="116"/>
      <c r="F115" s="117"/>
      <c r="G115" s="116"/>
      <c r="H115" s="121"/>
      <c r="I115" s="14" t="s">
        <v>146</v>
      </c>
      <c r="J115" s="28">
        <f>(IF(B108&gt;1,(H108/(B108+2)+J114),0))</f>
        <v>0</v>
      </c>
    </row>
    <row r="116" spans="1:10" ht="15.75" customHeight="1" x14ac:dyDescent="0.25">
      <c r="A116" s="109" t="s">
        <v>135</v>
      </c>
      <c r="B116" s="110" t="s">
        <v>132</v>
      </c>
      <c r="C116" s="53">
        <v>0</v>
      </c>
      <c r="D116" s="48">
        <f ca="1">((100/(H108))*C116)/100</f>
        <v>0</v>
      </c>
      <c r="E116" s="116"/>
      <c r="F116" s="117"/>
      <c r="G116" s="116"/>
      <c r="H116" s="121"/>
      <c r="I116" s="14" t="s">
        <v>143</v>
      </c>
      <c r="J116" s="28">
        <f>(IF(B108&gt;2,(H108/(B108+2)+J115),0))</f>
        <v>0</v>
      </c>
    </row>
    <row r="117" spans="1:10" x14ac:dyDescent="0.25">
      <c r="A117" s="109" t="s">
        <v>131</v>
      </c>
      <c r="B117" s="110" t="s">
        <v>131</v>
      </c>
      <c r="C117" s="50">
        <v>0</v>
      </c>
      <c r="D117" s="48">
        <f ca="1">((100/H108)*C117)/100</f>
        <v>0</v>
      </c>
      <c r="E117" s="116"/>
      <c r="F117" s="117"/>
      <c r="G117" s="116"/>
      <c r="H117" s="121"/>
      <c r="I117" s="14" t="s">
        <v>144</v>
      </c>
      <c r="J117" s="29">
        <f>(IF(B108&gt;3,(H108/(B108+2)+J116),0))</f>
        <v>0</v>
      </c>
    </row>
    <row r="118" spans="1:10" x14ac:dyDescent="0.25">
      <c r="A118" s="109" t="s">
        <v>138</v>
      </c>
      <c r="B118" s="110"/>
      <c r="C118" s="50">
        <v>0</v>
      </c>
      <c r="D118" s="48">
        <f ca="1">((100/H108)*C118)/100</f>
        <v>0</v>
      </c>
      <c r="E118" s="116"/>
      <c r="F118" s="117"/>
      <c r="G118" s="116"/>
      <c r="H118" s="121"/>
      <c r="I118" s="14" t="s">
        <v>145</v>
      </c>
      <c r="J118" s="28">
        <f>(IF(B108&gt;4,(H108/(B108+2)+J117),0))</f>
        <v>0</v>
      </c>
    </row>
    <row r="119" spans="1:10" x14ac:dyDescent="0.25">
      <c r="A119" s="109" t="s">
        <v>133</v>
      </c>
      <c r="B119" s="110" t="s">
        <v>133</v>
      </c>
      <c r="C119" s="50">
        <v>0</v>
      </c>
      <c r="D119" s="48">
        <f ca="1">((100/(H108))*C119)/100</f>
        <v>0</v>
      </c>
      <c r="E119" s="116"/>
      <c r="F119" s="117"/>
      <c r="G119" s="116"/>
      <c r="H119" s="121"/>
      <c r="I119" s="14" t="s">
        <v>147</v>
      </c>
      <c r="J119" s="28">
        <f ca="1">(IF(B108=1,(H108/(B108+3)+J114),IF(B108=0,(H108/4+J114),IF(B108&gt;1,0))))</f>
        <v>3</v>
      </c>
    </row>
    <row r="120" spans="1:10" ht="16.5" thickBot="1" x14ac:dyDescent="0.3">
      <c r="A120" s="123" t="s">
        <v>134</v>
      </c>
      <c r="B120" s="124"/>
      <c r="C120" s="52">
        <v>0</v>
      </c>
      <c r="D120" s="49">
        <f ca="1">((100/(H108))*C120)/100</f>
        <v>0</v>
      </c>
      <c r="E120" s="118"/>
      <c r="F120" s="119"/>
      <c r="G120" s="118"/>
      <c r="H120" s="122"/>
      <c r="I120" s="15" t="s">
        <v>102</v>
      </c>
      <c r="J120" s="30">
        <f ca="1">(IF(B108&gt;1.5,(H108/(B108+2)+J114+MAX(0,J115-J114)+MAX(0,J116-J115)+MAX(0,J117-J116)+MAX(0,J118-J117)+MAX(0,J119-J118)),IF(B108=1,(H108/(B108+3)+J119),IF(B108=0,H108/4+J119))))</f>
        <v>4</v>
      </c>
    </row>
    <row r="121" spans="1:10" ht="15.75" customHeight="1" x14ac:dyDescent="0.25">
      <c r="A121" s="102" t="s">
        <v>140</v>
      </c>
      <c r="B121" s="103"/>
      <c r="C121" s="104" t="str">
        <f>D71</f>
        <v>C Wing = Gr + P1 to P4 + P5 + 6th to 39th Floor</v>
      </c>
      <c r="D121" s="105"/>
      <c r="E121" s="105"/>
      <c r="F121" s="105"/>
      <c r="G121" s="105"/>
      <c r="H121" s="106"/>
      <c r="I121" s="44" t="str">
        <f ca="1">IF(D134=100%,"All work Completed. Possession granted to the Building.",IF(D133=100%,"All work Completed, Waiting for OC",I122&amp;""&amp;I123&amp;""&amp;J122&amp;""&amp;J121&amp;" "&amp;J123))</f>
        <v>Excavation, Plinth Completed, RCC upto 3 Slab Completed</v>
      </c>
      <c r="J121" s="45" t="str">
        <f ca="1">(IF(C127=(D122+F122+H122),"",IF(C127&gt;0,", RCC upto "&amp;C127&amp;" Slab","")))&amp;(IF(C128=H122,"",IF(C128&gt;0,", Brickwork upto "&amp;C128&amp;" Floor","")))&amp;(IF(C129=H122,"",IF(C129&gt;0,", Internal Plaster upto "&amp;C129&amp;" Floor","")))&amp;(IF(C130=H122,"",IF(C130&gt;0,", External Plaster upto "&amp;C130&amp;" Floor","")))&amp;(IF(C131=H122,"",IF(C131&gt;0,", Flooring upto "&amp;C131&amp;" Floor","")))&amp;(IF(C132=H122,"",IF(C132&gt;0,", Painting upto "&amp;C132&amp;" Floor","")))&amp;(IF(C133=H122,"",IF(C133&gt;0,", Finishing upto "&amp;C133&amp;" Floor","")))&amp;(IF(C134=H122,"",IF(C134&gt;0,", Possession upto "&amp;C134&amp;" Floor","")))</f>
        <v>, RCC upto 3 Slab</v>
      </c>
    </row>
    <row r="122" spans="1:10" x14ac:dyDescent="0.25">
      <c r="A122" s="16" t="s">
        <v>142</v>
      </c>
      <c r="B122" s="51">
        <v>0</v>
      </c>
      <c r="C122" s="51" t="s">
        <v>70</v>
      </c>
      <c r="D122" s="51">
        <v>1</v>
      </c>
      <c r="E122" s="51" t="s">
        <v>69</v>
      </c>
      <c r="F122" s="51">
        <v>0</v>
      </c>
      <c r="G122" s="51" t="s">
        <v>79</v>
      </c>
      <c r="H122" s="17">
        <f ca="1">--TRIM(RIGHT(SUBSTITUTE(LEFT(C121,_xlfn.AGGREGATE(16,6,FIND({0,1,2,3,4,5,6,7,8,9},C121,ROW(INDIRECT("1:"&amp;LEN(C121)))),1))," ",REPT(" ",LEN(C121))),LEN(C121)))</f>
        <v>39</v>
      </c>
      <c r="I122" s="46" t="str">
        <f ca="1">IF(D125=100%,"Excavation","")&amp;IF(D126=100%,", Plinth","")&amp;IF(D127=100%,", RCC Slab","")&amp;IF(D128=100%,", Brickwork","")&amp;IF(D129=100%,", Internal Plaster","")&amp;IF(D130=100%,", External Plaster","")&amp;IF(D131=100%,", Flooring","")&amp;IF(D132=100%,", Painting","")&amp;IF(D133=100%,", Building common Amenities","")</f>
        <v>Excavation, Plinth</v>
      </c>
      <c r="J122" s="47" t="str">
        <f ca="1">(IF(C125=0,"Work not yet Started.",IF(D125=25%,"Piling work in process",IF(D125=50%,"Excavation work in process",IF(D125=100%,"","0")))))&amp;(IF(C126=0%,"",IF(C126=J127,", Footing work is process",IF(C126=J128,", Footing work Completed",IF(C126=J129,", 1st Basement Completed",IF(C126=J130,", 1st &amp; 2nd Basement Completed",IF(C126=J131,", 1st to 3rd Basement Completed",IF(C126=J132,", 1st to 4th Basement Completed",IF(C126=J133,", Plinth work is process",IF(C126=J134,"","0"))))))))))</f>
        <v/>
      </c>
    </row>
    <row r="123" spans="1:10" x14ac:dyDescent="0.25">
      <c r="A123" s="107" t="s">
        <v>89</v>
      </c>
      <c r="B123" s="108"/>
      <c r="C123" s="111" t="str">
        <f ca="1">I121</f>
        <v>Excavation, Plinth Completed, RCC upto 3 Slab Completed</v>
      </c>
      <c r="D123" s="111"/>
      <c r="E123" s="111"/>
      <c r="F123" s="111"/>
      <c r="G123" s="111"/>
      <c r="H123" s="112"/>
      <c r="I123" s="46" t="str">
        <f ca="1">IF(I122&lt;&gt;""," Completed","")</f>
        <v xml:space="preserve"> Completed</v>
      </c>
      <c r="J123" s="47" t="str">
        <f ca="1">IF(J121&lt;&gt;"","Completed","")</f>
        <v>Completed</v>
      </c>
    </row>
    <row r="124" spans="1:10" ht="15.75" customHeight="1" x14ac:dyDescent="0.25">
      <c r="A124" s="109" t="s">
        <v>47</v>
      </c>
      <c r="B124" s="110"/>
      <c r="C124" s="50" t="s">
        <v>139</v>
      </c>
      <c r="D124" s="50" t="s">
        <v>82</v>
      </c>
      <c r="E124" s="110" t="s">
        <v>84</v>
      </c>
      <c r="F124" s="110"/>
      <c r="G124" s="110" t="s">
        <v>83</v>
      </c>
      <c r="H124" s="113"/>
      <c r="I124" s="14" t="s">
        <v>141</v>
      </c>
      <c r="J124" s="26">
        <f ca="1">H122*25%</f>
        <v>9.75</v>
      </c>
    </row>
    <row r="125" spans="1:10" ht="15.75" customHeight="1" x14ac:dyDescent="0.25">
      <c r="A125" s="109" t="s">
        <v>128</v>
      </c>
      <c r="B125" s="110"/>
      <c r="C125" s="53">
        <f ca="1">J126</f>
        <v>39</v>
      </c>
      <c r="D125" s="48">
        <f ca="1">((100/H122)*C125)/100</f>
        <v>1.0000000000000002</v>
      </c>
      <c r="E125" s="114">
        <f ca="1">(((C126/H122*10)+(40/(D122+F122+H122)*C127)+(7.5/(H122)*C128)+(7.5/(H122)*C129)+(10/H122*C130)+(10/H122*C131)+(5/H122*C132)+(5/H122*C133)+(5/H122*C134))/100)</f>
        <v>0.13</v>
      </c>
      <c r="F125" s="115"/>
      <c r="G125" s="114">
        <f ca="1">((((C125/H122)*20)+((C126/H122)*25)+(30/(H122+F122+D122)*C127)+(5/H122*C128)+(5/H122*C129)+(5/H122*C130)+(5/H122*C131)+(0/H122*C132)+(0/H122*C133)+(5/H122*C134))/100)</f>
        <v>0.47249999999999998</v>
      </c>
      <c r="H125" s="120"/>
      <c r="I125" s="14" t="s">
        <v>98</v>
      </c>
      <c r="J125" s="27">
        <f ca="1">H122*50%</f>
        <v>19.5</v>
      </c>
    </row>
    <row r="126" spans="1:10" ht="15.75" customHeight="1" x14ac:dyDescent="0.25">
      <c r="A126" s="109" t="s">
        <v>48</v>
      </c>
      <c r="B126" s="110"/>
      <c r="C126" s="53">
        <f ca="1">J134</f>
        <v>39</v>
      </c>
      <c r="D126" s="48">
        <f ca="1">((100/H122)*C126)/100</f>
        <v>1.0000000000000002</v>
      </c>
      <c r="E126" s="116"/>
      <c r="F126" s="117"/>
      <c r="G126" s="116"/>
      <c r="H126" s="121"/>
      <c r="I126" s="14" t="s">
        <v>99</v>
      </c>
      <c r="J126" s="27">
        <f ca="1">H122</f>
        <v>39</v>
      </c>
    </row>
    <row r="127" spans="1:10" ht="15" customHeight="1" x14ac:dyDescent="0.25">
      <c r="A127" s="109" t="s">
        <v>129</v>
      </c>
      <c r="B127" s="110"/>
      <c r="C127" s="50">
        <v>3</v>
      </c>
      <c r="D127" s="48">
        <f ca="1">((100/(D122+F122+H122))*C127)/100</f>
        <v>7.4999999999999997E-2</v>
      </c>
      <c r="E127" s="116"/>
      <c r="F127" s="117"/>
      <c r="G127" s="116"/>
      <c r="H127" s="121"/>
      <c r="I127" s="14" t="s">
        <v>100</v>
      </c>
      <c r="J127" s="28">
        <f ca="1">(IF(B122&gt;1,(H122/(B122+2)),H122/4))</f>
        <v>9.75</v>
      </c>
    </row>
    <row r="128" spans="1:10" ht="15.75" customHeight="1" x14ac:dyDescent="0.25">
      <c r="A128" s="109" t="s">
        <v>136</v>
      </c>
      <c r="B128" s="110" t="s">
        <v>130</v>
      </c>
      <c r="C128" s="50">
        <v>0</v>
      </c>
      <c r="D128" s="48">
        <f ca="1">((100/H122)*C128)/100</f>
        <v>0</v>
      </c>
      <c r="E128" s="116"/>
      <c r="F128" s="117"/>
      <c r="G128" s="116"/>
      <c r="H128" s="121"/>
      <c r="I128" s="14" t="s">
        <v>101</v>
      </c>
      <c r="J128" s="28">
        <f ca="1">(IF(B122&gt;1,(H122/(B122+2)+J127),H122/4+J127))</f>
        <v>19.5</v>
      </c>
    </row>
    <row r="129" spans="1:10" ht="15.75" customHeight="1" x14ac:dyDescent="0.25">
      <c r="A129" s="109" t="s">
        <v>137</v>
      </c>
      <c r="B129" s="110" t="s">
        <v>130</v>
      </c>
      <c r="C129" s="53">
        <v>0</v>
      </c>
      <c r="D129" s="48">
        <f ca="1">((100/H122)*C129)/100</f>
        <v>0</v>
      </c>
      <c r="E129" s="116"/>
      <c r="F129" s="117"/>
      <c r="G129" s="116"/>
      <c r="H129" s="121"/>
      <c r="I129" s="14" t="s">
        <v>146</v>
      </c>
      <c r="J129" s="28">
        <f>(IF(B122&gt;1,(H122/(B122+2)+J128),0))</f>
        <v>0</v>
      </c>
    </row>
    <row r="130" spans="1:10" ht="15.75" customHeight="1" x14ac:dyDescent="0.25">
      <c r="A130" s="109" t="s">
        <v>135</v>
      </c>
      <c r="B130" s="110" t="s">
        <v>132</v>
      </c>
      <c r="C130" s="53">
        <v>0</v>
      </c>
      <c r="D130" s="48">
        <f ca="1">((100/(H122))*C130)/100</f>
        <v>0</v>
      </c>
      <c r="E130" s="116"/>
      <c r="F130" s="117"/>
      <c r="G130" s="116"/>
      <c r="H130" s="121"/>
      <c r="I130" s="14" t="s">
        <v>143</v>
      </c>
      <c r="J130" s="28">
        <f>(IF(B122&gt;2,(H122/(B122+2)+J129),0))</f>
        <v>0</v>
      </c>
    </row>
    <row r="131" spans="1:10" x14ac:dyDescent="0.25">
      <c r="A131" s="109" t="s">
        <v>131</v>
      </c>
      <c r="B131" s="110" t="s">
        <v>131</v>
      </c>
      <c r="C131" s="50">
        <v>0</v>
      </c>
      <c r="D131" s="48">
        <f ca="1">((100/H122)*C131)/100</f>
        <v>0</v>
      </c>
      <c r="E131" s="116"/>
      <c r="F131" s="117"/>
      <c r="G131" s="116"/>
      <c r="H131" s="121"/>
      <c r="I131" s="14" t="s">
        <v>144</v>
      </c>
      <c r="J131" s="29">
        <f>(IF(B122&gt;3,(H122/(B122+2)+J130),0))</f>
        <v>0</v>
      </c>
    </row>
    <row r="132" spans="1:10" x14ac:dyDescent="0.25">
      <c r="A132" s="109" t="s">
        <v>138</v>
      </c>
      <c r="B132" s="110"/>
      <c r="C132" s="50">
        <v>0</v>
      </c>
      <c r="D132" s="48">
        <f ca="1">((100/H122)*C132)/100</f>
        <v>0</v>
      </c>
      <c r="E132" s="116"/>
      <c r="F132" s="117"/>
      <c r="G132" s="116"/>
      <c r="H132" s="121"/>
      <c r="I132" s="14" t="s">
        <v>145</v>
      </c>
      <c r="J132" s="28">
        <f>(IF(B122&gt;4,(H122/(B122+2)+J131),0))</f>
        <v>0</v>
      </c>
    </row>
    <row r="133" spans="1:10" x14ac:dyDescent="0.25">
      <c r="A133" s="109" t="s">
        <v>133</v>
      </c>
      <c r="B133" s="110" t="s">
        <v>133</v>
      </c>
      <c r="C133" s="50">
        <v>0</v>
      </c>
      <c r="D133" s="48">
        <f ca="1">((100/(H122))*C133)/100</f>
        <v>0</v>
      </c>
      <c r="E133" s="116"/>
      <c r="F133" s="117"/>
      <c r="G133" s="116"/>
      <c r="H133" s="121"/>
      <c r="I133" s="14" t="s">
        <v>147</v>
      </c>
      <c r="J133" s="28">
        <f ca="1">(IF(B122=1,(H122/(B122+3)+J128),IF(B122=0,(H122/4+J128),IF(B122&gt;1,0))))</f>
        <v>29.25</v>
      </c>
    </row>
    <row r="134" spans="1:10" ht="16.5" thickBot="1" x14ac:dyDescent="0.3">
      <c r="A134" s="123" t="s">
        <v>134</v>
      </c>
      <c r="B134" s="124"/>
      <c r="C134" s="52">
        <v>0</v>
      </c>
      <c r="D134" s="49">
        <f ca="1">((100/(H122))*C134)/100</f>
        <v>0</v>
      </c>
      <c r="E134" s="118"/>
      <c r="F134" s="119"/>
      <c r="G134" s="118"/>
      <c r="H134" s="122"/>
      <c r="I134" s="15" t="s">
        <v>102</v>
      </c>
      <c r="J134" s="30">
        <f ca="1">(IF(B122&gt;1.5,(H122/(B122+2)+J128+MAX(0,J129-J128)+MAX(0,J130-J129)+MAX(0,J131-J130)+MAX(0,J132-J131)+MAX(0,J133-J132)),IF(B122=1,(H122/(B122+3)+J133),IF(B122=0,H122/4+J133))))</f>
        <v>39</v>
      </c>
    </row>
    <row r="135" spans="1:10" x14ac:dyDescent="0.25">
      <c r="A135" s="125" t="s">
        <v>156</v>
      </c>
      <c r="B135" s="125"/>
      <c r="C135" s="125"/>
      <c r="D135" s="125"/>
      <c r="E135" s="125"/>
      <c r="F135" s="141" t="s">
        <v>161</v>
      </c>
      <c r="G135" s="141"/>
      <c r="H135" s="141"/>
    </row>
    <row r="136" spans="1:10" s="31" customFormat="1" x14ac:dyDescent="0.25">
      <c r="A136" s="149" t="s">
        <v>159</v>
      </c>
      <c r="B136" s="149"/>
      <c r="C136" s="149"/>
      <c r="D136" s="149"/>
      <c r="E136" s="149"/>
      <c r="F136" s="126">
        <v>15500</v>
      </c>
      <c r="G136" s="126"/>
      <c r="H136" s="126"/>
    </row>
    <row r="137" spans="1:10" s="31" customFormat="1" x14ac:dyDescent="0.25">
      <c r="A137" s="149" t="s">
        <v>158</v>
      </c>
      <c r="B137" s="149"/>
      <c r="C137" s="149"/>
      <c r="D137" s="149"/>
      <c r="E137" s="149"/>
      <c r="F137" s="126">
        <v>24000</v>
      </c>
      <c r="G137" s="126"/>
      <c r="H137" s="126"/>
    </row>
    <row r="138" spans="1:10" s="31" customFormat="1" ht="15" hidden="1" customHeight="1" x14ac:dyDescent="0.25">
      <c r="A138" s="149" t="s">
        <v>160</v>
      </c>
      <c r="B138" s="149"/>
      <c r="C138" s="149"/>
      <c r="D138" s="149"/>
      <c r="E138" s="149"/>
      <c r="F138" s="126"/>
      <c r="G138" s="126"/>
      <c r="H138" s="126"/>
    </row>
    <row r="139" spans="1:10" s="31" customFormat="1" hidden="1" x14ac:dyDescent="0.25">
      <c r="A139" s="149" t="s">
        <v>157</v>
      </c>
      <c r="B139" s="149"/>
      <c r="C139" s="149"/>
      <c r="D139" s="149"/>
      <c r="E139" s="149"/>
      <c r="F139" s="126"/>
      <c r="G139" s="126"/>
      <c r="H139" s="126"/>
    </row>
    <row r="140" spans="1:10" s="31" customFormat="1" hidden="1" x14ac:dyDescent="0.25">
      <c r="A140" s="149" t="s">
        <v>94</v>
      </c>
      <c r="B140" s="149"/>
      <c r="C140" s="149"/>
      <c r="D140" s="149"/>
      <c r="E140" s="149"/>
      <c r="F140" s="126"/>
      <c r="G140" s="126"/>
      <c r="H140" s="126"/>
    </row>
    <row r="141" spans="1:10" s="31" customFormat="1" x14ac:dyDescent="0.25">
      <c r="A141" s="149" t="s">
        <v>209</v>
      </c>
      <c r="B141" s="149"/>
      <c r="C141" s="149"/>
      <c r="D141" s="149"/>
      <c r="E141" s="149"/>
      <c r="F141" s="126">
        <v>300000</v>
      </c>
      <c r="G141" s="126"/>
      <c r="H141" s="126"/>
    </row>
    <row r="142" spans="1:10" s="31" customFormat="1" hidden="1" x14ac:dyDescent="0.25">
      <c r="A142" s="149" t="s">
        <v>162</v>
      </c>
      <c r="B142" s="149"/>
      <c r="C142" s="149"/>
      <c r="D142" s="149"/>
      <c r="E142" s="149"/>
      <c r="F142" s="126"/>
      <c r="G142" s="126"/>
      <c r="H142" s="126"/>
    </row>
    <row r="143" spans="1:10" s="31" customFormat="1" x14ac:dyDescent="0.25">
      <c r="A143" s="149" t="s">
        <v>210</v>
      </c>
      <c r="B143" s="149"/>
      <c r="C143" s="149"/>
      <c r="D143" s="149"/>
      <c r="E143" s="149"/>
      <c r="F143" s="126">
        <v>20000</v>
      </c>
      <c r="G143" s="126"/>
      <c r="H143" s="126"/>
    </row>
    <row r="144" spans="1:10" s="31" customFormat="1" x14ac:dyDescent="0.25">
      <c r="A144" s="149" t="s">
        <v>211</v>
      </c>
      <c r="B144" s="149"/>
      <c r="C144" s="149"/>
      <c r="D144" s="149"/>
      <c r="E144" s="149"/>
      <c r="F144" s="126">
        <v>20000</v>
      </c>
      <c r="G144" s="126"/>
      <c r="H144" s="126"/>
    </row>
    <row r="145" spans="1:10" s="31" customFormat="1" x14ac:dyDescent="0.25">
      <c r="A145" s="149" t="s">
        <v>96</v>
      </c>
      <c r="B145" s="149"/>
      <c r="C145" s="149"/>
      <c r="D145" s="149"/>
      <c r="E145" s="149"/>
      <c r="F145" s="126">
        <v>20000</v>
      </c>
      <c r="G145" s="126"/>
      <c r="H145" s="126"/>
    </row>
    <row r="146" spans="1:10" x14ac:dyDescent="0.25">
      <c r="A146" s="149" t="s">
        <v>212</v>
      </c>
      <c r="B146" s="149"/>
      <c r="C146" s="149"/>
      <c r="D146" s="149"/>
      <c r="E146" s="149"/>
      <c r="F146" s="126">
        <v>10000</v>
      </c>
      <c r="G146" s="126"/>
      <c r="H146" s="126"/>
      <c r="J146" s="19" t="s">
        <v>214</v>
      </c>
    </row>
    <row r="147" spans="1:10" s="32" customFormat="1" ht="15" hidden="1" customHeight="1" x14ac:dyDescent="0.25">
      <c r="A147" s="149" t="s">
        <v>95</v>
      </c>
      <c r="B147" s="149"/>
      <c r="C147" s="149"/>
      <c r="D147" s="149"/>
      <c r="E147" s="149"/>
      <c r="F147" s="126"/>
      <c r="G147" s="126"/>
      <c r="H147" s="126"/>
    </row>
    <row r="148" spans="1:10" s="33" customFormat="1" hidden="1" x14ac:dyDescent="0.25">
      <c r="A148" s="149" t="s">
        <v>97</v>
      </c>
      <c r="B148" s="149"/>
      <c r="C148" s="149"/>
      <c r="D148" s="149"/>
      <c r="E148" s="149"/>
      <c r="F148" s="126"/>
      <c r="G148" s="126"/>
      <c r="H148" s="126"/>
    </row>
    <row r="149" spans="1:10" s="33" customFormat="1" ht="15.75" customHeight="1" x14ac:dyDescent="0.25">
      <c r="A149" s="149" t="s">
        <v>49</v>
      </c>
      <c r="B149" s="149"/>
      <c r="C149" s="149"/>
      <c r="D149" s="149"/>
      <c r="E149" s="149"/>
      <c r="F149" s="126">
        <v>800000</v>
      </c>
      <c r="G149" s="126"/>
      <c r="H149" s="126"/>
    </row>
    <row r="150" spans="1:10" s="33" customFormat="1" x14ac:dyDescent="0.25">
      <c r="A150" s="171" t="s">
        <v>50</v>
      </c>
      <c r="B150" s="171"/>
      <c r="C150" s="171"/>
      <c r="D150" s="171"/>
      <c r="E150" s="171"/>
      <c r="F150" s="126">
        <f>F136*0.8</f>
        <v>12400</v>
      </c>
      <c r="G150" s="126"/>
      <c r="H150" s="126"/>
      <c r="J150" s="33">
        <f>8+6</f>
        <v>14</v>
      </c>
    </row>
    <row r="151" spans="1:10" s="33" customFormat="1" x14ac:dyDescent="0.25">
      <c r="A151" s="128" t="s">
        <v>74</v>
      </c>
      <c r="B151" s="128"/>
      <c r="C151" s="128"/>
      <c r="D151" s="128"/>
      <c r="E151" s="128"/>
      <c r="F151" s="128"/>
      <c r="G151" s="128"/>
      <c r="H151" s="128"/>
    </row>
    <row r="152" spans="1:10" s="33" customFormat="1" x14ac:dyDescent="0.25">
      <c r="A152" s="129" t="s">
        <v>51</v>
      </c>
      <c r="B152" s="129"/>
      <c r="C152" s="127" t="s">
        <v>77</v>
      </c>
      <c r="D152" s="127"/>
      <c r="E152" s="153" t="s">
        <v>52</v>
      </c>
      <c r="F152" s="153"/>
      <c r="G152" s="129" t="s">
        <v>53</v>
      </c>
      <c r="H152" s="129"/>
    </row>
    <row r="153" spans="1:10" s="33" customFormat="1" x14ac:dyDescent="0.25">
      <c r="A153" s="84" t="s">
        <v>197</v>
      </c>
      <c r="B153" s="84"/>
      <c r="C153" s="82">
        <f>COUNT(D170:D177)+COUNT(D179:D186)</f>
        <v>16</v>
      </c>
      <c r="D153" s="83"/>
      <c r="E153" s="82">
        <f>SUM(D170:D177)+SUM(D179:D186)</f>
        <v>3332.9768003999998</v>
      </c>
      <c r="F153" s="83"/>
      <c r="G153" s="82">
        <f>SUM(F170:F177)+SUM(F179:F186)</f>
        <v>5332.7628806399998</v>
      </c>
      <c r="H153" s="83"/>
    </row>
    <row r="154" spans="1:10" s="33" customFormat="1" ht="15.75" customHeight="1" x14ac:dyDescent="0.25">
      <c r="A154" s="84" t="s">
        <v>203</v>
      </c>
      <c r="B154" s="84"/>
      <c r="C154" s="82">
        <f>COUNT(D189:D196)+COUNT(D198:D205)</f>
        <v>16</v>
      </c>
      <c r="D154" s="83"/>
      <c r="E154" s="82">
        <f>SUM(D189:D196)+SUM(D198:D205)</f>
        <v>3332.9768004000002</v>
      </c>
      <c r="F154" s="83"/>
      <c r="G154" s="82">
        <f>SUM(F189:F196)+SUM(F198:F205)</f>
        <v>5332.7628806399998</v>
      </c>
      <c r="H154" s="83"/>
    </row>
    <row r="155" spans="1:10" s="33" customFormat="1" ht="15.75" customHeight="1" x14ac:dyDescent="0.25">
      <c r="A155" s="84" t="s">
        <v>251</v>
      </c>
      <c r="B155" s="84"/>
      <c r="C155" s="82">
        <f>COUNT(D208:D215)+COUNT(D217:D224)</f>
        <v>16</v>
      </c>
      <c r="D155" s="83"/>
      <c r="E155" s="82">
        <f>SUM(D208:D215)+SUM(D217:D224)</f>
        <v>3332.9768003999998</v>
      </c>
      <c r="F155" s="83"/>
      <c r="G155" s="82">
        <f>SUM(F208:F215)+SUM(F217:F224)</f>
        <v>5332.7628806399998</v>
      </c>
      <c r="H155" s="83"/>
    </row>
    <row r="156" spans="1:10" s="33" customFormat="1" x14ac:dyDescent="0.25">
      <c r="A156" s="128" t="s">
        <v>150</v>
      </c>
      <c r="B156" s="128"/>
      <c r="C156" s="210">
        <f t="shared" ref="C156:G156" si="0">SUM(C153:D155)</f>
        <v>48</v>
      </c>
      <c r="D156" s="127"/>
      <c r="E156" s="129">
        <f t="shared" si="0"/>
        <v>9998.9304011999993</v>
      </c>
      <c r="F156" s="153"/>
      <c r="G156" s="129">
        <f t="shared" si="0"/>
        <v>15998.28864192</v>
      </c>
      <c r="H156" s="129"/>
    </row>
    <row r="157" spans="1:10" s="33" customFormat="1" x14ac:dyDescent="0.25">
      <c r="A157" s="128" t="s">
        <v>68</v>
      </c>
      <c r="B157" s="128"/>
      <c r="C157" s="128"/>
      <c r="D157" s="128"/>
      <c r="E157" s="128"/>
      <c r="F157" s="128"/>
      <c r="G157" s="128"/>
      <c r="H157" s="128"/>
    </row>
    <row r="158" spans="1:10" s="33" customFormat="1" x14ac:dyDescent="0.25">
      <c r="A158" s="129" t="s">
        <v>51</v>
      </c>
      <c r="B158" s="129"/>
      <c r="C158" s="127" t="s">
        <v>77</v>
      </c>
      <c r="D158" s="127"/>
      <c r="E158" s="153" t="s">
        <v>52</v>
      </c>
      <c r="F158" s="153"/>
      <c r="G158" s="129" t="s">
        <v>53</v>
      </c>
      <c r="H158" s="129"/>
    </row>
    <row r="159" spans="1:10" s="33" customFormat="1" x14ac:dyDescent="0.25">
      <c r="A159" s="84" t="s">
        <v>197</v>
      </c>
      <c r="B159" s="84"/>
      <c r="C159" s="82">
        <f>COUNT(D234:D237)+COUNT(D243:D246)*2+COUNT(D252:D255)+COUNT(D257:D264)*20+COUNT(D266:D269,D272:D273)*3+COUNT(D275:D278,D281:D282)+COUNT(D284:D291)*9+COUNT(D293:D296,D298:D300)</f>
        <v>279</v>
      </c>
      <c r="D159" s="82"/>
      <c r="E159" s="82">
        <f>SUM(D234:D237)+SUM(D243:D246)*2+SUM(D252:D255)+SUM(D257:D264)*20+SUM(D266:D269,D272:D273)*3+SUM(D275:D278,D281:D282)+SUM(D284:D291)*9+SUM(D293:D296,D298:D300)</f>
        <v>145035.82810079999</v>
      </c>
      <c r="F159" s="82"/>
      <c r="G159" s="82">
        <f>SUM(F234:F237)+SUM(F243:F246)*2+SUM(F252:F255)+SUM(F257:F264)*20+SUM(F266:F269,F272:F273)*3+SUM(F275:F278,F281:F282)+SUM(F284:F291)*9+SUM(F293:F296,F298:F300)</f>
        <v>232057.32496128001</v>
      </c>
      <c r="H159" s="82"/>
    </row>
    <row r="160" spans="1:10" s="32" customFormat="1" x14ac:dyDescent="0.25">
      <c r="A160" s="84" t="s">
        <v>203</v>
      </c>
      <c r="B160" s="84"/>
      <c r="C160" s="85">
        <f>COUNT(D307:D310)+COUNT(D316:D319)*2+COUNT(D325:D328)+COUNT(D330:D337)*20+COUNT(D339:D342,D345:D346)*3+COUNT(D348:D351,D354:D355)+COUNT(D357:D364)*9+COUNT(D366:D369,D371:D373)</f>
        <v>279</v>
      </c>
      <c r="D160" s="86"/>
      <c r="E160" s="82">
        <f>SUM(D307:D310)+SUM(D316:D319)*2+SUM(D325:D328)+SUM(D330:D337)*20+SUM(D339:D342,D345:D346)*3+SUM(D348:D351,D354:D355)+SUM(D357:D364)*9+SUM(D366:D369,D371:D373)</f>
        <v>145035.82810079999</v>
      </c>
      <c r="F160" s="82"/>
      <c r="G160" s="82">
        <f>SUM(F307:F310)+SUM(F316:F319)*2+SUM(F325:F328)+SUM(F330:F337)*20+SUM(F339:F342,F345:F346)*3+SUM(F348:F351,F354:F355)+SUM(F357:F364)*9+SUM(F366:F369,F371:F373)</f>
        <v>232057.32496128001</v>
      </c>
      <c r="H160" s="82"/>
    </row>
    <row r="161" spans="1:14" s="32" customFormat="1" x14ac:dyDescent="0.25">
      <c r="A161" s="84" t="s">
        <v>251</v>
      </c>
      <c r="B161" s="84"/>
      <c r="C161" s="82">
        <f>COUNT(D383:D386)+COUNT(D392:D395)+COUNT(D401:D404)+COUNT(D410:D413)+COUNT(D415:D422)*20+COUNT(D424:D427,D430:D431)*3+COUNT(D433:D436,D439:D440)+COUNT(D442:D449)*9+COUNT(D451:D454,D456:D458)</f>
        <v>279</v>
      </c>
      <c r="D161" s="82"/>
      <c r="E161" s="82">
        <f>SUM(D383:D386)+SUM(D392:D395)+SUM(D401:D404)+SUM(D410:D413)+SUM(D415:D422)*20+SUM(D424:D427,D430:D431)*3+SUM(D433:D436,D439:D440)+SUM(D442:D449)*9+SUM(D451:D454,D456:D458)</f>
        <v>145035.82810079999</v>
      </c>
      <c r="F161" s="82"/>
      <c r="G161" s="82">
        <f>SUM(F383:F386)+SUM(F392:F395)+SUM(F401:F404)+SUM(F410:F413)+SUM(F415:F422)*20+SUM(F424:F427,F430:F431)*3+SUM(F433:F436,F439:F440)+SUM(F442:F449)*9+SUM(F451:F454,F456:F458)</f>
        <v>232057.32496128001</v>
      </c>
      <c r="H161" s="82"/>
      <c r="I161" s="32">
        <f>279*3</f>
        <v>837</v>
      </c>
    </row>
    <row r="162" spans="1:14" x14ac:dyDescent="0.25">
      <c r="A162" s="128" t="s">
        <v>150</v>
      </c>
      <c r="B162" s="128"/>
      <c r="C162" s="129">
        <f t="shared" ref="C162:G162" si="1">SUM(C159:D161)</f>
        <v>837</v>
      </c>
      <c r="D162" s="129"/>
      <c r="E162" s="129">
        <f t="shared" si="1"/>
        <v>435107.48430239997</v>
      </c>
      <c r="F162" s="129"/>
      <c r="G162" s="129">
        <f t="shared" si="1"/>
        <v>696171.97488384007</v>
      </c>
      <c r="H162" s="129"/>
    </row>
    <row r="163" spans="1:14" x14ac:dyDescent="0.25">
      <c r="A163" s="128" t="s">
        <v>198</v>
      </c>
      <c r="B163" s="128"/>
      <c r="C163" s="128">
        <f>C156+C162</f>
        <v>885</v>
      </c>
      <c r="D163" s="152"/>
      <c r="E163" s="128">
        <f t="shared" ref="E163" si="2">E156+E162</f>
        <v>445106.41470359999</v>
      </c>
      <c r="F163" s="152"/>
      <c r="G163" s="128">
        <f t="shared" ref="G163" si="3">G156+G162</f>
        <v>712170.26352576003</v>
      </c>
      <c r="H163" s="152"/>
    </row>
    <row r="164" spans="1:14" s="35" customFormat="1" x14ac:dyDescent="0.25">
      <c r="A164" s="189" t="s">
        <v>54</v>
      </c>
      <c r="B164" s="189"/>
      <c r="C164" s="189"/>
      <c r="D164" s="189"/>
      <c r="E164" s="189"/>
      <c r="F164" s="189"/>
      <c r="G164" s="189"/>
      <c r="H164" s="189"/>
    </row>
    <row r="165" spans="1:14" s="35" customFormat="1" ht="15.75" customHeight="1" x14ac:dyDescent="0.25">
      <c r="A165" s="194" t="s">
        <v>259</v>
      </c>
      <c r="B165" s="194"/>
      <c r="C165" s="194"/>
      <c r="D165" s="194"/>
      <c r="E165" s="194"/>
      <c r="F165" s="194"/>
      <c r="G165" s="194"/>
      <c r="H165" s="194"/>
      <c r="J165" s="34"/>
    </row>
    <row r="166" spans="1:14" s="35" customFormat="1" ht="55.5" customHeight="1" x14ac:dyDescent="0.25">
      <c r="A166" s="150" t="s">
        <v>118</v>
      </c>
      <c r="B166" s="150" t="s">
        <v>117</v>
      </c>
      <c r="C166" s="150" t="s">
        <v>55</v>
      </c>
      <c r="D166" s="150" t="s">
        <v>56</v>
      </c>
      <c r="E166" s="208" t="s">
        <v>155</v>
      </c>
      <c r="F166" s="41" t="s">
        <v>149</v>
      </c>
      <c r="G166" s="137" t="s">
        <v>58</v>
      </c>
      <c r="H166" s="138"/>
      <c r="J166" s="34"/>
    </row>
    <row r="167" spans="1:14" s="35" customFormat="1" ht="15.75" customHeight="1" x14ac:dyDescent="0.25">
      <c r="A167" s="151"/>
      <c r="B167" s="151"/>
      <c r="C167" s="151"/>
      <c r="D167" s="151"/>
      <c r="E167" s="209"/>
      <c r="F167" s="13">
        <v>0.6</v>
      </c>
      <c r="G167" s="139"/>
      <c r="H167" s="140"/>
      <c r="I167" s="34"/>
      <c r="L167" s="58"/>
      <c r="M167" s="58"/>
      <c r="N167" s="34"/>
    </row>
    <row r="168" spans="1:14" s="35" customFormat="1" ht="15.75" customHeight="1" x14ac:dyDescent="0.25">
      <c r="A168" s="87" t="s">
        <v>267</v>
      </c>
      <c r="B168" s="88"/>
      <c r="C168" s="88"/>
      <c r="D168" s="88"/>
      <c r="E168" s="88"/>
      <c r="F168" s="88"/>
      <c r="G168" s="88"/>
      <c r="H168" s="89"/>
      <c r="I168" s="34"/>
      <c r="L168" s="58"/>
      <c r="M168" s="58"/>
      <c r="N168" s="34"/>
    </row>
    <row r="169" spans="1:14" s="35" customFormat="1" ht="15.75" customHeight="1" x14ac:dyDescent="0.25">
      <c r="A169" s="74" t="s">
        <v>183</v>
      </c>
      <c r="B169" s="75"/>
      <c r="C169" s="75"/>
      <c r="D169" s="75"/>
      <c r="E169" s="75"/>
      <c r="F169" s="75"/>
      <c r="G169" s="75"/>
      <c r="H169" s="76"/>
      <c r="I169" s="34"/>
      <c r="L169" s="58"/>
      <c r="M169" s="58"/>
      <c r="N169" s="34"/>
    </row>
    <row r="170" spans="1:14" s="35" customFormat="1" ht="15.75" customHeight="1" x14ac:dyDescent="0.25">
      <c r="A170" s="62">
        <v>1</v>
      </c>
      <c r="B170" s="63"/>
      <c r="C170" s="40" t="s">
        <v>184</v>
      </c>
      <c r="D170" s="56">
        <f>(2.89*6.03+0.12*0.68+1.8*1.12)*(10.764)</f>
        <v>210.15956520000003</v>
      </c>
      <c r="E170" s="40">
        <v>0</v>
      </c>
      <c r="F170" s="40">
        <f t="shared" ref="F170:F177" si="4">(D170+E170)*(($F$167)+1)</f>
        <v>336.25530432000005</v>
      </c>
      <c r="G170" s="77" t="str">
        <f>A169</f>
        <v>Ground Floor For Part Commercial &amp; Meter Room, Fire Control Room &amp; Society Office</v>
      </c>
      <c r="H170" s="77"/>
      <c r="I170" s="34"/>
      <c r="L170" s="58"/>
      <c r="M170" s="58"/>
      <c r="N170" s="34"/>
    </row>
    <row r="171" spans="1:14" s="35" customFormat="1" ht="15.75" customHeight="1" x14ac:dyDescent="0.25">
      <c r="A171" s="62">
        <f>A170+1</f>
        <v>2</v>
      </c>
      <c r="B171" s="63"/>
      <c r="C171" s="40" t="s">
        <v>184</v>
      </c>
      <c r="D171" s="56">
        <f>(2.99*6.1+0.13*2.45+0.2*2.45+2.13*1.05)*(10.764)</f>
        <v>229.10097599999997</v>
      </c>
      <c r="E171" s="40">
        <v>0</v>
      </c>
      <c r="F171" s="40">
        <f t="shared" si="4"/>
        <v>366.5615616</v>
      </c>
      <c r="G171" s="77"/>
      <c r="H171" s="77"/>
      <c r="I171" s="34"/>
      <c r="L171" s="58"/>
      <c r="M171" s="58"/>
      <c r="N171" s="34"/>
    </row>
    <row r="172" spans="1:14" s="35" customFormat="1" ht="15.75" customHeight="1" x14ac:dyDescent="0.25">
      <c r="A172" s="62">
        <f t="shared" ref="A172:A177" si="5">A171+1</f>
        <v>3</v>
      </c>
      <c r="B172" s="63"/>
      <c r="C172" s="40" t="s">
        <v>184</v>
      </c>
      <c r="D172" s="56">
        <f>(3.04*2.83+0.22*1+1.37*0.62+1.67*1.25+1.5*7.25+0.53*1.8+1.05*1.8)*(10.764)</f>
        <v>274.25703240000001</v>
      </c>
      <c r="E172" s="40">
        <v>0</v>
      </c>
      <c r="F172" s="40">
        <f t="shared" si="4"/>
        <v>438.81125184000007</v>
      </c>
      <c r="G172" s="77"/>
      <c r="H172" s="77"/>
      <c r="I172" s="34"/>
      <c r="L172" s="58"/>
      <c r="M172" s="58"/>
      <c r="N172" s="34"/>
    </row>
    <row r="173" spans="1:14" s="35" customFormat="1" ht="15.75" customHeight="1" x14ac:dyDescent="0.25">
      <c r="A173" s="62">
        <f t="shared" si="5"/>
        <v>4</v>
      </c>
      <c r="B173" s="63"/>
      <c r="C173" s="40" t="s">
        <v>184</v>
      </c>
      <c r="D173" s="56">
        <f>(3.04*4.7+0.15*1.25+1.55*0.75+2.04*1.8+1.05*1.8)*(10.764)</f>
        <v>228.19679999999997</v>
      </c>
      <c r="E173" s="40">
        <v>0</v>
      </c>
      <c r="F173" s="40">
        <f t="shared" si="4"/>
        <v>365.11487999999997</v>
      </c>
      <c r="G173" s="77"/>
      <c r="H173" s="77"/>
      <c r="I173" s="34"/>
      <c r="L173" s="58"/>
      <c r="M173" s="58"/>
      <c r="N173" s="34"/>
    </row>
    <row r="174" spans="1:14" s="35" customFormat="1" ht="15.75" customHeight="1" x14ac:dyDescent="0.25">
      <c r="A174" s="62">
        <f t="shared" si="5"/>
        <v>5</v>
      </c>
      <c r="B174" s="63"/>
      <c r="C174" s="40" t="s">
        <v>184</v>
      </c>
      <c r="D174" s="56">
        <f>(2.7*4.7+0.23*2.87+1.84*2.55+1.05*1.8)*(10.764)</f>
        <v>214.54912440000001</v>
      </c>
      <c r="E174" s="40">
        <v>0</v>
      </c>
      <c r="F174" s="40">
        <f t="shared" si="4"/>
        <v>343.27859904000002</v>
      </c>
      <c r="G174" s="77"/>
      <c r="H174" s="77"/>
      <c r="I174" s="34"/>
      <c r="L174" s="58"/>
      <c r="M174" s="58"/>
      <c r="N174" s="34"/>
    </row>
    <row r="175" spans="1:14" s="35" customFormat="1" ht="15.75" customHeight="1" x14ac:dyDescent="0.25">
      <c r="A175" s="62">
        <f t="shared" si="5"/>
        <v>6</v>
      </c>
      <c r="B175" s="63"/>
      <c r="C175" s="40" t="s">
        <v>184</v>
      </c>
      <c r="D175" s="56">
        <f>(3.11*4.7+1.89*2.55+1.05*1.8)*(10.764)</f>
        <v>229.55844599999998</v>
      </c>
      <c r="E175" s="40">
        <v>0</v>
      </c>
      <c r="F175" s="40">
        <f t="shared" si="4"/>
        <v>367.29351359999998</v>
      </c>
      <c r="G175" s="77"/>
      <c r="H175" s="77"/>
      <c r="J175" s="34"/>
    </row>
    <row r="176" spans="1:14" s="35" customFormat="1" ht="15.75" customHeight="1" x14ac:dyDescent="0.25">
      <c r="A176" s="62">
        <f t="shared" si="5"/>
        <v>7</v>
      </c>
      <c r="B176" s="63"/>
      <c r="C176" s="40" t="s">
        <v>184</v>
      </c>
      <c r="D176" s="56">
        <f>(2.99*6.1+0.2*2.45+0.13*2.45+2.13*1.05)*(10.764)</f>
        <v>229.10097599999997</v>
      </c>
      <c r="E176" s="40">
        <v>0</v>
      </c>
      <c r="F176" s="40">
        <f t="shared" si="4"/>
        <v>366.5615616</v>
      </c>
      <c r="G176" s="77"/>
      <c r="H176" s="77"/>
      <c r="I176" s="34"/>
      <c r="L176" s="58"/>
      <c r="M176" s="58"/>
      <c r="N176" s="34"/>
    </row>
    <row r="177" spans="1:14" s="35" customFormat="1" ht="15.75" customHeight="1" x14ac:dyDescent="0.25">
      <c r="A177" s="62">
        <f t="shared" si="5"/>
        <v>8</v>
      </c>
      <c r="B177" s="63"/>
      <c r="C177" s="40" t="s">
        <v>184</v>
      </c>
      <c r="D177" s="56">
        <f>(2.89*6.03+0.13*0.62+1.8*1.13)*(10.764)</f>
        <v>210.3425532</v>
      </c>
      <c r="E177" s="40">
        <v>0</v>
      </c>
      <c r="F177" s="40">
        <f t="shared" si="4"/>
        <v>336.54808512</v>
      </c>
      <c r="G177" s="77"/>
      <c r="H177" s="77"/>
      <c r="I177" s="34"/>
      <c r="L177" s="58"/>
      <c r="M177" s="58"/>
      <c r="N177" s="34"/>
    </row>
    <row r="178" spans="1:14" s="35" customFormat="1" ht="15.75" customHeight="1" x14ac:dyDescent="0.25">
      <c r="A178" s="74" t="s">
        <v>185</v>
      </c>
      <c r="B178" s="75"/>
      <c r="C178" s="75"/>
      <c r="D178" s="75"/>
      <c r="E178" s="75"/>
      <c r="F178" s="75"/>
      <c r="G178" s="75"/>
      <c r="H178" s="76"/>
      <c r="I178" s="34"/>
      <c r="L178" s="58"/>
      <c r="M178" s="58"/>
      <c r="N178" s="34"/>
    </row>
    <row r="179" spans="1:14" s="35" customFormat="1" ht="15.75" customHeight="1" x14ac:dyDescent="0.25">
      <c r="A179" s="90">
        <v>1</v>
      </c>
      <c r="B179" s="91"/>
      <c r="C179" s="54" t="s">
        <v>184</v>
      </c>
      <c r="D179" s="56">
        <f>(3.04*3.65+3.09*2.45+2.19*1.22+0.05*0.67+1.8*1.05)*(10.764)</f>
        <v>250.39001519999999</v>
      </c>
      <c r="E179" s="40">
        <v>0</v>
      </c>
      <c r="F179" s="40">
        <f t="shared" ref="F179:F186" si="6">(D179+E179)*(($F$167)+1)</f>
        <v>400.62402431999999</v>
      </c>
      <c r="G179" s="64" t="str">
        <f>A178</f>
        <v>1st Podium Floor Part Commercial &amp; Meter Room, LV Room &amp; Panel Room</v>
      </c>
      <c r="H179" s="66"/>
      <c r="I179" s="34"/>
      <c r="L179" s="58"/>
      <c r="M179" s="58"/>
      <c r="N179" s="34"/>
    </row>
    <row r="180" spans="1:14" s="35" customFormat="1" ht="15.75" customHeight="1" x14ac:dyDescent="0.25">
      <c r="A180" s="90" t="s">
        <v>260</v>
      </c>
      <c r="B180" s="91"/>
      <c r="C180" s="54" t="s">
        <v>184</v>
      </c>
      <c r="D180" s="57">
        <f>(3.04*3.65+3.19*1.08)*(10.764)</f>
        <v>156.52147679999999</v>
      </c>
      <c r="E180" s="40">
        <v>0</v>
      </c>
      <c r="F180" s="40">
        <f t="shared" ref="F180" si="7">(D180+E180)*(($F$167)+1)</f>
        <v>250.43436287999998</v>
      </c>
      <c r="G180" s="67"/>
      <c r="H180" s="69"/>
      <c r="I180" s="34"/>
      <c r="L180" s="58"/>
      <c r="M180" s="58"/>
      <c r="N180" s="34"/>
    </row>
    <row r="181" spans="1:14" s="35" customFormat="1" ht="15.75" customHeight="1" x14ac:dyDescent="0.25">
      <c r="A181" s="62">
        <v>2</v>
      </c>
      <c r="B181" s="63"/>
      <c r="C181" s="40" t="s">
        <v>184</v>
      </c>
      <c r="D181" s="57">
        <f>(3.09*2.83+0.15*1.24+1.42*1.87+0.1*0.69+1.5*4.14+1.5*1.05)*(10.764)</f>
        <v>209.25323639999996</v>
      </c>
      <c r="E181" s="40">
        <v>0</v>
      </c>
      <c r="F181" s="40">
        <f t="shared" si="6"/>
        <v>334.80517823999998</v>
      </c>
      <c r="G181" s="67"/>
      <c r="H181" s="69"/>
      <c r="I181" s="34"/>
      <c r="L181" s="58"/>
      <c r="M181" s="58"/>
      <c r="N181" s="34"/>
    </row>
    <row r="182" spans="1:14" s="35" customFormat="1" ht="15.75" customHeight="1" x14ac:dyDescent="0.25">
      <c r="A182" s="62">
        <f>A181+1</f>
        <v>3</v>
      </c>
      <c r="B182" s="63"/>
      <c r="C182" s="40" t="s">
        <v>184</v>
      </c>
      <c r="D182" s="57">
        <f>(3.09*3.22+1.67*2.08+1.42*1.37)*(10.764)</f>
        <v>165.42976319999997</v>
      </c>
      <c r="E182" s="40">
        <v>0</v>
      </c>
      <c r="F182" s="40">
        <f t="shared" si="6"/>
        <v>264.68762111999996</v>
      </c>
      <c r="G182" s="67"/>
      <c r="H182" s="69"/>
      <c r="I182" s="34"/>
      <c r="L182" s="58"/>
      <c r="M182" s="58"/>
      <c r="N182" s="34"/>
    </row>
    <row r="183" spans="1:14" s="35" customFormat="1" ht="15.75" customHeight="1" x14ac:dyDescent="0.25">
      <c r="A183" s="62">
        <f t="shared" ref="A183:A185" si="8">A182+1</f>
        <v>4</v>
      </c>
      <c r="B183" s="63"/>
      <c r="C183" s="40" t="s">
        <v>184</v>
      </c>
      <c r="D183" s="56">
        <f>(2.7*3.22+0.23*1.4+1.78*2.08+1.05*1.38)*(10.764)</f>
        <v>152.4978936</v>
      </c>
      <c r="E183" s="40">
        <v>0</v>
      </c>
      <c r="F183" s="40">
        <f t="shared" si="6"/>
        <v>243.99662976000002</v>
      </c>
      <c r="G183" s="67"/>
      <c r="H183" s="69"/>
      <c r="J183" s="34"/>
    </row>
    <row r="184" spans="1:14" s="35" customFormat="1" ht="15.75" customHeight="1" x14ac:dyDescent="0.25">
      <c r="A184" s="62">
        <f t="shared" si="8"/>
        <v>5</v>
      </c>
      <c r="B184" s="63"/>
      <c r="C184" s="40" t="s">
        <v>184</v>
      </c>
      <c r="D184" s="56">
        <f>(3.1*3.22+1.05*1.38+1.95*2.08)*(10.764)</f>
        <v>166.702068</v>
      </c>
      <c r="E184" s="40">
        <v>0</v>
      </c>
      <c r="F184" s="40">
        <f t="shared" si="6"/>
        <v>266.72330879999998</v>
      </c>
      <c r="G184" s="67"/>
      <c r="H184" s="69"/>
      <c r="J184" s="34"/>
    </row>
    <row r="185" spans="1:14" s="35" customFormat="1" ht="15.75" customHeight="1" x14ac:dyDescent="0.25">
      <c r="A185" s="90">
        <f t="shared" si="8"/>
        <v>6</v>
      </c>
      <c r="B185" s="91"/>
      <c r="C185" s="54" t="s">
        <v>184</v>
      </c>
      <c r="D185" s="56">
        <f>(3.04*3.65+3.19*1.08)*(10.764)</f>
        <v>156.52147679999999</v>
      </c>
      <c r="E185" s="40">
        <v>0</v>
      </c>
      <c r="F185" s="40">
        <f t="shared" ref="F185" si="9">(D185+E185)*(($F$167)+1)</f>
        <v>250.43436287999998</v>
      </c>
      <c r="G185" s="67"/>
      <c r="H185" s="69"/>
      <c r="I185" s="34"/>
      <c r="L185" s="58"/>
      <c r="M185" s="58"/>
      <c r="N185" s="34"/>
    </row>
    <row r="186" spans="1:14" s="35" customFormat="1" ht="15.75" customHeight="1" x14ac:dyDescent="0.25">
      <c r="A186" s="90" t="s">
        <v>261</v>
      </c>
      <c r="B186" s="91"/>
      <c r="C186" s="54" t="s">
        <v>184</v>
      </c>
      <c r="D186" s="56">
        <f>(3.04*3.65+3.09*2.45+2.19*1.22+0.05*0.68+1.8*1.05)*(10.764)</f>
        <v>250.39539719999999</v>
      </c>
      <c r="E186" s="40">
        <v>0</v>
      </c>
      <c r="F186" s="40">
        <f t="shared" si="6"/>
        <v>400.63263552000001</v>
      </c>
      <c r="G186" s="70"/>
      <c r="H186" s="72"/>
      <c r="I186" s="34"/>
      <c r="L186" s="58"/>
      <c r="M186" s="58"/>
      <c r="N186" s="34"/>
    </row>
    <row r="187" spans="1:14" s="35" customFormat="1" ht="15.75" customHeight="1" x14ac:dyDescent="0.25">
      <c r="A187" s="87" t="s">
        <v>268</v>
      </c>
      <c r="B187" s="88"/>
      <c r="C187" s="88"/>
      <c r="D187" s="88"/>
      <c r="E187" s="88"/>
      <c r="F187" s="88"/>
      <c r="G187" s="88"/>
      <c r="H187" s="89"/>
      <c r="I187" s="34"/>
      <c r="L187" s="58"/>
      <c r="M187" s="58"/>
      <c r="N187" s="34"/>
    </row>
    <row r="188" spans="1:14" s="35" customFormat="1" ht="15.75" customHeight="1" x14ac:dyDescent="0.25">
      <c r="A188" s="130" t="s">
        <v>183</v>
      </c>
      <c r="B188" s="131"/>
      <c r="C188" s="131"/>
      <c r="D188" s="131"/>
      <c r="E188" s="131"/>
      <c r="F188" s="131"/>
      <c r="G188" s="131"/>
      <c r="H188" s="132"/>
      <c r="I188" s="34"/>
      <c r="L188" s="58"/>
      <c r="M188" s="58"/>
      <c r="N188" s="34"/>
    </row>
    <row r="189" spans="1:14" s="35" customFormat="1" ht="15.75" customHeight="1" x14ac:dyDescent="0.25">
      <c r="A189" s="62">
        <v>9</v>
      </c>
      <c r="B189" s="63"/>
      <c r="C189" s="40" t="s">
        <v>184</v>
      </c>
      <c r="D189" s="40">
        <f>(2.89*6.03+0.13*0.62+1.8*1.13)*(10.764)</f>
        <v>210.3425532</v>
      </c>
      <c r="E189" s="40">
        <v>0</v>
      </c>
      <c r="F189" s="40">
        <f t="shared" ref="F189:F195" si="10">(D189+E189)*(($F$167)+1)</f>
        <v>336.54808512</v>
      </c>
      <c r="G189" s="77" t="str">
        <f>A188</f>
        <v>Ground Floor For Part Commercial &amp; Meter Room, Fire Control Room &amp; Society Office</v>
      </c>
      <c r="H189" s="77"/>
      <c r="I189" s="34"/>
      <c r="L189" s="58"/>
      <c r="M189" s="58"/>
      <c r="N189" s="34"/>
    </row>
    <row r="190" spans="1:14" s="35" customFormat="1" ht="15.75" customHeight="1" x14ac:dyDescent="0.25">
      <c r="A190" s="62">
        <f>A189+1</f>
        <v>10</v>
      </c>
      <c r="B190" s="63"/>
      <c r="C190" s="40" t="s">
        <v>184</v>
      </c>
      <c r="D190" s="40">
        <f>(2.99*6.1+0.2*2.45+0.13*2.45+2.13*1.05)*(10.764)</f>
        <v>229.10097599999997</v>
      </c>
      <c r="E190" s="40">
        <v>0</v>
      </c>
      <c r="F190" s="40">
        <f t="shared" si="10"/>
        <v>366.5615616</v>
      </c>
      <c r="G190" s="77"/>
      <c r="H190" s="77"/>
      <c r="I190" s="34"/>
      <c r="L190" s="58"/>
      <c r="M190" s="58"/>
      <c r="N190" s="34"/>
    </row>
    <row r="191" spans="1:14" s="35" customFormat="1" ht="15.75" customHeight="1" x14ac:dyDescent="0.25">
      <c r="A191" s="62">
        <f t="shared" ref="A191:A192" si="11">A190+1</f>
        <v>11</v>
      </c>
      <c r="B191" s="63"/>
      <c r="C191" s="40" t="s">
        <v>184</v>
      </c>
      <c r="D191" s="40">
        <f>(3.11*4.7+1.89*2.55+1.05*1.8)*(10.764)</f>
        <v>229.55844599999998</v>
      </c>
      <c r="E191" s="40">
        <v>0</v>
      </c>
      <c r="F191" s="40">
        <f t="shared" si="10"/>
        <v>367.29351359999998</v>
      </c>
      <c r="G191" s="77"/>
      <c r="H191" s="77"/>
      <c r="I191" s="34"/>
      <c r="L191" s="58"/>
      <c r="M191" s="58"/>
      <c r="N191" s="34"/>
    </row>
    <row r="192" spans="1:14" s="35" customFormat="1" ht="15.75" customHeight="1" x14ac:dyDescent="0.25">
      <c r="A192" s="62">
        <f t="shared" si="11"/>
        <v>12</v>
      </c>
      <c r="B192" s="63"/>
      <c r="C192" s="40" t="s">
        <v>184</v>
      </c>
      <c r="D192" s="40">
        <f>(2.7*4.7+0.23*2.87+1.84*2.55+1.05*1.8)*(10.764)</f>
        <v>214.54912440000001</v>
      </c>
      <c r="E192" s="40">
        <v>0</v>
      </c>
      <c r="F192" s="40">
        <f t="shared" si="10"/>
        <v>343.27859904000002</v>
      </c>
      <c r="G192" s="77"/>
      <c r="H192" s="77"/>
      <c r="I192" s="34"/>
      <c r="L192" s="58"/>
      <c r="M192" s="58"/>
      <c r="N192" s="34"/>
    </row>
    <row r="193" spans="1:14" s="35" customFormat="1" ht="15.75" customHeight="1" x14ac:dyDescent="0.25">
      <c r="A193" s="62">
        <f t="shared" ref="A193" si="12">A192+1</f>
        <v>13</v>
      </c>
      <c r="B193" s="63"/>
      <c r="C193" s="40" t="s">
        <v>184</v>
      </c>
      <c r="D193" s="40">
        <f>(3.04*4.7+0.15*1.25+1.55*0.75+2.04*1.8+1.05*1.8)*(10.764)</f>
        <v>228.19679999999997</v>
      </c>
      <c r="E193" s="40">
        <v>0</v>
      </c>
      <c r="F193" s="40">
        <f t="shared" si="10"/>
        <v>365.11487999999997</v>
      </c>
      <c r="G193" s="77"/>
      <c r="H193" s="77"/>
      <c r="I193" s="34"/>
      <c r="L193" s="58"/>
      <c r="M193" s="58"/>
      <c r="N193" s="34"/>
    </row>
    <row r="194" spans="1:14" s="35" customFormat="1" ht="15.75" customHeight="1" x14ac:dyDescent="0.25">
      <c r="A194" s="62">
        <f t="shared" ref="A194" si="13">A193+1</f>
        <v>14</v>
      </c>
      <c r="B194" s="63"/>
      <c r="C194" s="40" t="s">
        <v>184</v>
      </c>
      <c r="D194" s="40">
        <f>(3.04*2.83+0.22*1+1.37*0.62+1.67*1.25+1.5*7.25+0.53*1.8+1.05*1.8)*(10.764)</f>
        <v>274.25703240000001</v>
      </c>
      <c r="E194" s="40">
        <v>0</v>
      </c>
      <c r="F194" s="40">
        <f t="shared" si="10"/>
        <v>438.81125184000007</v>
      </c>
      <c r="G194" s="77"/>
      <c r="H194" s="77"/>
      <c r="J194" s="34"/>
    </row>
    <row r="195" spans="1:14" s="35" customFormat="1" ht="15.75" customHeight="1" x14ac:dyDescent="0.25">
      <c r="A195" s="62">
        <f t="shared" ref="A195:A196" si="14">A194+1</f>
        <v>15</v>
      </c>
      <c r="B195" s="63"/>
      <c r="C195" s="40" t="s">
        <v>184</v>
      </c>
      <c r="D195" s="40">
        <f>(2.99*6.1+0.13*2.45+0.2*2.45+2.13*1.05)*(10.764)</f>
        <v>229.10097599999997</v>
      </c>
      <c r="E195" s="40">
        <v>0</v>
      </c>
      <c r="F195" s="40">
        <f t="shared" si="10"/>
        <v>366.5615616</v>
      </c>
      <c r="G195" s="77"/>
      <c r="H195" s="77"/>
      <c r="I195" s="34"/>
      <c r="L195" s="58"/>
      <c r="M195" s="58"/>
      <c r="N195" s="34"/>
    </row>
    <row r="196" spans="1:14" s="35" customFormat="1" ht="15.75" customHeight="1" x14ac:dyDescent="0.25">
      <c r="A196" s="62">
        <f t="shared" si="14"/>
        <v>16</v>
      </c>
      <c r="B196" s="63"/>
      <c r="C196" s="40" t="s">
        <v>184</v>
      </c>
      <c r="D196" s="40">
        <f>(2.89*6.03+0.12*0.68+1.8*1.12)*(10.764)</f>
        <v>210.15956520000003</v>
      </c>
      <c r="E196" s="40">
        <v>0</v>
      </c>
      <c r="F196" s="40">
        <f t="shared" ref="F196" si="15">(D196+E196)*(($F$167)+1)</f>
        <v>336.25530432000005</v>
      </c>
      <c r="G196" s="77"/>
      <c r="H196" s="77"/>
      <c r="I196" s="34"/>
      <c r="L196" s="58"/>
      <c r="M196" s="58"/>
      <c r="N196" s="34"/>
    </row>
    <row r="197" spans="1:14" s="35" customFormat="1" ht="15.75" customHeight="1" x14ac:dyDescent="0.25">
      <c r="A197" s="130" t="s">
        <v>185</v>
      </c>
      <c r="B197" s="131"/>
      <c r="C197" s="131"/>
      <c r="D197" s="131"/>
      <c r="E197" s="131"/>
      <c r="F197" s="131"/>
      <c r="G197" s="131"/>
      <c r="H197" s="132"/>
      <c r="I197" s="34"/>
      <c r="L197" s="58"/>
      <c r="M197" s="58"/>
      <c r="N197" s="34"/>
    </row>
    <row r="198" spans="1:14" s="35" customFormat="1" ht="15.75" customHeight="1" x14ac:dyDescent="0.25">
      <c r="A198" s="90">
        <v>7</v>
      </c>
      <c r="B198" s="91"/>
      <c r="C198" s="54" t="s">
        <v>184</v>
      </c>
      <c r="D198" s="54">
        <f>(3.04*3.65+3.09*2.45+2.19*1.22+0.05*0.68+1.8*1.05)*(10.764)</f>
        <v>250.39539719999999</v>
      </c>
      <c r="E198" s="54">
        <v>0</v>
      </c>
      <c r="F198" s="54">
        <f t="shared" ref="F198:F205" si="16">(D198+E198)*(($F$167)+1)</f>
        <v>400.63263552000001</v>
      </c>
      <c r="G198" s="133" t="str">
        <f>A197</f>
        <v>1st Podium Floor Part Commercial &amp; Meter Room, LV Room &amp; Panel Room</v>
      </c>
      <c r="H198" s="134"/>
      <c r="I198" s="34"/>
      <c r="L198" s="58"/>
      <c r="M198" s="58"/>
      <c r="N198" s="34"/>
    </row>
    <row r="199" spans="1:14" s="35" customFormat="1" ht="15.75" customHeight="1" x14ac:dyDescent="0.25">
      <c r="A199" s="90" t="s">
        <v>263</v>
      </c>
      <c r="B199" s="91"/>
      <c r="C199" s="54" t="s">
        <v>184</v>
      </c>
      <c r="D199" s="54">
        <f>(3.04*3.65+3.19*1.08)*(10.764)</f>
        <v>156.52147679999999</v>
      </c>
      <c r="E199" s="54">
        <v>0</v>
      </c>
      <c r="F199" s="54">
        <f t="shared" ref="F199" si="17">(D199+E199)*(($F$167)+1)</f>
        <v>250.43436287999998</v>
      </c>
      <c r="G199" s="133"/>
      <c r="H199" s="134"/>
      <c r="I199" s="34"/>
      <c r="N199" s="34"/>
    </row>
    <row r="200" spans="1:14" s="35" customFormat="1" ht="15.75" customHeight="1" x14ac:dyDescent="0.25">
      <c r="A200" s="90">
        <f>A198+1</f>
        <v>8</v>
      </c>
      <c r="B200" s="91"/>
      <c r="C200" s="54" t="s">
        <v>184</v>
      </c>
      <c r="D200" s="54">
        <f>(3.1*3.22+1.05*1.38+1.95*2.08)*(10.764)</f>
        <v>166.702068</v>
      </c>
      <c r="E200" s="54">
        <v>0</v>
      </c>
      <c r="F200" s="54">
        <f t="shared" si="16"/>
        <v>266.72330879999998</v>
      </c>
      <c r="G200" s="133"/>
      <c r="H200" s="134"/>
      <c r="I200" s="34"/>
      <c r="L200" s="58"/>
      <c r="M200" s="58"/>
      <c r="N200" s="34"/>
    </row>
    <row r="201" spans="1:14" s="35" customFormat="1" ht="15.75" customHeight="1" x14ac:dyDescent="0.25">
      <c r="A201" s="90">
        <f t="shared" ref="A201:A202" si="18">A200+1</f>
        <v>9</v>
      </c>
      <c r="B201" s="91"/>
      <c r="C201" s="54" t="s">
        <v>184</v>
      </c>
      <c r="D201" s="54">
        <f>(2.7*3.22+0.23*1.4+1.78*2.08+1.05*1.38)*(10.764)</f>
        <v>152.4978936</v>
      </c>
      <c r="E201" s="54">
        <v>0</v>
      </c>
      <c r="F201" s="54">
        <f t="shared" si="16"/>
        <v>243.99662976000002</v>
      </c>
      <c r="G201" s="133"/>
      <c r="H201" s="134"/>
      <c r="I201" s="34"/>
      <c r="L201" s="58"/>
      <c r="M201" s="58"/>
      <c r="N201" s="34"/>
    </row>
    <row r="202" spans="1:14" s="35" customFormat="1" x14ac:dyDescent="0.25">
      <c r="A202" s="90">
        <f t="shared" si="18"/>
        <v>10</v>
      </c>
      <c r="B202" s="91"/>
      <c r="C202" s="54" t="s">
        <v>184</v>
      </c>
      <c r="D202" s="54">
        <f>(3.09*3.22+1.67*2.08+1.42*1.37)*(10.764)</f>
        <v>165.42976319999997</v>
      </c>
      <c r="E202" s="54">
        <v>0</v>
      </c>
      <c r="F202" s="54">
        <f t="shared" si="16"/>
        <v>264.68762111999996</v>
      </c>
      <c r="G202" s="133"/>
      <c r="H202" s="134"/>
      <c r="I202" s="34"/>
      <c r="N202" s="34"/>
    </row>
    <row r="203" spans="1:14" x14ac:dyDescent="0.25">
      <c r="A203" s="90">
        <f t="shared" ref="A203" si="19">A202+1</f>
        <v>11</v>
      </c>
      <c r="B203" s="91"/>
      <c r="C203" s="54" t="s">
        <v>184</v>
      </c>
      <c r="D203" s="54">
        <f>(3.09*2.83+0.15*1.24+1.42*1.87+0.1*0.69+1.5*4.14+1.5*1.05)*(10.764)</f>
        <v>209.25323639999996</v>
      </c>
      <c r="E203" s="54">
        <v>0</v>
      </c>
      <c r="F203" s="54">
        <f t="shared" si="16"/>
        <v>334.80517823999998</v>
      </c>
      <c r="G203" s="133"/>
      <c r="H203" s="134"/>
      <c r="I203" s="34"/>
    </row>
    <row r="204" spans="1:14" s="35" customFormat="1" x14ac:dyDescent="0.25">
      <c r="A204" s="90" t="s">
        <v>262</v>
      </c>
      <c r="B204" s="91"/>
      <c r="C204" s="54" t="s">
        <v>184</v>
      </c>
      <c r="D204" s="54">
        <f>(3.04*3.65+3.19*1.08)*(10.764)</f>
        <v>156.52147679999999</v>
      </c>
      <c r="E204" s="54">
        <v>0</v>
      </c>
      <c r="F204" s="54">
        <f t="shared" ref="F204" si="20">(D204+E204)*(($F$167)+1)</f>
        <v>250.43436287999998</v>
      </c>
      <c r="G204" s="133"/>
      <c r="H204" s="134"/>
      <c r="I204" s="34"/>
    </row>
    <row r="205" spans="1:14" s="35" customFormat="1" x14ac:dyDescent="0.25">
      <c r="A205" s="90">
        <v>12</v>
      </c>
      <c r="B205" s="91"/>
      <c r="C205" s="54" t="s">
        <v>184</v>
      </c>
      <c r="D205" s="54">
        <f>(3.04*3.65+0.05*0.67+3.09*2.45+2.19*1.22+1.8*1.05)*(10.764)</f>
        <v>250.39001519999999</v>
      </c>
      <c r="E205" s="54">
        <v>0</v>
      </c>
      <c r="F205" s="54">
        <f t="shared" si="16"/>
        <v>400.62402431999999</v>
      </c>
      <c r="G205" s="135"/>
      <c r="H205" s="136"/>
      <c r="I205" s="34"/>
    </row>
    <row r="206" spans="1:14" s="35" customFormat="1" ht="15.75" customHeight="1" x14ac:dyDescent="0.25">
      <c r="A206" s="87" t="s">
        <v>245</v>
      </c>
      <c r="B206" s="88"/>
      <c r="C206" s="88"/>
      <c r="D206" s="88"/>
      <c r="E206" s="88"/>
      <c r="F206" s="88"/>
      <c r="G206" s="88"/>
      <c r="H206" s="89"/>
      <c r="I206" s="34"/>
      <c r="L206" s="58"/>
      <c r="M206" s="58"/>
      <c r="N206" s="34"/>
    </row>
    <row r="207" spans="1:14" s="35" customFormat="1" ht="15.75" customHeight="1" x14ac:dyDescent="0.25">
      <c r="A207" s="74" t="s">
        <v>246</v>
      </c>
      <c r="B207" s="75"/>
      <c r="C207" s="75"/>
      <c r="D207" s="75"/>
      <c r="E207" s="75"/>
      <c r="F207" s="75"/>
      <c r="G207" s="75"/>
      <c r="H207" s="76"/>
      <c r="I207" s="34"/>
      <c r="L207" s="58"/>
      <c r="M207" s="58"/>
      <c r="N207" s="34"/>
    </row>
    <row r="208" spans="1:14" s="35" customFormat="1" ht="15.75" customHeight="1" x14ac:dyDescent="0.25">
      <c r="A208" s="62">
        <v>17</v>
      </c>
      <c r="B208" s="63"/>
      <c r="C208" s="40" t="s">
        <v>184</v>
      </c>
      <c r="D208" s="40">
        <f>(2.89*6.03+0.12*0.68+1.8*1.12)*(10.764)</f>
        <v>210.15956520000003</v>
      </c>
      <c r="E208" s="40">
        <v>0</v>
      </c>
      <c r="F208" s="40">
        <f t="shared" ref="F208:F215" si="21">(D208+E208)*(($F$167)+1)</f>
        <v>336.25530432000005</v>
      </c>
      <c r="G208" s="77" t="str">
        <f>A207</f>
        <v>Ground Floor For Part Commercial &amp; Meter Room, Panel Room &amp; Society Office</v>
      </c>
      <c r="H208" s="77"/>
      <c r="I208" s="34"/>
      <c r="L208" s="58"/>
      <c r="M208" s="58"/>
      <c r="N208" s="34"/>
    </row>
    <row r="209" spans="1:14" s="35" customFormat="1" ht="15.75" customHeight="1" x14ac:dyDescent="0.25">
      <c r="A209" s="62">
        <f>A208+1</f>
        <v>18</v>
      </c>
      <c r="B209" s="63"/>
      <c r="C209" s="40" t="s">
        <v>184</v>
      </c>
      <c r="D209" s="40">
        <f>(2.99*6.1+0.2*2.45+0.13*2.45+2.13*1.05)*(10.764)</f>
        <v>229.10097599999997</v>
      </c>
      <c r="E209" s="40">
        <v>0</v>
      </c>
      <c r="F209" s="40">
        <f t="shared" si="21"/>
        <v>366.5615616</v>
      </c>
      <c r="G209" s="77"/>
      <c r="H209" s="77"/>
      <c r="I209" s="34"/>
      <c r="L209" s="58"/>
      <c r="M209" s="58"/>
      <c r="N209" s="34"/>
    </row>
    <row r="210" spans="1:14" s="35" customFormat="1" ht="15.75" customHeight="1" x14ac:dyDescent="0.25">
      <c r="A210" s="62">
        <f t="shared" ref="A210:A215" si="22">A209+1</f>
        <v>19</v>
      </c>
      <c r="B210" s="63"/>
      <c r="C210" s="40" t="s">
        <v>184</v>
      </c>
      <c r="D210" s="40">
        <f>(3.04*2.83+1.37*0.62+1.67*1.25+0.22+1.5*7.25+0.53*1.8+1.05*1.8)*(10.764)</f>
        <v>274.25703240000001</v>
      </c>
      <c r="E210" s="40">
        <v>0</v>
      </c>
      <c r="F210" s="40">
        <f t="shared" si="21"/>
        <v>438.81125184000007</v>
      </c>
      <c r="G210" s="77"/>
      <c r="H210" s="77"/>
      <c r="I210" s="34"/>
      <c r="L210" s="58"/>
      <c r="M210" s="58"/>
      <c r="N210" s="34"/>
    </row>
    <row r="211" spans="1:14" s="35" customFormat="1" ht="15.75" customHeight="1" x14ac:dyDescent="0.25">
      <c r="A211" s="62">
        <f t="shared" si="22"/>
        <v>20</v>
      </c>
      <c r="B211" s="63"/>
      <c r="C211" s="40" t="s">
        <v>184</v>
      </c>
      <c r="D211" s="40">
        <f>(3.04*4.7+0.15*1.25+1.55*0.75+2.04*1.8+1.05*1.8)*(10.764)</f>
        <v>228.19679999999997</v>
      </c>
      <c r="E211" s="40">
        <v>0</v>
      </c>
      <c r="F211" s="40">
        <f t="shared" si="21"/>
        <v>365.11487999999997</v>
      </c>
      <c r="G211" s="77"/>
      <c r="H211" s="77"/>
      <c r="I211" s="34"/>
      <c r="L211" s="58"/>
      <c r="M211" s="58"/>
      <c r="N211" s="34"/>
    </row>
    <row r="212" spans="1:14" s="35" customFormat="1" ht="15.75" customHeight="1" x14ac:dyDescent="0.25">
      <c r="A212" s="62">
        <f t="shared" si="22"/>
        <v>21</v>
      </c>
      <c r="B212" s="63"/>
      <c r="C212" s="40" t="s">
        <v>184</v>
      </c>
      <c r="D212" s="40">
        <f>(2.7*4.7+0.23*2.87+1.84*2.55+1.05*1.8)*(10.764)</f>
        <v>214.54912440000001</v>
      </c>
      <c r="E212" s="40">
        <v>0</v>
      </c>
      <c r="F212" s="40">
        <f t="shared" si="21"/>
        <v>343.27859904000002</v>
      </c>
      <c r="G212" s="77"/>
      <c r="H212" s="77"/>
      <c r="I212" s="34"/>
      <c r="L212" s="58"/>
      <c r="M212" s="58"/>
      <c r="N212" s="34"/>
    </row>
    <row r="213" spans="1:14" s="35" customFormat="1" ht="15.75" customHeight="1" x14ac:dyDescent="0.25">
      <c r="A213" s="62">
        <f t="shared" si="22"/>
        <v>22</v>
      </c>
      <c r="B213" s="63"/>
      <c r="C213" s="40" t="s">
        <v>184</v>
      </c>
      <c r="D213" s="40">
        <f>(3.11*4.7+1.89*2.55+1.05*1.8)*(10.764)</f>
        <v>229.55844599999998</v>
      </c>
      <c r="E213" s="40">
        <v>0</v>
      </c>
      <c r="F213" s="40">
        <f t="shared" si="21"/>
        <v>367.29351359999998</v>
      </c>
      <c r="G213" s="77"/>
      <c r="H213" s="77"/>
      <c r="J213" s="34"/>
    </row>
    <row r="214" spans="1:14" s="35" customFormat="1" ht="15.75" customHeight="1" x14ac:dyDescent="0.25">
      <c r="A214" s="62">
        <f t="shared" si="22"/>
        <v>23</v>
      </c>
      <c r="B214" s="63"/>
      <c r="C214" s="40" t="s">
        <v>184</v>
      </c>
      <c r="D214" s="40">
        <f>(2.99*6.1+0.13*2.45+0.2*2.45+2.13*1.05)*(10.764)</f>
        <v>229.10097599999997</v>
      </c>
      <c r="E214" s="40">
        <v>0</v>
      </c>
      <c r="F214" s="40">
        <f t="shared" si="21"/>
        <v>366.5615616</v>
      </c>
      <c r="G214" s="77"/>
      <c r="H214" s="77"/>
      <c r="I214" s="34"/>
      <c r="L214" s="58"/>
      <c r="M214" s="58"/>
      <c r="N214" s="34"/>
    </row>
    <row r="215" spans="1:14" s="35" customFormat="1" ht="15.75" customHeight="1" x14ac:dyDescent="0.25">
      <c r="A215" s="62">
        <f t="shared" si="22"/>
        <v>24</v>
      </c>
      <c r="B215" s="63"/>
      <c r="C215" s="40" t="s">
        <v>184</v>
      </c>
      <c r="D215" s="40">
        <f>(2.89*6.03+0.13*0.62+1.8*1.13)*(10.764)</f>
        <v>210.3425532</v>
      </c>
      <c r="E215" s="40">
        <v>0</v>
      </c>
      <c r="F215" s="40">
        <f t="shared" si="21"/>
        <v>336.54808512</v>
      </c>
      <c r="G215" s="77"/>
      <c r="H215" s="77"/>
      <c r="I215" s="34"/>
      <c r="L215" s="58"/>
      <c r="M215" s="58"/>
      <c r="N215" s="34"/>
    </row>
    <row r="216" spans="1:14" s="35" customFormat="1" ht="15.75" customHeight="1" x14ac:dyDescent="0.25">
      <c r="A216" s="74" t="s">
        <v>185</v>
      </c>
      <c r="B216" s="75"/>
      <c r="C216" s="75"/>
      <c r="D216" s="75"/>
      <c r="E216" s="75"/>
      <c r="F216" s="75"/>
      <c r="G216" s="75"/>
      <c r="H216" s="76"/>
      <c r="I216" s="55">
        <v>10.763999999999999</v>
      </c>
      <c r="L216" s="58"/>
      <c r="M216" s="58"/>
      <c r="N216" s="34"/>
    </row>
    <row r="217" spans="1:14" s="35" customFormat="1" ht="15.75" customHeight="1" x14ac:dyDescent="0.25">
      <c r="A217" s="62">
        <v>13</v>
      </c>
      <c r="B217" s="63"/>
      <c r="C217" s="40" t="s">
        <v>184</v>
      </c>
      <c r="D217" s="56">
        <f>(3.04*3.65+3.09*2.45+2.19*1.22+0.05*0.67+1.8*1.05)*(10.764)</f>
        <v>250.39001519999999</v>
      </c>
      <c r="E217" s="40">
        <v>0</v>
      </c>
      <c r="F217" s="40">
        <f t="shared" ref="F217:F223" si="23">(D217+E217)*(($F$167)+1)</f>
        <v>400.62402431999999</v>
      </c>
      <c r="G217" s="64" t="str">
        <f>A216</f>
        <v>1st Podium Floor Part Commercial &amp; Meter Room, LV Room &amp; Panel Room</v>
      </c>
      <c r="H217" s="66"/>
      <c r="I217" s="34"/>
      <c r="L217" s="58"/>
      <c r="M217" s="58"/>
      <c r="N217" s="34"/>
    </row>
    <row r="218" spans="1:14" s="35" customFormat="1" ht="15.75" customHeight="1" x14ac:dyDescent="0.25">
      <c r="A218" s="62" t="s">
        <v>264</v>
      </c>
      <c r="B218" s="63"/>
      <c r="C218" s="40" t="s">
        <v>184</v>
      </c>
      <c r="D218" s="57">
        <f>(3.04*3.65+3.19*1.08)*(10.764)</f>
        <v>156.52147679999999</v>
      </c>
      <c r="E218" s="40">
        <v>0</v>
      </c>
      <c r="F218" s="40">
        <f t="shared" si="23"/>
        <v>250.43436287999998</v>
      </c>
      <c r="G218" s="67"/>
      <c r="H218" s="69"/>
      <c r="I218" s="34"/>
      <c r="L218" s="58"/>
      <c r="M218" s="58"/>
      <c r="N218" s="34"/>
    </row>
    <row r="219" spans="1:14" s="35" customFormat="1" ht="15.75" customHeight="1" x14ac:dyDescent="0.25">
      <c r="A219" s="62">
        <v>14</v>
      </c>
      <c r="B219" s="63"/>
      <c r="C219" s="40" t="s">
        <v>184</v>
      </c>
      <c r="D219" s="57">
        <f>(3.09*2.83+0.15*1.24+1.42*1.87+0.1*0.69+1.5*4.14+1.5*1.05)*(10.764)</f>
        <v>209.25323639999996</v>
      </c>
      <c r="E219" s="40">
        <v>0</v>
      </c>
      <c r="F219" s="40">
        <f t="shared" si="23"/>
        <v>334.80517823999998</v>
      </c>
      <c r="G219" s="67"/>
      <c r="H219" s="69"/>
      <c r="I219" s="34"/>
      <c r="L219" s="58"/>
      <c r="M219" s="58"/>
      <c r="N219" s="34"/>
    </row>
    <row r="220" spans="1:14" s="35" customFormat="1" x14ac:dyDescent="0.25">
      <c r="A220" s="62">
        <v>15</v>
      </c>
      <c r="B220" s="63"/>
      <c r="C220" s="40" t="s">
        <v>184</v>
      </c>
      <c r="D220" s="57">
        <f>(3.09*3.22+1.67*2.08+1.42*1.37)*(10.764)</f>
        <v>165.42976319999997</v>
      </c>
      <c r="E220" s="40">
        <v>0</v>
      </c>
      <c r="F220" s="40">
        <f t="shared" si="23"/>
        <v>264.68762111999996</v>
      </c>
      <c r="G220" s="67"/>
      <c r="H220" s="69"/>
      <c r="I220" s="34"/>
      <c r="N220" s="34"/>
    </row>
    <row r="221" spans="1:14" x14ac:dyDescent="0.25">
      <c r="A221" s="62">
        <v>16</v>
      </c>
      <c r="B221" s="63"/>
      <c r="C221" s="40" t="s">
        <v>184</v>
      </c>
      <c r="D221" s="56">
        <f>(2.7*3.22+0.23*1.4+1.78*2.08+1.05*1.38)*(10.764)</f>
        <v>152.4978936</v>
      </c>
      <c r="E221" s="40">
        <v>0</v>
      </c>
      <c r="F221" s="40">
        <f t="shared" si="23"/>
        <v>243.99662976000002</v>
      </c>
      <c r="G221" s="67"/>
      <c r="H221" s="69"/>
      <c r="I221" s="34"/>
    </row>
    <row r="222" spans="1:14" s="35" customFormat="1" x14ac:dyDescent="0.25">
      <c r="A222" s="62">
        <v>17</v>
      </c>
      <c r="B222" s="63"/>
      <c r="C222" s="40" t="s">
        <v>184</v>
      </c>
      <c r="D222" s="56">
        <f>(3.1*3.22+1.05*1.38+1.95*2.08)*(10.764)</f>
        <v>166.702068</v>
      </c>
      <c r="E222" s="40">
        <v>0</v>
      </c>
      <c r="F222" s="40">
        <f t="shared" ref="F222" si="24">(D222+E222)*(($F$167)+1)</f>
        <v>266.72330879999998</v>
      </c>
      <c r="G222" s="67"/>
      <c r="H222" s="69"/>
      <c r="I222" s="34"/>
    </row>
    <row r="223" spans="1:14" s="35" customFormat="1" x14ac:dyDescent="0.25">
      <c r="A223" s="62">
        <v>18</v>
      </c>
      <c r="B223" s="63"/>
      <c r="C223" s="40" t="s">
        <v>184</v>
      </c>
      <c r="D223" s="56">
        <f>(3.04*3.65+3.19*1.08)*(10.764)</f>
        <v>156.52147679999999</v>
      </c>
      <c r="E223" s="40">
        <v>0</v>
      </c>
      <c r="F223" s="40">
        <f t="shared" si="23"/>
        <v>250.43436287999998</v>
      </c>
      <c r="G223" s="67"/>
      <c r="H223" s="69"/>
      <c r="I223" s="34"/>
    </row>
    <row r="224" spans="1:14" s="35" customFormat="1" x14ac:dyDescent="0.25">
      <c r="A224" s="62" t="s">
        <v>265</v>
      </c>
      <c r="B224" s="63"/>
      <c r="C224" s="40" t="s">
        <v>184</v>
      </c>
      <c r="D224" s="56">
        <f>(3.04*3.65+3.09*2.45+2.19*1.22+0.05*0.68+1.8*1.05)*(10.764)</f>
        <v>250.39539719999999</v>
      </c>
      <c r="E224" s="40">
        <v>0</v>
      </c>
      <c r="F224" s="40">
        <f t="shared" ref="F224" si="25">(D224+E224)*(($F$167)+1)</f>
        <v>400.63263552000001</v>
      </c>
      <c r="G224" s="70"/>
      <c r="H224" s="72"/>
      <c r="I224" s="34"/>
    </row>
    <row r="225" spans="1:14" s="35" customFormat="1" x14ac:dyDescent="0.25">
      <c r="A225" s="62"/>
      <c r="B225" s="73"/>
      <c r="C225" s="73"/>
      <c r="D225" s="73"/>
      <c r="E225" s="73"/>
      <c r="F225" s="73"/>
      <c r="G225" s="73"/>
      <c r="H225" s="63"/>
      <c r="J225" s="34"/>
    </row>
    <row r="226" spans="1:14" s="35" customFormat="1" ht="47.25" x14ac:dyDescent="0.25">
      <c r="A226" s="137" t="s">
        <v>119</v>
      </c>
      <c r="B226" s="137" t="s">
        <v>120</v>
      </c>
      <c r="C226" s="150" t="s">
        <v>55</v>
      </c>
      <c r="D226" s="150" t="s">
        <v>56</v>
      </c>
      <c r="E226" s="208" t="s">
        <v>57</v>
      </c>
      <c r="F226" s="41" t="s">
        <v>149</v>
      </c>
      <c r="G226" s="137" t="s">
        <v>58</v>
      </c>
      <c r="H226" s="138"/>
      <c r="J226" s="34"/>
    </row>
    <row r="227" spans="1:14" s="35" customFormat="1" ht="15.75" customHeight="1" x14ac:dyDescent="0.25">
      <c r="A227" s="139"/>
      <c r="B227" s="139"/>
      <c r="C227" s="151"/>
      <c r="D227" s="151"/>
      <c r="E227" s="209"/>
      <c r="F227" s="13">
        <v>0.6</v>
      </c>
      <c r="G227" s="139"/>
      <c r="H227" s="140"/>
      <c r="I227" s="34"/>
      <c r="L227" s="58"/>
      <c r="M227" s="58"/>
      <c r="N227" s="34"/>
    </row>
    <row r="228" spans="1:14" s="35" customFormat="1" ht="15.75" customHeight="1" x14ac:dyDescent="0.25">
      <c r="A228" s="87" t="s">
        <v>267</v>
      </c>
      <c r="B228" s="88"/>
      <c r="C228" s="88"/>
      <c r="D228" s="88"/>
      <c r="E228" s="88"/>
      <c r="F228" s="88"/>
      <c r="G228" s="88"/>
      <c r="H228" s="89"/>
      <c r="I228" s="34"/>
      <c r="L228" s="58"/>
      <c r="M228" s="58"/>
      <c r="N228" s="34"/>
    </row>
    <row r="229" spans="1:14" s="35" customFormat="1" ht="15.75" customHeight="1" x14ac:dyDescent="0.25">
      <c r="A229" s="74" t="s">
        <v>186</v>
      </c>
      <c r="B229" s="75"/>
      <c r="C229" s="75"/>
      <c r="D229" s="75"/>
      <c r="E229" s="75"/>
      <c r="F229" s="75"/>
      <c r="G229" s="75"/>
      <c r="H229" s="76"/>
      <c r="I229" s="34">
        <v>1</v>
      </c>
      <c r="L229" s="58"/>
      <c r="M229" s="58"/>
      <c r="N229" s="34"/>
    </row>
    <row r="230" spans="1:14" s="35" customFormat="1" ht="15.75" customHeight="1" x14ac:dyDescent="0.25">
      <c r="A230" s="62">
        <v>1</v>
      </c>
      <c r="B230" s="63"/>
      <c r="C230" s="64" t="s">
        <v>187</v>
      </c>
      <c r="D230" s="65"/>
      <c r="E230" s="65"/>
      <c r="F230" s="66"/>
      <c r="G230" s="64" t="str">
        <f>A229</f>
        <v>2nd Podium Floor For Residential, Parking &amp; Meter Room</v>
      </c>
      <c r="H230" s="66"/>
      <c r="I230" s="34"/>
      <c r="L230" s="58"/>
      <c r="M230" s="58"/>
      <c r="N230" s="34"/>
    </row>
    <row r="231" spans="1:14" s="35" customFormat="1" ht="15.75" customHeight="1" x14ac:dyDescent="0.25">
      <c r="A231" s="62">
        <f t="shared" ref="A231:A237" si="26">A230+1</f>
        <v>2</v>
      </c>
      <c r="B231" s="63"/>
      <c r="C231" s="67"/>
      <c r="D231" s="68"/>
      <c r="E231" s="68"/>
      <c r="F231" s="69"/>
      <c r="G231" s="67"/>
      <c r="H231" s="69"/>
      <c r="I231" s="34">
        <f>3.04*5.47+2.18*2.42+1.58*0.2+3.04*3.55+3.04*3.8+2.12*1.38+1.98*1.38+3.44*0.98</f>
        <v>53.593600000000002</v>
      </c>
      <c r="L231" s="58"/>
      <c r="M231" s="58"/>
      <c r="N231" s="34"/>
    </row>
    <row r="232" spans="1:14" s="35" customFormat="1" ht="15.75" customHeight="1" x14ac:dyDescent="0.25">
      <c r="A232" s="62">
        <f t="shared" si="26"/>
        <v>3</v>
      </c>
      <c r="B232" s="63"/>
      <c r="C232" s="67"/>
      <c r="D232" s="68"/>
      <c r="E232" s="68"/>
      <c r="F232" s="69"/>
      <c r="G232" s="67"/>
      <c r="H232" s="69"/>
      <c r="I232" s="34"/>
      <c r="L232" s="58"/>
      <c r="M232" s="58"/>
      <c r="N232" s="34"/>
    </row>
    <row r="233" spans="1:14" s="35" customFormat="1" ht="15.75" customHeight="1" x14ac:dyDescent="0.25">
      <c r="A233" s="62">
        <f t="shared" si="26"/>
        <v>4</v>
      </c>
      <c r="B233" s="63"/>
      <c r="C233" s="70"/>
      <c r="D233" s="71"/>
      <c r="E233" s="71"/>
      <c r="F233" s="72"/>
      <c r="G233" s="67"/>
      <c r="H233" s="69"/>
      <c r="I233" s="34">
        <f>3.04*5.47+2.18*2.42+1.58*0.2+3.04*3.35+3.04*3.8+2.12*1.38+1.98*1.38+3.44*0.98</f>
        <v>52.985599999999998</v>
      </c>
      <c r="L233" s="58"/>
      <c r="M233" s="58"/>
      <c r="N233" s="34"/>
    </row>
    <row r="234" spans="1:14" s="35" customFormat="1" ht="15.75" customHeight="1" x14ac:dyDescent="0.25">
      <c r="A234" s="62">
        <f t="shared" si="26"/>
        <v>5</v>
      </c>
      <c r="B234" s="63"/>
      <c r="C234" s="40" t="s">
        <v>188</v>
      </c>
      <c r="D234" s="40">
        <f>56.83*10.764</f>
        <v>611.71812</v>
      </c>
      <c r="E234" s="40">
        <v>0</v>
      </c>
      <c r="F234" s="40">
        <f>D234*(($F$227)+1)+(IF(E234&lt;101,E234,IF(E234&lt;201,E234/2,IF(E234&lt;=301,E234/3,E234/4))))</f>
        <v>978.74899200000004</v>
      </c>
      <c r="G234" s="67"/>
      <c r="H234" s="69"/>
      <c r="I234" s="34">
        <f>3.04*5.47+2.43*1.82+3.09*2.75+1.5*1.83+0.1*0.6+1.39*1.88+0.05*0.45+1.49*0.6</f>
        <v>35.883599999999994</v>
      </c>
      <c r="L234" s="58"/>
      <c r="M234" s="58"/>
      <c r="N234" s="34"/>
    </row>
    <row r="235" spans="1:14" s="35" customFormat="1" x14ac:dyDescent="0.25">
      <c r="A235" s="62">
        <f t="shared" si="26"/>
        <v>6</v>
      </c>
      <c r="B235" s="63"/>
      <c r="C235" s="40" t="s">
        <v>189</v>
      </c>
      <c r="D235" s="40">
        <f>38.07*10.764</f>
        <v>409.78547999999995</v>
      </c>
      <c r="E235" s="40">
        <v>0</v>
      </c>
      <c r="F235" s="40">
        <f>D235*(($F$227)+1)+(IF(E235&lt;101,E235,IF(E235&lt;201,E235/2,IF(E235&lt;=301,E235/3,E235/4))))</f>
        <v>655.65676799999994</v>
      </c>
      <c r="G235" s="67"/>
      <c r="H235" s="69"/>
      <c r="J235" s="34"/>
    </row>
    <row r="236" spans="1:14" s="35" customFormat="1" ht="15.75" customHeight="1" x14ac:dyDescent="0.25">
      <c r="A236" s="62">
        <f t="shared" si="26"/>
        <v>7</v>
      </c>
      <c r="B236" s="63"/>
      <c r="C236" s="40" t="s">
        <v>189</v>
      </c>
      <c r="D236" s="40">
        <f>38.07*10.764</f>
        <v>409.78547999999995</v>
      </c>
      <c r="E236" s="40">
        <v>0</v>
      </c>
      <c r="F236" s="40">
        <f>D236*(($F$227)+1)+(IF(E236&lt;101,E236,IF(E236&lt;201,E236/2,IF(E236&lt;=301,E236/3,E236/4))))</f>
        <v>655.65676799999994</v>
      </c>
      <c r="G236" s="67"/>
      <c r="H236" s="69"/>
      <c r="I236" s="34"/>
      <c r="L236" s="58"/>
      <c r="M236" s="58"/>
      <c r="N236" s="34"/>
    </row>
    <row r="237" spans="1:14" s="35" customFormat="1" ht="15.75" customHeight="1" x14ac:dyDescent="0.25">
      <c r="A237" s="62">
        <f t="shared" si="26"/>
        <v>8</v>
      </c>
      <c r="B237" s="63"/>
      <c r="C237" s="40" t="s">
        <v>188</v>
      </c>
      <c r="D237" s="40">
        <f>56.83*10.764</f>
        <v>611.71812</v>
      </c>
      <c r="E237" s="40">
        <v>0</v>
      </c>
      <c r="F237" s="40">
        <f>D237*(($F$227)+1)+(IF(E237&lt;101,E237,IF(E237&lt;201,E237/2,IF(E237&lt;=301,E237/3,E237/4))))</f>
        <v>978.74899200000004</v>
      </c>
      <c r="G237" s="70"/>
      <c r="H237" s="72"/>
      <c r="I237" s="34"/>
      <c r="L237" s="58"/>
      <c r="M237" s="58"/>
      <c r="N237" s="34"/>
    </row>
    <row r="238" spans="1:14" s="35" customFormat="1" ht="15.75" customHeight="1" x14ac:dyDescent="0.25">
      <c r="A238" s="59" t="s">
        <v>207</v>
      </c>
      <c r="B238" s="60"/>
      <c r="C238" s="60"/>
      <c r="D238" s="60"/>
      <c r="E238" s="60"/>
      <c r="F238" s="60"/>
      <c r="G238" s="60"/>
      <c r="H238" s="61"/>
      <c r="I238" s="34">
        <v>2</v>
      </c>
      <c r="L238" s="58"/>
      <c r="M238" s="58"/>
      <c r="N238" s="34"/>
    </row>
    <row r="239" spans="1:14" s="35" customFormat="1" ht="15.75" customHeight="1" x14ac:dyDescent="0.25">
      <c r="A239" s="62">
        <v>1</v>
      </c>
      <c r="B239" s="63"/>
      <c r="C239" s="64" t="s">
        <v>187</v>
      </c>
      <c r="D239" s="65"/>
      <c r="E239" s="65"/>
      <c r="F239" s="66"/>
      <c r="G239" s="64" t="str">
        <f>A238</f>
        <v xml:space="preserve">3rd &amp; 4th Podium Floor For Residential, &amp; Parking </v>
      </c>
      <c r="H239" s="66"/>
      <c r="I239" s="34"/>
      <c r="L239" s="58"/>
      <c r="M239" s="58"/>
      <c r="N239" s="34"/>
    </row>
    <row r="240" spans="1:14" s="35" customFormat="1" ht="15.75" customHeight="1" x14ac:dyDescent="0.25">
      <c r="A240" s="62">
        <f t="shared" ref="A240:A246" si="27">A239+1</f>
        <v>2</v>
      </c>
      <c r="B240" s="63"/>
      <c r="C240" s="67"/>
      <c r="D240" s="68"/>
      <c r="E240" s="68"/>
      <c r="F240" s="69"/>
      <c r="G240" s="67"/>
      <c r="H240" s="69"/>
      <c r="I240" s="34"/>
      <c r="L240" s="58"/>
      <c r="M240" s="58"/>
      <c r="N240" s="34"/>
    </row>
    <row r="241" spans="1:14" s="35" customFormat="1" ht="15.75" customHeight="1" x14ac:dyDescent="0.25">
      <c r="A241" s="62">
        <f t="shared" si="27"/>
        <v>3</v>
      </c>
      <c r="B241" s="63"/>
      <c r="C241" s="67"/>
      <c r="D241" s="68"/>
      <c r="E241" s="68"/>
      <c r="F241" s="69"/>
      <c r="G241" s="67"/>
      <c r="H241" s="69"/>
      <c r="I241" s="34"/>
      <c r="L241" s="58"/>
      <c r="M241" s="58"/>
      <c r="N241" s="34"/>
    </row>
    <row r="242" spans="1:14" s="35" customFormat="1" ht="15.75" customHeight="1" x14ac:dyDescent="0.25">
      <c r="A242" s="62">
        <f t="shared" si="27"/>
        <v>4</v>
      </c>
      <c r="B242" s="63"/>
      <c r="C242" s="70"/>
      <c r="D242" s="71"/>
      <c r="E242" s="71"/>
      <c r="F242" s="72"/>
      <c r="G242" s="67"/>
      <c r="H242" s="69"/>
      <c r="I242" s="34">
        <f>3.04*5.47+2.18*2.42+1.58*0.2+3.04*3.35+3.04*3.8+2.12*1.38+1.98*1.38+3.44*0.98</f>
        <v>52.985599999999998</v>
      </c>
      <c r="L242" s="58"/>
      <c r="M242" s="58"/>
      <c r="N242" s="34"/>
    </row>
    <row r="243" spans="1:14" s="35" customFormat="1" ht="15.75" customHeight="1" x14ac:dyDescent="0.25">
      <c r="A243" s="62">
        <f t="shared" si="27"/>
        <v>5</v>
      </c>
      <c r="B243" s="63"/>
      <c r="C243" s="40" t="s">
        <v>188</v>
      </c>
      <c r="D243" s="40">
        <f>56.83*10.764</f>
        <v>611.71812</v>
      </c>
      <c r="E243" s="40">
        <v>0</v>
      </c>
      <c r="F243" s="40">
        <f>D243*(($F$227)+1)+(IF(E243&lt;101,E243,IF(E243&lt;201,E243/2,IF(E243&lt;=301,E243/3,E243/4))))</f>
        <v>978.74899200000004</v>
      </c>
      <c r="G243" s="67"/>
      <c r="H243" s="69"/>
      <c r="I243" s="34">
        <f>3.04*5.47+2.43*1.82+3.09*2.75+1.5*1.83+0.1*0.6+1.39*1.88+0.05*0.45+1.49*0.6</f>
        <v>35.883599999999994</v>
      </c>
      <c r="L243" s="58"/>
      <c r="M243" s="58"/>
      <c r="N243" s="34"/>
    </row>
    <row r="244" spans="1:14" s="35" customFormat="1" x14ac:dyDescent="0.25">
      <c r="A244" s="62">
        <f t="shared" si="27"/>
        <v>6</v>
      </c>
      <c r="B244" s="63"/>
      <c r="C244" s="40" t="s">
        <v>189</v>
      </c>
      <c r="D244" s="40">
        <f>38.07*10.764</f>
        <v>409.78547999999995</v>
      </c>
      <c r="E244" s="40">
        <v>0</v>
      </c>
      <c r="F244" s="40">
        <f>D244*(($F$227)+1)+(IF(E244&lt;101,E244,IF(E244&lt;201,E244/2,IF(E244&lt;=301,E244/3,E244/4))))</f>
        <v>655.65676799999994</v>
      </c>
      <c r="G244" s="67"/>
      <c r="H244" s="69"/>
      <c r="J244" s="34"/>
    </row>
    <row r="245" spans="1:14" s="35" customFormat="1" ht="15.75" customHeight="1" x14ac:dyDescent="0.25">
      <c r="A245" s="62">
        <f t="shared" si="27"/>
        <v>7</v>
      </c>
      <c r="B245" s="63"/>
      <c r="C245" s="40" t="s">
        <v>189</v>
      </c>
      <c r="D245" s="40">
        <f>38.07*10.764</f>
        <v>409.78547999999995</v>
      </c>
      <c r="E245" s="40">
        <v>0</v>
      </c>
      <c r="F245" s="40">
        <f>D245*(($F$227)+1)+(IF(E245&lt;101,E245,IF(E245&lt;201,E245/2,IF(E245&lt;=301,E245/3,E245/4))))</f>
        <v>655.65676799999994</v>
      </c>
      <c r="G245" s="67"/>
      <c r="H245" s="69"/>
      <c r="I245" s="34"/>
      <c r="L245" s="58"/>
      <c r="M245" s="58"/>
      <c r="N245" s="34"/>
    </row>
    <row r="246" spans="1:14" s="35" customFormat="1" ht="15.75" customHeight="1" x14ac:dyDescent="0.25">
      <c r="A246" s="62">
        <f t="shared" si="27"/>
        <v>8</v>
      </c>
      <c r="B246" s="63"/>
      <c r="C246" s="40" t="s">
        <v>188</v>
      </c>
      <c r="D246" s="40">
        <f>56.83*10.764</f>
        <v>611.71812</v>
      </c>
      <c r="E246" s="40">
        <v>0</v>
      </c>
      <c r="F246" s="40">
        <f>D246*(($F$227)+1)+(IF(E246&lt;101,E246,IF(E246&lt;201,E246/2,IF(E246&lt;=301,E246/3,E246/4))))</f>
        <v>978.74899200000004</v>
      </c>
      <c r="G246" s="70"/>
      <c r="H246" s="72"/>
      <c r="I246" s="34"/>
      <c r="L246" s="58"/>
      <c r="M246" s="58"/>
      <c r="N246" s="34"/>
    </row>
    <row r="247" spans="1:14" s="35" customFormat="1" ht="15.75" customHeight="1" x14ac:dyDescent="0.25">
      <c r="A247" s="74" t="s">
        <v>190</v>
      </c>
      <c r="B247" s="75"/>
      <c r="C247" s="75"/>
      <c r="D247" s="75"/>
      <c r="E247" s="75"/>
      <c r="F247" s="75"/>
      <c r="G247" s="75"/>
      <c r="H247" s="76"/>
      <c r="I247" s="34">
        <v>1</v>
      </c>
      <c r="L247" s="58"/>
      <c r="M247" s="58"/>
      <c r="N247" s="34"/>
    </row>
    <row r="248" spans="1:14" s="35" customFormat="1" ht="15.75" customHeight="1" x14ac:dyDescent="0.25">
      <c r="A248" s="62">
        <v>1</v>
      </c>
      <c r="B248" s="63"/>
      <c r="C248" s="64" t="s">
        <v>187</v>
      </c>
      <c r="D248" s="65"/>
      <c r="E248" s="65"/>
      <c r="F248" s="66"/>
      <c r="G248" s="64" t="str">
        <f>A247</f>
        <v>5th Podium Floor For Residential, Parking &amp; Meter Room</v>
      </c>
      <c r="H248" s="66"/>
      <c r="I248" s="34"/>
      <c r="L248" s="58"/>
      <c r="M248" s="58"/>
      <c r="N248" s="34"/>
    </row>
    <row r="249" spans="1:14" s="35" customFormat="1" ht="15.75" customHeight="1" x14ac:dyDescent="0.25">
      <c r="A249" s="62">
        <f t="shared" ref="A249:A255" si="28">A248+1</f>
        <v>2</v>
      </c>
      <c r="B249" s="63"/>
      <c r="C249" s="67"/>
      <c r="D249" s="68"/>
      <c r="E249" s="68"/>
      <c r="F249" s="69"/>
      <c r="G249" s="67"/>
      <c r="H249" s="69"/>
      <c r="I249" s="34"/>
      <c r="L249" s="58"/>
      <c r="M249" s="58"/>
      <c r="N249" s="34"/>
    </row>
    <row r="250" spans="1:14" s="35" customFormat="1" ht="15.75" customHeight="1" x14ac:dyDescent="0.25">
      <c r="A250" s="62">
        <f t="shared" si="28"/>
        <v>3</v>
      </c>
      <c r="B250" s="63"/>
      <c r="C250" s="67"/>
      <c r="D250" s="68"/>
      <c r="E250" s="68"/>
      <c r="F250" s="69"/>
      <c r="G250" s="67"/>
      <c r="H250" s="69"/>
      <c r="I250" s="34"/>
      <c r="L250" s="58"/>
      <c r="M250" s="58"/>
      <c r="N250" s="34"/>
    </row>
    <row r="251" spans="1:14" s="35" customFormat="1" ht="15.75" customHeight="1" x14ac:dyDescent="0.25">
      <c r="A251" s="62">
        <f t="shared" si="28"/>
        <v>4</v>
      </c>
      <c r="B251" s="63"/>
      <c r="C251" s="70"/>
      <c r="D251" s="71"/>
      <c r="E251" s="71"/>
      <c r="F251" s="72"/>
      <c r="G251" s="67"/>
      <c r="H251" s="69"/>
      <c r="I251" s="34">
        <f>3.04*5.47+2.18*2.42+1.58*0.2+3.04*3.35+3.04*3.8+2.12*1.38+1.98*1.38+3.44*0.98</f>
        <v>52.985599999999998</v>
      </c>
      <c r="L251" s="58"/>
      <c r="M251" s="58"/>
      <c r="N251" s="34"/>
    </row>
    <row r="252" spans="1:14" s="35" customFormat="1" ht="15.75" customHeight="1" x14ac:dyDescent="0.25">
      <c r="A252" s="62">
        <f t="shared" si="28"/>
        <v>5</v>
      </c>
      <c r="B252" s="63"/>
      <c r="C252" s="40" t="s">
        <v>188</v>
      </c>
      <c r="D252" s="40">
        <f>56.83*10.764</f>
        <v>611.71812</v>
      </c>
      <c r="E252" s="40">
        <v>0</v>
      </c>
      <c r="F252" s="40">
        <f>D252*(($F$227)+1)+(IF(E252&lt;101,E252,IF(E252&lt;201,E252/2,IF(E252&lt;=301,E252/3,E252/4))))</f>
        <v>978.74899200000004</v>
      </c>
      <c r="G252" s="67"/>
      <c r="H252" s="69"/>
      <c r="I252" s="34">
        <f>3.04*5.47+2.43*1.82+3.09*2.75+1.5*1.83+0.1*0.6+1.39*1.88+0.05*0.45+1.49*0.6</f>
        <v>35.883599999999994</v>
      </c>
      <c r="L252" s="58"/>
      <c r="M252" s="58"/>
      <c r="N252" s="34"/>
    </row>
    <row r="253" spans="1:14" s="35" customFormat="1" x14ac:dyDescent="0.25">
      <c r="A253" s="62">
        <f t="shared" si="28"/>
        <v>6</v>
      </c>
      <c r="B253" s="63"/>
      <c r="C253" s="40" t="s">
        <v>189</v>
      </c>
      <c r="D253" s="40">
        <f>38.07*10.764</f>
        <v>409.78547999999995</v>
      </c>
      <c r="E253" s="40">
        <v>0</v>
      </c>
      <c r="F253" s="40">
        <f>D253*(($F$227)+1)+(IF(E253&lt;101,E253,IF(E253&lt;201,E253/2,IF(E253&lt;=301,E253/3,E253/4))))</f>
        <v>655.65676799999994</v>
      </c>
      <c r="G253" s="67"/>
      <c r="H253" s="69"/>
      <c r="I253" s="34"/>
      <c r="L253" s="58"/>
      <c r="M253" s="58"/>
    </row>
    <row r="254" spans="1:14" s="35" customFormat="1" ht="15.75" customHeight="1" x14ac:dyDescent="0.25">
      <c r="A254" s="62">
        <f t="shared" si="28"/>
        <v>7</v>
      </c>
      <c r="B254" s="63"/>
      <c r="C254" s="40" t="s">
        <v>189</v>
      </c>
      <c r="D254" s="40">
        <f>38.07*10.764</f>
        <v>409.78547999999995</v>
      </c>
      <c r="E254" s="40">
        <v>0</v>
      </c>
      <c r="F254" s="40">
        <f>D254*(($F$227)+1)+(IF(E254&lt;101,E254,IF(E254&lt;201,E254/2,IF(E254&lt;=301,E254/3,E254/4))))</f>
        <v>655.65676799999994</v>
      </c>
      <c r="G254" s="67"/>
      <c r="H254" s="69"/>
      <c r="I254" s="34"/>
      <c r="N254" s="34"/>
    </row>
    <row r="255" spans="1:14" s="35" customFormat="1" ht="15.75" customHeight="1" x14ac:dyDescent="0.25">
      <c r="A255" s="62">
        <f t="shared" si="28"/>
        <v>8</v>
      </c>
      <c r="B255" s="63"/>
      <c r="C255" s="40" t="s">
        <v>188</v>
      </c>
      <c r="D255" s="40">
        <f>56.83*10.764</f>
        <v>611.71812</v>
      </c>
      <c r="E255" s="40">
        <v>0</v>
      </c>
      <c r="F255" s="40">
        <f>D255*(($F$227)+1)+(IF(E255&lt;101,E255,IF(E255&lt;201,E255/2,IF(E255&lt;=301,E255/3,E255/4))))</f>
        <v>978.74899200000004</v>
      </c>
      <c r="G255" s="70"/>
      <c r="H255" s="72"/>
      <c r="I255" s="34"/>
      <c r="N255" s="34"/>
    </row>
    <row r="256" spans="1:14" s="35" customFormat="1" ht="15.75" customHeight="1" x14ac:dyDescent="0.25">
      <c r="A256" s="74" t="s">
        <v>247</v>
      </c>
      <c r="B256" s="75"/>
      <c r="C256" s="75"/>
      <c r="D256" s="75"/>
      <c r="E256" s="75"/>
      <c r="F256" s="75"/>
      <c r="G256" s="75"/>
      <c r="H256" s="76"/>
      <c r="I256" s="34">
        <f>2+6+6+6</f>
        <v>20</v>
      </c>
      <c r="N256" s="34"/>
    </row>
    <row r="257" spans="1:14" s="35" customFormat="1" ht="15.75" customHeight="1" x14ac:dyDescent="0.25">
      <c r="A257" s="77">
        <v>1</v>
      </c>
      <c r="B257" s="77"/>
      <c r="C257" s="40" t="s">
        <v>188</v>
      </c>
      <c r="D257" s="40">
        <f>56.83*10.764</f>
        <v>611.71812</v>
      </c>
      <c r="E257" s="40">
        <v>0</v>
      </c>
      <c r="F257" s="40">
        <f t="shared" ref="F257:F264" si="29">D257*(($F$227)+1)+(IF(E257&lt;101,E257,IF(E257&lt;201,E257/2,IF(E257&lt;=301,E257/3,E257/4))))</f>
        <v>978.74899200000004</v>
      </c>
      <c r="G257" s="64" t="str">
        <f>A256</f>
        <v>6th to 7th, 9th to 14th, 16th to 21st &amp; 23rd to 28th Floor For Residential</v>
      </c>
      <c r="H257" s="66"/>
      <c r="I257" s="34"/>
      <c r="N257" s="34"/>
    </row>
    <row r="258" spans="1:14" s="35" customFormat="1" ht="15.75" customHeight="1" x14ac:dyDescent="0.25">
      <c r="A258" s="77">
        <v>2</v>
      </c>
      <c r="B258" s="77"/>
      <c r="C258" s="40" t="s">
        <v>189</v>
      </c>
      <c r="D258" s="40">
        <f>38.07*10.764</f>
        <v>409.78547999999995</v>
      </c>
      <c r="E258" s="40">
        <v>0</v>
      </c>
      <c r="F258" s="40">
        <f t="shared" si="29"/>
        <v>655.65676799999994</v>
      </c>
      <c r="G258" s="67"/>
      <c r="H258" s="69"/>
      <c r="I258" s="34"/>
      <c r="N258" s="34"/>
    </row>
    <row r="259" spans="1:14" s="35" customFormat="1" ht="15.75" customHeight="1" x14ac:dyDescent="0.25">
      <c r="A259" s="77">
        <f t="shared" ref="A259:A264" si="30">A258+1</f>
        <v>3</v>
      </c>
      <c r="B259" s="77"/>
      <c r="C259" s="40" t="s">
        <v>189</v>
      </c>
      <c r="D259" s="40">
        <f>38.07*10.764</f>
        <v>409.78547999999995</v>
      </c>
      <c r="E259" s="40">
        <v>0</v>
      </c>
      <c r="F259" s="40">
        <f t="shared" si="29"/>
        <v>655.65676799999994</v>
      </c>
      <c r="G259" s="67"/>
      <c r="H259" s="69"/>
      <c r="I259" s="34"/>
      <c r="N259" s="34"/>
    </row>
    <row r="260" spans="1:14" s="35" customFormat="1" ht="15.75" customHeight="1" x14ac:dyDescent="0.25">
      <c r="A260" s="77">
        <f t="shared" si="30"/>
        <v>4</v>
      </c>
      <c r="B260" s="77"/>
      <c r="C260" s="40" t="s">
        <v>188</v>
      </c>
      <c r="D260" s="40">
        <f>56.83*10.764</f>
        <v>611.71812</v>
      </c>
      <c r="E260" s="40">
        <v>0</v>
      </c>
      <c r="F260" s="40">
        <f t="shared" si="29"/>
        <v>978.74899200000004</v>
      </c>
      <c r="G260" s="67"/>
      <c r="H260" s="69"/>
      <c r="I260" s="34"/>
      <c r="N260" s="34"/>
    </row>
    <row r="261" spans="1:14" s="35" customFormat="1" ht="15.75" customHeight="1" x14ac:dyDescent="0.25">
      <c r="A261" s="77">
        <f t="shared" si="30"/>
        <v>5</v>
      </c>
      <c r="B261" s="77"/>
      <c r="C261" s="40" t="s">
        <v>188</v>
      </c>
      <c r="D261" s="40">
        <f>56.83*10.764</f>
        <v>611.71812</v>
      </c>
      <c r="E261" s="40">
        <v>0</v>
      </c>
      <c r="F261" s="40">
        <f t="shared" si="29"/>
        <v>978.74899200000004</v>
      </c>
      <c r="G261" s="67"/>
      <c r="H261" s="69"/>
      <c r="I261" s="34"/>
      <c r="N261" s="34"/>
    </row>
    <row r="262" spans="1:14" s="35" customFormat="1" x14ac:dyDescent="0.25">
      <c r="A262" s="77">
        <f t="shared" si="30"/>
        <v>6</v>
      </c>
      <c r="B262" s="77"/>
      <c r="C262" s="40" t="s">
        <v>189</v>
      </c>
      <c r="D262" s="40">
        <f>38.07*10.764</f>
        <v>409.78547999999995</v>
      </c>
      <c r="E262" s="40">
        <v>0</v>
      </c>
      <c r="F262" s="40">
        <f t="shared" si="29"/>
        <v>655.65676799999994</v>
      </c>
      <c r="G262" s="67"/>
      <c r="H262" s="69"/>
      <c r="I262" s="34"/>
      <c r="L262" s="58"/>
      <c r="M262" s="58"/>
    </row>
    <row r="263" spans="1:14" s="35" customFormat="1" ht="15.75" customHeight="1" x14ac:dyDescent="0.25">
      <c r="A263" s="77">
        <f t="shared" si="30"/>
        <v>7</v>
      </c>
      <c r="B263" s="77"/>
      <c r="C263" s="40" t="s">
        <v>189</v>
      </c>
      <c r="D263" s="40">
        <f>38.07*10.764</f>
        <v>409.78547999999995</v>
      </c>
      <c r="E263" s="40">
        <v>0</v>
      </c>
      <c r="F263" s="40">
        <f t="shared" si="29"/>
        <v>655.65676799999994</v>
      </c>
      <c r="G263" s="67"/>
      <c r="H263" s="69"/>
      <c r="I263" s="34"/>
      <c r="N263" s="34"/>
    </row>
    <row r="264" spans="1:14" s="35" customFormat="1" ht="15.75" customHeight="1" x14ac:dyDescent="0.25">
      <c r="A264" s="77">
        <f t="shared" si="30"/>
        <v>8</v>
      </c>
      <c r="B264" s="77"/>
      <c r="C264" s="40" t="s">
        <v>188</v>
      </c>
      <c r="D264" s="40">
        <f>56.83*10.764</f>
        <v>611.71812</v>
      </c>
      <c r="E264" s="40">
        <v>0</v>
      </c>
      <c r="F264" s="40">
        <f t="shared" si="29"/>
        <v>978.74899200000004</v>
      </c>
      <c r="G264" s="70"/>
      <c r="H264" s="72"/>
      <c r="I264" s="34"/>
      <c r="N264" s="34"/>
    </row>
    <row r="265" spans="1:14" s="35" customFormat="1" ht="15.75" customHeight="1" x14ac:dyDescent="0.25">
      <c r="A265" s="74" t="s">
        <v>192</v>
      </c>
      <c r="B265" s="75"/>
      <c r="C265" s="75"/>
      <c r="D265" s="75"/>
      <c r="E265" s="75"/>
      <c r="F265" s="75"/>
      <c r="G265" s="75"/>
      <c r="H265" s="76"/>
      <c r="I265" s="34">
        <v>3</v>
      </c>
      <c r="N265" s="34"/>
    </row>
    <row r="266" spans="1:14" s="35" customFormat="1" ht="15.75" customHeight="1" x14ac:dyDescent="0.25">
      <c r="A266" s="77">
        <v>1</v>
      </c>
      <c r="B266" s="77"/>
      <c r="C266" s="40" t="s">
        <v>188</v>
      </c>
      <c r="D266" s="40">
        <f>56.83*10.764</f>
        <v>611.71812</v>
      </c>
      <c r="E266" s="40">
        <v>0</v>
      </c>
      <c r="F266" s="40">
        <f>D266*(($F$227)+1)+(IF(E266&lt;101,E266,IF(E266&lt;201,E266/2,IF(E266&lt;=301,E266/3,E266/4))))</f>
        <v>978.74899200000004</v>
      </c>
      <c r="G266" s="64" t="str">
        <f>A265</f>
        <v>8th, 15th &amp; 22nd Floor (Part Refuge Area)</v>
      </c>
      <c r="H266" s="66"/>
      <c r="I266" s="34"/>
      <c r="N266" s="34"/>
    </row>
    <row r="267" spans="1:14" s="35" customFormat="1" ht="15.75" customHeight="1" x14ac:dyDescent="0.25">
      <c r="A267" s="77">
        <v>2</v>
      </c>
      <c r="B267" s="77"/>
      <c r="C267" s="40" t="s">
        <v>189</v>
      </c>
      <c r="D267" s="40">
        <f>38.07*10.764</f>
        <v>409.78547999999995</v>
      </c>
      <c r="E267" s="40">
        <v>0</v>
      </c>
      <c r="F267" s="40">
        <f>D267*(($F$227)+1)+(IF(E267&lt;101,E267,IF(E267&lt;201,E267/2,IF(E267&lt;=301,E267/3,E267/4))))</f>
        <v>655.65676799999994</v>
      </c>
      <c r="G267" s="67"/>
      <c r="H267" s="69"/>
      <c r="I267" s="34"/>
      <c r="K267" s="40">
        <v>602.13815999999997</v>
      </c>
      <c r="L267" s="35" t="s">
        <v>248</v>
      </c>
      <c r="N267" s="34"/>
    </row>
    <row r="268" spans="1:14" s="35" customFormat="1" ht="15.75" customHeight="1" x14ac:dyDescent="0.25">
      <c r="A268" s="77">
        <f t="shared" ref="A268:A273" si="31">A267+1</f>
        <v>3</v>
      </c>
      <c r="B268" s="77"/>
      <c r="C268" s="40" t="s">
        <v>189</v>
      </c>
      <c r="D268" s="40">
        <f>38.07*10.764</f>
        <v>409.78547999999995</v>
      </c>
      <c r="E268" s="40">
        <v>0</v>
      </c>
      <c r="F268" s="40">
        <f>D268*(($F$227)+1)+(IF(E268&lt;101,E268,IF(E268&lt;201,E268/2,IF(E268&lt;=301,E268/3,E268/4))))</f>
        <v>655.65676799999994</v>
      </c>
      <c r="G268" s="67"/>
      <c r="H268" s="69"/>
      <c r="I268" s="34"/>
      <c r="K268" s="40">
        <v>400.42079999999999</v>
      </c>
      <c r="N268" s="34"/>
    </row>
    <row r="269" spans="1:14" s="35" customFormat="1" ht="15.75" customHeight="1" x14ac:dyDescent="0.25">
      <c r="A269" s="77">
        <f t="shared" si="31"/>
        <v>4</v>
      </c>
      <c r="B269" s="77"/>
      <c r="C269" s="40" t="s">
        <v>188</v>
      </c>
      <c r="D269" s="40">
        <f>56.83*10.764</f>
        <v>611.71812</v>
      </c>
      <c r="E269" s="40">
        <v>0</v>
      </c>
      <c r="F269" s="40">
        <f>D269*(($F$227)+1)+(IF(E269&lt;101,E269,IF(E269&lt;201,E269/2,IF(E269&lt;=301,E269/3,E269/4))))</f>
        <v>978.74899200000004</v>
      </c>
      <c r="G269" s="67"/>
      <c r="H269" s="69"/>
      <c r="I269" s="34"/>
      <c r="K269" s="40">
        <v>400.42079999999999</v>
      </c>
      <c r="N269" s="34"/>
    </row>
    <row r="270" spans="1:14" s="35" customFormat="1" ht="15.75" customHeight="1" x14ac:dyDescent="0.25">
      <c r="A270" s="77">
        <f t="shared" si="31"/>
        <v>5</v>
      </c>
      <c r="B270" s="77"/>
      <c r="C270" s="64" t="s">
        <v>193</v>
      </c>
      <c r="D270" s="65"/>
      <c r="E270" s="65"/>
      <c r="F270" s="66"/>
      <c r="G270" s="67"/>
      <c r="H270" s="69"/>
      <c r="I270" s="34"/>
      <c r="K270" s="40">
        <v>602.13815999999997</v>
      </c>
      <c r="N270" s="34"/>
    </row>
    <row r="271" spans="1:14" s="35" customFormat="1" ht="15.75" customHeight="1" x14ac:dyDescent="0.25">
      <c r="A271" s="77">
        <f t="shared" si="31"/>
        <v>6</v>
      </c>
      <c r="B271" s="77"/>
      <c r="C271" s="70"/>
      <c r="D271" s="71"/>
      <c r="E271" s="71"/>
      <c r="F271" s="72"/>
      <c r="G271" s="67"/>
      <c r="H271" s="69"/>
      <c r="I271" s="34"/>
      <c r="K271" s="40">
        <v>400.42079999999999</v>
      </c>
    </row>
    <row r="272" spans="1:14" s="35" customFormat="1" ht="15.75" customHeight="1" x14ac:dyDescent="0.25">
      <c r="A272" s="77">
        <f t="shared" si="31"/>
        <v>7</v>
      </c>
      <c r="B272" s="77"/>
      <c r="C272" s="40" t="s">
        <v>189</v>
      </c>
      <c r="D272" s="40">
        <f>38.07*10.764</f>
        <v>409.78547999999995</v>
      </c>
      <c r="E272" s="40">
        <v>0</v>
      </c>
      <c r="F272" s="40">
        <f>D272*(($F$227)+1)+(IF(E272&lt;101,E272,IF(E272&lt;201,E272/2,IF(E272&lt;=301,E272/3,E272/4))))</f>
        <v>655.65676799999994</v>
      </c>
      <c r="G272" s="67"/>
      <c r="H272" s="69"/>
      <c r="I272" s="34"/>
      <c r="K272" s="40">
        <v>602.13815999999997</v>
      </c>
      <c r="N272" s="34"/>
    </row>
    <row r="273" spans="1:14" s="35" customFormat="1" ht="15.75" customHeight="1" x14ac:dyDescent="0.25">
      <c r="A273" s="77">
        <f t="shared" si="31"/>
        <v>8</v>
      </c>
      <c r="B273" s="77"/>
      <c r="C273" s="40" t="s">
        <v>188</v>
      </c>
      <c r="D273" s="40">
        <f>56.83*10.764</f>
        <v>611.71812</v>
      </c>
      <c r="E273" s="40">
        <v>0</v>
      </c>
      <c r="F273" s="40">
        <f>D273*(($F$227)+1)+(IF(E273&lt;101,E273,IF(E273&lt;201,E273/2,IF(E273&lt;=301,E273/3,E273/4))))</f>
        <v>978.74899200000004</v>
      </c>
      <c r="G273" s="70"/>
      <c r="H273" s="72"/>
      <c r="I273" s="34"/>
      <c r="N273" s="34"/>
    </row>
    <row r="274" spans="1:14" s="35" customFormat="1" ht="15.75" customHeight="1" x14ac:dyDescent="0.25">
      <c r="A274" s="74" t="s">
        <v>194</v>
      </c>
      <c r="B274" s="75"/>
      <c r="C274" s="75"/>
      <c r="D274" s="75"/>
      <c r="E274" s="75"/>
      <c r="F274" s="75"/>
      <c r="G274" s="75"/>
      <c r="H274" s="76"/>
      <c r="I274" s="34">
        <v>1</v>
      </c>
      <c r="N274" s="34"/>
    </row>
    <row r="275" spans="1:14" s="35" customFormat="1" ht="15.75" customHeight="1" x14ac:dyDescent="0.25">
      <c r="A275" s="77">
        <v>1</v>
      </c>
      <c r="B275" s="77"/>
      <c r="C275" s="40" t="s">
        <v>188</v>
      </c>
      <c r="D275" s="40">
        <f>56.83*10.764</f>
        <v>611.71812</v>
      </c>
      <c r="E275" s="40">
        <v>0</v>
      </c>
      <c r="F275" s="40">
        <f>D275*(($F$227)+1)+(IF(E275&lt;101,E275,IF(E275&lt;201,E275/2,IF(E275&lt;=301,E275/3,E275/4))))</f>
        <v>978.74899200000004</v>
      </c>
      <c r="G275" s="64" t="str">
        <f>A274</f>
        <v>29th Floor (Part Refuge Area)</v>
      </c>
      <c r="H275" s="66"/>
      <c r="I275" s="34"/>
      <c r="N275" s="34"/>
    </row>
    <row r="276" spans="1:14" s="35" customFormat="1" ht="15.75" customHeight="1" x14ac:dyDescent="0.25">
      <c r="A276" s="77">
        <v>2</v>
      </c>
      <c r="B276" s="77"/>
      <c r="C276" s="40" t="s">
        <v>189</v>
      </c>
      <c r="D276" s="40">
        <f>38.07*10.764</f>
        <v>409.78547999999995</v>
      </c>
      <c r="E276" s="40">
        <v>0</v>
      </c>
      <c r="F276" s="40">
        <f>D276*(($F$227)+1)+(IF(E276&lt;101,E276,IF(E276&lt;201,E276/2,IF(E276&lt;=301,E276/3,E276/4))))</f>
        <v>655.65676799999994</v>
      </c>
      <c r="G276" s="67"/>
      <c r="H276" s="69"/>
      <c r="I276" s="34"/>
      <c r="N276" s="34"/>
    </row>
    <row r="277" spans="1:14" s="35" customFormat="1" ht="15.75" customHeight="1" x14ac:dyDescent="0.25">
      <c r="A277" s="77">
        <f t="shared" ref="A277:A282" si="32">A276+1</f>
        <v>3</v>
      </c>
      <c r="B277" s="77"/>
      <c r="C277" s="40" t="s">
        <v>189</v>
      </c>
      <c r="D277" s="40">
        <f>38.07*10.764</f>
        <v>409.78547999999995</v>
      </c>
      <c r="E277" s="40">
        <v>0</v>
      </c>
      <c r="F277" s="40">
        <f>D277*(($F$227)+1)+(IF(E277&lt;101,E277,IF(E277&lt;201,E277/2,IF(E277&lt;=301,E277/3,E277/4))))</f>
        <v>655.65676799999994</v>
      </c>
      <c r="G277" s="67"/>
      <c r="H277" s="69"/>
      <c r="I277" s="34"/>
      <c r="N277" s="34"/>
    </row>
    <row r="278" spans="1:14" s="35" customFormat="1" ht="15.75" customHeight="1" x14ac:dyDescent="0.25">
      <c r="A278" s="77">
        <f t="shared" si="32"/>
        <v>4</v>
      </c>
      <c r="B278" s="77"/>
      <c r="C278" s="40" t="s">
        <v>188</v>
      </c>
      <c r="D278" s="40">
        <f>56.83*10.764</f>
        <v>611.71812</v>
      </c>
      <c r="E278" s="40">
        <v>0</v>
      </c>
      <c r="F278" s="40">
        <f>D278*(($F$227)+1)+(IF(E278&lt;101,E278,IF(E278&lt;201,E278/2,IF(E278&lt;=301,E278/3,E278/4))))</f>
        <v>978.74899200000004</v>
      </c>
      <c r="G278" s="67"/>
      <c r="H278" s="69"/>
      <c r="I278" s="34"/>
      <c r="N278" s="34"/>
    </row>
    <row r="279" spans="1:14" s="35" customFormat="1" ht="15.75" customHeight="1" x14ac:dyDescent="0.25">
      <c r="A279" s="77">
        <f t="shared" si="32"/>
        <v>5</v>
      </c>
      <c r="B279" s="77"/>
      <c r="C279" s="64" t="s">
        <v>193</v>
      </c>
      <c r="D279" s="65"/>
      <c r="E279" s="65"/>
      <c r="F279" s="66"/>
      <c r="G279" s="67"/>
      <c r="H279" s="69"/>
      <c r="I279" s="34"/>
      <c r="N279" s="34"/>
    </row>
    <row r="280" spans="1:14" s="35" customFormat="1" x14ac:dyDescent="0.25">
      <c r="A280" s="77">
        <f t="shared" si="32"/>
        <v>6</v>
      </c>
      <c r="B280" s="77"/>
      <c r="C280" s="70"/>
      <c r="D280" s="71"/>
      <c r="E280" s="71"/>
      <c r="F280" s="72"/>
      <c r="G280" s="67"/>
      <c r="H280" s="69"/>
      <c r="I280" s="34"/>
      <c r="L280" s="58"/>
      <c r="M280" s="58"/>
    </row>
    <row r="281" spans="1:14" s="35" customFormat="1" ht="15.75" customHeight="1" x14ac:dyDescent="0.25">
      <c r="A281" s="77">
        <f t="shared" si="32"/>
        <v>7</v>
      </c>
      <c r="B281" s="77"/>
      <c r="C281" s="40" t="s">
        <v>189</v>
      </c>
      <c r="D281" s="40">
        <f>38.07*10.764</f>
        <v>409.78547999999995</v>
      </c>
      <c r="E281" s="40">
        <v>0</v>
      </c>
      <c r="F281" s="40">
        <f>D281*(($F$227)+1)+(IF(E281&lt;101,E281,IF(E281&lt;201,E281/2,IF(E281&lt;=301,E281/3,E281/4))))</f>
        <v>655.65676799999994</v>
      </c>
      <c r="G281" s="67"/>
      <c r="H281" s="69"/>
      <c r="I281" s="34"/>
      <c r="N281" s="34"/>
    </row>
    <row r="282" spans="1:14" s="35" customFormat="1" ht="15.75" customHeight="1" x14ac:dyDescent="0.25">
      <c r="A282" s="77">
        <f t="shared" si="32"/>
        <v>8</v>
      </c>
      <c r="B282" s="77"/>
      <c r="C282" s="40" t="s">
        <v>188</v>
      </c>
      <c r="D282" s="40">
        <f>56.83*10.764</f>
        <v>611.71812</v>
      </c>
      <c r="E282" s="40">
        <v>0</v>
      </c>
      <c r="F282" s="40">
        <f>D282*(($F$227)+1)+(IF(E282&lt;101,E282,IF(E282&lt;201,E282/2,IF(E282&lt;=301,E282/3,E282/4))))</f>
        <v>978.74899200000004</v>
      </c>
      <c r="G282" s="70"/>
      <c r="H282" s="72"/>
      <c r="I282" s="34"/>
      <c r="N282" s="34"/>
    </row>
    <row r="283" spans="1:14" s="35" customFormat="1" ht="15.75" customHeight="1" x14ac:dyDescent="0.25">
      <c r="A283" s="74" t="s">
        <v>195</v>
      </c>
      <c r="B283" s="75"/>
      <c r="C283" s="75"/>
      <c r="D283" s="75"/>
      <c r="E283" s="75"/>
      <c r="F283" s="75"/>
      <c r="G283" s="75"/>
      <c r="H283" s="76"/>
      <c r="I283" s="34">
        <f>6+3</f>
        <v>9</v>
      </c>
      <c r="N283" s="34"/>
    </row>
    <row r="284" spans="1:14" s="35" customFormat="1" ht="15.75" customHeight="1" x14ac:dyDescent="0.25">
      <c r="A284" s="77">
        <v>1</v>
      </c>
      <c r="B284" s="77"/>
      <c r="C284" s="40" t="s">
        <v>188</v>
      </c>
      <c r="D284" s="40">
        <f>(56.83+3.04*1.07)*(10.764)</f>
        <v>646.73125919999995</v>
      </c>
      <c r="E284" s="40">
        <v>0</v>
      </c>
      <c r="F284" s="40">
        <f t="shared" ref="F284:F291" si="33">D284*(($F$227)+1)+(IF(E284&lt;101,E284,IF(E284&lt;201,E284/2,IF(E284&lt;=301,E284/3,E284/4))))</f>
        <v>1034.7700147200001</v>
      </c>
      <c r="G284" s="64" t="str">
        <f>A283</f>
        <v>30th to 35th &amp; 37th to 39th Floor</v>
      </c>
      <c r="H284" s="66"/>
      <c r="I284" s="34"/>
      <c r="K284" s="40">
        <f>(55.94+3.04*1.07)*(10.764)</f>
        <v>637.15129919999993</v>
      </c>
      <c r="N284" s="34"/>
    </row>
    <row r="285" spans="1:14" s="35" customFormat="1" ht="15.75" customHeight="1" x14ac:dyDescent="0.25">
      <c r="A285" s="77">
        <v>2</v>
      </c>
      <c r="B285" s="77"/>
      <c r="C285" s="40" t="s">
        <v>189</v>
      </c>
      <c r="D285" s="40">
        <f>(38.07+2.76*1.07)*(10.764)</f>
        <v>441.57372479999998</v>
      </c>
      <c r="E285" s="40">
        <v>0</v>
      </c>
      <c r="F285" s="40">
        <f t="shared" si="33"/>
        <v>706.51795967999999</v>
      </c>
      <c r="G285" s="67"/>
      <c r="H285" s="69"/>
      <c r="I285" s="34"/>
      <c r="K285" s="40">
        <f>(37.2+2.76*1.07)*(10.764)</f>
        <v>432.20904480000002</v>
      </c>
      <c r="N285" s="34"/>
    </row>
    <row r="286" spans="1:14" s="35" customFormat="1" ht="15.75" customHeight="1" x14ac:dyDescent="0.25">
      <c r="A286" s="77">
        <f t="shared" ref="A286:A291" si="34">A285+1</f>
        <v>3</v>
      </c>
      <c r="B286" s="77"/>
      <c r="C286" s="40" t="s">
        <v>189</v>
      </c>
      <c r="D286" s="40">
        <f>(38.07+2.76*1.07)*(10.764)</f>
        <v>441.57372479999998</v>
      </c>
      <c r="E286" s="40">
        <v>0</v>
      </c>
      <c r="F286" s="40">
        <f t="shared" si="33"/>
        <v>706.51795967999999</v>
      </c>
      <c r="G286" s="67"/>
      <c r="H286" s="69"/>
      <c r="I286" s="34"/>
      <c r="K286" s="40">
        <f>(37.2+2.76*1.07)*(10.764)</f>
        <v>432.20904480000002</v>
      </c>
      <c r="N286" s="34"/>
    </row>
    <row r="287" spans="1:14" s="35" customFormat="1" ht="15.75" customHeight="1" x14ac:dyDescent="0.25">
      <c r="A287" s="77">
        <f t="shared" si="34"/>
        <v>4</v>
      </c>
      <c r="B287" s="77"/>
      <c r="C287" s="40" t="s">
        <v>188</v>
      </c>
      <c r="D287" s="40">
        <f>(56.83+3.04*1.07)*(10.764)</f>
        <v>646.73125919999995</v>
      </c>
      <c r="E287" s="40">
        <v>0</v>
      </c>
      <c r="F287" s="40">
        <f t="shared" si="33"/>
        <v>1034.7700147200001</v>
      </c>
      <c r="G287" s="67"/>
      <c r="H287" s="69"/>
      <c r="I287" s="34"/>
      <c r="K287" s="40">
        <f>(55.94+3.04*1.07)*(10.764)</f>
        <v>637.15129919999993</v>
      </c>
      <c r="N287" s="34"/>
    </row>
    <row r="288" spans="1:14" s="35" customFormat="1" ht="15.75" customHeight="1" x14ac:dyDescent="0.25">
      <c r="A288" s="77">
        <f t="shared" si="34"/>
        <v>5</v>
      </c>
      <c r="B288" s="77"/>
      <c r="C288" s="40" t="s">
        <v>188</v>
      </c>
      <c r="D288" s="40">
        <f>(56.83+3.04*1.07)*(10.764)</f>
        <v>646.73125919999995</v>
      </c>
      <c r="E288" s="40">
        <v>0</v>
      </c>
      <c r="F288" s="40">
        <f t="shared" si="33"/>
        <v>1034.7700147200001</v>
      </c>
      <c r="G288" s="67"/>
      <c r="H288" s="69"/>
      <c r="I288" s="34"/>
      <c r="K288" s="40">
        <f>(55.94+3.04*1.07)*(10.764)</f>
        <v>637.15129919999993</v>
      </c>
      <c r="N288" s="34"/>
    </row>
    <row r="289" spans="1:14" s="35" customFormat="1" x14ac:dyDescent="0.25">
      <c r="A289" s="77">
        <f t="shared" si="34"/>
        <v>6</v>
      </c>
      <c r="B289" s="77"/>
      <c r="C289" s="40" t="s">
        <v>189</v>
      </c>
      <c r="D289" s="40">
        <f>(38.07+2.76*1.07)*(10.764)</f>
        <v>441.57372479999998</v>
      </c>
      <c r="E289" s="40">
        <v>0</v>
      </c>
      <c r="F289" s="40">
        <f t="shared" si="33"/>
        <v>706.51795967999999</v>
      </c>
      <c r="G289" s="67"/>
      <c r="H289" s="69"/>
      <c r="I289" s="34"/>
      <c r="K289" s="40">
        <f>(37.2+2.76*1.07)*(10.764)</f>
        <v>432.20904480000002</v>
      </c>
      <c r="L289" s="58"/>
      <c r="M289" s="58"/>
    </row>
    <row r="290" spans="1:14" s="35" customFormat="1" ht="15.75" customHeight="1" x14ac:dyDescent="0.25">
      <c r="A290" s="77">
        <f t="shared" si="34"/>
        <v>7</v>
      </c>
      <c r="B290" s="77"/>
      <c r="C290" s="40" t="s">
        <v>189</v>
      </c>
      <c r="D290" s="40">
        <f>(38.07+2.76*1.07)*(10.764)</f>
        <v>441.57372479999998</v>
      </c>
      <c r="E290" s="40">
        <v>0</v>
      </c>
      <c r="F290" s="40">
        <f t="shared" si="33"/>
        <v>706.51795967999999</v>
      </c>
      <c r="G290" s="67"/>
      <c r="H290" s="69"/>
      <c r="I290" s="34"/>
      <c r="K290" s="40">
        <f>(37.2+2.76*1.07)*(10.764)</f>
        <v>432.20904480000002</v>
      </c>
      <c r="N290" s="34"/>
    </row>
    <row r="291" spans="1:14" s="35" customFormat="1" ht="15.75" customHeight="1" x14ac:dyDescent="0.25">
      <c r="A291" s="77">
        <f t="shared" si="34"/>
        <v>8</v>
      </c>
      <c r="B291" s="77"/>
      <c r="C291" s="40" t="s">
        <v>188</v>
      </c>
      <c r="D291" s="40">
        <f>(56.83+3.04*1.07)*(10.764)</f>
        <v>646.73125919999995</v>
      </c>
      <c r="E291" s="40">
        <v>0</v>
      </c>
      <c r="F291" s="40">
        <f t="shared" si="33"/>
        <v>1034.7700147200001</v>
      </c>
      <c r="G291" s="70"/>
      <c r="H291" s="72"/>
      <c r="I291" s="34"/>
      <c r="K291" s="40">
        <f>(55.94+3.04*1.07)*(10.764)</f>
        <v>637.15129919999993</v>
      </c>
      <c r="N291" s="34"/>
    </row>
    <row r="292" spans="1:14" s="35" customFormat="1" ht="15.75" customHeight="1" x14ac:dyDescent="0.25">
      <c r="A292" s="74" t="s">
        <v>196</v>
      </c>
      <c r="B292" s="75"/>
      <c r="C292" s="75"/>
      <c r="D292" s="75"/>
      <c r="E292" s="75"/>
      <c r="F292" s="75"/>
      <c r="G292" s="75"/>
      <c r="H292" s="76"/>
      <c r="I292" s="34">
        <v>1</v>
      </c>
      <c r="N292" s="34"/>
    </row>
    <row r="293" spans="1:14" s="35" customFormat="1" ht="15.75" customHeight="1" x14ac:dyDescent="0.25">
      <c r="A293" s="77">
        <v>1</v>
      </c>
      <c r="B293" s="77"/>
      <c r="C293" s="40" t="s">
        <v>188</v>
      </c>
      <c r="D293" s="40">
        <f>(56.83+3.04*1.07)*(10.764)</f>
        <v>646.73125919999995</v>
      </c>
      <c r="E293" s="40">
        <v>0</v>
      </c>
      <c r="F293" s="40">
        <f>D293*(($F$227)+1)+(IF(E293&lt;101,E293,IF(E293&lt;201,E293/2,IF(E293&lt;=301,E293/3,E293/4))))</f>
        <v>1034.7700147200001</v>
      </c>
      <c r="G293" s="64" t="str">
        <f>A292</f>
        <v>36th Floor (Part Refuge Area)</v>
      </c>
      <c r="H293" s="66"/>
      <c r="I293" s="34"/>
      <c r="N293" s="34"/>
    </row>
    <row r="294" spans="1:14" s="35" customFormat="1" ht="15.75" customHeight="1" x14ac:dyDescent="0.25">
      <c r="A294" s="77">
        <v>2</v>
      </c>
      <c r="B294" s="77"/>
      <c r="C294" s="40" t="s">
        <v>189</v>
      </c>
      <c r="D294" s="40">
        <f>(38.07+2.76*1.07)*(10.764)</f>
        <v>441.57372479999998</v>
      </c>
      <c r="E294" s="40">
        <v>0</v>
      </c>
      <c r="F294" s="40">
        <f>D294*(($F$227)+1)+(IF(E294&lt;101,E294,IF(E294&lt;201,E294/2,IF(E294&lt;=301,E294/3,E294/4))))</f>
        <v>706.51795967999999</v>
      </c>
      <c r="G294" s="67"/>
      <c r="H294" s="69"/>
      <c r="I294" s="34"/>
      <c r="N294" s="34"/>
    </row>
    <row r="295" spans="1:14" s="35" customFormat="1" ht="15.75" customHeight="1" x14ac:dyDescent="0.25">
      <c r="A295" s="77">
        <f t="shared" ref="A295:A300" si="35">A294+1</f>
        <v>3</v>
      </c>
      <c r="B295" s="77"/>
      <c r="C295" s="40" t="s">
        <v>189</v>
      </c>
      <c r="D295" s="40">
        <f>(38.07+2.76*1.07)*(10.764)</f>
        <v>441.57372479999998</v>
      </c>
      <c r="E295" s="40">
        <v>0</v>
      </c>
      <c r="F295" s="40">
        <f>D295*(($F$227)+1)+(IF(E295&lt;101,E295,IF(E295&lt;201,E295/2,IF(E295&lt;=301,E295/3,E295/4))))</f>
        <v>706.51795967999999</v>
      </c>
      <c r="G295" s="67"/>
      <c r="H295" s="69"/>
      <c r="I295" s="34"/>
      <c r="N295" s="34"/>
    </row>
    <row r="296" spans="1:14" s="35" customFormat="1" ht="15.75" customHeight="1" x14ac:dyDescent="0.25">
      <c r="A296" s="77">
        <f t="shared" si="35"/>
        <v>4</v>
      </c>
      <c r="B296" s="77"/>
      <c r="C296" s="40" t="s">
        <v>188</v>
      </c>
      <c r="D296" s="40">
        <f>(56.83+3.04*1.07)*(10.764)</f>
        <v>646.73125919999995</v>
      </c>
      <c r="E296" s="40">
        <v>0</v>
      </c>
      <c r="F296" s="40">
        <f>D296*(($F$227)+1)+(IF(E296&lt;101,E296,IF(E296&lt;201,E296/2,IF(E296&lt;=301,E296/3,E296/4))))</f>
        <v>1034.7700147200001</v>
      </c>
      <c r="G296" s="67"/>
      <c r="H296" s="69"/>
      <c r="I296" s="34"/>
      <c r="N296" s="34"/>
    </row>
    <row r="297" spans="1:14" s="35" customFormat="1" ht="15.75" customHeight="1" x14ac:dyDescent="0.25">
      <c r="A297" s="77">
        <f t="shared" si="35"/>
        <v>5</v>
      </c>
      <c r="B297" s="77"/>
      <c r="C297" s="62" t="s">
        <v>193</v>
      </c>
      <c r="D297" s="73"/>
      <c r="E297" s="73"/>
      <c r="F297" s="63"/>
      <c r="G297" s="67"/>
      <c r="H297" s="69"/>
      <c r="I297" s="34"/>
      <c r="N297" s="34"/>
    </row>
    <row r="298" spans="1:14" s="35" customFormat="1" x14ac:dyDescent="0.25">
      <c r="A298" s="77">
        <f t="shared" si="35"/>
        <v>6</v>
      </c>
      <c r="B298" s="77"/>
      <c r="C298" s="40" t="s">
        <v>189</v>
      </c>
      <c r="D298" s="40">
        <f>(38.07+2.76*1.07)*(10.764)</f>
        <v>441.57372479999998</v>
      </c>
      <c r="E298" s="40">
        <v>0</v>
      </c>
      <c r="F298" s="40">
        <f>D298*(($F$227)+1)+(IF(E298&lt;101,E298,IF(E298&lt;201,E298/2,IF(E298&lt;=301,E298/3,E298/4))))</f>
        <v>706.51795967999999</v>
      </c>
      <c r="G298" s="67"/>
      <c r="H298" s="69"/>
      <c r="J298" s="34"/>
    </row>
    <row r="299" spans="1:14" s="35" customFormat="1" x14ac:dyDescent="0.25">
      <c r="A299" s="77">
        <f t="shared" si="35"/>
        <v>7</v>
      </c>
      <c r="B299" s="77"/>
      <c r="C299" s="40" t="s">
        <v>189</v>
      </c>
      <c r="D299" s="40">
        <f>(38.07+2.76*1.07)*(10.764)</f>
        <v>441.57372479999998</v>
      </c>
      <c r="E299" s="40">
        <v>0</v>
      </c>
      <c r="F299" s="40">
        <f>D299*(($F$227)+1)+(IF(E299&lt;101,E299,IF(E299&lt;201,E299/2,IF(E299&lt;=301,E299/3,E299/4))))</f>
        <v>706.51795967999999</v>
      </c>
      <c r="G299" s="67"/>
      <c r="H299" s="69"/>
      <c r="J299" s="34"/>
    </row>
    <row r="300" spans="1:14" s="35" customFormat="1" ht="15.75" customHeight="1" x14ac:dyDescent="0.25">
      <c r="A300" s="77">
        <f t="shared" si="35"/>
        <v>8</v>
      </c>
      <c r="B300" s="77"/>
      <c r="C300" s="40" t="s">
        <v>188</v>
      </c>
      <c r="D300" s="40">
        <f>(56.83+3.04*1.07)*(10.764)</f>
        <v>646.73125919999995</v>
      </c>
      <c r="E300" s="40">
        <v>0</v>
      </c>
      <c r="F300" s="40">
        <f>D300*(($F$227)+1)+(IF(E300&lt;101,E300,IF(E300&lt;201,E300/2,IF(E300&lt;=301,E300/3,E300/4))))</f>
        <v>1034.7700147200001</v>
      </c>
      <c r="G300" s="70"/>
      <c r="H300" s="72"/>
      <c r="I300" s="34"/>
      <c r="L300" s="58"/>
      <c r="M300" s="58"/>
      <c r="N300" s="34"/>
    </row>
    <row r="301" spans="1:14" s="35" customFormat="1" ht="15.75" customHeight="1" x14ac:dyDescent="0.25">
      <c r="A301" s="87" t="s">
        <v>268</v>
      </c>
      <c r="B301" s="88"/>
      <c r="C301" s="88"/>
      <c r="D301" s="88"/>
      <c r="E301" s="88"/>
      <c r="F301" s="88"/>
      <c r="G301" s="88"/>
      <c r="H301" s="89"/>
      <c r="I301" s="34"/>
      <c r="L301" s="58"/>
      <c r="M301" s="58"/>
      <c r="N301" s="34"/>
    </row>
    <row r="302" spans="1:14" s="35" customFormat="1" ht="15.75" customHeight="1" x14ac:dyDescent="0.25">
      <c r="A302" s="74" t="s">
        <v>186</v>
      </c>
      <c r="B302" s="75"/>
      <c r="C302" s="75"/>
      <c r="D302" s="75"/>
      <c r="E302" s="75"/>
      <c r="F302" s="75"/>
      <c r="G302" s="75"/>
      <c r="H302" s="76"/>
      <c r="I302" s="34">
        <v>1</v>
      </c>
      <c r="L302" s="58"/>
      <c r="M302" s="58"/>
      <c r="N302" s="34"/>
    </row>
    <row r="303" spans="1:14" s="35" customFormat="1" ht="15.75" customHeight="1" x14ac:dyDescent="0.25">
      <c r="A303" s="62">
        <v>1</v>
      </c>
      <c r="B303" s="63"/>
      <c r="C303" s="64" t="s">
        <v>187</v>
      </c>
      <c r="D303" s="65"/>
      <c r="E303" s="65"/>
      <c r="F303" s="66"/>
      <c r="G303" s="64" t="str">
        <f>A302</f>
        <v>2nd Podium Floor For Residential, Parking &amp; Meter Room</v>
      </c>
      <c r="H303" s="66"/>
      <c r="I303" s="34"/>
      <c r="L303" s="58"/>
      <c r="M303" s="58"/>
      <c r="N303" s="34"/>
    </row>
    <row r="304" spans="1:14" s="35" customFormat="1" ht="15.75" customHeight="1" x14ac:dyDescent="0.25">
      <c r="A304" s="62">
        <f t="shared" ref="A304:A310" si="36">A303+1</f>
        <v>2</v>
      </c>
      <c r="B304" s="63"/>
      <c r="C304" s="67"/>
      <c r="D304" s="68"/>
      <c r="E304" s="68"/>
      <c r="F304" s="69"/>
      <c r="G304" s="67"/>
      <c r="H304" s="69"/>
      <c r="I304" s="34">
        <f>3.04*5.47+2.18*2.42+1.58*0.2+3.04*3.55+3.04*3.8+2.12*1.38+1.98*1.38+3.44*0.98</f>
        <v>53.593600000000002</v>
      </c>
      <c r="L304" s="58"/>
      <c r="M304" s="58"/>
      <c r="N304" s="34"/>
    </row>
    <row r="305" spans="1:14" s="35" customFormat="1" ht="15.75" customHeight="1" x14ac:dyDescent="0.25">
      <c r="A305" s="62">
        <f t="shared" si="36"/>
        <v>3</v>
      </c>
      <c r="B305" s="63"/>
      <c r="C305" s="67"/>
      <c r="D305" s="68"/>
      <c r="E305" s="68"/>
      <c r="F305" s="69"/>
      <c r="G305" s="67"/>
      <c r="H305" s="69"/>
      <c r="I305" s="34"/>
      <c r="L305" s="58"/>
      <c r="M305" s="58"/>
      <c r="N305" s="34"/>
    </row>
    <row r="306" spans="1:14" s="35" customFormat="1" ht="15.75" customHeight="1" x14ac:dyDescent="0.25">
      <c r="A306" s="62">
        <f t="shared" si="36"/>
        <v>4</v>
      </c>
      <c r="B306" s="63"/>
      <c r="C306" s="70"/>
      <c r="D306" s="71"/>
      <c r="E306" s="71"/>
      <c r="F306" s="72"/>
      <c r="G306" s="67"/>
      <c r="H306" s="69"/>
      <c r="I306" s="34"/>
      <c r="L306" s="58"/>
      <c r="M306" s="58"/>
      <c r="N306" s="34"/>
    </row>
    <row r="307" spans="1:14" s="35" customFormat="1" ht="15.75" customHeight="1" x14ac:dyDescent="0.25">
      <c r="A307" s="62">
        <f t="shared" si="36"/>
        <v>5</v>
      </c>
      <c r="B307" s="63"/>
      <c r="C307" s="40" t="s">
        <v>188</v>
      </c>
      <c r="D307" s="40">
        <f>56.83*10.764</f>
        <v>611.71812</v>
      </c>
      <c r="E307" s="40">
        <v>0</v>
      </c>
      <c r="F307" s="40">
        <f>D307*(($F$227)+1)+(IF(E307&lt;101,E307,IF(E307&lt;201,E307/2,IF(E307&lt;=301,E307/3,E307/4))))</f>
        <v>978.74899200000004</v>
      </c>
      <c r="G307" s="67"/>
      <c r="H307" s="69"/>
      <c r="I307" s="34"/>
      <c r="L307" s="58"/>
      <c r="M307" s="58"/>
      <c r="N307" s="34"/>
    </row>
    <row r="308" spans="1:14" s="35" customFormat="1" x14ac:dyDescent="0.25">
      <c r="A308" s="62">
        <f t="shared" si="36"/>
        <v>6</v>
      </c>
      <c r="B308" s="63"/>
      <c r="C308" s="40" t="s">
        <v>189</v>
      </c>
      <c r="D308" s="40">
        <f>38.07*10.764</f>
        <v>409.78547999999995</v>
      </c>
      <c r="E308" s="40">
        <v>0</v>
      </c>
      <c r="F308" s="40">
        <f>D308*(($F$227)+1)+(IF(E308&lt;101,E308,IF(E308&lt;201,E308/2,IF(E308&lt;=301,E308/3,E308/4))))</f>
        <v>655.65676799999994</v>
      </c>
      <c r="G308" s="67"/>
      <c r="H308" s="69"/>
      <c r="J308" s="34"/>
    </row>
    <row r="309" spans="1:14" s="35" customFormat="1" ht="15.75" customHeight="1" x14ac:dyDescent="0.25">
      <c r="A309" s="62">
        <f t="shared" si="36"/>
        <v>7</v>
      </c>
      <c r="B309" s="63"/>
      <c r="C309" s="40" t="s">
        <v>189</v>
      </c>
      <c r="D309" s="40">
        <f>38.07*10.764</f>
        <v>409.78547999999995</v>
      </c>
      <c r="E309" s="40">
        <v>0</v>
      </c>
      <c r="F309" s="40">
        <f>D309*(($F$227)+1)+(IF(E309&lt;101,E309,IF(E309&lt;201,E309/2,IF(E309&lt;=301,E309/3,E309/4))))</f>
        <v>655.65676799999994</v>
      </c>
      <c r="G309" s="67"/>
      <c r="H309" s="69"/>
      <c r="I309" s="34"/>
      <c r="L309" s="58"/>
      <c r="M309" s="58"/>
      <c r="N309" s="34"/>
    </row>
    <row r="310" spans="1:14" s="35" customFormat="1" ht="15.75" customHeight="1" x14ac:dyDescent="0.25">
      <c r="A310" s="62">
        <f t="shared" si="36"/>
        <v>8</v>
      </c>
      <c r="B310" s="63"/>
      <c r="C310" s="40" t="s">
        <v>188</v>
      </c>
      <c r="D310" s="40">
        <f>56.83*10.764</f>
        <v>611.71812</v>
      </c>
      <c r="E310" s="40">
        <v>0</v>
      </c>
      <c r="F310" s="40">
        <f>D310*(($F$227)+1)+(IF(E310&lt;101,E310,IF(E310&lt;201,E310/2,IF(E310&lt;=301,E310/3,E310/4))))</f>
        <v>978.74899200000004</v>
      </c>
      <c r="G310" s="70"/>
      <c r="H310" s="72"/>
      <c r="I310" s="34"/>
      <c r="L310" s="58"/>
      <c r="M310" s="58"/>
      <c r="N310" s="34"/>
    </row>
    <row r="311" spans="1:14" s="35" customFormat="1" ht="15.75" customHeight="1" x14ac:dyDescent="0.25">
      <c r="A311" s="59" t="s">
        <v>207</v>
      </c>
      <c r="B311" s="60"/>
      <c r="C311" s="60"/>
      <c r="D311" s="60"/>
      <c r="E311" s="60"/>
      <c r="F311" s="60"/>
      <c r="G311" s="60"/>
      <c r="H311" s="61"/>
      <c r="I311" s="34">
        <v>2</v>
      </c>
      <c r="L311" s="58"/>
      <c r="M311" s="58"/>
      <c r="N311" s="34"/>
    </row>
    <row r="312" spans="1:14" s="35" customFormat="1" ht="15.75" customHeight="1" x14ac:dyDescent="0.25">
      <c r="A312" s="62">
        <v>1</v>
      </c>
      <c r="B312" s="63"/>
      <c r="C312" s="64" t="s">
        <v>187</v>
      </c>
      <c r="D312" s="65"/>
      <c r="E312" s="65"/>
      <c r="F312" s="66"/>
      <c r="G312" s="64" t="str">
        <f>A311</f>
        <v xml:space="preserve">3rd &amp; 4th Podium Floor For Residential, &amp; Parking </v>
      </c>
      <c r="H312" s="66"/>
      <c r="I312" s="34"/>
      <c r="L312" s="58"/>
      <c r="M312" s="58"/>
      <c r="N312" s="34"/>
    </row>
    <row r="313" spans="1:14" s="35" customFormat="1" ht="15.75" customHeight="1" x14ac:dyDescent="0.25">
      <c r="A313" s="62">
        <f t="shared" ref="A313:A319" si="37">A312+1</f>
        <v>2</v>
      </c>
      <c r="B313" s="63"/>
      <c r="C313" s="67"/>
      <c r="D313" s="68"/>
      <c r="E313" s="68"/>
      <c r="F313" s="69"/>
      <c r="G313" s="67"/>
      <c r="H313" s="69"/>
      <c r="I313" s="34"/>
      <c r="L313" s="58"/>
      <c r="M313" s="58"/>
      <c r="N313" s="34"/>
    </row>
    <row r="314" spans="1:14" s="35" customFormat="1" ht="15.75" customHeight="1" x14ac:dyDescent="0.25">
      <c r="A314" s="62">
        <f t="shared" si="37"/>
        <v>3</v>
      </c>
      <c r="B314" s="63"/>
      <c r="C314" s="67"/>
      <c r="D314" s="68"/>
      <c r="E314" s="68"/>
      <c r="F314" s="69"/>
      <c r="G314" s="67"/>
      <c r="H314" s="69"/>
      <c r="I314" s="34"/>
      <c r="L314" s="58"/>
      <c r="M314" s="58"/>
      <c r="N314" s="34"/>
    </row>
    <row r="315" spans="1:14" s="35" customFormat="1" ht="15.75" customHeight="1" x14ac:dyDescent="0.25">
      <c r="A315" s="62">
        <f t="shared" si="37"/>
        <v>4</v>
      </c>
      <c r="B315" s="63"/>
      <c r="C315" s="70"/>
      <c r="D315" s="71"/>
      <c r="E315" s="71"/>
      <c r="F315" s="72"/>
      <c r="G315" s="67"/>
      <c r="H315" s="69"/>
      <c r="I315" s="34"/>
      <c r="L315" s="58"/>
      <c r="M315" s="58"/>
      <c r="N315" s="34"/>
    </row>
    <row r="316" spans="1:14" s="35" customFormat="1" ht="15.75" customHeight="1" x14ac:dyDescent="0.25">
      <c r="A316" s="62">
        <f t="shared" si="37"/>
        <v>5</v>
      </c>
      <c r="B316" s="63"/>
      <c r="C316" s="40" t="s">
        <v>188</v>
      </c>
      <c r="D316" s="40">
        <f>56.83*10.764</f>
        <v>611.71812</v>
      </c>
      <c r="E316" s="40">
        <v>0</v>
      </c>
      <c r="F316" s="40">
        <f>D316*(($F$227)+1)+(IF(E316&lt;101,E316,IF(E316&lt;201,E316/2,IF(E316&lt;=301,E316/3,E316/4))))</f>
        <v>978.74899200000004</v>
      </c>
      <c r="G316" s="67"/>
      <c r="H316" s="69"/>
      <c r="I316" s="34"/>
      <c r="L316" s="58"/>
      <c r="M316" s="58"/>
      <c r="N316" s="34"/>
    </row>
    <row r="317" spans="1:14" s="35" customFormat="1" x14ac:dyDescent="0.25">
      <c r="A317" s="62">
        <f t="shared" si="37"/>
        <v>6</v>
      </c>
      <c r="B317" s="63"/>
      <c r="C317" s="40" t="s">
        <v>189</v>
      </c>
      <c r="D317" s="40">
        <f>38.07*10.764</f>
        <v>409.78547999999995</v>
      </c>
      <c r="E317" s="40">
        <v>0</v>
      </c>
      <c r="F317" s="40">
        <f>D317*(($F$227)+1)+(IF(E317&lt;101,E317,IF(E317&lt;201,E317/2,IF(E317&lt;=301,E317/3,E317/4))))</f>
        <v>655.65676799999994</v>
      </c>
      <c r="G317" s="67"/>
      <c r="H317" s="69"/>
      <c r="J317" s="34"/>
    </row>
    <row r="318" spans="1:14" s="35" customFormat="1" ht="15.75" customHeight="1" x14ac:dyDescent="0.25">
      <c r="A318" s="62">
        <f t="shared" si="37"/>
        <v>7</v>
      </c>
      <c r="B318" s="63"/>
      <c r="C318" s="40" t="s">
        <v>189</v>
      </c>
      <c r="D318" s="40">
        <f>38.07*10.764</f>
        <v>409.78547999999995</v>
      </c>
      <c r="E318" s="40">
        <v>0</v>
      </c>
      <c r="F318" s="40">
        <f>D318*(($F$227)+1)+(IF(E318&lt;101,E318,IF(E318&lt;201,E318/2,IF(E318&lt;=301,E318/3,E318/4))))</f>
        <v>655.65676799999994</v>
      </c>
      <c r="G318" s="67"/>
      <c r="H318" s="69"/>
      <c r="I318" s="34"/>
      <c r="L318" s="58"/>
      <c r="M318" s="58"/>
      <c r="N318" s="34"/>
    </row>
    <row r="319" spans="1:14" s="35" customFormat="1" ht="15.75" customHeight="1" x14ac:dyDescent="0.25">
      <c r="A319" s="62">
        <f t="shared" si="37"/>
        <v>8</v>
      </c>
      <c r="B319" s="63"/>
      <c r="C319" s="40" t="s">
        <v>188</v>
      </c>
      <c r="D319" s="40">
        <f>56.83*10.764</f>
        <v>611.71812</v>
      </c>
      <c r="E319" s="40">
        <v>0</v>
      </c>
      <c r="F319" s="40">
        <f>D319*(($F$227)+1)+(IF(E319&lt;101,E319,IF(E319&lt;201,E319/2,IF(E319&lt;=301,E319/3,E319/4))))</f>
        <v>978.74899200000004</v>
      </c>
      <c r="G319" s="70"/>
      <c r="H319" s="72"/>
      <c r="I319" s="34"/>
      <c r="L319" s="58"/>
      <c r="M319" s="58"/>
      <c r="N319" s="34"/>
    </row>
    <row r="320" spans="1:14" s="35" customFormat="1" ht="15.75" customHeight="1" x14ac:dyDescent="0.25">
      <c r="A320" s="74" t="s">
        <v>190</v>
      </c>
      <c r="B320" s="75"/>
      <c r="C320" s="75"/>
      <c r="D320" s="75"/>
      <c r="E320" s="75"/>
      <c r="F320" s="75"/>
      <c r="G320" s="75"/>
      <c r="H320" s="76"/>
      <c r="I320" s="34">
        <v>1</v>
      </c>
      <c r="L320" s="58"/>
      <c r="M320" s="58"/>
      <c r="N320" s="34"/>
    </row>
    <row r="321" spans="1:14" s="35" customFormat="1" ht="15.75" customHeight="1" x14ac:dyDescent="0.25">
      <c r="A321" s="62">
        <v>1</v>
      </c>
      <c r="B321" s="63"/>
      <c r="C321" s="64" t="s">
        <v>187</v>
      </c>
      <c r="D321" s="65"/>
      <c r="E321" s="65"/>
      <c r="F321" s="66"/>
      <c r="G321" s="64" t="str">
        <f>A320</f>
        <v>5th Podium Floor For Residential, Parking &amp; Meter Room</v>
      </c>
      <c r="H321" s="66"/>
      <c r="I321" s="34"/>
      <c r="L321" s="58"/>
      <c r="M321" s="58"/>
      <c r="N321" s="34"/>
    </row>
    <row r="322" spans="1:14" s="35" customFormat="1" ht="15.75" customHeight="1" x14ac:dyDescent="0.25">
      <c r="A322" s="62">
        <f t="shared" ref="A322:A328" si="38">A321+1</f>
        <v>2</v>
      </c>
      <c r="B322" s="63"/>
      <c r="C322" s="67"/>
      <c r="D322" s="68"/>
      <c r="E322" s="68"/>
      <c r="F322" s="69"/>
      <c r="G322" s="67"/>
      <c r="H322" s="69"/>
      <c r="I322" s="34"/>
      <c r="L322" s="58"/>
      <c r="M322" s="58"/>
      <c r="N322" s="34"/>
    </row>
    <row r="323" spans="1:14" s="35" customFormat="1" ht="15.75" customHeight="1" x14ac:dyDescent="0.25">
      <c r="A323" s="62">
        <f t="shared" si="38"/>
        <v>3</v>
      </c>
      <c r="B323" s="63"/>
      <c r="C323" s="67"/>
      <c r="D323" s="68"/>
      <c r="E323" s="68"/>
      <c r="F323" s="69"/>
      <c r="G323" s="67"/>
      <c r="H323" s="69"/>
      <c r="I323" s="34"/>
      <c r="L323" s="58"/>
      <c r="M323" s="58"/>
      <c r="N323" s="34"/>
    </row>
    <row r="324" spans="1:14" s="35" customFormat="1" ht="15.75" customHeight="1" x14ac:dyDescent="0.25">
      <c r="A324" s="62">
        <f t="shared" si="38"/>
        <v>4</v>
      </c>
      <c r="B324" s="63"/>
      <c r="C324" s="70"/>
      <c r="D324" s="71"/>
      <c r="E324" s="71"/>
      <c r="F324" s="72"/>
      <c r="G324" s="67"/>
      <c r="H324" s="69"/>
      <c r="I324" s="34"/>
      <c r="L324" s="58"/>
      <c r="M324" s="58"/>
      <c r="N324" s="34"/>
    </row>
    <row r="325" spans="1:14" s="35" customFormat="1" ht="15.75" customHeight="1" x14ac:dyDescent="0.25">
      <c r="A325" s="62">
        <f t="shared" si="38"/>
        <v>5</v>
      </c>
      <c r="B325" s="63"/>
      <c r="C325" s="40" t="s">
        <v>188</v>
      </c>
      <c r="D325" s="40">
        <f>56.83*10.764</f>
        <v>611.71812</v>
      </c>
      <c r="E325" s="40">
        <v>0</v>
      </c>
      <c r="F325" s="40">
        <f>D325*(($F$227)+1)+(IF(E325&lt;101,E325,IF(E325&lt;201,E325/2,IF(E325&lt;=301,E325/3,E325/4))))</f>
        <v>978.74899200000004</v>
      </c>
      <c r="G325" s="67"/>
      <c r="H325" s="69"/>
      <c r="I325" s="34"/>
      <c r="L325" s="58"/>
      <c r="M325" s="58"/>
      <c r="N325" s="34"/>
    </row>
    <row r="326" spans="1:14" s="35" customFormat="1" x14ac:dyDescent="0.25">
      <c r="A326" s="62">
        <f t="shared" si="38"/>
        <v>6</v>
      </c>
      <c r="B326" s="63"/>
      <c r="C326" s="40" t="s">
        <v>189</v>
      </c>
      <c r="D326" s="40">
        <f>38.07*10.764</f>
        <v>409.78547999999995</v>
      </c>
      <c r="E326" s="40">
        <v>0</v>
      </c>
      <c r="F326" s="40">
        <f>D326*(($F$227)+1)+(IF(E326&lt;101,E326,IF(E326&lt;201,E326/2,IF(E326&lt;=301,E326/3,E326/4))))</f>
        <v>655.65676799999994</v>
      </c>
      <c r="G326" s="67"/>
      <c r="H326" s="69"/>
      <c r="I326" s="34"/>
      <c r="L326" s="58"/>
      <c r="M326" s="58"/>
    </row>
    <row r="327" spans="1:14" s="35" customFormat="1" ht="15.75" customHeight="1" x14ac:dyDescent="0.25">
      <c r="A327" s="62">
        <f t="shared" si="38"/>
        <v>7</v>
      </c>
      <c r="B327" s="63"/>
      <c r="C327" s="40" t="s">
        <v>189</v>
      </c>
      <c r="D327" s="40">
        <f>38.07*10.764</f>
        <v>409.78547999999995</v>
      </c>
      <c r="E327" s="40">
        <v>0</v>
      </c>
      <c r="F327" s="40">
        <f>D327*(($F$227)+1)+(IF(E327&lt;101,E327,IF(E327&lt;201,E327/2,IF(E327&lt;=301,E327/3,E327/4))))</f>
        <v>655.65676799999994</v>
      </c>
      <c r="G327" s="67"/>
      <c r="H327" s="69"/>
      <c r="I327" s="34"/>
      <c r="N327" s="34"/>
    </row>
    <row r="328" spans="1:14" s="35" customFormat="1" ht="15.75" customHeight="1" x14ac:dyDescent="0.25">
      <c r="A328" s="62">
        <f t="shared" si="38"/>
        <v>8</v>
      </c>
      <c r="B328" s="63"/>
      <c r="C328" s="40" t="s">
        <v>188</v>
      </c>
      <c r="D328" s="40">
        <f>56.83*10.764</f>
        <v>611.71812</v>
      </c>
      <c r="E328" s="40">
        <v>0</v>
      </c>
      <c r="F328" s="40">
        <f>D328*(($F$227)+1)+(IF(E328&lt;101,E328,IF(E328&lt;201,E328/2,IF(E328&lt;=301,E328/3,E328/4))))</f>
        <v>978.74899200000004</v>
      </c>
      <c r="G328" s="70"/>
      <c r="H328" s="72"/>
      <c r="I328" s="34"/>
      <c r="N328" s="34"/>
    </row>
    <row r="329" spans="1:14" s="35" customFormat="1" ht="15.75" customHeight="1" x14ac:dyDescent="0.25">
      <c r="A329" s="74" t="s">
        <v>191</v>
      </c>
      <c r="B329" s="75"/>
      <c r="C329" s="75"/>
      <c r="D329" s="75"/>
      <c r="E329" s="75"/>
      <c r="F329" s="75"/>
      <c r="G329" s="75"/>
      <c r="H329" s="76"/>
      <c r="I329" s="34">
        <v>20</v>
      </c>
      <c r="N329" s="34"/>
    </row>
    <row r="330" spans="1:14" s="35" customFormat="1" ht="15.75" customHeight="1" x14ac:dyDescent="0.25">
      <c r="A330" s="77">
        <v>1</v>
      </c>
      <c r="B330" s="77"/>
      <c r="C330" s="40" t="s">
        <v>188</v>
      </c>
      <c r="D330" s="40">
        <f>56.83*10.764</f>
        <v>611.71812</v>
      </c>
      <c r="E330" s="40">
        <v>0</v>
      </c>
      <c r="F330" s="40">
        <f t="shared" ref="F330:F337" si="39">D330*(($F$227)+1)+(IF(E330&lt;101,E330,IF(E330&lt;201,E330/2,IF(E330&lt;=301,E330/3,E330/4))))</f>
        <v>978.74899200000004</v>
      </c>
      <c r="G330" s="64" t="str">
        <f>A329</f>
        <v>6th, 7th, 9th to 14th, 16th to 21st &amp; 23rd to 28th Floor For Residential</v>
      </c>
      <c r="H330" s="66"/>
      <c r="I330" s="34"/>
      <c r="N330" s="34"/>
    </row>
    <row r="331" spans="1:14" s="35" customFormat="1" ht="15.75" customHeight="1" x14ac:dyDescent="0.25">
      <c r="A331" s="77">
        <v>2</v>
      </c>
      <c r="B331" s="77"/>
      <c r="C331" s="40" t="s">
        <v>189</v>
      </c>
      <c r="D331" s="40">
        <f>38.07*10.764</f>
        <v>409.78547999999995</v>
      </c>
      <c r="E331" s="40">
        <v>0</v>
      </c>
      <c r="F331" s="40">
        <f t="shared" si="39"/>
        <v>655.65676799999994</v>
      </c>
      <c r="G331" s="67"/>
      <c r="H331" s="69"/>
      <c r="I331" s="34"/>
      <c r="N331" s="34"/>
    </row>
    <row r="332" spans="1:14" s="35" customFormat="1" ht="15.75" customHeight="1" x14ac:dyDescent="0.25">
      <c r="A332" s="77">
        <f t="shared" ref="A332:A337" si="40">A331+1</f>
        <v>3</v>
      </c>
      <c r="B332" s="77"/>
      <c r="C332" s="40" t="s">
        <v>189</v>
      </c>
      <c r="D332" s="40">
        <f>38.07*10.764</f>
        <v>409.78547999999995</v>
      </c>
      <c r="E332" s="40">
        <v>0</v>
      </c>
      <c r="F332" s="40">
        <f t="shared" si="39"/>
        <v>655.65676799999994</v>
      </c>
      <c r="G332" s="67"/>
      <c r="H332" s="69"/>
      <c r="I332" s="34"/>
      <c r="N332" s="34"/>
    </row>
    <row r="333" spans="1:14" s="35" customFormat="1" ht="15.75" customHeight="1" x14ac:dyDescent="0.25">
      <c r="A333" s="77">
        <f t="shared" si="40"/>
        <v>4</v>
      </c>
      <c r="B333" s="77"/>
      <c r="C333" s="40" t="s">
        <v>188</v>
      </c>
      <c r="D333" s="40">
        <f>56.83*10.764</f>
        <v>611.71812</v>
      </c>
      <c r="E333" s="40">
        <v>0</v>
      </c>
      <c r="F333" s="40">
        <f t="shared" si="39"/>
        <v>978.74899200000004</v>
      </c>
      <c r="G333" s="67"/>
      <c r="H333" s="69"/>
      <c r="I333" s="34"/>
      <c r="N333" s="34"/>
    </row>
    <row r="334" spans="1:14" s="35" customFormat="1" ht="15.75" customHeight="1" x14ac:dyDescent="0.25">
      <c r="A334" s="77">
        <f t="shared" si="40"/>
        <v>5</v>
      </c>
      <c r="B334" s="77"/>
      <c r="C334" s="40" t="s">
        <v>188</v>
      </c>
      <c r="D334" s="40">
        <f>56.83*10.764</f>
        <v>611.71812</v>
      </c>
      <c r="E334" s="40">
        <v>0</v>
      </c>
      <c r="F334" s="40">
        <f t="shared" si="39"/>
        <v>978.74899200000004</v>
      </c>
      <c r="G334" s="67"/>
      <c r="H334" s="69"/>
      <c r="I334" s="34"/>
      <c r="N334" s="34"/>
    </row>
    <row r="335" spans="1:14" s="35" customFormat="1" x14ac:dyDescent="0.25">
      <c r="A335" s="77">
        <f t="shared" si="40"/>
        <v>6</v>
      </c>
      <c r="B335" s="77"/>
      <c r="C335" s="40" t="s">
        <v>189</v>
      </c>
      <c r="D335" s="40">
        <f>38.07*10.764</f>
        <v>409.78547999999995</v>
      </c>
      <c r="E335" s="40">
        <v>0</v>
      </c>
      <c r="F335" s="40">
        <f t="shared" si="39"/>
        <v>655.65676799999994</v>
      </c>
      <c r="G335" s="67"/>
      <c r="H335" s="69"/>
      <c r="I335" s="34"/>
      <c r="L335" s="58"/>
      <c r="M335" s="58"/>
    </row>
    <row r="336" spans="1:14" s="35" customFormat="1" ht="15.75" customHeight="1" x14ac:dyDescent="0.25">
      <c r="A336" s="77">
        <f t="shared" si="40"/>
        <v>7</v>
      </c>
      <c r="B336" s="77"/>
      <c r="C336" s="40" t="s">
        <v>189</v>
      </c>
      <c r="D336" s="40">
        <f>38.07*10.764</f>
        <v>409.78547999999995</v>
      </c>
      <c r="E336" s="40">
        <v>0</v>
      </c>
      <c r="F336" s="40">
        <f t="shared" si="39"/>
        <v>655.65676799999994</v>
      </c>
      <c r="G336" s="67"/>
      <c r="H336" s="69"/>
      <c r="I336" s="34"/>
      <c r="N336" s="34"/>
    </row>
    <row r="337" spans="1:14" s="35" customFormat="1" ht="15.75" customHeight="1" x14ac:dyDescent="0.25">
      <c r="A337" s="77">
        <f t="shared" si="40"/>
        <v>8</v>
      </c>
      <c r="B337" s="77"/>
      <c r="C337" s="40" t="s">
        <v>188</v>
      </c>
      <c r="D337" s="40">
        <f>56.83*10.764</f>
        <v>611.71812</v>
      </c>
      <c r="E337" s="40">
        <v>0</v>
      </c>
      <c r="F337" s="40">
        <f t="shared" si="39"/>
        <v>978.74899200000004</v>
      </c>
      <c r="G337" s="70"/>
      <c r="H337" s="72"/>
      <c r="I337" s="34"/>
      <c r="N337" s="34"/>
    </row>
    <row r="338" spans="1:14" s="35" customFormat="1" ht="15.75" customHeight="1" x14ac:dyDescent="0.25">
      <c r="A338" s="74" t="s">
        <v>192</v>
      </c>
      <c r="B338" s="75"/>
      <c r="C338" s="75"/>
      <c r="D338" s="75"/>
      <c r="E338" s="75"/>
      <c r="F338" s="75"/>
      <c r="G338" s="75"/>
      <c r="H338" s="76"/>
      <c r="I338" s="34">
        <v>3</v>
      </c>
      <c r="N338" s="34"/>
    </row>
    <row r="339" spans="1:14" s="35" customFormat="1" ht="15.75" customHeight="1" x14ac:dyDescent="0.25">
      <c r="A339" s="77">
        <v>1</v>
      </c>
      <c r="B339" s="77"/>
      <c r="C339" s="40" t="s">
        <v>188</v>
      </c>
      <c r="D339" s="40">
        <f>56.83*10.764</f>
        <v>611.71812</v>
      </c>
      <c r="E339" s="40">
        <v>0</v>
      </c>
      <c r="F339" s="40">
        <f>D339*(($F$227)+1)+(IF(E339&lt;101,E339,IF(E339&lt;201,E339/2,IF(E339&lt;=301,E339/3,E339/4))))</f>
        <v>978.74899200000004</v>
      </c>
      <c r="G339" s="64" t="str">
        <f>A338</f>
        <v>8th, 15th &amp; 22nd Floor (Part Refuge Area)</v>
      </c>
      <c r="H339" s="66"/>
      <c r="I339" s="34"/>
      <c r="N339" s="34"/>
    </row>
    <row r="340" spans="1:14" s="35" customFormat="1" ht="15.75" customHeight="1" x14ac:dyDescent="0.25">
      <c r="A340" s="77">
        <v>2</v>
      </c>
      <c r="B340" s="77"/>
      <c r="C340" s="40" t="s">
        <v>189</v>
      </c>
      <c r="D340" s="40">
        <f>38.07*10.764</f>
        <v>409.78547999999995</v>
      </c>
      <c r="E340" s="40">
        <v>0</v>
      </c>
      <c r="F340" s="40">
        <f>D340*(($F$227)+1)+(IF(E340&lt;101,E340,IF(E340&lt;201,E340/2,IF(E340&lt;=301,E340/3,E340/4))))</f>
        <v>655.65676799999994</v>
      </c>
      <c r="G340" s="67"/>
      <c r="H340" s="69"/>
      <c r="I340" s="34"/>
      <c r="N340" s="34"/>
    </row>
    <row r="341" spans="1:14" s="35" customFormat="1" ht="15.75" customHeight="1" x14ac:dyDescent="0.25">
      <c r="A341" s="77">
        <f t="shared" ref="A341:A346" si="41">A340+1</f>
        <v>3</v>
      </c>
      <c r="B341" s="77"/>
      <c r="C341" s="40" t="s">
        <v>189</v>
      </c>
      <c r="D341" s="40">
        <f>38.07*10.764</f>
        <v>409.78547999999995</v>
      </c>
      <c r="E341" s="40">
        <v>0</v>
      </c>
      <c r="F341" s="40">
        <f>D341*(($F$227)+1)+(IF(E341&lt;101,E341,IF(E341&lt;201,E341/2,IF(E341&lt;=301,E341/3,E341/4))))</f>
        <v>655.65676799999994</v>
      </c>
      <c r="G341" s="67"/>
      <c r="H341" s="69"/>
      <c r="I341" s="34"/>
      <c r="N341" s="34"/>
    </row>
    <row r="342" spans="1:14" s="35" customFormat="1" ht="15.75" customHeight="1" x14ac:dyDescent="0.25">
      <c r="A342" s="77">
        <f t="shared" si="41"/>
        <v>4</v>
      </c>
      <c r="B342" s="77"/>
      <c r="C342" s="40" t="s">
        <v>188</v>
      </c>
      <c r="D342" s="40">
        <f>56.83*10.764</f>
        <v>611.71812</v>
      </c>
      <c r="E342" s="40">
        <v>0</v>
      </c>
      <c r="F342" s="40">
        <f>D342*(($F$227)+1)+(IF(E342&lt;101,E342,IF(E342&lt;201,E342/2,IF(E342&lt;=301,E342/3,E342/4))))</f>
        <v>978.74899200000004</v>
      </c>
      <c r="G342" s="67"/>
      <c r="H342" s="69"/>
      <c r="I342" s="34"/>
      <c r="N342" s="34"/>
    </row>
    <row r="343" spans="1:14" s="35" customFormat="1" ht="15.75" customHeight="1" x14ac:dyDescent="0.25">
      <c r="A343" s="77">
        <f t="shared" si="41"/>
        <v>5</v>
      </c>
      <c r="B343" s="77"/>
      <c r="C343" s="64" t="s">
        <v>193</v>
      </c>
      <c r="D343" s="65"/>
      <c r="E343" s="65"/>
      <c r="F343" s="66"/>
      <c r="G343" s="67"/>
      <c r="H343" s="69"/>
      <c r="I343" s="34"/>
      <c r="N343" s="34"/>
    </row>
    <row r="344" spans="1:14" s="35" customFormat="1" ht="15.75" customHeight="1" x14ac:dyDescent="0.25">
      <c r="A344" s="77">
        <f t="shared" si="41"/>
        <v>6</v>
      </c>
      <c r="B344" s="77"/>
      <c r="C344" s="70"/>
      <c r="D344" s="71"/>
      <c r="E344" s="71"/>
      <c r="F344" s="72"/>
      <c r="G344" s="67"/>
      <c r="H344" s="69"/>
      <c r="I344" s="34"/>
    </row>
    <row r="345" spans="1:14" s="35" customFormat="1" ht="15.75" customHeight="1" x14ac:dyDescent="0.25">
      <c r="A345" s="77">
        <f t="shared" si="41"/>
        <v>7</v>
      </c>
      <c r="B345" s="77"/>
      <c r="C345" s="40" t="s">
        <v>189</v>
      </c>
      <c r="D345" s="40">
        <f>38.07*10.764</f>
        <v>409.78547999999995</v>
      </c>
      <c r="E345" s="40">
        <v>0</v>
      </c>
      <c r="F345" s="40">
        <f>D345*(($F$227)+1)+(IF(E345&lt;101,E345,IF(E345&lt;201,E345/2,IF(E345&lt;=301,E345/3,E345/4))))</f>
        <v>655.65676799999994</v>
      </c>
      <c r="G345" s="67"/>
      <c r="H345" s="69"/>
      <c r="I345" s="34"/>
      <c r="N345" s="34"/>
    </row>
    <row r="346" spans="1:14" s="35" customFormat="1" ht="15.75" customHeight="1" x14ac:dyDescent="0.25">
      <c r="A346" s="77">
        <f t="shared" si="41"/>
        <v>8</v>
      </c>
      <c r="B346" s="77"/>
      <c r="C346" s="40" t="s">
        <v>188</v>
      </c>
      <c r="D346" s="40">
        <f>56.83*10.764</f>
        <v>611.71812</v>
      </c>
      <c r="E346" s="40">
        <v>0</v>
      </c>
      <c r="F346" s="40">
        <f>D346*(($F$227)+1)+(IF(E346&lt;101,E346,IF(E346&lt;201,E346/2,IF(E346&lt;=301,E346/3,E346/4))))</f>
        <v>978.74899200000004</v>
      </c>
      <c r="G346" s="70"/>
      <c r="H346" s="72"/>
      <c r="I346" s="34"/>
      <c r="N346" s="34"/>
    </row>
    <row r="347" spans="1:14" s="35" customFormat="1" ht="15.75" customHeight="1" x14ac:dyDescent="0.25">
      <c r="A347" s="74" t="s">
        <v>194</v>
      </c>
      <c r="B347" s="75"/>
      <c r="C347" s="75"/>
      <c r="D347" s="75"/>
      <c r="E347" s="75"/>
      <c r="F347" s="75"/>
      <c r="G347" s="75"/>
      <c r="H347" s="76"/>
      <c r="I347" s="34">
        <v>1</v>
      </c>
      <c r="N347" s="34"/>
    </row>
    <row r="348" spans="1:14" s="35" customFormat="1" ht="15.75" customHeight="1" x14ac:dyDescent="0.25">
      <c r="A348" s="77">
        <v>1</v>
      </c>
      <c r="B348" s="77"/>
      <c r="C348" s="40" t="s">
        <v>188</v>
      </c>
      <c r="D348" s="40">
        <f>56.83*10.764</f>
        <v>611.71812</v>
      </c>
      <c r="E348" s="40">
        <v>0</v>
      </c>
      <c r="F348" s="40">
        <f>D348*(($F$227)+1)+(IF(E348&lt;101,E348,IF(E348&lt;201,E348/2,IF(E348&lt;=301,E348/3,E348/4))))</f>
        <v>978.74899200000004</v>
      </c>
      <c r="G348" s="64" t="str">
        <f>A347</f>
        <v>29th Floor (Part Refuge Area)</v>
      </c>
      <c r="H348" s="66"/>
      <c r="I348" s="34"/>
      <c r="N348" s="34"/>
    </row>
    <row r="349" spans="1:14" s="35" customFormat="1" ht="15.75" customHeight="1" x14ac:dyDescent="0.25">
      <c r="A349" s="77">
        <v>2</v>
      </c>
      <c r="B349" s="77"/>
      <c r="C349" s="40" t="s">
        <v>189</v>
      </c>
      <c r="D349" s="40">
        <f>38.07*10.764</f>
        <v>409.78547999999995</v>
      </c>
      <c r="E349" s="40">
        <v>0</v>
      </c>
      <c r="F349" s="40">
        <f>D349*(($F$227)+1)+(IF(E349&lt;101,E349,IF(E349&lt;201,E349/2,IF(E349&lt;=301,E349/3,E349/4))))</f>
        <v>655.65676799999994</v>
      </c>
      <c r="G349" s="67"/>
      <c r="H349" s="69"/>
      <c r="I349" s="34"/>
      <c r="N349" s="34"/>
    </row>
    <row r="350" spans="1:14" s="35" customFormat="1" ht="15.75" customHeight="1" x14ac:dyDescent="0.25">
      <c r="A350" s="77">
        <f t="shared" ref="A350:A355" si="42">A349+1</f>
        <v>3</v>
      </c>
      <c r="B350" s="77"/>
      <c r="C350" s="40" t="s">
        <v>189</v>
      </c>
      <c r="D350" s="40">
        <f>38.07*10.764</f>
        <v>409.78547999999995</v>
      </c>
      <c r="E350" s="40">
        <v>0</v>
      </c>
      <c r="F350" s="40">
        <f>D350*(($F$227)+1)+(IF(E350&lt;101,E350,IF(E350&lt;201,E350/2,IF(E350&lt;=301,E350/3,E350/4))))</f>
        <v>655.65676799999994</v>
      </c>
      <c r="G350" s="67"/>
      <c r="H350" s="69"/>
      <c r="I350" s="34"/>
      <c r="N350" s="34"/>
    </row>
    <row r="351" spans="1:14" s="35" customFormat="1" ht="15.75" customHeight="1" x14ac:dyDescent="0.25">
      <c r="A351" s="77">
        <f t="shared" si="42"/>
        <v>4</v>
      </c>
      <c r="B351" s="77"/>
      <c r="C351" s="40" t="s">
        <v>188</v>
      </c>
      <c r="D351" s="40">
        <f>56.83*10.764</f>
        <v>611.71812</v>
      </c>
      <c r="E351" s="40">
        <v>0</v>
      </c>
      <c r="F351" s="40">
        <f>D351*(($F$227)+1)+(IF(E351&lt;101,E351,IF(E351&lt;201,E351/2,IF(E351&lt;=301,E351/3,E351/4))))</f>
        <v>978.74899200000004</v>
      </c>
      <c r="G351" s="67"/>
      <c r="H351" s="69"/>
      <c r="I351" s="34"/>
      <c r="N351" s="34"/>
    </row>
    <row r="352" spans="1:14" s="35" customFormat="1" ht="15.75" customHeight="1" x14ac:dyDescent="0.25">
      <c r="A352" s="77">
        <f t="shared" si="42"/>
        <v>5</v>
      </c>
      <c r="B352" s="77"/>
      <c r="C352" s="64" t="s">
        <v>193</v>
      </c>
      <c r="D352" s="65"/>
      <c r="E352" s="65"/>
      <c r="F352" s="66"/>
      <c r="G352" s="67"/>
      <c r="H352" s="69"/>
      <c r="I352" s="34"/>
      <c r="N352" s="34"/>
    </row>
    <row r="353" spans="1:14" s="35" customFormat="1" x14ac:dyDescent="0.25">
      <c r="A353" s="77">
        <f t="shared" si="42"/>
        <v>6</v>
      </c>
      <c r="B353" s="77"/>
      <c r="C353" s="70"/>
      <c r="D353" s="71"/>
      <c r="E353" s="71"/>
      <c r="F353" s="72"/>
      <c r="G353" s="67"/>
      <c r="H353" s="69"/>
      <c r="I353" s="34"/>
      <c r="L353" s="58"/>
      <c r="M353" s="58"/>
    </row>
    <row r="354" spans="1:14" s="35" customFormat="1" ht="15.75" customHeight="1" x14ac:dyDescent="0.25">
      <c r="A354" s="77">
        <f t="shared" si="42"/>
        <v>7</v>
      </c>
      <c r="B354" s="77"/>
      <c r="C354" s="40" t="s">
        <v>189</v>
      </c>
      <c r="D354" s="40">
        <f>38.07*10.764</f>
        <v>409.78547999999995</v>
      </c>
      <c r="E354" s="40">
        <v>0</v>
      </c>
      <c r="F354" s="40">
        <f>D354*(($F$227)+1)+(IF(E354&lt;101,E354,IF(E354&lt;201,E354/2,IF(E354&lt;=301,E354/3,E354/4))))</f>
        <v>655.65676799999994</v>
      </c>
      <c r="G354" s="67"/>
      <c r="H354" s="69"/>
      <c r="I354" s="34"/>
      <c r="N354" s="34"/>
    </row>
    <row r="355" spans="1:14" s="35" customFormat="1" ht="15.75" customHeight="1" x14ac:dyDescent="0.25">
      <c r="A355" s="77">
        <f t="shared" si="42"/>
        <v>8</v>
      </c>
      <c r="B355" s="77"/>
      <c r="C355" s="40" t="s">
        <v>188</v>
      </c>
      <c r="D355" s="40">
        <f>56.83*10.764</f>
        <v>611.71812</v>
      </c>
      <c r="E355" s="40">
        <v>0</v>
      </c>
      <c r="F355" s="40">
        <f>D355*(($F$227)+1)+(IF(E355&lt;101,E355,IF(E355&lt;201,E355/2,IF(E355&lt;=301,E355/3,E355/4))))</f>
        <v>978.74899200000004</v>
      </c>
      <c r="G355" s="70"/>
      <c r="H355" s="72"/>
      <c r="I355" s="34"/>
      <c r="N355" s="34"/>
    </row>
    <row r="356" spans="1:14" s="35" customFormat="1" ht="15.75" customHeight="1" x14ac:dyDescent="0.25">
      <c r="A356" s="74" t="s">
        <v>195</v>
      </c>
      <c r="B356" s="75"/>
      <c r="C356" s="75"/>
      <c r="D356" s="75"/>
      <c r="E356" s="75"/>
      <c r="F356" s="75"/>
      <c r="G356" s="75"/>
      <c r="H356" s="76"/>
      <c r="I356" s="34">
        <f>6+3</f>
        <v>9</v>
      </c>
      <c r="N356" s="34"/>
    </row>
    <row r="357" spans="1:14" s="35" customFormat="1" ht="15.75" customHeight="1" x14ac:dyDescent="0.25">
      <c r="A357" s="77">
        <v>1</v>
      </c>
      <c r="B357" s="77"/>
      <c r="C357" s="40" t="s">
        <v>188</v>
      </c>
      <c r="D357" s="40">
        <f>(56.83+3.04*1.07)*(10.764)</f>
        <v>646.73125919999995</v>
      </c>
      <c r="E357" s="40">
        <v>0</v>
      </c>
      <c r="F357" s="40">
        <f t="shared" ref="F357:F364" si="43">D357*(($F$227)+1)+(IF(E357&lt;101,E357,IF(E357&lt;201,E357/2,IF(E357&lt;=301,E357/3,E357/4))))</f>
        <v>1034.7700147200001</v>
      </c>
      <c r="G357" s="64" t="str">
        <f>A356</f>
        <v>30th to 35th &amp; 37th to 39th Floor</v>
      </c>
      <c r="H357" s="66"/>
      <c r="I357" s="34"/>
      <c r="N357" s="34"/>
    </row>
    <row r="358" spans="1:14" s="35" customFormat="1" ht="15.75" customHeight="1" x14ac:dyDescent="0.25">
      <c r="A358" s="77">
        <v>2</v>
      </c>
      <c r="B358" s="77"/>
      <c r="C358" s="40" t="s">
        <v>189</v>
      </c>
      <c r="D358" s="40">
        <f>(38.07+2.76*1.07)*(10.764)</f>
        <v>441.57372479999998</v>
      </c>
      <c r="E358" s="40">
        <v>0</v>
      </c>
      <c r="F358" s="40">
        <f t="shared" si="43"/>
        <v>706.51795967999999</v>
      </c>
      <c r="G358" s="67"/>
      <c r="H358" s="69"/>
      <c r="I358" s="34"/>
      <c r="N358" s="34"/>
    </row>
    <row r="359" spans="1:14" s="35" customFormat="1" ht="15.75" customHeight="1" x14ac:dyDescent="0.25">
      <c r="A359" s="77">
        <f t="shared" ref="A359:A364" si="44">A358+1</f>
        <v>3</v>
      </c>
      <c r="B359" s="77"/>
      <c r="C359" s="40" t="s">
        <v>189</v>
      </c>
      <c r="D359" s="40">
        <f>(38.07+2.76*1.07)*(10.764)</f>
        <v>441.57372479999998</v>
      </c>
      <c r="E359" s="40">
        <v>0</v>
      </c>
      <c r="F359" s="40">
        <f t="shared" si="43"/>
        <v>706.51795967999999</v>
      </c>
      <c r="G359" s="67"/>
      <c r="H359" s="69"/>
      <c r="I359" s="34"/>
      <c r="N359" s="34"/>
    </row>
    <row r="360" spans="1:14" s="35" customFormat="1" ht="15.75" customHeight="1" x14ac:dyDescent="0.25">
      <c r="A360" s="77">
        <f t="shared" si="44"/>
        <v>4</v>
      </c>
      <c r="B360" s="77"/>
      <c r="C360" s="40" t="s">
        <v>188</v>
      </c>
      <c r="D360" s="40">
        <f>(56.83+3.04*1.07)*(10.764)</f>
        <v>646.73125919999995</v>
      </c>
      <c r="E360" s="40">
        <v>0</v>
      </c>
      <c r="F360" s="40">
        <f t="shared" si="43"/>
        <v>1034.7700147200001</v>
      </c>
      <c r="G360" s="67"/>
      <c r="H360" s="69"/>
      <c r="I360" s="34"/>
      <c r="N360" s="34"/>
    </row>
    <row r="361" spans="1:14" s="35" customFormat="1" ht="15.75" customHeight="1" x14ac:dyDescent="0.25">
      <c r="A361" s="77">
        <f t="shared" si="44"/>
        <v>5</v>
      </c>
      <c r="B361" s="77"/>
      <c r="C361" s="40" t="s">
        <v>188</v>
      </c>
      <c r="D361" s="40">
        <f>(56.83+3.04*1.07)*(10.764)</f>
        <v>646.73125919999995</v>
      </c>
      <c r="E361" s="40">
        <v>0</v>
      </c>
      <c r="F361" s="40">
        <f t="shared" si="43"/>
        <v>1034.7700147200001</v>
      </c>
      <c r="G361" s="67"/>
      <c r="H361" s="69"/>
      <c r="I361" s="34"/>
      <c r="N361" s="34"/>
    </row>
    <row r="362" spans="1:14" s="35" customFormat="1" x14ac:dyDescent="0.25">
      <c r="A362" s="77">
        <f t="shared" si="44"/>
        <v>6</v>
      </c>
      <c r="B362" s="77"/>
      <c r="C362" s="40" t="s">
        <v>189</v>
      </c>
      <c r="D362" s="40">
        <f>(38.07+2.76*1.07)*(10.764)</f>
        <v>441.57372479999998</v>
      </c>
      <c r="E362" s="40">
        <v>0</v>
      </c>
      <c r="F362" s="40">
        <f t="shared" si="43"/>
        <v>706.51795967999999</v>
      </c>
      <c r="G362" s="67"/>
      <c r="H362" s="69"/>
      <c r="I362" s="34"/>
      <c r="L362" s="58"/>
      <c r="M362" s="58"/>
    </row>
    <row r="363" spans="1:14" s="35" customFormat="1" ht="15.75" customHeight="1" x14ac:dyDescent="0.25">
      <c r="A363" s="77">
        <f t="shared" si="44"/>
        <v>7</v>
      </c>
      <c r="B363" s="77"/>
      <c r="C363" s="40" t="s">
        <v>189</v>
      </c>
      <c r="D363" s="40">
        <f>(38.07+2.76*1.07)*(10.764)</f>
        <v>441.57372479999998</v>
      </c>
      <c r="E363" s="40">
        <v>0</v>
      </c>
      <c r="F363" s="40">
        <f t="shared" si="43"/>
        <v>706.51795967999999</v>
      </c>
      <c r="G363" s="67"/>
      <c r="H363" s="69"/>
      <c r="I363" s="34"/>
      <c r="N363" s="34"/>
    </row>
    <row r="364" spans="1:14" s="35" customFormat="1" ht="15.75" customHeight="1" x14ac:dyDescent="0.25">
      <c r="A364" s="77">
        <f t="shared" si="44"/>
        <v>8</v>
      </c>
      <c r="B364" s="77"/>
      <c r="C364" s="40" t="s">
        <v>188</v>
      </c>
      <c r="D364" s="40">
        <f>(56.83+3.04*1.07)*(10.764)</f>
        <v>646.73125919999995</v>
      </c>
      <c r="E364" s="40">
        <v>0</v>
      </c>
      <c r="F364" s="40">
        <f t="shared" si="43"/>
        <v>1034.7700147200001</v>
      </c>
      <c r="G364" s="70"/>
      <c r="H364" s="72"/>
      <c r="I364" s="34"/>
      <c r="N364" s="34"/>
    </row>
    <row r="365" spans="1:14" s="35" customFormat="1" ht="15.75" customHeight="1" x14ac:dyDescent="0.25">
      <c r="A365" s="74" t="s">
        <v>196</v>
      </c>
      <c r="B365" s="75"/>
      <c r="C365" s="75"/>
      <c r="D365" s="75"/>
      <c r="E365" s="75"/>
      <c r="F365" s="75"/>
      <c r="G365" s="75"/>
      <c r="H365" s="76"/>
      <c r="I365" s="34">
        <v>1</v>
      </c>
      <c r="N365" s="34"/>
    </row>
    <row r="366" spans="1:14" s="35" customFormat="1" ht="15.75" customHeight="1" x14ac:dyDescent="0.25">
      <c r="A366" s="77">
        <v>1</v>
      </c>
      <c r="B366" s="77"/>
      <c r="C366" s="40" t="s">
        <v>188</v>
      </c>
      <c r="D366" s="40">
        <f>(56.83+3.04*1.07)*(10.764)</f>
        <v>646.73125919999995</v>
      </c>
      <c r="E366" s="40">
        <v>0</v>
      </c>
      <c r="F366" s="40">
        <f>D366*(($F$227)+1)+(IF(E366&lt;101,E366,IF(E366&lt;201,E366/2,IF(E366&lt;=301,E366/3,E366/4))))</f>
        <v>1034.7700147200001</v>
      </c>
      <c r="G366" s="64" t="str">
        <f>A365</f>
        <v>36th Floor (Part Refuge Area)</v>
      </c>
      <c r="H366" s="66"/>
      <c r="I366" s="34"/>
      <c r="N366" s="34"/>
    </row>
    <row r="367" spans="1:14" s="35" customFormat="1" ht="15.75" customHeight="1" x14ac:dyDescent="0.25">
      <c r="A367" s="77">
        <v>2</v>
      </c>
      <c r="B367" s="77"/>
      <c r="C367" s="40" t="s">
        <v>189</v>
      </c>
      <c r="D367" s="40">
        <f>(38.07+2.76*1.07)*(10.764)</f>
        <v>441.57372479999998</v>
      </c>
      <c r="E367" s="40">
        <v>0</v>
      </c>
      <c r="F367" s="40">
        <f>D367*(($F$227)+1)+(IF(E367&lt;101,E367,IF(E367&lt;201,E367/2,IF(E367&lt;=301,E367/3,E367/4))))</f>
        <v>706.51795967999999</v>
      </c>
      <c r="G367" s="67"/>
      <c r="H367" s="69"/>
      <c r="I367" s="34"/>
      <c r="N367" s="34"/>
    </row>
    <row r="368" spans="1:14" s="35" customFormat="1" ht="15.75" customHeight="1" x14ac:dyDescent="0.25">
      <c r="A368" s="77">
        <f t="shared" ref="A368:A373" si="45">A367+1</f>
        <v>3</v>
      </c>
      <c r="B368" s="77"/>
      <c r="C368" s="40" t="s">
        <v>189</v>
      </c>
      <c r="D368" s="40">
        <f>(38.07+2.76*1.07)*(10.764)</f>
        <v>441.57372479999998</v>
      </c>
      <c r="E368" s="40">
        <v>0</v>
      </c>
      <c r="F368" s="40">
        <f>D368*(($F$227)+1)+(IF(E368&lt;101,E368,IF(E368&lt;201,E368/2,IF(E368&lt;=301,E368/3,E368/4))))</f>
        <v>706.51795967999999</v>
      </c>
      <c r="G368" s="67"/>
      <c r="H368" s="69"/>
      <c r="I368" s="34"/>
      <c r="N368" s="34"/>
    </row>
    <row r="369" spans="1:14" s="35" customFormat="1" ht="15.75" customHeight="1" x14ac:dyDescent="0.25">
      <c r="A369" s="77">
        <f t="shared" si="45"/>
        <v>4</v>
      </c>
      <c r="B369" s="77"/>
      <c r="C369" s="40" t="s">
        <v>188</v>
      </c>
      <c r="D369" s="40">
        <f>(56.83+3.04*1.07)*(10.764)</f>
        <v>646.73125919999995</v>
      </c>
      <c r="E369" s="40">
        <v>0</v>
      </c>
      <c r="F369" s="40">
        <f>D369*(($F$227)+1)+(IF(E369&lt;101,E369,IF(E369&lt;201,E369/2,IF(E369&lt;=301,E369/3,E369/4))))</f>
        <v>1034.7700147200001</v>
      </c>
      <c r="G369" s="67"/>
      <c r="H369" s="69"/>
      <c r="I369" s="34"/>
      <c r="N369" s="34"/>
    </row>
    <row r="370" spans="1:14" s="35" customFormat="1" ht="15.75" customHeight="1" x14ac:dyDescent="0.25">
      <c r="A370" s="77">
        <f t="shared" si="45"/>
        <v>5</v>
      </c>
      <c r="B370" s="77"/>
      <c r="C370" s="62" t="s">
        <v>193</v>
      </c>
      <c r="D370" s="73"/>
      <c r="E370" s="73"/>
      <c r="F370" s="63"/>
      <c r="G370" s="67"/>
      <c r="H370" s="69"/>
      <c r="I370" s="34"/>
      <c r="N370" s="34"/>
    </row>
    <row r="371" spans="1:14" s="35" customFormat="1" x14ac:dyDescent="0.25">
      <c r="A371" s="77">
        <f t="shared" si="45"/>
        <v>6</v>
      </c>
      <c r="B371" s="77"/>
      <c r="C371" s="40" t="s">
        <v>189</v>
      </c>
      <c r="D371" s="40">
        <f>(38.07+2.76*1.07)*(10.764)</f>
        <v>441.57372479999998</v>
      </c>
      <c r="E371" s="40">
        <v>0</v>
      </c>
      <c r="F371" s="40">
        <f>D371*(($F$227)+1)+(IF(E371&lt;101,E371,IF(E371&lt;201,E371/2,IF(E371&lt;=301,E371/3,E371/4))))</f>
        <v>706.51795967999999</v>
      </c>
      <c r="G371" s="67"/>
      <c r="H371" s="69"/>
      <c r="J371" s="34"/>
    </row>
    <row r="372" spans="1:14" s="35" customFormat="1" x14ac:dyDescent="0.25">
      <c r="A372" s="77">
        <f t="shared" si="45"/>
        <v>7</v>
      </c>
      <c r="B372" s="77"/>
      <c r="C372" s="40" t="s">
        <v>189</v>
      </c>
      <c r="D372" s="40">
        <f>(38.07+2.76*1.07)*(10.764)</f>
        <v>441.57372479999998</v>
      </c>
      <c r="E372" s="40">
        <v>0</v>
      </c>
      <c r="F372" s="40">
        <f>D372*(($F$227)+1)+(IF(E372&lt;101,E372,IF(E372&lt;201,E372/2,IF(E372&lt;=301,E372/3,E372/4))))</f>
        <v>706.51795967999999</v>
      </c>
      <c r="G372" s="67"/>
      <c r="H372" s="69"/>
      <c r="J372" s="34"/>
    </row>
    <row r="373" spans="1:14" s="35" customFormat="1" ht="15.75" customHeight="1" x14ac:dyDescent="0.25">
      <c r="A373" s="77">
        <f t="shared" si="45"/>
        <v>8</v>
      </c>
      <c r="B373" s="77"/>
      <c r="C373" s="40" t="s">
        <v>188</v>
      </c>
      <c r="D373" s="40">
        <f>(56.83+3.04*1.07)*(10.764)</f>
        <v>646.73125919999995</v>
      </c>
      <c r="E373" s="40">
        <v>0</v>
      </c>
      <c r="F373" s="40">
        <f>D373*(($F$227)+1)+(IF(E373&lt;101,E373,IF(E373&lt;201,E373/2,IF(E373&lt;=301,E373/3,E373/4))))</f>
        <v>1034.7700147200001</v>
      </c>
      <c r="G373" s="70"/>
      <c r="H373" s="72"/>
      <c r="I373" s="34"/>
      <c r="L373" s="58"/>
      <c r="M373" s="58"/>
      <c r="N373" s="34"/>
    </row>
    <row r="374" spans="1:14" s="33" customFormat="1" ht="15.75" customHeight="1" x14ac:dyDescent="0.25">
      <c r="A374" s="87" t="s">
        <v>238</v>
      </c>
      <c r="B374" s="88"/>
      <c r="C374" s="88"/>
      <c r="D374" s="88"/>
      <c r="E374" s="88"/>
      <c r="F374" s="88"/>
      <c r="G374" s="88"/>
      <c r="H374" s="89"/>
    </row>
    <row r="375" spans="1:14" s="33" customFormat="1" ht="15.75" customHeight="1" x14ac:dyDescent="0.25">
      <c r="A375" s="74" t="s">
        <v>230</v>
      </c>
      <c r="B375" s="75"/>
      <c r="C375" s="75"/>
      <c r="D375" s="75"/>
      <c r="E375" s="75"/>
      <c r="F375" s="75"/>
      <c r="G375" s="75"/>
      <c r="H375" s="76"/>
    </row>
    <row r="376" spans="1:14" s="33" customFormat="1" ht="15.75" customHeight="1" x14ac:dyDescent="0.25">
      <c r="A376" s="74" t="s">
        <v>229</v>
      </c>
      <c r="B376" s="75"/>
      <c r="C376" s="75"/>
      <c r="D376" s="75"/>
      <c r="E376" s="75"/>
      <c r="F376" s="75"/>
      <c r="G376" s="75"/>
      <c r="H376" s="76"/>
    </row>
    <row r="377" spans="1:14" s="33" customFormat="1" ht="15.75" customHeight="1" x14ac:dyDescent="0.25">
      <c r="A377" s="87" t="s">
        <v>245</v>
      </c>
      <c r="B377" s="88"/>
      <c r="C377" s="88"/>
      <c r="D377" s="88"/>
      <c r="E377" s="88"/>
      <c r="F377" s="88"/>
      <c r="G377" s="88"/>
      <c r="H377" s="89"/>
    </row>
    <row r="378" spans="1:14" s="35" customFormat="1" ht="15.75" customHeight="1" x14ac:dyDescent="0.25">
      <c r="A378" s="74" t="s">
        <v>186</v>
      </c>
      <c r="B378" s="75"/>
      <c r="C378" s="75"/>
      <c r="D378" s="75"/>
      <c r="E378" s="75"/>
      <c r="F378" s="75"/>
      <c r="G378" s="75"/>
      <c r="H378" s="76"/>
      <c r="I378" s="34">
        <v>1</v>
      </c>
      <c r="L378" s="58"/>
      <c r="M378" s="58"/>
      <c r="N378" s="34"/>
    </row>
    <row r="379" spans="1:14" s="35" customFormat="1" ht="15.75" customHeight="1" x14ac:dyDescent="0.25">
      <c r="A379" s="62">
        <v>1</v>
      </c>
      <c r="B379" s="63"/>
      <c r="C379" s="64" t="s">
        <v>187</v>
      </c>
      <c r="D379" s="65"/>
      <c r="E379" s="65"/>
      <c r="F379" s="66"/>
      <c r="G379" s="64" t="str">
        <f>A378</f>
        <v>2nd Podium Floor For Residential, Parking &amp; Meter Room</v>
      </c>
      <c r="H379" s="66"/>
      <c r="I379" s="34"/>
      <c r="L379" s="58"/>
      <c r="M379" s="58"/>
      <c r="N379" s="34"/>
    </row>
    <row r="380" spans="1:14" s="35" customFormat="1" ht="15.75" customHeight="1" x14ac:dyDescent="0.25">
      <c r="A380" s="62">
        <f t="shared" ref="A380:A386" si="46">A379+1</f>
        <v>2</v>
      </c>
      <c r="B380" s="63"/>
      <c r="C380" s="67"/>
      <c r="D380" s="68"/>
      <c r="E380" s="68"/>
      <c r="F380" s="69"/>
      <c r="G380" s="67"/>
      <c r="H380" s="69"/>
      <c r="I380" s="34">
        <f>3.04*5.47+2.18*2.42+1.58*0.2+3.04*3.55+3.04*3.8+2.12*1.38+1.98*1.38+3.44*0.98</f>
        <v>53.593600000000002</v>
      </c>
      <c r="L380" s="58"/>
      <c r="M380" s="58"/>
      <c r="N380" s="34"/>
    </row>
    <row r="381" spans="1:14" s="35" customFormat="1" ht="15.75" customHeight="1" x14ac:dyDescent="0.25">
      <c r="A381" s="62">
        <f t="shared" si="46"/>
        <v>3</v>
      </c>
      <c r="B381" s="63"/>
      <c r="C381" s="67"/>
      <c r="D381" s="68"/>
      <c r="E381" s="68"/>
      <c r="F381" s="69"/>
      <c r="G381" s="67"/>
      <c r="H381" s="69"/>
      <c r="I381" s="34"/>
      <c r="L381" s="58"/>
      <c r="M381" s="58"/>
      <c r="N381" s="34"/>
    </row>
    <row r="382" spans="1:14" s="35" customFormat="1" ht="15.75" customHeight="1" x14ac:dyDescent="0.25">
      <c r="A382" s="62">
        <f t="shared" si="46"/>
        <v>4</v>
      </c>
      <c r="B382" s="63"/>
      <c r="C382" s="70"/>
      <c r="D382" s="71"/>
      <c r="E382" s="71"/>
      <c r="F382" s="72"/>
      <c r="G382" s="67"/>
      <c r="H382" s="69"/>
      <c r="I382" s="34"/>
      <c r="L382" s="58"/>
      <c r="M382" s="58"/>
      <c r="N382" s="34"/>
    </row>
    <row r="383" spans="1:14" s="35" customFormat="1" ht="15.75" customHeight="1" x14ac:dyDescent="0.25">
      <c r="A383" s="62">
        <f t="shared" si="46"/>
        <v>5</v>
      </c>
      <c r="B383" s="63"/>
      <c r="C383" s="40" t="s">
        <v>188</v>
      </c>
      <c r="D383" s="40">
        <f>56.83*10.764</f>
        <v>611.71812</v>
      </c>
      <c r="E383" s="40">
        <v>0</v>
      </c>
      <c r="F383" s="40">
        <f>D383*(($F$227)+1)+(IF(E383&lt;101,E383,IF(E383&lt;201,E383/2,IF(E383&lt;=301,E383/3,E383/4))))</f>
        <v>978.74899200000004</v>
      </c>
      <c r="G383" s="67"/>
      <c r="H383" s="69"/>
      <c r="I383" s="34"/>
      <c r="L383" s="58"/>
      <c r="M383" s="58"/>
      <c r="N383" s="34"/>
    </row>
    <row r="384" spans="1:14" s="35" customFormat="1" x14ac:dyDescent="0.25">
      <c r="A384" s="62">
        <f t="shared" si="46"/>
        <v>6</v>
      </c>
      <c r="B384" s="63"/>
      <c r="C384" s="40" t="s">
        <v>189</v>
      </c>
      <c r="D384" s="40">
        <f>38.07*10.764</f>
        <v>409.78547999999995</v>
      </c>
      <c r="E384" s="40">
        <v>0</v>
      </c>
      <c r="F384" s="40">
        <f>D384*(($F$227)+1)+(IF(E384&lt;101,E384,IF(E384&lt;201,E384/2,IF(E384&lt;=301,E384/3,E384/4))))</f>
        <v>655.65676799999994</v>
      </c>
      <c r="G384" s="67"/>
      <c r="H384" s="69"/>
      <c r="J384" s="34"/>
    </row>
    <row r="385" spans="1:14" s="35" customFormat="1" ht="15.75" customHeight="1" x14ac:dyDescent="0.25">
      <c r="A385" s="62">
        <f t="shared" si="46"/>
        <v>7</v>
      </c>
      <c r="B385" s="63"/>
      <c r="C385" s="40" t="s">
        <v>189</v>
      </c>
      <c r="D385" s="40">
        <f>38.07*10.764</f>
        <v>409.78547999999995</v>
      </c>
      <c r="E385" s="40">
        <v>0</v>
      </c>
      <c r="F385" s="40">
        <f>D385*(($F$227)+1)+(IF(E385&lt;101,E385,IF(E385&lt;201,E385/2,IF(E385&lt;=301,E385/3,E385/4))))</f>
        <v>655.65676799999994</v>
      </c>
      <c r="G385" s="67"/>
      <c r="H385" s="69"/>
      <c r="I385" s="34"/>
      <c r="L385" s="58"/>
      <c r="M385" s="58"/>
      <c r="N385" s="34"/>
    </row>
    <row r="386" spans="1:14" s="35" customFormat="1" ht="15.75" customHeight="1" x14ac:dyDescent="0.25">
      <c r="A386" s="62">
        <f t="shared" si="46"/>
        <v>8</v>
      </c>
      <c r="B386" s="63"/>
      <c r="C386" s="40" t="s">
        <v>188</v>
      </c>
      <c r="D386" s="40">
        <f>56.83*10.764</f>
        <v>611.71812</v>
      </c>
      <c r="E386" s="40">
        <v>0</v>
      </c>
      <c r="F386" s="40">
        <f>D386*(($F$227)+1)+(IF(E386&lt;101,E386,IF(E386&lt;201,E386/2,IF(E386&lt;=301,E386/3,E386/4))))</f>
        <v>978.74899200000004</v>
      </c>
      <c r="G386" s="70"/>
      <c r="H386" s="72"/>
      <c r="I386" s="34"/>
      <c r="L386" s="58"/>
      <c r="M386" s="58"/>
      <c r="N386" s="34"/>
    </row>
    <row r="387" spans="1:14" s="35" customFormat="1" ht="15.75" customHeight="1" x14ac:dyDescent="0.25">
      <c r="A387" s="59" t="s">
        <v>249</v>
      </c>
      <c r="B387" s="60"/>
      <c r="C387" s="60"/>
      <c r="D387" s="60"/>
      <c r="E387" s="60"/>
      <c r="F387" s="60"/>
      <c r="G387" s="60"/>
      <c r="H387" s="61"/>
      <c r="I387" s="34">
        <v>1</v>
      </c>
      <c r="L387" s="58"/>
      <c r="M387" s="58"/>
      <c r="N387" s="34"/>
    </row>
    <row r="388" spans="1:14" s="35" customFormat="1" ht="15.75" customHeight="1" x14ac:dyDescent="0.25">
      <c r="A388" s="62">
        <v>1</v>
      </c>
      <c r="B388" s="63"/>
      <c r="C388" s="64" t="s">
        <v>187</v>
      </c>
      <c r="D388" s="65"/>
      <c r="E388" s="65"/>
      <c r="F388" s="66"/>
      <c r="G388" s="64" t="str">
        <f>A387</f>
        <v xml:space="preserve">3rd  Podium Floor For Residential, &amp; Parking </v>
      </c>
      <c r="H388" s="66"/>
      <c r="I388" s="34"/>
      <c r="L388" s="58"/>
      <c r="M388" s="58"/>
      <c r="N388" s="34"/>
    </row>
    <row r="389" spans="1:14" s="35" customFormat="1" ht="15.75" customHeight="1" x14ac:dyDescent="0.25">
      <c r="A389" s="62">
        <f t="shared" ref="A389:A395" si="47">A388+1</f>
        <v>2</v>
      </c>
      <c r="B389" s="63"/>
      <c r="C389" s="67"/>
      <c r="D389" s="68"/>
      <c r="E389" s="68"/>
      <c r="F389" s="69"/>
      <c r="G389" s="67"/>
      <c r="H389" s="69"/>
      <c r="I389" s="34"/>
      <c r="L389" s="58"/>
      <c r="M389" s="58"/>
      <c r="N389" s="34"/>
    </row>
    <row r="390" spans="1:14" s="35" customFormat="1" ht="15.75" customHeight="1" x14ac:dyDescent="0.25">
      <c r="A390" s="62">
        <f t="shared" si="47"/>
        <v>3</v>
      </c>
      <c r="B390" s="63"/>
      <c r="C390" s="67"/>
      <c r="D390" s="68"/>
      <c r="E390" s="68"/>
      <c r="F390" s="69"/>
      <c r="G390" s="67"/>
      <c r="H390" s="69"/>
      <c r="I390" s="34"/>
      <c r="L390" s="58"/>
      <c r="M390" s="58"/>
      <c r="N390" s="34"/>
    </row>
    <row r="391" spans="1:14" s="35" customFormat="1" ht="15.75" customHeight="1" x14ac:dyDescent="0.25">
      <c r="A391" s="62">
        <f t="shared" si="47"/>
        <v>4</v>
      </c>
      <c r="B391" s="63"/>
      <c r="C391" s="70"/>
      <c r="D391" s="71"/>
      <c r="E391" s="71"/>
      <c r="F391" s="72"/>
      <c r="G391" s="67"/>
      <c r="H391" s="69"/>
      <c r="I391" s="34"/>
      <c r="L391" s="58"/>
      <c r="M391" s="58"/>
      <c r="N391" s="34"/>
    </row>
    <row r="392" spans="1:14" s="35" customFormat="1" ht="15.75" customHeight="1" x14ac:dyDescent="0.25">
      <c r="A392" s="62">
        <f t="shared" si="47"/>
        <v>5</v>
      </c>
      <c r="B392" s="63"/>
      <c r="C392" s="40" t="s">
        <v>188</v>
      </c>
      <c r="D392" s="40">
        <f>56.83*10.764</f>
        <v>611.71812</v>
      </c>
      <c r="E392" s="40">
        <v>0</v>
      </c>
      <c r="F392" s="40">
        <f>D392*(($F$227)+1)+(IF(E392&lt;101,E392,IF(E392&lt;201,E392/2,IF(E392&lt;=301,E392/3,E392/4))))</f>
        <v>978.74899200000004</v>
      </c>
      <c r="G392" s="67"/>
      <c r="H392" s="69"/>
      <c r="I392" s="34"/>
      <c r="L392" s="58"/>
      <c r="M392" s="58"/>
      <c r="N392" s="34"/>
    </row>
    <row r="393" spans="1:14" s="35" customFormat="1" x14ac:dyDescent="0.25">
      <c r="A393" s="62">
        <f t="shared" si="47"/>
        <v>6</v>
      </c>
      <c r="B393" s="63"/>
      <c r="C393" s="40" t="s">
        <v>189</v>
      </c>
      <c r="D393" s="40">
        <f>38.07*10.764</f>
        <v>409.78547999999995</v>
      </c>
      <c r="E393" s="40">
        <v>0</v>
      </c>
      <c r="F393" s="40">
        <f>D393*(($F$227)+1)+(IF(E393&lt;101,E393,IF(E393&lt;201,E393/2,IF(E393&lt;=301,E393/3,E393/4))))</f>
        <v>655.65676799999994</v>
      </c>
      <c r="G393" s="67"/>
      <c r="H393" s="69"/>
      <c r="J393" s="34"/>
    </row>
    <row r="394" spans="1:14" s="35" customFormat="1" ht="15.75" customHeight="1" x14ac:dyDescent="0.25">
      <c r="A394" s="62">
        <f t="shared" si="47"/>
        <v>7</v>
      </c>
      <c r="B394" s="63"/>
      <c r="C394" s="40" t="s">
        <v>189</v>
      </c>
      <c r="D394" s="40">
        <f>38.07*10.764</f>
        <v>409.78547999999995</v>
      </c>
      <c r="E394" s="40">
        <v>0</v>
      </c>
      <c r="F394" s="40">
        <f>D394*(($F$227)+1)+(IF(E394&lt;101,E394,IF(E394&lt;201,E394/2,IF(E394&lt;=301,E394/3,E394/4))))</f>
        <v>655.65676799999994</v>
      </c>
      <c r="G394" s="67"/>
      <c r="H394" s="69"/>
      <c r="I394" s="34"/>
      <c r="L394" s="58"/>
      <c r="M394" s="58"/>
      <c r="N394" s="34"/>
    </row>
    <row r="395" spans="1:14" s="35" customFormat="1" ht="15.75" customHeight="1" x14ac:dyDescent="0.25">
      <c r="A395" s="62">
        <f t="shared" si="47"/>
        <v>8</v>
      </c>
      <c r="B395" s="63"/>
      <c r="C395" s="40" t="s">
        <v>188</v>
      </c>
      <c r="D395" s="40">
        <f>56.83*10.764</f>
        <v>611.71812</v>
      </c>
      <c r="E395" s="40">
        <v>0</v>
      </c>
      <c r="F395" s="40">
        <f>D395*(($F$227)+1)+(IF(E395&lt;101,E395,IF(E395&lt;201,E395/2,IF(E395&lt;=301,E395/3,E395/4))))</f>
        <v>978.74899200000004</v>
      </c>
      <c r="G395" s="70"/>
      <c r="H395" s="72"/>
      <c r="I395" s="34"/>
      <c r="L395" s="58"/>
      <c r="M395" s="58"/>
      <c r="N395" s="34"/>
    </row>
    <row r="396" spans="1:14" s="35" customFormat="1" ht="15.75" customHeight="1" x14ac:dyDescent="0.25">
      <c r="A396" s="59" t="s">
        <v>250</v>
      </c>
      <c r="B396" s="60"/>
      <c r="C396" s="60"/>
      <c r="D396" s="60"/>
      <c r="E396" s="60"/>
      <c r="F396" s="60"/>
      <c r="G396" s="60"/>
      <c r="H396" s="61"/>
      <c r="I396" s="34">
        <v>1</v>
      </c>
      <c r="L396" s="58"/>
      <c r="M396" s="58"/>
      <c r="N396" s="34"/>
    </row>
    <row r="397" spans="1:14" s="35" customFormat="1" ht="15.75" customHeight="1" x14ac:dyDescent="0.25">
      <c r="A397" s="62">
        <v>1</v>
      </c>
      <c r="B397" s="63"/>
      <c r="C397" s="64" t="s">
        <v>187</v>
      </c>
      <c r="D397" s="65"/>
      <c r="E397" s="65"/>
      <c r="F397" s="66"/>
      <c r="G397" s="64" t="str">
        <f>A396</f>
        <v xml:space="preserve"> 4th Podium Floor For Residential, &amp; Parking </v>
      </c>
      <c r="H397" s="66"/>
      <c r="I397" s="34"/>
      <c r="L397" s="58"/>
      <c r="M397" s="58"/>
      <c r="N397" s="34"/>
    </row>
    <row r="398" spans="1:14" s="35" customFormat="1" ht="15.75" customHeight="1" x14ac:dyDescent="0.25">
      <c r="A398" s="62">
        <f t="shared" ref="A398:A404" si="48">A397+1</f>
        <v>2</v>
      </c>
      <c r="B398" s="63"/>
      <c r="C398" s="67"/>
      <c r="D398" s="68"/>
      <c r="E398" s="68"/>
      <c r="F398" s="69"/>
      <c r="G398" s="67"/>
      <c r="H398" s="69"/>
      <c r="I398" s="34"/>
      <c r="L398" s="58"/>
      <c r="M398" s="58"/>
      <c r="N398" s="34"/>
    </row>
    <row r="399" spans="1:14" s="35" customFormat="1" ht="15.75" customHeight="1" x14ac:dyDescent="0.25">
      <c r="A399" s="62">
        <f t="shared" si="48"/>
        <v>3</v>
      </c>
      <c r="B399" s="63"/>
      <c r="C399" s="67"/>
      <c r="D399" s="68"/>
      <c r="E399" s="68"/>
      <c r="F399" s="69"/>
      <c r="G399" s="67"/>
      <c r="H399" s="69"/>
      <c r="I399" s="34"/>
      <c r="L399" s="58"/>
      <c r="M399" s="58"/>
      <c r="N399" s="34"/>
    </row>
    <row r="400" spans="1:14" s="35" customFormat="1" ht="15.75" customHeight="1" x14ac:dyDescent="0.25">
      <c r="A400" s="62">
        <f t="shared" si="48"/>
        <v>4</v>
      </c>
      <c r="B400" s="63"/>
      <c r="C400" s="70"/>
      <c r="D400" s="71"/>
      <c r="E400" s="71"/>
      <c r="F400" s="72"/>
      <c r="G400" s="67"/>
      <c r="H400" s="69"/>
      <c r="I400" s="34"/>
      <c r="L400" s="58"/>
      <c r="M400" s="58"/>
      <c r="N400" s="34"/>
    </row>
    <row r="401" spans="1:14" s="35" customFormat="1" ht="15.75" customHeight="1" x14ac:dyDescent="0.25">
      <c r="A401" s="62">
        <f t="shared" si="48"/>
        <v>5</v>
      </c>
      <c r="B401" s="63"/>
      <c r="C401" s="40" t="s">
        <v>188</v>
      </c>
      <c r="D401" s="40">
        <f>56.83*10.764</f>
        <v>611.71812</v>
      </c>
      <c r="E401" s="40">
        <v>0</v>
      </c>
      <c r="F401" s="40">
        <f>D401*(($F$227)+1)+(IF(E401&lt;101,E401,IF(E401&lt;201,E401/2,IF(E401&lt;=301,E401/3,E401/4))))</f>
        <v>978.74899200000004</v>
      </c>
      <c r="G401" s="67"/>
      <c r="H401" s="69"/>
      <c r="I401" s="34"/>
      <c r="L401" s="58"/>
      <c r="M401" s="58"/>
      <c r="N401" s="34"/>
    </row>
    <row r="402" spans="1:14" s="35" customFormat="1" x14ac:dyDescent="0.25">
      <c r="A402" s="62">
        <f t="shared" si="48"/>
        <v>6</v>
      </c>
      <c r="B402" s="63"/>
      <c r="C402" s="40" t="s">
        <v>189</v>
      </c>
      <c r="D402" s="40">
        <f>38.07*10.764</f>
        <v>409.78547999999995</v>
      </c>
      <c r="E402" s="40">
        <v>0</v>
      </c>
      <c r="F402" s="40">
        <f>D402*(($F$227)+1)+(IF(E402&lt;101,E402,IF(E402&lt;201,E402/2,IF(E402&lt;=301,E402/3,E402/4))))</f>
        <v>655.65676799999994</v>
      </c>
      <c r="G402" s="67"/>
      <c r="H402" s="69"/>
      <c r="J402" s="34"/>
    </row>
    <row r="403" spans="1:14" s="35" customFormat="1" ht="15.75" customHeight="1" x14ac:dyDescent="0.25">
      <c r="A403" s="62">
        <f t="shared" si="48"/>
        <v>7</v>
      </c>
      <c r="B403" s="63"/>
      <c r="C403" s="40" t="s">
        <v>189</v>
      </c>
      <c r="D403" s="40">
        <f>38.07*10.764</f>
        <v>409.78547999999995</v>
      </c>
      <c r="E403" s="40">
        <v>0</v>
      </c>
      <c r="F403" s="40">
        <f>D403*(($F$227)+1)+(IF(E403&lt;101,E403,IF(E403&lt;201,E403/2,IF(E403&lt;=301,E403/3,E403/4))))</f>
        <v>655.65676799999994</v>
      </c>
      <c r="G403" s="67"/>
      <c r="H403" s="69"/>
      <c r="I403" s="34"/>
      <c r="L403" s="58"/>
      <c r="M403" s="58"/>
      <c r="N403" s="34"/>
    </row>
    <row r="404" spans="1:14" s="35" customFormat="1" ht="15.75" customHeight="1" x14ac:dyDescent="0.25">
      <c r="A404" s="62">
        <f t="shared" si="48"/>
        <v>8</v>
      </c>
      <c r="B404" s="63"/>
      <c r="C404" s="40" t="s">
        <v>188</v>
      </c>
      <c r="D404" s="40">
        <f>56.83*10.764</f>
        <v>611.71812</v>
      </c>
      <c r="E404" s="40">
        <v>0</v>
      </c>
      <c r="F404" s="40">
        <f>D404*(($F$227)+1)+(IF(E404&lt;101,E404,IF(E404&lt;201,E404/2,IF(E404&lt;=301,E404/3,E404/4))))</f>
        <v>978.74899200000004</v>
      </c>
      <c r="G404" s="70"/>
      <c r="H404" s="72"/>
      <c r="I404" s="34"/>
      <c r="L404" s="58"/>
      <c r="M404" s="58"/>
      <c r="N404" s="34"/>
    </row>
    <row r="405" spans="1:14" s="35" customFormat="1" ht="15.75" customHeight="1" x14ac:dyDescent="0.25">
      <c r="A405" s="74" t="s">
        <v>190</v>
      </c>
      <c r="B405" s="75"/>
      <c r="C405" s="75"/>
      <c r="D405" s="75"/>
      <c r="E405" s="75"/>
      <c r="F405" s="75"/>
      <c r="G405" s="75"/>
      <c r="H405" s="76"/>
      <c r="I405" s="34">
        <v>1</v>
      </c>
      <c r="L405" s="58"/>
      <c r="M405" s="58"/>
      <c r="N405" s="34"/>
    </row>
    <row r="406" spans="1:14" s="35" customFormat="1" ht="15.75" customHeight="1" x14ac:dyDescent="0.25">
      <c r="A406" s="62">
        <v>1</v>
      </c>
      <c r="B406" s="63"/>
      <c r="C406" s="64" t="s">
        <v>187</v>
      </c>
      <c r="D406" s="65"/>
      <c r="E406" s="65"/>
      <c r="F406" s="66"/>
      <c r="G406" s="64" t="str">
        <f>A405</f>
        <v>5th Podium Floor For Residential, Parking &amp; Meter Room</v>
      </c>
      <c r="H406" s="66"/>
      <c r="I406" s="34"/>
      <c r="L406" s="58"/>
      <c r="M406" s="58"/>
      <c r="N406" s="34"/>
    </row>
    <row r="407" spans="1:14" s="35" customFormat="1" ht="15.75" customHeight="1" x14ac:dyDescent="0.25">
      <c r="A407" s="62">
        <f t="shared" ref="A407:A413" si="49">A406+1</f>
        <v>2</v>
      </c>
      <c r="B407" s="63"/>
      <c r="C407" s="67"/>
      <c r="D407" s="68"/>
      <c r="E407" s="68"/>
      <c r="F407" s="69"/>
      <c r="G407" s="67"/>
      <c r="H407" s="69"/>
      <c r="I407" s="34"/>
      <c r="L407" s="58"/>
      <c r="M407" s="58"/>
      <c r="N407" s="34"/>
    </row>
    <row r="408" spans="1:14" s="35" customFormat="1" ht="15.75" customHeight="1" x14ac:dyDescent="0.25">
      <c r="A408" s="62">
        <f t="shared" si="49"/>
        <v>3</v>
      </c>
      <c r="B408" s="63"/>
      <c r="C408" s="67"/>
      <c r="D408" s="68"/>
      <c r="E408" s="68"/>
      <c r="F408" s="69"/>
      <c r="G408" s="67"/>
      <c r="H408" s="69"/>
      <c r="I408" s="34"/>
      <c r="L408" s="58"/>
      <c r="M408" s="58"/>
      <c r="N408" s="34"/>
    </row>
    <row r="409" spans="1:14" s="35" customFormat="1" ht="15.75" customHeight="1" x14ac:dyDescent="0.25">
      <c r="A409" s="62">
        <f t="shared" si="49"/>
        <v>4</v>
      </c>
      <c r="B409" s="63"/>
      <c r="C409" s="70"/>
      <c r="D409" s="71"/>
      <c r="E409" s="71"/>
      <c r="F409" s="72"/>
      <c r="G409" s="67"/>
      <c r="H409" s="69"/>
      <c r="I409" s="34"/>
      <c r="L409" s="58"/>
      <c r="M409" s="58"/>
      <c r="N409" s="34"/>
    </row>
    <row r="410" spans="1:14" s="35" customFormat="1" ht="15.75" customHeight="1" x14ac:dyDescent="0.25">
      <c r="A410" s="62">
        <f t="shared" si="49"/>
        <v>5</v>
      </c>
      <c r="B410" s="63"/>
      <c r="C410" s="40" t="s">
        <v>188</v>
      </c>
      <c r="D410" s="40">
        <f>56.83*10.764</f>
        <v>611.71812</v>
      </c>
      <c r="E410" s="40">
        <v>0</v>
      </c>
      <c r="F410" s="40">
        <f>D410*(($F$227)+1)+(IF(E410&lt;101,E410,IF(E410&lt;201,E410/2,IF(E410&lt;=301,E410/3,E410/4))))</f>
        <v>978.74899200000004</v>
      </c>
      <c r="G410" s="67"/>
      <c r="H410" s="69"/>
      <c r="I410" s="34"/>
      <c r="L410" s="58"/>
      <c r="M410" s="58"/>
      <c r="N410" s="34"/>
    </row>
    <row r="411" spans="1:14" s="35" customFormat="1" x14ac:dyDescent="0.25">
      <c r="A411" s="62">
        <f t="shared" si="49"/>
        <v>6</v>
      </c>
      <c r="B411" s="63"/>
      <c r="C411" s="40" t="s">
        <v>189</v>
      </c>
      <c r="D411" s="40">
        <f>38.07*10.764</f>
        <v>409.78547999999995</v>
      </c>
      <c r="E411" s="40">
        <v>0</v>
      </c>
      <c r="F411" s="40">
        <f>D411*(($F$227)+1)+(IF(E411&lt;101,E411,IF(E411&lt;201,E411/2,IF(E411&lt;=301,E411/3,E411/4))))</f>
        <v>655.65676799999994</v>
      </c>
      <c r="G411" s="67"/>
      <c r="H411" s="69"/>
      <c r="I411" s="34"/>
      <c r="L411" s="58"/>
      <c r="M411" s="58"/>
    </row>
    <row r="412" spans="1:14" s="35" customFormat="1" ht="15.75" customHeight="1" x14ac:dyDescent="0.25">
      <c r="A412" s="62">
        <f t="shared" si="49"/>
        <v>7</v>
      </c>
      <c r="B412" s="63"/>
      <c r="C412" s="40" t="s">
        <v>189</v>
      </c>
      <c r="D412" s="40">
        <f>38.07*10.764</f>
        <v>409.78547999999995</v>
      </c>
      <c r="E412" s="40">
        <v>0</v>
      </c>
      <c r="F412" s="40">
        <f>D412*(($F$227)+1)+(IF(E412&lt;101,E412,IF(E412&lt;201,E412/2,IF(E412&lt;=301,E412/3,E412/4))))</f>
        <v>655.65676799999994</v>
      </c>
      <c r="G412" s="67"/>
      <c r="H412" s="69"/>
      <c r="I412" s="34"/>
      <c r="N412" s="34"/>
    </row>
    <row r="413" spans="1:14" s="35" customFormat="1" ht="15.75" customHeight="1" x14ac:dyDescent="0.25">
      <c r="A413" s="62">
        <f t="shared" si="49"/>
        <v>8</v>
      </c>
      <c r="B413" s="63"/>
      <c r="C413" s="40" t="s">
        <v>188</v>
      </c>
      <c r="D413" s="40">
        <f>56.83*10.764</f>
        <v>611.71812</v>
      </c>
      <c r="E413" s="40">
        <v>0</v>
      </c>
      <c r="F413" s="40">
        <f>D413*(($F$227)+1)+(IF(E413&lt;101,E413,IF(E413&lt;201,E413/2,IF(E413&lt;=301,E413/3,E413/4))))</f>
        <v>978.74899200000004</v>
      </c>
      <c r="G413" s="70"/>
      <c r="H413" s="72"/>
      <c r="I413" s="34"/>
      <c r="N413" s="34"/>
    </row>
    <row r="414" spans="1:14" s="35" customFormat="1" ht="15.75" customHeight="1" x14ac:dyDescent="0.25">
      <c r="A414" s="74" t="s">
        <v>253</v>
      </c>
      <c r="B414" s="75"/>
      <c r="C414" s="75"/>
      <c r="D414" s="75"/>
      <c r="E414" s="75"/>
      <c r="F414" s="75"/>
      <c r="G414" s="75"/>
      <c r="H414" s="76"/>
      <c r="I414" s="34">
        <v>20</v>
      </c>
      <c r="N414" s="34"/>
    </row>
    <row r="415" spans="1:14" s="35" customFormat="1" ht="15.75" customHeight="1" x14ac:dyDescent="0.25">
      <c r="A415" s="77">
        <v>1</v>
      </c>
      <c r="B415" s="77"/>
      <c r="C415" s="40" t="s">
        <v>188</v>
      </c>
      <c r="D415" s="40">
        <f>56.83*10.764</f>
        <v>611.71812</v>
      </c>
      <c r="E415" s="40">
        <v>0</v>
      </c>
      <c r="F415" s="40">
        <f t="shared" ref="F415:F422" si="50">D415*(($F$227)+1)+(IF(E415&lt;101,E415,IF(E415&lt;201,E415/2,IF(E415&lt;=301,E415/3,E415/4))))</f>
        <v>978.74899200000004</v>
      </c>
      <c r="G415" s="64" t="str">
        <f>A414</f>
        <v>6th to7th, 9th to 14th, 16th to 21st &amp; 23rd to 28th Floor For Residential</v>
      </c>
      <c r="H415" s="66"/>
      <c r="I415" s="34"/>
      <c r="N415" s="34"/>
    </row>
    <row r="416" spans="1:14" s="35" customFormat="1" ht="15.75" customHeight="1" x14ac:dyDescent="0.25">
      <c r="A416" s="77">
        <v>2</v>
      </c>
      <c r="B416" s="77"/>
      <c r="C416" s="40" t="s">
        <v>189</v>
      </c>
      <c r="D416" s="40">
        <f>38.07*10.764</f>
        <v>409.78547999999995</v>
      </c>
      <c r="E416" s="40">
        <v>0</v>
      </c>
      <c r="F416" s="40">
        <f t="shared" si="50"/>
        <v>655.65676799999994</v>
      </c>
      <c r="G416" s="67"/>
      <c r="H416" s="69"/>
      <c r="I416" s="34"/>
      <c r="N416" s="34"/>
    </row>
    <row r="417" spans="1:14" s="35" customFormat="1" ht="15.75" customHeight="1" x14ac:dyDescent="0.25">
      <c r="A417" s="77">
        <f t="shared" ref="A417:A422" si="51">A416+1</f>
        <v>3</v>
      </c>
      <c r="B417" s="77"/>
      <c r="C417" s="40" t="s">
        <v>189</v>
      </c>
      <c r="D417" s="40">
        <f>38.07*10.764</f>
        <v>409.78547999999995</v>
      </c>
      <c r="E417" s="40">
        <v>0</v>
      </c>
      <c r="F417" s="40">
        <f t="shared" si="50"/>
        <v>655.65676799999994</v>
      </c>
      <c r="G417" s="67"/>
      <c r="H417" s="69"/>
      <c r="I417" s="34"/>
      <c r="N417" s="34"/>
    </row>
    <row r="418" spans="1:14" s="35" customFormat="1" ht="15.75" customHeight="1" x14ac:dyDescent="0.25">
      <c r="A418" s="77">
        <f t="shared" si="51"/>
        <v>4</v>
      </c>
      <c r="B418" s="77"/>
      <c r="C418" s="40" t="s">
        <v>188</v>
      </c>
      <c r="D418" s="40">
        <f>56.83*10.764</f>
        <v>611.71812</v>
      </c>
      <c r="E418" s="40">
        <v>0</v>
      </c>
      <c r="F418" s="40">
        <f t="shared" si="50"/>
        <v>978.74899200000004</v>
      </c>
      <c r="G418" s="67"/>
      <c r="H418" s="69"/>
      <c r="I418" s="34"/>
      <c r="N418" s="34"/>
    </row>
    <row r="419" spans="1:14" s="35" customFormat="1" ht="15.75" customHeight="1" x14ac:dyDescent="0.25">
      <c r="A419" s="77">
        <f t="shared" si="51"/>
        <v>5</v>
      </c>
      <c r="B419" s="77"/>
      <c r="C419" s="40" t="s">
        <v>188</v>
      </c>
      <c r="D419" s="40">
        <f>56.83*10.764</f>
        <v>611.71812</v>
      </c>
      <c r="E419" s="40">
        <v>0</v>
      </c>
      <c r="F419" s="40">
        <f t="shared" si="50"/>
        <v>978.74899200000004</v>
      </c>
      <c r="G419" s="67"/>
      <c r="H419" s="69"/>
      <c r="I419" s="34"/>
      <c r="N419" s="34"/>
    </row>
    <row r="420" spans="1:14" s="35" customFormat="1" x14ac:dyDescent="0.25">
      <c r="A420" s="77">
        <f t="shared" si="51"/>
        <v>6</v>
      </c>
      <c r="B420" s="77"/>
      <c r="C420" s="40" t="s">
        <v>189</v>
      </c>
      <c r="D420" s="40">
        <f>38.07*10.764</f>
        <v>409.78547999999995</v>
      </c>
      <c r="E420" s="40">
        <v>0</v>
      </c>
      <c r="F420" s="40">
        <f t="shared" si="50"/>
        <v>655.65676799999994</v>
      </c>
      <c r="G420" s="67"/>
      <c r="H420" s="69"/>
      <c r="I420" s="34"/>
      <c r="L420" s="58"/>
      <c r="M420" s="58"/>
    </row>
    <row r="421" spans="1:14" s="35" customFormat="1" ht="15.75" customHeight="1" x14ac:dyDescent="0.25">
      <c r="A421" s="77">
        <f t="shared" si="51"/>
        <v>7</v>
      </c>
      <c r="B421" s="77"/>
      <c r="C421" s="40" t="s">
        <v>189</v>
      </c>
      <c r="D421" s="40">
        <f>38.07*10.764</f>
        <v>409.78547999999995</v>
      </c>
      <c r="E421" s="40">
        <v>0</v>
      </c>
      <c r="F421" s="40">
        <f t="shared" si="50"/>
        <v>655.65676799999994</v>
      </c>
      <c r="G421" s="67"/>
      <c r="H421" s="69"/>
      <c r="I421" s="34"/>
      <c r="N421" s="34"/>
    </row>
    <row r="422" spans="1:14" s="35" customFormat="1" ht="15.75" customHeight="1" x14ac:dyDescent="0.25">
      <c r="A422" s="77">
        <f t="shared" si="51"/>
        <v>8</v>
      </c>
      <c r="B422" s="77"/>
      <c r="C422" s="40" t="s">
        <v>188</v>
      </c>
      <c r="D422" s="40">
        <f>56.83*10.764</f>
        <v>611.71812</v>
      </c>
      <c r="E422" s="40">
        <v>0</v>
      </c>
      <c r="F422" s="40">
        <f t="shared" si="50"/>
        <v>978.74899200000004</v>
      </c>
      <c r="G422" s="70"/>
      <c r="H422" s="72"/>
      <c r="I422" s="34"/>
      <c r="N422" s="34"/>
    </row>
    <row r="423" spans="1:14" s="35" customFormat="1" ht="15.75" customHeight="1" x14ac:dyDescent="0.25">
      <c r="A423" s="74" t="s">
        <v>192</v>
      </c>
      <c r="B423" s="75"/>
      <c r="C423" s="75"/>
      <c r="D423" s="75"/>
      <c r="E423" s="75"/>
      <c r="F423" s="75"/>
      <c r="G423" s="75"/>
      <c r="H423" s="76"/>
      <c r="I423" s="34">
        <v>3</v>
      </c>
      <c r="N423" s="34"/>
    </row>
    <row r="424" spans="1:14" s="35" customFormat="1" ht="15.75" customHeight="1" x14ac:dyDescent="0.25">
      <c r="A424" s="77">
        <v>1</v>
      </c>
      <c r="B424" s="77"/>
      <c r="C424" s="40" t="s">
        <v>188</v>
      </c>
      <c r="D424" s="40">
        <f>56.83*10.764</f>
        <v>611.71812</v>
      </c>
      <c r="E424" s="40">
        <v>0</v>
      </c>
      <c r="F424" s="40">
        <f>D424*(($F$227)+1)+(IF(E424&lt;101,E424,IF(E424&lt;201,E424/2,IF(E424&lt;=301,E424/3,E424/4))))</f>
        <v>978.74899200000004</v>
      </c>
      <c r="G424" s="64" t="str">
        <f>A423</f>
        <v>8th, 15th &amp; 22nd Floor (Part Refuge Area)</v>
      </c>
      <c r="H424" s="66"/>
      <c r="I424" s="34"/>
      <c r="N424" s="34"/>
    </row>
    <row r="425" spans="1:14" s="35" customFormat="1" ht="15.75" customHeight="1" x14ac:dyDescent="0.25">
      <c r="A425" s="77">
        <v>2</v>
      </c>
      <c r="B425" s="77"/>
      <c r="C425" s="40" t="s">
        <v>189</v>
      </c>
      <c r="D425" s="40">
        <f>38.07*10.764</f>
        <v>409.78547999999995</v>
      </c>
      <c r="E425" s="40">
        <v>0</v>
      </c>
      <c r="F425" s="40">
        <f>D425*(($F$227)+1)+(IF(E425&lt;101,E425,IF(E425&lt;201,E425/2,IF(E425&lt;=301,E425/3,E425/4))))</f>
        <v>655.65676799999994</v>
      </c>
      <c r="G425" s="67"/>
      <c r="H425" s="69"/>
      <c r="I425" s="34"/>
      <c r="N425" s="34"/>
    </row>
    <row r="426" spans="1:14" s="35" customFormat="1" ht="15.75" customHeight="1" x14ac:dyDescent="0.25">
      <c r="A426" s="77">
        <f t="shared" ref="A426:A431" si="52">A425+1</f>
        <v>3</v>
      </c>
      <c r="B426" s="77"/>
      <c r="C426" s="40" t="s">
        <v>189</v>
      </c>
      <c r="D426" s="40">
        <f>38.07*10.764</f>
        <v>409.78547999999995</v>
      </c>
      <c r="E426" s="40">
        <v>0</v>
      </c>
      <c r="F426" s="40">
        <f>D426*(($F$227)+1)+(IF(E426&lt;101,E426,IF(E426&lt;201,E426/2,IF(E426&lt;=301,E426/3,E426/4))))</f>
        <v>655.65676799999994</v>
      </c>
      <c r="G426" s="67"/>
      <c r="H426" s="69"/>
      <c r="I426" s="34"/>
      <c r="N426" s="34"/>
    </row>
    <row r="427" spans="1:14" s="35" customFormat="1" ht="15.75" customHeight="1" x14ac:dyDescent="0.25">
      <c r="A427" s="77">
        <f t="shared" si="52"/>
        <v>4</v>
      </c>
      <c r="B427" s="77"/>
      <c r="C427" s="40" t="s">
        <v>188</v>
      </c>
      <c r="D427" s="40">
        <f>56.83*10.764</f>
        <v>611.71812</v>
      </c>
      <c r="E427" s="40">
        <v>0</v>
      </c>
      <c r="F427" s="40">
        <f>D427*(($F$227)+1)+(IF(E427&lt;101,E427,IF(E427&lt;201,E427/2,IF(E427&lt;=301,E427/3,E427/4))))</f>
        <v>978.74899200000004</v>
      </c>
      <c r="G427" s="67"/>
      <c r="H427" s="69"/>
      <c r="I427" s="34"/>
      <c r="N427" s="34"/>
    </row>
    <row r="428" spans="1:14" s="35" customFormat="1" ht="15.75" customHeight="1" x14ac:dyDescent="0.25">
      <c r="A428" s="77">
        <f t="shared" si="52"/>
        <v>5</v>
      </c>
      <c r="B428" s="77"/>
      <c r="C428" s="64" t="s">
        <v>193</v>
      </c>
      <c r="D428" s="65"/>
      <c r="E428" s="65"/>
      <c r="F428" s="66"/>
      <c r="G428" s="67"/>
      <c r="H428" s="69"/>
      <c r="I428" s="34"/>
      <c r="N428" s="34"/>
    </row>
    <row r="429" spans="1:14" s="35" customFormat="1" ht="15.75" customHeight="1" x14ac:dyDescent="0.25">
      <c r="A429" s="77">
        <f t="shared" si="52"/>
        <v>6</v>
      </c>
      <c r="B429" s="77"/>
      <c r="C429" s="70"/>
      <c r="D429" s="71"/>
      <c r="E429" s="71"/>
      <c r="F429" s="72"/>
      <c r="G429" s="67"/>
      <c r="H429" s="69"/>
      <c r="I429" s="34"/>
    </row>
    <row r="430" spans="1:14" s="35" customFormat="1" ht="15.75" customHeight="1" x14ac:dyDescent="0.25">
      <c r="A430" s="77">
        <f t="shared" si="52"/>
        <v>7</v>
      </c>
      <c r="B430" s="77"/>
      <c r="C430" s="40" t="s">
        <v>189</v>
      </c>
      <c r="D430" s="40">
        <f>38.07*10.764</f>
        <v>409.78547999999995</v>
      </c>
      <c r="E430" s="40">
        <v>0</v>
      </c>
      <c r="F430" s="40">
        <f>D430*(($F$227)+1)+(IF(E430&lt;101,E430,IF(E430&lt;201,E430/2,IF(E430&lt;=301,E430/3,E430/4))))</f>
        <v>655.65676799999994</v>
      </c>
      <c r="G430" s="67"/>
      <c r="H430" s="69"/>
      <c r="I430" s="34"/>
      <c r="N430" s="34"/>
    </row>
    <row r="431" spans="1:14" s="35" customFormat="1" ht="15.75" customHeight="1" x14ac:dyDescent="0.25">
      <c r="A431" s="77">
        <f t="shared" si="52"/>
        <v>8</v>
      </c>
      <c r="B431" s="77"/>
      <c r="C431" s="40" t="s">
        <v>188</v>
      </c>
      <c r="D431" s="40">
        <f>56.83*10.764</f>
        <v>611.71812</v>
      </c>
      <c r="E431" s="40">
        <v>0</v>
      </c>
      <c r="F431" s="40">
        <f>D431*(($F$227)+1)+(IF(E431&lt;101,E431,IF(E431&lt;201,E431/2,IF(E431&lt;=301,E431/3,E431/4))))</f>
        <v>978.74899200000004</v>
      </c>
      <c r="G431" s="70"/>
      <c r="H431" s="72"/>
      <c r="I431" s="34"/>
      <c r="N431" s="34"/>
    </row>
    <row r="432" spans="1:14" s="35" customFormat="1" ht="15.75" customHeight="1" x14ac:dyDescent="0.25">
      <c r="A432" s="74" t="s">
        <v>194</v>
      </c>
      <c r="B432" s="75"/>
      <c r="C432" s="75"/>
      <c r="D432" s="75"/>
      <c r="E432" s="75"/>
      <c r="F432" s="75"/>
      <c r="G432" s="75"/>
      <c r="H432" s="76"/>
      <c r="I432" s="34">
        <v>1</v>
      </c>
      <c r="N432" s="34"/>
    </row>
    <row r="433" spans="1:14" s="35" customFormat="1" ht="15.75" customHeight="1" x14ac:dyDescent="0.25">
      <c r="A433" s="77">
        <v>1</v>
      </c>
      <c r="B433" s="77"/>
      <c r="C433" s="40" t="s">
        <v>188</v>
      </c>
      <c r="D433" s="40">
        <f>56.83*10.764</f>
        <v>611.71812</v>
      </c>
      <c r="E433" s="40">
        <v>0</v>
      </c>
      <c r="F433" s="40">
        <f>D433*(($F$227)+1)+(IF(E433&lt;101,E433,IF(E433&lt;201,E433/2,IF(E433&lt;=301,E433/3,E433/4))))</f>
        <v>978.74899200000004</v>
      </c>
      <c r="G433" s="64" t="str">
        <f>A432</f>
        <v>29th Floor (Part Refuge Area)</v>
      </c>
      <c r="H433" s="66"/>
      <c r="I433" s="34"/>
      <c r="N433" s="34"/>
    </row>
    <row r="434" spans="1:14" s="35" customFormat="1" ht="15.75" customHeight="1" x14ac:dyDescent="0.25">
      <c r="A434" s="77">
        <v>2</v>
      </c>
      <c r="B434" s="77"/>
      <c r="C434" s="40" t="s">
        <v>189</v>
      </c>
      <c r="D434" s="40">
        <f>38.07*10.764</f>
        <v>409.78547999999995</v>
      </c>
      <c r="E434" s="40">
        <v>0</v>
      </c>
      <c r="F434" s="40">
        <f>D434*(($F$227)+1)+(IF(E434&lt;101,E434,IF(E434&lt;201,E434/2,IF(E434&lt;=301,E434/3,E434/4))))</f>
        <v>655.65676799999994</v>
      </c>
      <c r="G434" s="67"/>
      <c r="H434" s="69"/>
      <c r="I434" s="34"/>
      <c r="N434" s="34"/>
    </row>
    <row r="435" spans="1:14" s="35" customFormat="1" ht="15.75" customHeight="1" x14ac:dyDescent="0.25">
      <c r="A435" s="77">
        <f t="shared" ref="A435:A440" si="53">A434+1</f>
        <v>3</v>
      </c>
      <c r="B435" s="77"/>
      <c r="C435" s="40" t="s">
        <v>189</v>
      </c>
      <c r="D435" s="40">
        <f>38.07*10.764</f>
        <v>409.78547999999995</v>
      </c>
      <c r="E435" s="40">
        <v>0</v>
      </c>
      <c r="F435" s="40">
        <f>D435*(($F$227)+1)+(IF(E435&lt;101,E435,IF(E435&lt;201,E435/2,IF(E435&lt;=301,E435/3,E435/4))))</f>
        <v>655.65676799999994</v>
      </c>
      <c r="G435" s="67"/>
      <c r="H435" s="69"/>
      <c r="I435" s="34"/>
      <c r="N435" s="34"/>
    </row>
    <row r="436" spans="1:14" s="35" customFormat="1" ht="15.75" customHeight="1" x14ac:dyDescent="0.25">
      <c r="A436" s="77">
        <f t="shared" si="53"/>
        <v>4</v>
      </c>
      <c r="B436" s="77"/>
      <c r="C436" s="40" t="s">
        <v>188</v>
      </c>
      <c r="D436" s="40">
        <f>56.83*10.764</f>
        <v>611.71812</v>
      </c>
      <c r="E436" s="40">
        <v>0</v>
      </c>
      <c r="F436" s="40">
        <f>D436*(($F$227)+1)+(IF(E436&lt;101,E436,IF(E436&lt;201,E436/2,IF(E436&lt;=301,E436/3,E436/4))))</f>
        <v>978.74899200000004</v>
      </c>
      <c r="G436" s="67"/>
      <c r="H436" s="69"/>
      <c r="I436" s="34"/>
      <c r="N436" s="34"/>
    </row>
    <row r="437" spans="1:14" s="35" customFormat="1" ht="15.75" customHeight="1" x14ac:dyDescent="0.25">
      <c r="A437" s="77">
        <f t="shared" si="53"/>
        <v>5</v>
      </c>
      <c r="B437" s="77"/>
      <c r="C437" s="64" t="s">
        <v>193</v>
      </c>
      <c r="D437" s="65"/>
      <c r="E437" s="65"/>
      <c r="F437" s="66"/>
      <c r="G437" s="67"/>
      <c r="H437" s="69"/>
      <c r="I437" s="34"/>
      <c r="N437" s="34"/>
    </row>
    <row r="438" spans="1:14" s="35" customFormat="1" x14ac:dyDescent="0.25">
      <c r="A438" s="77">
        <f t="shared" si="53"/>
        <v>6</v>
      </c>
      <c r="B438" s="77"/>
      <c r="C438" s="70"/>
      <c r="D438" s="71"/>
      <c r="E438" s="71"/>
      <c r="F438" s="72"/>
      <c r="G438" s="67"/>
      <c r="H438" s="69"/>
      <c r="I438" s="34"/>
      <c r="L438" s="58"/>
      <c r="M438" s="58"/>
    </row>
    <row r="439" spans="1:14" s="35" customFormat="1" ht="15.75" customHeight="1" x14ac:dyDescent="0.25">
      <c r="A439" s="77">
        <f t="shared" si="53"/>
        <v>7</v>
      </c>
      <c r="B439" s="77"/>
      <c r="C439" s="40" t="s">
        <v>189</v>
      </c>
      <c r="D439" s="40">
        <f>38.07*10.764</f>
        <v>409.78547999999995</v>
      </c>
      <c r="E439" s="40">
        <v>0</v>
      </c>
      <c r="F439" s="40">
        <f>D439*(($F$227)+1)+(IF(E439&lt;101,E439,IF(E439&lt;201,E439/2,IF(E439&lt;=301,E439/3,E439/4))))</f>
        <v>655.65676799999994</v>
      </c>
      <c r="G439" s="67"/>
      <c r="H439" s="69"/>
      <c r="I439" s="34"/>
      <c r="N439" s="34"/>
    </row>
    <row r="440" spans="1:14" s="35" customFormat="1" ht="15.75" customHeight="1" x14ac:dyDescent="0.25">
      <c r="A440" s="77">
        <f t="shared" si="53"/>
        <v>8</v>
      </c>
      <c r="B440" s="77"/>
      <c r="C440" s="40" t="s">
        <v>188</v>
      </c>
      <c r="D440" s="40">
        <f>56.83*10.764</f>
        <v>611.71812</v>
      </c>
      <c r="E440" s="40">
        <v>0</v>
      </c>
      <c r="F440" s="40">
        <f>D440*(($F$227)+1)+(IF(E440&lt;101,E440,IF(E440&lt;201,E440/2,IF(E440&lt;=301,E440/3,E440/4))))</f>
        <v>978.74899200000004</v>
      </c>
      <c r="G440" s="70"/>
      <c r="H440" s="72"/>
      <c r="I440" s="34"/>
      <c r="N440" s="34"/>
    </row>
    <row r="441" spans="1:14" s="35" customFormat="1" ht="15.75" customHeight="1" x14ac:dyDescent="0.25">
      <c r="A441" s="74" t="s">
        <v>195</v>
      </c>
      <c r="B441" s="75"/>
      <c r="C441" s="75"/>
      <c r="D441" s="75"/>
      <c r="E441" s="75"/>
      <c r="F441" s="75"/>
      <c r="G441" s="75"/>
      <c r="H441" s="76"/>
      <c r="I441" s="34">
        <f>6+3</f>
        <v>9</v>
      </c>
      <c r="N441" s="34"/>
    </row>
    <row r="442" spans="1:14" s="35" customFormat="1" ht="15.75" customHeight="1" x14ac:dyDescent="0.25">
      <c r="A442" s="77">
        <v>1</v>
      </c>
      <c r="B442" s="77"/>
      <c r="C442" s="40" t="s">
        <v>188</v>
      </c>
      <c r="D442" s="40">
        <f>(56.83+3.04*1.07)*(10.764)</f>
        <v>646.73125919999995</v>
      </c>
      <c r="E442" s="40">
        <v>0</v>
      </c>
      <c r="F442" s="40">
        <f t="shared" ref="F442:F449" si="54">D442*(($F$227)+1)+(IF(E442&lt;101,E442,IF(E442&lt;201,E442/2,IF(E442&lt;=301,E442/3,E442/4))))</f>
        <v>1034.7700147200001</v>
      </c>
      <c r="G442" s="64" t="str">
        <f>A441</f>
        <v>30th to 35th &amp; 37th to 39th Floor</v>
      </c>
      <c r="H442" s="66"/>
      <c r="I442" s="34"/>
      <c r="N442" s="34"/>
    </row>
    <row r="443" spans="1:14" s="35" customFormat="1" ht="15.75" customHeight="1" x14ac:dyDescent="0.25">
      <c r="A443" s="77">
        <v>2</v>
      </c>
      <c r="B443" s="77"/>
      <c r="C443" s="40" t="s">
        <v>189</v>
      </c>
      <c r="D443" s="40">
        <f>(38.07+2.76*1.07)*(10.764)</f>
        <v>441.57372479999998</v>
      </c>
      <c r="E443" s="40">
        <v>0</v>
      </c>
      <c r="F443" s="40">
        <f t="shared" si="54"/>
        <v>706.51795967999999</v>
      </c>
      <c r="G443" s="67"/>
      <c r="H443" s="69"/>
      <c r="I443" s="34"/>
      <c r="N443" s="34"/>
    </row>
    <row r="444" spans="1:14" s="35" customFormat="1" ht="15.75" customHeight="1" x14ac:dyDescent="0.25">
      <c r="A444" s="77">
        <f t="shared" ref="A444:A449" si="55">A443+1</f>
        <v>3</v>
      </c>
      <c r="B444" s="77"/>
      <c r="C444" s="40" t="s">
        <v>189</v>
      </c>
      <c r="D444" s="40">
        <f>(38.07+2.76*1.07)*(10.764)</f>
        <v>441.57372479999998</v>
      </c>
      <c r="E444" s="40">
        <v>0</v>
      </c>
      <c r="F444" s="40">
        <f t="shared" si="54"/>
        <v>706.51795967999999</v>
      </c>
      <c r="G444" s="67"/>
      <c r="H444" s="69"/>
      <c r="I444" s="34"/>
      <c r="N444" s="34"/>
    </row>
    <row r="445" spans="1:14" s="35" customFormat="1" ht="15.75" customHeight="1" x14ac:dyDescent="0.25">
      <c r="A445" s="77">
        <f t="shared" si="55"/>
        <v>4</v>
      </c>
      <c r="B445" s="77"/>
      <c r="C445" s="40" t="s">
        <v>188</v>
      </c>
      <c r="D445" s="40">
        <f>(56.83+3.04*1.07)*(10.764)</f>
        <v>646.73125919999995</v>
      </c>
      <c r="E445" s="40">
        <v>0</v>
      </c>
      <c r="F445" s="40">
        <f t="shared" si="54"/>
        <v>1034.7700147200001</v>
      </c>
      <c r="G445" s="67"/>
      <c r="H445" s="69"/>
      <c r="I445" s="34"/>
      <c r="N445" s="34"/>
    </row>
    <row r="446" spans="1:14" s="35" customFormat="1" ht="15.75" customHeight="1" x14ac:dyDescent="0.25">
      <c r="A446" s="77">
        <f t="shared" si="55"/>
        <v>5</v>
      </c>
      <c r="B446" s="77"/>
      <c r="C446" s="40" t="s">
        <v>188</v>
      </c>
      <c r="D446" s="40">
        <f>(56.83+3.04*1.07)*(10.764)</f>
        <v>646.73125919999995</v>
      </c>
      <c r="E446" s="40">
        <v>0</v>
      </c>
      <c r="F446" s="40">
        <f t="shared" si="54"/>
        <v>1034.7700147200001</v>
      </c>
      <c r="G446" s="67"/>
      <c r="H446" s="69"/>
      <c r="I446" s="34"/>
      <c r="N446" s="34"/>
    </row>
    <row r="447" spans="1:14" s="35" customFormat="1" x14ac:dyDescent="0.25">
      <c r="A447" s="77">
        <f t="shared" si="55"/>
        <v>6</v>
      </c>
      <c r="B447" s="77"/>
      <c r="C447" s="40" t="s">
        <v>189</v>
      </c>
      <c r="D447" s="40">
        <f>(38.07+2.76*1.07)*(10.764)</f>
        <v>441.57372479999998</v>
      </c>
      <c r="E447" s="40">
        <v>0</v>
      </c>
      <c r="F447" s="40">
        <f t="shared" si="54"/>
        <v>706.51795967999999</v>
      </c>
      <c r="G447" s="67"/>
      <c r="H447" s="69"/>
      <c r="I447" s="34"/>
      <c r="L447" s="58"/>
      <c r="M447" s="58"/>
    </row>
    <row r="448" spans="1:14" s="35" customFormat="1" ht="15.75" customHeight="1" x14ac:dyDescent="0.25">
      <c r="A448" s="77">
        <f t="shared" si="55"/>
        <v>7</v>
      </c>
      <c r="B448" s="77"/>
      <c r="C448" s="40" t="s">
        <v>189</v>
      </c>
      <c r="D448" s="40">
        <f>(38.07+2.76*1.07)*(10.764)</f>
        <v>441.57372479999998</v>
      </c>
      <c r="E448" s="40">
        <v>0</v>
      </c>
      <c r="F448" s="40">
        <f t="shared" si="54"/>
        <v>706.51795967999999</v>
      </c>
      <c r="G448" s="67"/>
      <c r="H448" s="69"/>
      <c r="I448" s="34"/>
      <c r="N448" s="34"/>
    </row>
    <row r="449" spans="1:14" s="35" customFormat="1" ht="15.75" customHeight="1" x14ac:dyDescent="0.25">
      <c r="A449" s="77">
        <f t="shared" si="55"/>
        <v>8</v>
      </c>
      <c r="B449" s="77"/>
      <c r="C449" s="40" t="s">
        <v>188</v>
      </c>
      <c r="D449" s="40">
        <f>(56.83+3.04*1.07)*(10.764)</f>
        <v>646.73125919999995</v>
      </c>
      <c r="E449" s="40">
        <v>0</v>
      </c>
      <c r="F449" s="40">
        <f t="shared" si="54"/>
        <v>1034.7700147200001</v>
      </c>
      <c r="G449" s="70"/>
      <c r="H449" s="72"/>
      <c r="I449" s="34"/>
      <c r="N449" s="34"/>
    </row>
    <row r="450" spans="1:14" s="35" customFormat="1" ht="15.75" customHeight="1" x14ac:dyDescent="0.25">
      <c r="A450" s="74" t="s">
        <v>196</v>
      </c>
      <c r="B450" s="75"/>
      <c r="C450" s="75"/>
      <c r="D450" s="75"/>
      <c r="E450" s="75"/>
      <c r="F450" s="75"/>
      <c r="G450" s="75"/>
      <c r="H450" s="76"/>
      <c r="I450" s="34">
        <v>1</v>
      </c>
      <c r="N450" s="34"/>
    </row>
    <row r="451" spans="1:14" s="35" customFormat="1" ht="15.75" customHeight="1" x14ac:dyDescent="0.25">
      <c r="A451" s="77">
        <v>1</v>
      </c>
      <c r="B451" s="77"/>
      <c r="C451" s="40" t="s">
        <v>188</v>
      </c>
      <c r="D451" s="40">
        <f>(56.83+3.04*1.07)*(10.764)</f>
        <v>646.73125919999995</v>
      </c>
      <c r="E451" s="40">
        <v>0</v>
      </c>
      <c r="F451" s="40">
        <f>D451*(($F$227)+1)+(IF(E451&lt;101,E451,IF(E451&lt;201,E451/2,IF(E451&lt;=301,E451/3,E451/4))))</f>
        <v>1034.7700147200001</v>
      </c>
      <c r="G451" s="64" t="str">
        <f>A450</f>
        <v>36th Floor (Part Refuge Area)</v>
      </c>
      <c r="H451" s="66"/>
      <c r="I451" s="34"/>
      <c r="N451" s="34"/>
    </row>
    <row r="452" spans="1:14" s="35" customFormat="1" ht="15.75" customHeight="1" x14ac:dyDescent="0.25">
      <c r="A452" s="77">
        <v>2</v>
      </c>
      <c r="B452" s="77"/>
      <c r="C452" s="40" t="s">
        <v>189</v>
      </c>
      <c r="D452" s="40">
        <f>(38.07+2.76*1.07)*(10.764)</f>
        <v>441.57372479999998</v>
      </c>
      <c r="E452" s="40">
        <v>0</v>
      </c>
      <c r="F452" s="40">
        <f>D452*(($F$227)+1)+(IF(E452&lt;101,E452,IF(E452&lt;201,E452/2,IF(E452&lt;=301,E452/3,E452/4))))</f>
        <v>706.51795967999999</v>
      </c>
      <c r="G452" s="67"/>
      <c r="H452" s="69"/>
      <c r="I452" s="34">
        <f>3.04*5.47+2.43*1.82+3.09*2.75+1.49*0.6+1.39*1.88+1.5*1.83</f>
        <v>35.801099999999991</v>
      </c>
      <c r="N452" s="34"/>
    </row>
    <row r="453" spans="1:14" s="35" customFormat="1" ht="15.75" customHeight="1" x14ac:dyDescent="0.25">
      <c r="A453" s="77">
        <f t="shared" ref="A453:A458" si="56">A452+1</f>
        <v>3</v>
      </c>
      <c r="B453" s="77"/>
      <c r="C453" s="40" t="s">
        <v>189</v>
      </c>
      <c r="D453" s="40">
        <f>(38.07+2.76*1.07)*(10.764)</f>
        <v>441.57372479999998</v>
      </c>
      <c r="E453" s="40">
        <v>0</v>
      </c>
      <c r="F453" s="40">
        <f>D453*(($F$227)+1)+(IF(E453&lt;101,E453,IF(E453&lt;201,E453/2,IF(E453&lt;=301,E453/3,E453/4))))</f>
        <v>706.51795967999999</v>
      </c>
      <c r="G453" s="67"/>
      <c r="H453" s="69"/>
      <c r="I453" s="34"/>
      <c r="N453" s="34"/>
    </row>
    <row r="454" spans="1:14" s="35" customFormat="1" ht="15.75" customHeight="1" x14ac:dyDescent="0.25">
      <c r="A454" s="77">
        <f t="shared" si="56"/>
        <v>4</v>
      </c>
      <c r="B454" s="77"/>
      <c r="C454" s="40" t="s">
        <v>188</v>
      </c>
      <c r="D454" s="40">
        <f>(56.83+3.04*1.07)*(10.764)</f>
        <v>646.73125919999995</v>
      </c>
      <c r="E454" s="40">
        <v>0</v>
      </c>
      <c r="F454" s="40">
        <f>D454*(($F$227)+1)+(IF(E454&lt;101,E454,IF(E454&lt;201,E454/2,IF(E454&lt;=301,E454/3,E454/4))))</f>
        <v>1034.7700147200001</v>
      </c>
      <c r="G454" s="67"/>
      <c r="H454" s="69"/>
      <c r="I454" s="34"/>
      <c r="N454" s="34"/>
    </row>
    <row r="455" spans="1:14" s="35" customFormat="1" ht="15.75" customHeight="1" x14ac:dyDescent="0.25">
      <c r="A455" s="77">
        <f t="shared" si="56"/>
        <v>5</v>
      </c>
      <c r="B455" s="77"/>
      <c r="C455" s="62" t="s">
        <v>193</v>
      </c>
      <c r="D455" s="73"/>
      <c r="E455" s="73"/>
      <c r="F455" s="63"/>
      <c r="G455" s="67"/>
      <c r="H455" s="69"/>
      <c r="I455" s="34"/>
      <c r="N455" s="34"/>
    </row>
    <row r="456" spans="1:14" s="35" customFormat="1" x14ac:dyDescent="0.25">
      <c r="A456" s="77">
        <f t="shared" si="56"/>
        <v>6</v>
      </c>
      <c r="B456" s="77"/>
      <c r="C456" s="40" t="s">
        <v>189</v>
      </c>
      <c r="D456" s="40">
        <f>(38.07+2.76*1.07)*(10.764)</f>
        <v>441.57372479999998</v>
      </c>
      <c r="E456" s="40">
        <v>0</v>
      </c>
      <c r="F456" s="40">
        <f>D456*(($F$227)+1)+(IF(E456&lt;101,E456,IF(E456&lt;201,E456/2,IF(E456&lt;=301,E456/3,E456/4))))</f>
        <v>706.51795967999999</v>
      </c>
      <c r="G456" s="67"/>
      <c r="H456" s="69"/>
      <c r="J456" s="34"/>
    </row>
    <row r="457" spans="1:14" s="35" customFormat="1" x14ac:dyDescent="0.25">
      <c r="A457" s="77">
        <f t="shared" si="56"/>
        <v>7</v>
      </c>
      <c r="B457" s="77"/>
      <c r="C457" s="40" t="s">
        <v>189</v>
      </c>
      <c r="D457" s="40">
        <f>(38.07+2.76*1.07)*(10.764)</f>
        <v>441.57372479999998</v>
      </c>
      <c r="E457" s="40">
        <v>0</v>
      </c>
      <c r="F457" s="40">
        <f>D457*(($F$227)+1)+(IF(E457&lt;101,E457,IF(E457&lt;201,E457/2,IF(E457&lt;=301,E457/3,E457/4))))</f>
        <v>706.51795967999999</v>
      </c>
      <c r="G457" s="67"/>
      <c r="H457" s="69"/>
      <c r="J457" s="34"/>
    </row>
    <row r="458" spans="1:14" s="35" customFormat="1" ht="15.75" customHeight="1" x14ac:dyDescent="0.25">
      <c r="A458" s="77">
        <f t="shared" si="56"/>
        <v>8</v>
      </c>
      <c r="B458" s="77"/>
      <c r="C458" s="40" t="s">
        <v>188</v>
      </c>
      <c r="D458" s="40">
        <f>(56.83+3.04*1.07)*(10.764)</f>
        <v>646.73125919999995</v>
      </c>
      <c r="E458" s="40">
        <v>0</v>
      </c>
      <c r="F458" s="40">
        <f>D458*(($F$227)+1)+(IF(E458&lt;101,E458,IF(E458&lt;201,E458/2,IF(E458&lt;=301,E458/3,E458/4))))</f>
        <v>1034.7700147200001</v>
      </c>
      <c r="G458" s="70"/>
      <c r="H458" s="72"/>
      <c r="I458" s="34"/>
      <c r="L458" s="58"/>
      <c r="M458" s="58"/>
      <c r="N458" s="34"/>
    </row>
    <row r="459" spans="1:14" s="33" customFormat="1" x14ac:dyDescent="0.25">
      <c r="A459" s="95" t="s">
        <v>66</v>
      </c>
      <c r="B459" s="96"/>
      <c r="C459" s="96"/>
      <c r="D459" s="96"/>
      <c r="E459" s="96"/>
      <c r="F459" s="96"/>
      <c r="G459" s="96"/>
      <c r="H459" s="97"/>
    </row>
    <row r="460" spans="1:14" s="33" customFormat="1" x14ac:dyDescent="0.25">
      <c r="A460" s="43" t="s">
        <v>153</v>
      </c>
      <c r="B460" s="98" t="s">
        <v>272</v>
      </c>
      <c r="C460" s="99"/>
      <c r="D460" s="99"/>
      <c r="E460" s="99"/>
      <c r="F460" s="99"/>
      <c r="G460" s="99"/>
      <c r="H460" s="100"/>
    </row>
    <row r="461" spans="1:14" s="33" customFormat="1" ht="15.75" customHeight="1" x14ac:dyDescent="0.25">
      <c r="A461" s="43" t="s">
        <v>153</v>
      </c>
      <c r="B461" s="98" t="str">
        <f>(IF(F226="Saleable area Loading :","We have considered Saleable area of Flats as per our Calculation.","We considered Saleable area of Flat as per Builder area Sheet."))</f>
        <v>We have considered Saleable area of Flats as per our Calculation.</v>
      </c>
      <c r="C461" s="99"/>
      <c r="D461" s="99"/>
      <c r="E461" s="99"/>
      <c r="F461" s="99"/>
      <c r="G461" s="99"/>
      <c r="H461" s="100"/>
    </row>
    <row r="462" spans="1:14" s="33" customFormat="1" ht="15.75" customHeight="1" x14ac:dyDescent="0.25">
      <c r="A462" s="43" t="s">
        <v>153</v>
      </c>
      <c r="B462" s="98" t="str">
        <f>(IF(F166="Saleable area Loading :","We have considered Saleable area of Commercial as per our Calculation.","We considered Saleable area of Commercial as per Builder area Sheet."))</f>
        <v>We have considered Saleable area of Commercial as per our Calculation.</v>
      </c>
      <c r="C462" s="99"/>
      <c r="D462" s="99"/>
      <c r="E462" s="99"/>
      <c r="F462" s="99"/>
      <c r="G462" s="99"/>
      <c r="H462" s="100"/>
    </row>
    <row r="463" spans="1:14" s="33" customFormat="1" ht="15.75" customHeight="1" x14ac:dyDescent="0.25">
      <c r="A463" s="43" t="s">
        <v>153</v>
      </c>
      <c r="B463" s="92" t="s">
        <v>123</v>
      </c>
      <c r="C463" s="93"/>
      <c r="D463" s="93"/>
      <c r="E463" s="93"/>
      <c r="F463" s="93"/>
      <c r="G463" s="93"/>
      <c r="H463" s="94"/>
    </row>
    <row r="464" spans="1:14" s="33" customFormat="1" ht="15.75" customHeight="1" x14ac:dyDescent="0.25">
      <c r="A464" s="43" t="s">
        <v>153</v>
      </c>
      <c r="B464" s="98" t="s">
        <v>266</v>
      </c>
      <c r="C464" s="99"/>
      <c r="D464" s="99"/>
      <c r="E464" s="99"/>
      <c r="F464" s="99"/>
      <c r="G464" s="99"/>
      <c r="H464" s="100"/>
    </row>
    <row r="465" spans="1:8" s="33" customFormat="1" ht="15.75" customHeight="1" x14ac:dyDescent="0.25">
      <c r="A465" s="43" t="s">
        <v>153</v>
      </c>
      <c r="B465" s="92" t="s">
        <v>152</v>
      </c>
      <c r="C465" s="93"/>
      <c r="D465" s="93"/>
      <c r="E465" s="93"/>
      <c r="F465" s="93"/>
      <c r="G465" s="93"/>
      <c r="H465" s="94"/>
    </row>
    <row r="466" spans="1:8" s="33" customFormat="1" ht="15.75" customHeight="1" x14ac:dyDescent="0.25">
      <c r="A466" s="43" t="s">
        <v>153</v>
      </c>
      <c r="B466" s="92" t="s">
        <v>124</v>
      </c>
      <c r="C466" s="93"/>
      <c r="D466" s="93"/>
      <c r="E466" s="93"/>
      <c r="F466" s="93"/>
      <c r="G466" s="93"/>
      <c r="H466" s="94"/>
    </row>
    <row r="467" spans="1:8" s="33" customFormat="1" ht="15.75" customHeight="1" x14ac:dyDescent="0.25">
      <c r="A467" s="43" t="s">
        <v>153</v>
      </c>
      <c r="B467" s="92" t="s">
        <v>154</v>
      </c>
      <c r="C467" s="93"/>
      <c r="D467" s="93"/>
      <c r="E467" s="93"/>
      <c r="F467" s="93"/>
      <c r="G467" s="93"/>
      <c r="H467" s="94"/>
    </row>
    <row r="468" spans="1:8" s="33" customFormat="1" ht="15.75" customHeight="1" x14ac:dyDescent="0.25">
      <c r="A468" s="43" t="s">
        <v>153</v>
      </c>
      <c r="B468" s="92" t="s">
        <v>125</v>
      </c>
      <c r="C468" s="93"/>
      <c r="D468" s="93"/>
      <c r="E468" s="93"/>
      <c r="F468" s="93"/>
      <c r="G468" s="93"/>
      <c r="H468" s="94"/>
    </row>
    <row r="469" spans="1:8" s="33" customFormat="1" ht="15.75" customHeight="1" x14ac:dyDescent="0.25">
      <c r="A469" s="43" t="s">
        <v>153</v>
      </c>
      <c r="B469" s="92" t="s">
        <v>199</v>
      </c>
      <c r="C469" s="93"/>
      <c r="D469" s="93"/>
      <c r="E469" s="93"/>
      <c r="F469" s="93"/>
      <c r="G469" s="93"/>
      <c r="H469" s="94"/>
    </row>
    <row r="470" spans="1:8" ht="15.75" customHeight="1" x14ac:dyDescent="0.25">
      <c r="A470" s="43" t="s">
        <v>153</v>
      </c>
      <c r="B470" s="92" t="s">
        <v>204</v>
      </c>
      <c r="C470" s="93"/>
      <c r="D470" s="93"/>
      <c r="E470" s="93"/>
      <c r="F470" s="93"/>
      <c r="G470" s="93"/>
      <c r="H470" s="94"/>
    </row>
    <row r="471" spans="1:8" ht="15.75" customHeight="1" x14ac:dyDescent="0.25">
      <c r="A471" s="43" t="s">
        <v>153</v>
      </c>
      <c r="B471" s="92" t="s">
        <v>208</v>
      </c>
      <c r="C471" s="93"/>
      <c r="D471" s="93"/>
      <c r="E471" s="93"/>
      <c r="F471" s="93"/>
      <c r="G471" s="93"/>
      <c r="H471" s="94"/>
    </row>
    <row r="472" spans="1:8" ht="15.75" customHeight="1" x14ac:dyDescent="0.25">
      <c r="A472" s="43" t="s">
        <v>153</v>
      </c>
      <c r="B472" s="92" t="s">
        <v>213</v>
      </c>
      <c r="C472" s="93"/>
      <c r="D472" s="93"/>
      <c r="E472" s="93"/>
      <c r="F472" s="93"/>
      <c r="G472" s="93"/>
      <c r="H472" s="94"/>
    </row>
    <row r="473" spans="1:8" ht="15.75" customHeight="1" x14ac:dyDescent="0.25">
      <c r="A473" s="43" t="s">
        <v>153</v>
      </c>
      <c r="B473" s="92" t="s">
        <v>228</v>
      </c>
      <c r="C473" s="93"/>
      <c r="D473" s="93"/>
      <c r="E473" s="93"/>
      <c r="F473" s="93"/>
      <c r="G473" s="93"/>
      <c r="H473" s="94"/>
    </row>
    <row r="474" spans="1:8" ht="15.75" customHeight="1" x14ac:dyDescent="0.25">
      <c r="A474" s="43" t="s">
        <v>153</v>
      </c>
      <c r="B474" s="98" t="s">
        <v>257</v>
      </c>
      <c r="C474" s="99"/>
      <c r="D474" s="99"/>
      <c r="E474" s="99"/>
      <c r="F474" s="99"/>
      <c r="G474" s="99"/>
      <c r="H474" s="100"/>
    </row>
    <row r="475" spans="1:8" ht="15.75" customHeight="1" x14ac:dyDescent="0.25">
      <c r="A475" s="43" t="s">
        <v>153</v>
      </c>
      <c r="B475" s="98" t="s">
        <v>256</v>
      </c>
      <c r="C475" s="99"/>
      <c r="D475" s="99"/>
      <c r="E475" s="99"/>
      <c r="F475" s="99"/>
      <c r="G475" s="99"/>
      <c r="H475" s="100"/>
    </row>
    <row r="476" spans="1:8" ht="15.75" customHeight="1" x14ac:dyDescent="0.25">
      <c r="A476" s="43" t="s">
        <v>153</v>
      </c>
      <c r="B476" s="92" t="s">
        <v>278</v>
      </c>
      <c r="C476" s="93"/>
      <c r="D476" s="93"/>
      <c r="E476" s="93"/>
      <c r="F476" s="93"/>
      <c r="G476" s="93"/>
      <c r="H476" s="94"/>
    </row>
    <row r="477" spans="1:8" ht="15.75" customHeight="1" x14ac:dyDescent="0.25">
      <c r="A477" s="43" t="s">
        <v>153</v>
      </c>
      <c r="B477" s="92" t="s">
        <v>280</v>
      </c>
      <c r="C477" s="93"/>
      <c r="D477" s="93"/>
      <c r="E477" s="93"/>
      <c r="F477" s="93"/>
      <c r="G477" s="93"/>
      <c r="H477" s="94"/>
    </row>
    <row r="478" spans="1:8" x14ac:dyDescent="0.25">
      <c r="A478" s="214" t="s">
        <v>59</v>
      </c>
      <c r="B478" s="215"/>
      <c r="C478" s="215"/>
      <c r="D478" s="215"/>
      <c r="E478" s="215"/>
      <c r="F478" s="215"/>
      <c r="G478" s="215"/>
      <c r="H478" s="216"/>
    </row>
    <row r="479" spans="1:8" x14ac:dyDescent="0.25">
      <c r="A479" s="205" t="s">
        <v>60</v>
      </c>
      <c r="B479" s="206"/>
      <c r="C479" s="206"/>
      <c r="D479" s="206"/>
      <c r="E479" s="206"/>
      <c r="F479" s="206"/>
      <c r="G479" s="206"/>
      <c r="H479" s="207"/>
    </row>
    <row r="480" spans="1:8" x14ac:dyDescent="0.25">
      <c r="A480" s="211" t="s">
        <v>61</v>
      </c>
      <c r="B480" s="212"/>
      <c r="C480" s="212"/>
      <c r="D480" s="212"/>
      <c r="E480" s="212"/>
      <c r="F480" s="212"/>
      <c r="G480" s="212"/>
      <c r="H480" s="213"/>
    </row>
    <row r="481" spans="1:8" x14ac:dyDescent="0.25">
      <c r="A481" s="205" t="s">
        <v>62</v>
      </c>
      <c r="B481" s="206"/>
      <c r="C481" s="206"/>
      <c r="D481" s="206"/>
      <c r="E481" s="206"/>
      <c r="F481" s="206"/>
      <c r="G481" s="206"/>
      <c r="H481" s="207"/>
    </row>
    <row r="482" spans="1:8" x14ac:dyDescent="0.25">
      <c r="A482" s="205" t="s">
        <v>63</v>
      </c>
      <c r="B482" s="206"/>
      <c r="C482" s="206"/>
      <c r="D482" s="206"/>
      <c r="E482" s="206"/>
      <c r="F482" s="206"/>
      <c r="G482" s="206"/>
      <c r="H482" s="207"/>
    </row>
    <row r="483" spans="1:8" x14ac:dyDescent="0.25">
      <c r="A483" s="205" t="s">
        <v>126</v>
      </c>
      <c r="B483" s="206"/>
      <c r="C483" s="206"/>
      <c r="D483" s="206"/>
      <c r="E483" s="206"/>
      <c r="F483" s="206"/>
      <c r="G483" s="206"/>
      <c r="H483" s="207"/>
    </row>
    <row r="484" spans="1:8" ht="15.75" customHeight="1" x14ac:dyDescent="0.25">
      <c r="A484" s="78" t="s">
        <v>127</v>
      </c>
      <c r="B484" s="79"/>
      <c r="C484" s="79"/>
      <c r="D484" s="79"/>
      <c r="E484" s="79"/>
      <c r="F484" s="79"/>
      <c r="G484" s="79"/>
      <c r="H484" s="80"/>
    </row>
    <row r="485" spans="1:8" x14ac:dyDescent="0.25">
      <c r="A485" s="204" t="s">
        <v>76</v>
      </c>
      <c r="B485" s="204"/>
      <c r="C485" s="204" t="s">
        <v>201</v>
      </c>
      <c r="D485" s="204"/>
      <c r="E485" s="204" t="s">
        <v>104</v>
      </c>
      <c r="F485" s="204"/>
      <c r="G485" s="204" t="s">
        <v>274</v>
      </c>
      <c r="H485" s="204"/>
    </row>
    <row r="486" spans="1:8" ht="15.75" customHeight="1" x14ac:dyDescent="0.25">
      <c r="A486" s="195" t="s">
        <v>78</v>
      </c>
      <c r="B486" s="196"/>
      <c r="C486" s="196"/>
      <c r="D486" s="196"/>
      <c r="E486" s="196"/>
      <c r="F486" s="196"/>
      <c r="G486" s="196"/>
      <c r="H486" s="197"/>
    </row>
    <row r="487" spans="1:8" x14ac:dyDescent="0.25">
      <c r="A487" s="198"/>
      <c r="B487" s="199"/>
      <c r="C487" s="199"/>
      <c r="D487" s="199"/>
      <c r="E487" s="199"/>
      <c r="F487" s="199"/>
      <c r="G487" s="199"/>
      <c r="H487" s="200"/>
    </row>
    <row r="488" spans="1:8" x14ac:dyDescent="0.25">
      <c r="A488" s="198"/>
      <c r="B488" s="199"/>
      <c r="C488" s="199"/>
      <c r="D488" s="199"/>
      <c r="E488" s="199"/>
      <c r="F488" s="199"/>
      <c r="G488" s="199"/>
      <c r="H488" s="200"/>
    </row>
    <row r="489" spans="1:8" ht="15" customHeight="1" x14ac:dyDescent="0.25">
      <c r="A489" s="201"/>
      <c r="B489" s="202"/>
      <c r="C489" s="202"/>
      <c r="D489" s="202"/>
      <c r="E489" s="202"/>
      <c r="F489" s="202"/>
      <c r="G489" s="202"/>
      <c r="H489" s="203"/>
    </row>
    <row r="490" spans="1:8" x14ac:dyDescent="0.25">
      <c r="A490" s="36" t="s">
        <v>64</v>
      </c>
      <c r="B490" s="37"/>
      <c r="C490" s="37"/>
      <c r="D490" s="36" t="str">
        <f>E8</f>
        <v>Ashford Regal Wing A, B, C &amp; F</v>
      </c>
      <c r="F490" s="37"/>
      <c r="G490" s="37"/>
      <c r="H490" s="37"/>
    </row>
    <row r="491" spans="1:8" x14ac:dyDescent="0.25">
      <c r="A491" s="37"/>
      <c r="B491" s="37"/>
      <c r="C491" s="37"/>
      <c r="D491" s="37"/>
      <c r="E491" s="37"/>
      <c r="F491" s="37"/>
      <c r="G491" s="37"/>
      <c r="H491" s="37"/>
    </row>
    <row r="492" spans="1:8" x14ac:dyDescent="0.25">
      <c r="A492" s="37"/>
      <c r="B492" s="37"/>
      <c r="C492" s="37"/>
      <c r="D492" s="37"/>
      <c r="E492" s="37"/>
      <c r="F492" s="37"/>
      <c r="G492" s="37"/>
      <c r="H492" s="37"/>
    </row>
    <row r="520" spans="10:10" x14ac:dyDescent="0.25">
      <c r="J520"/>
    </row>
    <row r="524" spans="10:10" x14ac:dyDescent="0.25">
      <c r="J524"/>
    </row>
    <row r="533" spans="1:1" x14ac:dyDescent="0.25">
      <c r="A533" s="39" t="s">
        <v>167</v>
      </c>
    </row>
    <row r="573" spans="1:8" x14ac:dyDescent="0.25">
      <c r="A573" s="39" t="s">
        <v>65</v>
      </c>
      <c r="B573" s="19"/>
      <c r="C573" s="19"/>
      <c r="D573" s="19"/>
      <c r="E573" s="19"/>
      <c r="F573" s="19"/>
      <c r="G573" s="19"/>
      <c r="H573" s="19"/>
    </row>
  </sheetData>
  <mergeCells count="833">
    <mergeCell ref="B460:H460"/>
    <mergeCell ref="A50:B55"/>
    <mergeCell ref="A59:B61"/>
    <mergeCell ref="C59:E60"/>
    <mergeCell ref="G59:H59"/>
    <mergeCell ref="G60:H60"/>
    <mergeCell ref="C61:H61"/>
    <mergeCell ref="B476:H476"/>
    <mergeCell ref="A93:B93"/>
    <mergeCell ref="B475:H475"/>
    <mergeCell ref="A199:B199"/>
    <mergeCell ref="C297:F297"/>
    <mergeCell ref="C370:F370"/>
    <mergeCell ref="A298:B298"/>
    <mergeCell ref="G293:H300"/>
    <mergeCell ref="G284:H291"/>
    <mergeCell ref="G275:H282"/>
    <mergeCell ref="G266:H273"/>
    <mergeCell ref="G257:H264"/>
    <mergeCell ref="A290:B290"/>
    <mergeCell ref="A291:B291"/>
    <mergeCell ref="A275:B275"/>
    <mergeCell ref="A276:B276"/>
    <mergeCell ref="A277:B277"/>
    <mergeCell ref="A270:B270"/>
    <mergeCell ref="A271:B271"/>
    <mergeCell ref="A272:B272"/>
    <mergeCell ref="A273:B273"/>
    <mergeCell ref="C270:F271"/>
    <mergeCell ref="A297:B297"/>
    <mergeCell ref="A299:B299"/>
    <mergeCell ref="A300:B300"/>
    <mergeCell ref="A142:E142"/>
    <mergeCell ref="F142:H142"/>
    <mergeCell ref="A144:E144"/>
    <mergeCell ref="F144:H144"/>
    <mergeCell ref="A296:B296"/>
    <mergeCell ref="A164:H164"/>
    <mergeCell ref="A165:H165"/>
    <mergeCell ref="G152:H152"/>
    <mergeCell ref="A145:E145"/>
    <mergeCell ref="C153:D153"/>
    <mergeCell ref="E153:F153"/>
    <mergeCell ref="C163:D163"/>
    <mergeCell ref="F145:H145"/>
    <mergeCell ref="E152:F152"/>
    <mergeCell ref="A152:B152"/>
    <mergeCell ref="A155:B155"/>
    <mergeCell ref="A174:B174"/>
    <mergeCell ref="A246:B246"/>
    <mergeCell ref="A163:B163"/>
    <mergeCell ref="E163:F163"/>
    <mergeCell ref="L289:M289"/>
    <mergeCell ref="A293:B293"/>
    <mergeCell ref="A294:B294"/>
    <mergeCell ref="A281:B281"/>
    <mergeCell ref="A282:B282"/>
    <mergeCell ref="A283:H283"/>
    <mergeCell ref="L280:M280"/>
    <mergeCell ref="A288:B288"/>
    <mergeCell ref="A289:B289"/>
    <mergeCell ref="A286:B286"/>
    <mergeCell ref="A292:H292"/>
    <mergeCell ref="C279:F280"/>
    <mergeCell ref="A280:B280"/>
    <mergeCell ref="A287:B287"/>
    <mergeCell ref="A279:B279"/>
    <mergeCell ref="L262:M262"/>
    <mergeCell ref="A266:B266"/>
    <mergeCell ref="A267:B267"/>
    <mergeCell ref="A268:B268"/>
    <mergeCell ref="A269:B269"/>
    <mergeCell ref="A255:B255"/>
    <mergeCell ref="L252:M252"/>
    <mergeCell ref="A262:B262"/>
    <mergeCell ref="A263:B263"/>
    <mergeCell ref="A264:B264"/>
    <mergeCell ref="G248:H255"/>
    <mergeCell ref="A252:B252"/>
    <mergeCell ref="L249:M249"/>
    <mergeCell ref="A253:B253"/>
    <mergeCell ref="L250:M250"/>
    <mergeCell ref="A254:B254"/>
    <mergeCell ref="L251:M251"/>
    <mergeCell ref="L253:M253"/>
    <mergeCell ref="A261:B261"/>
    <mergeCell ref="A258:B258"/>
    <mergeCell ref="A259:B259"/>
    <mergeCell ref="A260:B260"/>
    <mergeCell ref="A251:B251"/>
    <mergeCell ref="L227:M227"/>
    <mergeCell ref="L228:M228"/>
    <mergeCell ref="L229:M229"/>
    <mergeCell ref="A226:A227"/>
    <mergeCell ref="L245:M245"/>
    <mergeCell ref="A249:B249"/>
    <mergeCell ref="L246:M246"/>
    <mergeCell ref="A250:B250"/>
    <mergeCell ref="L247:M247"/>
    <mergeCell ref="L248:M248"/>
    <mergeCell ref="G239:H246"/>
    <mergeCell ref="A243:B243"/>
    <mergeCell ref="L240:M240"/>
    <mergeCell ref="A244:B244"/>
    <mergeCell ref="L241:M241"/>
    <mergeCell ref="A245:B245"/>
    <mergeCell ref="L242:M242"/>
    <mergeCell ref="L234:M234"/>
    <mergeCell ref="C230:F233"/>
    <mergeCell ref="A238:H238"/>
    <mergeCell ref="A239:B239"/>
    <mergeCell ref="C239:F242"/>
    <mergeCell ref="L236:M236"/>
    <mergeCell ref="A240:B240"/>
    <mergeCell ref="L237:M237"/>
    <mergeCell ref="A241:B241"/>
    <mergeCell ref="L238:M238"/>
    <mergeCell ref="A242:B242"/>
    <mergeCell ref="L239:M239"/>
    <mergeCell ref="G230:H237"/>
    <mergeCell ref="A234:B234"/>
    <mergeCell ref="L231:M231"/>
    <mergeCell ref="L232:M232"/>
    <mergeCell ref="A236:B236"/>
    <mergeCell ref="L233:M233"/>
    <mergeCell ref="L230:M230"/>
    <mergeCell ref="A237:B237"/>
    <mergeCell ref="A231:B231"/>
    <mergeCell ref="A232:B232"/>
    <mergeCell ref="A16:B16"/>
    <mergeCell ref="C16:H16"/>
    <mergeCell ref="E41:H41"/>
    <mergeCell ref="A41:D41"/>
    <mergeCell ref="G51:H51"/>
    <mergeCell ref="G50:H50"/>
    <mergeCell ref="D65:H65"/>
    <mergeCell ref="D68:H68"/>
    <mergeCell ref="C49:E49"/>
    <mergeCell ref="A63:B63"/>
    <mergeCell ref="C63:E63"/>
    <mergeCell ref="A64:H64"/>
    <mergeCell ref="A65:C65"/>
    <mergeCell ref="A66:C66"/>
    <mergeCell ref="D66:H66"/>
    <mergeCell ref="G63:H63"/>
    <mergeCell ref="A62:B62"/>
    <mergeCell ref="C37:H37"/>
    <mergeCell ref="C62:E62"/>
    <mergeCell ref="G62:H62"/>
    <mergeCell ref="C52:H52"/>
    <mergeCell ref="C50:E51"/>
    <mergeCell ref="A49:B49"/>
    <mergeCell ref="B461:H461"/>
    <mergeCell ref="L169:M169"/>
    <mergeCell ref="L168:M168"/>
    <mergeCell ref="L167:M167"/>
    <mergeCell ref="A230:B230"/>
    <mergeCell ref="L197:M197"/>
    <mergeCell ref="L198:M198"/>
    <mergeCell ref="L200:M200"/>
    <mergeCell ref="L171:M171"/>
    <mergeCell ref="A175:B175"/>
    <mergeCell ref="L172:M172"/>
    <mergeCell ref="A176:B176"/>
    <mergeCell ref="L173:M173"/>
    <mergeCell ref="A177:B177"/>
    <mergeCell ref="L174:M174"/>
    <mergeCell ref="G170:H177"/>
    <mergeCell ref="L170:M170"/>
    <mergeCell ref="L176:M176"/>
    <mergeCell ref="L177:M177"/>
    <mergeCell ref="A225:H225"/>
    <mergeCell ref="B166:B167"/>
    <mergeCell ref="A166:A167"/>
    <mergeCell ref="C226:C227"/>
    <mergeCell ref="A229:H229"/>
    <mergeCell ref="A483:H483"/>
    <mergeCell ref="A480:H480"/>
    <mergeCell ref="A257:B257"/>
    <mergeCell ref="A158:B158"/>
    <mergeCell ref="D226:D227"/>
    <mergeCell ref="E226:E227"/>
    <mergeCell ref="G226:H227"/>
    <mergeCell ref="A88:B88"/>
    <mergeCell ref="F136:H136"/>
    <mergeCell ref="G153:H153"/>
    <mergeCell ref="A235:B235"/>
    <mergeCell ref="A265:H265"/>
    <mergeCell ref="B226:B227"/>
    <mergeCell ref="A478:H478"/>
    <mergeCell ref="A479:H479"/>
    <mergeCell ref="E158:F158"/>
    <mergeCell ref="B468:H468"/>
    <mergeCell ref="B466:H466"/>
    <mergeCell ref="B462:H462"/>
    <mergeCell ref="F146:H146"/>
    <mergeCell ref="C152:D152"/>
    <mergeCell ref="F148:H148"/>
    <mergeCell ref="F147:H147"/>
    <mergeCell ref="A284:B284"/>
    <mergeCell ref="F143:H143"/>
    <mergeCell ref="A136:E136"/>
    <mergeCell ref="A81:B81"/>
    <mergeCell ref="A79:B79"/>
    <mergeCell ref="C79:H79"/>
    <mergeCell ref="A87:B87"/>
    <mergeCell ref="C95:H95"/>
    <mergeCell ref="A96:B96"/>
    <mergeCell ref="E96:F96"/>
    <mergeCell ref="G96:H96"/>
    <mergeCell ref="A97:B97"/>
    <mergeCell ref="E97:F106"/>
    <mergeCell ref="G97:H106"/>
    <mergeCell ref="A98:B98"/>
    <mergeCell ref="A99:B99"/>
    <mergeCell ref="A100:B100"/>
    <mergeCell ref="A101:B101"/>
    <mergeCell ref="A141:E141"/>
    <mergeCell ref="F141:H141"/>
    <mergeCell ref="A143:E143"/>
    <mergeCell ref="A105:B105"/>
    <mergeCell ref="A89:B89"/>
    <mergeCell ref="A82:B82"/>
    <mergeCell ref="A85:B85"/>
    <mergeCell ref="A278:B278"/>
    <mergeCell ref="G158:H158"/>
    <mergeCell ref="C156:D156"/>
    <mergeCell ref="C154:D154"/>
    <mergeCell ref="E154:F154"/>
    <mergeCell ref="G154:H154"/>
    <mergeCell ref="A228:H228"/>
    <mergeCell ref="A233:B233"/>
    <mergeCell ref="A222:B222"/>
    <mergeCell ref="A224:B224"/>
    <mergeCell ref="G217:H224"/>
    <mergeCell ref="A180:B180"/>
    <mergeCell ref="A220:B220"/>
    <mergeCell ref="A221:B221"/>
    <mergeCell ref="A223:B223"/>
    <mergeCell ref="A183:B183"/>
    <mergeCell ref="A247:H247"/>
    <mergeCell ref="A248:B248"/>
    <mergeCell ref="C248:F251"/>
    <mergeCell ref="A179:B179"/>
    <mergeCell ref="A184:B184"/>
    <mergeCell ref="A486:H489"/>
    <mergeCell ref="A485:B485"/>
    <mergeCell ref="E485:F485"/>
    <mergeCell ref="C485:D485"/>
    <mergeCell ref="G485:H485"/>
    <mergeCell ref="A151:H151"/>
    <mergeCell ref="A149:E149"/>
    <mergeCell ref="F149:H149"/>
    <mergeCell ref="A150:E150"/>
    <mergeCell ref="F150:H150"/>
    <mergeCell ref="A256:H256"/>
    <mergeCell ref="A159:B159"/>
    <mergeCell ref="A285:B285"/>
    <mergeCell ref="A153:B153"/>
    <mergeCell ref="A481:H481"/>
    <mergeCell ref="A157:H157"/>
    <mergeCell ref="A484:H484"/>
    <mergeCell ref="A482:H482"/>
    <mergeCell ref="C166:C167"/>
    <mergeCell ref="A156:B156"/>
    <mergeCell ref="C159:D159"/>
    <mergeCell ref="E159:F159"/>
    <mergeCell ref="G159:H159"/>
    <mergeCell ref="E166:E167"/>
    <mergeCell ref="A1:H1"/>
    <mergeCell ref="A2:H2"/>
    <mergeCell ref="A3:D3"/>
    <mergeCell ref="E3:H3"/>
    <mergeCell ref="A4:D4"/>
    <mergeCell ref="A8:D8"/>
    <mergeCell ref="E8:H8"/>
    <mergeCell ref="A9:D9"/>
    <mergeCell ref="E9:H9"/>
    <mergeCell ref="E4:H4"/>
    <mergeCell ref="A11:D11"/>
    <mergeCell ref="E11:H11"/>
    <mergeCell ref="A5:D5"/>
    <mergeCell ref="E5:H5"/>
    <mergeCell ref="A6:D6"/>
    <mergeCell ref="E6:H6"/>
    <mergeCell ref="A7:D7"/>
    <mergeCell ref="E7:H7"/>
    <mergeCell ref="A15:B15"/>
    <mergeCell ref="A12:D12"/>
    <mergeCell ref="E12:H12"/>
    <mergeCell ref="A13:D13"/>
    <mergeCell ref="A10:D10"/>
    <mergeCell ref="E10:H10"/>
    <mergeCell ref="A21:D22"/>
    <mergeCell ref="E21:H22"/>
    <mergeCell ref="E13:H13"/>
    <mergeCell ref="A14:B14"/>
    <mergeCell ref="C14:H14"/>
    <mergeCell ref="C15:H15"/>
    <mergeCell ref="A23:D23"/>
    <mergeCell ref="E23:H23"/>
    <mergeCell ref="A17:B17"/>
    <mergeCell ref="C17:D17"/>
    <mergeCell ref="E17:F17"/>
    <mergeCell ref="G17:H17"/>
    <mergeCell ref="A18:B18"/>
    <mergeCell ref="C18:D18"/>
    <mergeCell ref="E18:F18"/>
    <mergeCell ref="G18:H18"/>
    <mergeCell ref="A19:B19"/>
    <mergeCell ref="C19:D19"/>
    <mergeCell ref="E19:F19"/>
    <mergeCell ref="G19:H19"/>
    <mergeCell ref="A20:B20"/>
    <mergeCell ref="C20:D20"/>
    <mergeCell ref="E20:F20"/>
    <mergeCell ref="G20:H20"/>
    <mergeCell ref="A24:D24"/>
    <mergeCell ref="E24:H24"/>
    <mergeCell ref="A28:D28"/>
    <mergeCell ref="E28:H28"/>
    <mergeCell ref="A25:D25"/>
    <mergeCell ref="A34:B34"/>
    <mergeCell ref="C34:E34"/>
    <mergeCell ref="A29:D29"/>
    <mergeCell ref="E29:H29"/>
    <mergeCell ref="A30:D30"/>
    <mergeCell ref="E30:H30"/>
    <mergeCell ref="A26:D26"/>
    <mergeCell ref="E26:H26"/>
    <mergeCell ref="C31:E31"/>
    <mergeCell ref="F34:H34"/>
    <mergeCell ref="E25:H25"/>
    <mergeCell ref="A27:D27"/>
    <mergeCell ref="E27:H27"/>
    <mergeCell ref="F31:H31"/>
    <mergeCell ref="A31:B31"/>
    <mergeCell ref="A46:H46"/>
    <mergeCell ref="A73:C73"/>
    <mergeCell ref="D72:H72"/>
    <mergeCell ref="E83:F92"/>
    <mergeCell ref="G83:H92"/>
    <mergeCell ref="A91:B91"/>
    <mergeCell ref="A92:B92"/>
    <mergeCell ref="D73:H73"/>
    <mergeCell ref="A74:C74"/>
    <mergeCell ref="D74:H74"/>
    <mergeCell ref="C81:H81"/>
    <mergeCell ref="A84:B84"/>
    <mergeCell ref="A86:B86"/>
    <mergeCell ref="E82:F82"/>
    <mergeCell ref="A75:C75"/>
    <mergeCell ref="D75:H75"/>
    <mergeCell ref="A78:C78"/>
    <mergeCell ref="D78:H78"/>
    <mergeCell ref="D69:H69"/>
    <mergeCell ref="D71:H71"/>
    <mergeCell ref="A72:C72"/>
    <mergeCell ref="A40:D40"/>
    <mergeCell ref="E40:H40"/>
    <mergeCell ref="F32:H32"/>
    <mergeCell ref="F33:H33"/>
    <mergeCell ref="A39:H39"/>
    <mergeCell ref="F35:H35"/>
    <mergeCell ref="A37:B37"/>
    <mergeCell ref="D67:H67"/>
    <mergeCell ref="A67:C67"/>
    <mergeCell ref="G49:H49"/>
    <mergeCell ref="A56:B58"/>
    <mergeCell ref="C56:E57"/>
    <mergeCell ref="G56:H56"/>
    <mergeCell ref="G57:H57"/>
    <mergeCell ref="C58:H58"/>
    <mergeCell ref="A38:B38"/>
    <mergeCell ref="A32:B32"/>
    <mergeCell ref="C32:E32"/>
    <mergeCell ref="A33:B33"/>
    <mergeCell ref="C33:E33"/>
    <mergeCell ref="A36:H36"/>
    <mergeCell ref="A35:B35"/>
    <mergeCell ref="C35:E35"/>
    <mergeCell ref="A42:D42"/>
    <mergeCell ref="E42:H42"/>
    <mergeCell ref="E43:H43"/>
    <mergeCell ref="E44:H44"/>
    <mergeCell ref="E45:H45"/>
    <mergeCell ref="A43:D43"/>
    <mergeCell ref="D70:H70"/>
    <mergeCell ref="A90:B90"/>
    <mergeCell ref="C53:E54"/>
    <mergeCell ref="G53:H53"/>
    <mergeCell ref="C48:E48"/>
    <mergeCell ref="G48:H48"/>
    <mergeCell ref="A48:B48"/>
    <mergeCell ref="G54:H54"/>
    <mergeCell ref="A44:D44"/>
    <mergeCell ref="A45:D45"/>
    <mergeCell ref="C55:H55"/>
    <mergeCell ref="A76:C76"/>
    <mergeCell ref="D76:H76"/>
    <mergeCell ref="A77:C77"/>
    <mergeCell ref="D77:H77"/>
    <mergeCell ref="A83:B83"/>
    <mergeCell ref="G82:H82"/>
    <mergeCell ref="A68:C71"/>
    <mergeCell ref="A295:B295"/>
    <mergeCell ref="C38:H38"/>
    <mergeCell ref="A47:B47"/>
    <mergeCell ref="C47:H47"/>
    <mergeCell ref="F137:H137"/>
    <mergeCell ref="A137:E137"/>
    <mergeCell ref="D166:D167"/>
    <mergeCell ref="A139:E139"/>
    <mergeCell ref="A170:B170"/>
    <mergeCell ref="A171:B171"/>
    <mergeCell ref="A172:B172"/>
    <mergeCell ref="A173:B173"/>
    <mergeCell ref="A140:E140"/>
    <mergeCell ref="A168:H168"/>
    <mergeCell ref="A148:E148"/>
    <mergeCell ref="G163:H163"/>
    <mergeCell ref="C155:D155"/>
    <mergeCell ref="E156:F156"/>
    <mergeCell ref="G156:H156"/>
    <mergeCell ref="C93:H93"/>
    <mergeCell ref="A147:E147"/>
    <mergeCell ref="F138:H138"/>
    <mergeCell ref="A146:E146"/>
    <mergeCell ref="A138:E138"/>
    <mergeCell ref="A106:B106"/>
    <mergeCell ref="A205:B205"/>
    <mergeCell ref="L201:M201"/>
    <mergeCell ref="G198:H205"/>
    <mergeCell ref="A194:B194"/>
    <mergeCell ref="L191:M191"/>
    <mergeCell ref="A195:B195"/>
    <mergeCell ref="L192:M192"/>
    <mergeCell ref="A196:B196"/>
    <mergeCell ref="L193:M193"/>
    <mergeCell ref="A198:B198"/>
    <mergeCell ref="L195:M195"/>
    <mergeCell ref="A200:B200"/>
    <mergeCell ref="L196:M196"/>
    <mergeCell ref="G189:H196"/>
    <mergeCell ref="A197:H197"/>
    <mergeCell ref="A189:B189"/>
    <mergeCell ref="A201:B201"/>
    <mergeCell ref="A202:B202"/>
    <mergeCell ref="A203:B203"/>
    <mergeCell ref="G166:H167"/>
    <mergeCell ref="F135:H135"/>
    <mergeCell ref="F140:H140"/>
    <mergeCell ref="L178:M178"/>
    <mergeCell ref="C303:F306"/>
    <mergeCell ref="G303:H310"/>
    <mergeCell ref="L300:M300"/>
    <mergeCell ref="A304:B304"/>
    <mergeCell ref="L301:M301"/>
    <mergeCell ref="A305:B305"/>
    <mergeCell ref="L302:M302"/>
    <mergeCell ref="A306:B306"/>
    <mergeCell ref="L303:M303"/>
    <mergeCell ref="A307:B307"/>
    <mergeCell ref="L304:M304"/>
    <mergeCell ref="A308:B308"/>
    <mergeCell ref="L305:M305"/>
    <mergeCell ref="A309:B309"/>
    <mergeCell ref="L306:M306"/>
    <mergeCell ref="A310:B310"/>
    <mergeCell ref="L307:M307"/>
    <mergeCell ref="A303:B303"/>
    <mergeCell ref="A311:H311"/>
    <mergeCell ref="A312:B312"/>
    <mergeCell ref="C312:F315"/>
    <mergeCell ref="G312:H319"/>
    <mergeCell ref="L309:M309"/>
    <mergeCell ref="A313:B313"/>
    <mergeCell ref="L310:M310"/>
    <mergeCell ref="A314:B314"/>
    <mergeCell ref="L311:M311"/>
    <mergeCell ref="A315:B315"/>
    <mergeCell ref="L312:M312"/>
    <mergeCell ref="A316:B316"/>
    <mergeCell ref="L313:M313"/>
    <mergeCell ref="A317:B317"/>
    <mergeCell ref="L314:M314"/>
    <mergeCell ref="A318:B318"/>
    <mergeCell ref="L315:M315"/>
    <mergeCell ref="A319:B319"/>
    <mergeCell ref="L316:M316"/>
    <mergeCell ref="L318:M318"/>
    <mergeCell ref="A344:B344"/>
    <mergeCell ref="A345:B345"/>
    <mergeCell ref="A346:B346"/>
    <mergeCell ref="C352:F353"/>
    <mergeCell ref="A350:B350"/>
    <mergeCell ref="A351:B351"/>
    <mergeCell ref="A352:B352"/>
    <mergeCell ref="A320:H320"/>
    <mergeCell ref="A321:B321"/>
    <mergeCell ref="C321:F324"/>
    <mergeCell ref="G321:H328"/>
    <mergeCell ref="A326:B326"/>
    <mergeCell ref="A327:B327"/>
    <mergeCell ref="A328:B328"/>
    <mergeCell ref="A329:H329"/>
    <mergeCell ref="A348:B348"/>
    <mergeCell ref="A338:H338"/>
    <mergeCell ref="A339:B339"/>
    <mergeCell ref="G339:H346"/>
    <mergeCell ref="A340:B340"/>
    <mergeCell ref="A341:B341"/>
    <mergeCell ref="A342:B342"/>
    <mergeCell ref="A343:B343"/>
    <mergeCell ref="C343:F344"/>
    <mergeCell ref="L362:M362"/>
    <mergeCell ref="A356:H356"/>
    <mergeCell ref="L353:M353"/>
    <mergeCell ref="A357:B357"/>
    <mergeCell ref="G357:H364"/>
    <mergeCell ref="A358:B358"/>
    <mergeCell ref="A359:B359"/>
    <mergeCell ref="A360:B360"/>
    <mergeCell ref="A361:B361"/>
    <mergeCell ref="A362:B362"/>
    <mergeCell ref="A363:B363"/>
    <mergeCell ref="A354:B354"/>
    <mergeCell ref="A355:B355"/>
    <mergeCell ref="A353:B353"/>
    <mergeCell ref="G348:H355"/>
    <mergeCell ref="A349:B349"/>
    <mergeCell ref="L326:M326"/>
    <mergeCell ref="A330:B330"/>
    <mergeCell ref="G330:H337"/>
    <mergeCell ref="A331:B331"/>
    <mergeCell ref="A332:B332"/>
    <mergeCell ref="A333:B333"/>
    <mergeCell ref="A334:B334"/>
    <mergeCell ref="A335:B335"/>
    <mergeCell ref="A336:B336"/>
    <mergeCell ref="A337:B337"/>
    <mergeCell ref="L335:M335"/>
    <mergeCell ref="A322:B322"/>
    <mergeCell ref="L319:M319"/>
    <mergeCell ref="A323:B323"/>
    <mergeCell ref="L320:M320"/>
    <mergeCell ref="A324:B324"/>
    <mergeCell ref="L321:M321"/>
    <mergeCell ref="A325:B325"/>
    <mergeCell ref="L322:M322"/>
    <mergeCell ref="L323:M323"/>
    <mergeCell ref="L324:M324"/>
    <mergeCell ref="L325:M325"/>
    <mergeCell ref="L243:M243"/>
    <mergeCell ref="A161:B161"/>
    <mergeCell ref="C161:D161"/>
    <mergeCell ref="E161:F161"/>
    <mergeCell ref="G161:H161"/>
    <mergeCell ref="A162:B162"/>
    <mergeCell ref="C162:D162"/>
    <mergeCell ref="E162:F162"/>
    <mergeCell ref="G162:H162"/>
    <mergeCell ref="A178:H178"/>
    <mergeCell ref="L185:M185"/>
    <mergeCell ref="G179:H186"/>
    <mergeCell ref="A204:B204"/>
    <mergeCell ref="A218:B218"/>
    <mergeCell ref="L218:M218"/>
    <mergeCell ref="A219:B219"/>
    <mergeCell ref="L219:M219"/>
    <mergeCell ref="A187:H187"/>
    <mergeCell ref="A188:H188"/>
    <mergeCell ref="A186:B186"/>
    <mergeCell ref="A216:H216"/>
    <mergeCell ref="L216:M216"/>
    <mergeCell ref="A217:B217"/>
    <mergeCell ref="L217:M217"/>
    <mergeCell ref="A110:B110"/>
    <mergeCell ref="E110:F110"/>
    <mergeCell ref="G110:H110"/>
    <mergeCell ref="A111:B111"/>
    <mergeCell ref="E111:F120"/>
    <mergeCell ref="G111:H120"/>
    <mergeCell ref="A112:B112"/>
    <mergeCell ref="L182:M182"/>
    <mergeCell ref="A181:B181"/>
    <mergeCell ref="A182:B182"/>
    <mergeCell ref="L181:M181"/>
    <mergeCell ref="A169:H169"/>
    <mergeCell ref="A135:E135"/>
    <mergeCell ref="F139:H139"/>
    <mergeCell ref="C158:D158"/>
    <mergeCell ref="A116:B116"/>
    <mergeCell ref="A117:B117"/>
    <mergeCell ref="A118:B118"/>
    <mergeCell ref="A119:B119"/>
    <mergeCell ref="A120:B120"/>
    <mergeCell ref="L179:M179"/>
    <mergeCell ref="A113:B113"/>
    <mergeCell ref="A114:B114"/>
    <mergeCell ref="A115:B115"/>
    <mergeCell ref="A95:B95"/>
    <mergeCell ref="A102:B102"/>
    <mergeCell ref="A103:B103"/>
    <mergeCell ref="A104:B104"/>
    <mergeCell ref="C123:H123"/>
    <mergeCell ref="A124:B124"/>
    <mergeCell ref="E124:F124"/>
    <mergeCell ref="G124:H124"/>
    <mergeCell ref="A125:B125"/>
    <mergeCell ref="E125:F134"/>
    <mergeCell ref="G125:H134"/>
    <mergeCell ref="A126:B126"/>
    <mergeCell ref="A127:B127"/>
    <mergeCell ref="A128:B128"/>
    <mergeCell ref="A129:B129"/>
    <mergeCell ref="A130:B130"/>
    <mergeCell ref="A131:B131"/>
    <mergeCell ref="A132:B132"/>
    <mergeCell ref="A133:B133"/>
    <mergeCell ref="A134:B134"/>
    <mergeCell ref="A107:B107"/>
    <mergeCell ref="C107:H107"/>
    <mergeCell ref="A109:B109"/>
    <mergeCell ref="C109:H109"/>
    <mergeCell ref="I44:L44"/>
    <mergeCell ref="A206:H206"/>
    <mergeCell ref="L206:M206"/>
    <mergeCell ref="A207:H207"/>
    <mergeCell ref="L207:M207"/>
    <mergeCell ref="A208:B208"/>
    <mergeCell ref="G208:H215"/>
    <mergeCell ref="L208:M208"/>
    <mergeCell ref="A209:B209"/>
    <mergeCell ref="L209:M209"/>
    <mergeCell ref="A210:B210"/>
    <mergeCell ref="L210:M210"/>
    <mergeCell ref="A211:B211"/>
    <mergeCell ref="L211:M211"/>
    <mergeCell ref="A212:B212"/>
    <mergeCell ref="L212:M212"/>
    <mergeCell ref="A213:B213"/>
    <mergeCell ref="A214:B214"/>
    <mergeCell ref="L214:M214"/>
    <mergeCell ref="A215:B215"/>
    <mergeCell ref="L215:M215"/>
    <mergeCell ref="A121:B121"/>
    <mergeCell ref="C121:H121"/>
    <mergeCell ref="A123:B123"/>
    <mergeCell ref="B477:H477"/>
    <mergeCell ref="B472:H472"/>
    <mergeCell ref="B471:H471"/>
    <mergeCell ref="B470:H470"/>
    <mergeCell ref="B469:H469"/>
    <mergeCell ref="B467:H467"/>
    <mergeCell ref="B465:H465"/>
    <mergeCell ref="B464:H464"/>
    <mergeCell ref="B474:H474"/>
    <mergeCell ref="B473:H473"/>
    <mergeCell ref="B463:H463"/>
    <mergeCell ref="A459:H459"/>
    <mergeCell ref="A377:H377"/>
    <mergeCell ref="A376:H376"/>
    <mergeCell ref="A375:H375"/>
    <mergeCell ref="A374:H374"/>
    <mergeCell ref="A302:H302"/>
    <mergeCell ref="A378:H378"/>
    <mergeCell ref="A387:H387"/>
    <mergeCell ref="A405:H405"/>
    <mergeCell ref="A414:H414"/>
    <mergeCell ref="A415:B415"/>
    <mergeCell ref="G415:H422"/>
    <mergeCell ref="A416:B416"/>
    <mergeCell ref="A417:B417"/>
    <mergeCell ref="A418:B418"/>
    <mergeCell ref="A419:B419"/>
    <mergeCell ref="A420:B420"/>
    <mergeCell ref="A432:H432"/>
    <mergeCell ref="A433:B433"/>
    <mergeCell ref="G433:H440"/>
    <mergeCell ref="A434:B434"/>
    <mergeCell ref="A364:B364"/>
    <mergeCell ref="A347:H347"/>
    <mergeCell ref="L186:M186"/>
    <mergeCell ref="A190:B190"/>
    <mergeCell ref="L187:M187"/>
    <mergeCell ref="A191:B191"/>
    <mergeCell ref="L188:M188"/>
    <mergeCell ref="A192:B192"/>
    <mergeCell ref="L189:M189"/>
    <mergeCell ref="A193:B193"/>
    <mergeCell ref="L190:M190"/>
    <mergeCell ref="J49:L49"/>
    <mergeCell ref="N49:O49"/>
    <mergeCell ref="A365:H365"/>
    <mergeCell ref="A366:B366"/>
    <mergeCell ref="G366:H373"/>
    <mergeCell ref="A367:B367"/>
    <mergeCell ref="A368:B368"/>
    <mergeCell ref="A369:B369"/>
    <mergeCell ref="A370:B370"/>
    <mergeCell ref="A371:B371"/>
    <mergeCell ref="A372:B372"/>
    <mergeCell ref="A373:B373"/>
    <mergeCell ref="L373:M373"/>
    <mergeCell ref="E155:F155"/>
    <mergeCell ref="G155:H155"/>
    <mergeCell ref="A160:B160"/>
    <mergeCell ref="C160:D160"/>
    <mergeCell ref="E160:F160"/>
    <mergeCell ref="G160:H160"/>
    <mergeCell ref="A154:B154"/>
    <mergeCell ref="A301:H301"/>
    <mergeCell ref="A274:H274"/>
    <mergeCell ref="L180:M180"/>
    <mergeCell ref="A185:B185"/>
    <mergeCell ref="L378:M378"/>
    <mergeCell ref="A379:B379"/>
    <mergeCell ref="C379:F382"/>
    <mergeCell ref="G379:H386"/>
    <mergeCell ref="L379:M379"/>
    <mergeCell ref="A380:B380"/>
    <mergeCell ref="L380:M380"/>
    <mergeCell ref="A381:B381"/>
    <mergeCell ref="L381:M381"/>
    <mergeCell ref="A382:B382"/>
    <mergeCell ref="L382:M382"/>
    <mergeCell ref="A383:B383"/>
    <mergeCell ref="L383:M383"/>
    <mergeCell ref="A384:B384"/>
    <mergeCell ref="A385:B385"/>
    <mergeCell ref="L385:M385"/>
    <mergeCell ref="A386:B386"/>
    <mergeCell ref="L386:M386"/>
    <mergeCell ref="L387:M387"/>
    <mergeCell ref="A388:B388"/>
    <mergeCell ref="C388:F391"/>
    <mergeCell ref="G388:H395"/>
    <mergeCell ref="L388:M388"/>
    <mergeCell ref="A389:B389"/>
    <mergeCell ref="L389:M389"/>
    <mergeCell ref="A390:B390"/>
    <mergeCell ref="L390:M390"/>
    <mergeCell ref="A391:B391"/>
    <mergeCell ref="L391:M391"/>
    <mergeCell ref="A392:B392"/>
    <mergeCell ref="L392:M392"/>
    <mergeCell ref="A393:B393"/>
    <mergeCell ref="A394:B394"/>
    <mergeCell ref="L394:M394"/>
    <mergeCell ref="A395:B395"/>
    <mergeCell ref="L395:M395"/>
    <mergeCell ref="L405:M405"/>
    <mergeCell ref="A406:B406"/>
    <mergeCell ref="C406:F409"/>
    <mergeCell ref="G406:H413"/>
    <mergeCell ref="L406:M406"/>
    <mergeCell ref="A407:B407"/>
    <mergeCell ref="L407:M407"/>
    <mergeCell ref="A408:B408"/>
    <mergeCell ref="L408:M408"/>
    <mergeCell ref="A409:B409"/>
    <mergeCell ref="L409:M409"/>
    <mergeCell ref="A410:B410"/>
    <mergeCell ref="L410:M410"/>
    <mergeCell ref="A411:B411"/>
    <mergeCell ref="L411:M411"/>
    <mergeCell ref="A412:B412"/>
    <mergeCell ref="A413:B413"/>
    <mergeCell ref="L420:M420"/>
    <mergeCell ref="A421:B421"/>
    <mergeCell ref="A422:B422"/>
    <mergeCell ref="A423:H423"/>
    <mergeCell ref="A424:B424"/>
    <mergeCell ref="G424:H431"/>
    <mergeCell ref="A425:B425"/>
    <mergeCell ref="A426:B426"/>
    <mergeCell ref="A427:B427"/>
    <mergeCell ref="A428:B428"/>
    <mergeCell ref="C428:F429"/>
    <mergeCell ref="A429:B429"/>
    <mergeCell ref="A430:B430"/>
    <mergeCell ref="A431:B431"/>
    <mergeCell ref="L447:M447"/>
    <mergeCell ref="A448:B448"/>
    <mergeCell ref="A449:B449"/>
    <mergeCell ref="A435:B435"/>
    <mergeCell ref="A436:B436"/>
    <mergeCell ref="A437:B437"/>
    <mergeCell ref="C437:F438"/>
    <mergeCell ref="A438:B438"/>
    <mergeCell ref="L438:M438"/>
    <mergeCell ref="A439:B439"/>
    <mergeCell ref="A440:B440"/>
    <mergeCell ref="A441:H441"/>
    <mergeCell ref="A452:B452"/>
    <mergeCell ref="A453:B453"/>
    <mergeCell ref="A454:B454"/>
    <mergeCell ref="A455:B455"/>
    <mergeCell ref="A456:B456"/>
    <mergeCell ref="A457:B457"/>
    <mergeCell ref="A458:B458"/>
    <mergeCell ref="A442:B442"/>
    <mergeCell ref="G442:H449"/>
    <mergeCell ref="A443:B443"/>
    <mergeCell ref="A444:B444"/>
    <mergeCell ref="A445:B445"/>
    <mergeCell ref="A446:B446"/>
    <mergeCell ref="A447:B447"/>
    <mergeCell ref="L458:M458"/>
    <mergeCell ref="A396:H396"/>
    <mergeCell ref="L396:M396"/>
    <mergeCell ref="A397:B397"/>
    <mergeCell ref="C397:F400"/>
    <mergeCell ref="G397:H404"/>
    <mergeCell ref="L397:M397"/>
    <mergeCell ref="A398:B398"/>
    <mergeCell ref="L398:M398"/>
    <mergeCell ref="A399:B399"/>
    <mergeCell ref="L399:M399"/>
    <mergeCell ref="A400:B400"/>
    <mergeCell ref="L400:M400"/>
    <mergeCell ref="A401:B401"/>
    <mergeCell ref="L401:M401"/>
    <mergeCell ref="A402:B402"/>
    <mergeCell ref="A403:B403"/>
    <mergeCell ref="L403:M403"/>
    <mergeCell ref="A404:B404"/>
    <mergeCell ref="L404:M404"/>
    <mergeCell ref="C455:F455"/>
    <mergeCell ref="A450:H450"/>
    <mergeCell ref="A451:B451"/>
    <mergeCell ref="G451:H458"/>
  </mergeCells>
  <hyperlinks>
    <hyperlink ref="C38" r:id="rId1"/>
  </hyperlinks>
  <printOptions horizontalCentered="1"/>
  <pageMargins left="0.39370078740157483" right="0.39370078740157483" top="0.82677165354330717" bottom="0.78740157480314965" header="0.15748031496062992" footer="0.19685039370078741"/>
  <pageSetup paperSize="9" scale="97" fitToHeight="0" orientation="portrait" r:id="rId2"/>
  <headerFooter>
    <oddHeader>&amp;C&amp;G</oddHeader>
    <oddFooter>&amp;L&amp;"Times New Roman,Bold"&amp;12Ref No: &amp;F&amp;C&amp;G&amp;R&amp;"Times New Roman,Bold"&amp;12&amp;P</oddFooter>
  </headerFooter>
  <rowBreaks count="5" manualBreakCount="5">
    <brk id="55" max="7" man="1"/>
    <brk id="106" max="16383" man="1"/>
    <brk id="489" max="7" man="1"/>
    <brk id="532" max="7" man="1"/>
    <brk id="572" max="7"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20" sqref="C20"/>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27" t="s">
        <v>105</v>
      </c>
      <c r="C3" s="227"/>
      <c r="D3" s="227"/>
      <c r="E3" s="227"/>
      <c r="F3" s="227"/>
      <c r="G3" s="227"/>
      <c r="H3" s="227"/>
    </row>
    <row r="4" spans="1:9" x14ac:dyDescent="0.25">
      <c r="A4" s="2"/>
      <c r="B4" s="3" t="s">
        <v>106</v>
      </c>
      <c r="C4" s="3" t="s">
        <v>107</v>
      </c>
      <c r="D4" s="3" t="s">
        <v>67</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zoomScale="70" zoomScaleNormal="70" workbookViewId="0">
      <selection activeCell="E24" sqref="E24"/>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2025-09-15T08:51:36Z</cp:lastPrinted>
  <dcterms:created xsi:type="dcterms:W3CDTF">2019-07-16T09:29:46Z</dcterms:created>
  <dcterms:modified xsi:type="dcterms:W3CDTF">2025-09-15T08:53:40Z</dcterms:modified>
</cp:coreProperties>
</file>