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5" i="1" l="1"/>
  <c r="J93" i="1" l="1"/>
  <c r="J92" i="1"/>
  <c r="J91" i="1"/>
  <c r="K301" i="1" l="1"/>
  <c r="J301" i="1"/>
  <c r="J107" i="1" l="1"/>
  <c r="J106" i="1"/>
  <c r="J105" i="1"/>
  <c r="J56" i="1"/>
  <c r="J127" i="1"/>
  <c r="G164" i="1"/>
  <c r="J132" i="1"/>
  <c r="K132" i="1" s="1"/>
  <c r="D282" i="1"/>
  <c r="D281" i="1"/>
  <c r="D280" i="1"/>
  <c r="D279" i="1"/>
  <c r="D278" i="1"/>
  <c r="D277" i="1"/>
  <c r="D275" i="1"/>
  <c r="D273" i="1"/>
  <c r="D272" i="1"/>
  <c r="D270" i="1"/>
  <c r="D321" i="1"/>
  <c r="D320" i="1"/>
  <c r="D318" i="1"/>
  <c r="D317" i="1"/>
  <c r="D315" i="1"/>
  <c r="D314" i="1"/>
  <c r="D305" i="1"/>
  <c r="D304" i="1"/>
  <c r="D302" i="1"/>
  <c r="D301" i="1"/>
  <c r="E299" i="1"/>
  <c r="D299" i="1"/>
  <c r="K298" i="1"/>
  <c r="D298" i="1"/>
  <c r="D268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1" i="1"/>
  <c r="D222" i="1"/>
  <c r="D220" i="1"/>
  <c r="D219" i="1"/>
  <c r="D215" i="1"/>
  <c r="D216" i="1"/>
  <c r="D217" i="1"/>
  <c r="D218" i="1"/>
  <c r="D214" i="1"/>
  <c r="D211" i="1"/>
  <c r="D213" i="1"/>
  <c r="D209" i="1"/>
  <c r="D210" i="1"/>
  <c r="D212" i="1"/>
  <c r="D208" i="1"/>
  <c r="D207" i="1"/>
  <c r="D206" i="1"/>
  <c r="D205" i="1"/>
  <c r="D204" i="1"/>
  <c r="D203" i="1"/>
  <c r="D202" i="1"/>
  <c r="D201" i="1"/>
  <c r="D200" i="1"/>
  <c r="D199" i="1"/>
  <c r="D198" i="1"/>
  <c r="D196" i="1"/>
  <c r="D197" i="1"/>
  <c r="D195" i="1"/>
  <c r="D194" i="1"/>
  <c r="D193" i="1"/>
  <c r="D192" i="1"/>
  <c r="D186" i="1"/>
  <c r="D187" i="1"/>
  <c r="D188" i="1"/>
  <c r="D189" i="1"/>
  <c r="D190" i="1"/>
  <c r="D191" i="1"/>
  <c r="D185" i="1"/>
  <c r="D184" i="1"/>
  <c r="D177" i="1"/>
  <c r="D178" i="1"/>
  <c r="D179" i="1"/>
  <c r="D180" i="1"/>
  <c r="D181" i="1"/>
  <c r="D182" i="1"/>
  <c r="D183" i="1"/>
  <c r="D176" i="1"/>
  <c r="D175" i="1"/>
  <c r="D173" i="1"/>
  <c r="D172" i="1"/>
  <c r="D171" i="1"/>
  <c r="D170" i="1"/>
  <c r="D169" i="1"/>
  <c r="D166" i="1"/>
  <c r="D167" i="1"/>
  <c r="D168" i="1"/>
  <c r="D165" i="1"/>
  <c r="D164" i="1"/>
  <c r="D162" i="1"/>
  <c r="D161" i="1"/>
  <c r="D160" i="1"/>
  <c r="D158" i="1"/>
  <c r="D159" i="1"/>
  <c r="D154" i="1"/>
  <c r="D155" i="1"/>
  <c r="D156" i="1"/>
  <c r="D157" i="1"/>
  <c r="D153" i="1"/>
  <c r="D152" i="1"/>
  <c r="D149" i="1"/>
  <c r="D150" i="1"/>
  <c r="D151" i="1"/>
  <c r="D145" i="1"/>
  <c r="D146" i="1"/>
  <c r="D147" i="1"/>
  <c r="D148" i="1"/>
  <c r="D144" i="1"/>
  <c r="D143" i="1"/>
  <c r="C126" i="1" l="1"/>
  <c r="E132" i="1"/>
  <c r="E133" i="1"/>
  <c r="C132" i="1"/>
  <c r="E126" i="1"/>
  <c r="E127" i="1"/>
  <c r="L175" i="1"/>
  <c r="F175" i="1"/>
  <c r="C127" i="1"/>
  <c r="J126" i="1" s="1"/>
  <c r="C133" i="1"/>
  <c r="I298" i="1"/>
  <c r="I175" i="1"/>
  <c r="E162" i="1"/>
  <c r="E173" i="1"/>
  <c r="E172" i="1"/>
  <c r="E171" i="1"/>
  <c r="E170" i="1"/>
  <c r="E169" i="1"/>
  <c r="E161" i="1"/>
  <c r="E168" i="1"/>
  <c r="E167" i="1"/>
  <c r="E166" i="1"/>
  <c r="E165" i="1"/>
  <c r="E164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F143" i="1" s="1"/>
  <c r="I143" i="1"/>
  <c r="E134" i="1" l="1"/>
  <c r="C134" i="1"/>
  <c r="J316" i="1"/>
  <c r="J315" i="1"/>
  <c r="F315" i="1"/>
  <c r="A315" i="1"/>
  <c r="J314" i="1"/>
  <c r="G314" i="1"/>
  <c r="G315" i="1" s="1"/>
  <c r="E314" i="1"/>
  <c r="F314" i="1" s="1"/>
  <c r="A299" i="1"/>
  <c r="G298" i="1"/>
  <c r="G299" i="1" s="1"/>
  <c r="F298" i="1"/>
  <c r="G143" i="1"/>
  <c r="J298" i="1" l="1"/>
  <c r="F299" i="1"/>
  <c r="F321" i="1"/>
  <c r="F318" i="1"/>
  <c r="F304" i="1"/>
  <c r="A321" i="1"/>
  <c r="G320" i="1"/>
  <c r="G321" i="1" s="1"/>
  <c r="J318" i="1"/>
  <c r="A318" i="1"/>
  <c r="J317" i="1"/>
  <c r="G317" i="1"/>
  <c r="G318" i="1" s="1"/>
  <c r="A305" i="1"/>
  <c r="G304" i="1"/>
  <c r="G305" i="1" s="1"/>
  <c r="A302" i="1"/>
  <c r="G301" i="1"/>
  <c r="F305" i="1" l="1"/>
  <c r="F302" i="1"/>
  <c r="F301" i="1"/>
  <c r="F320" i="1"/>
  <c r="F317" i="1"/>
  <c r="F282" i="1"/>
  <c r="F281" i="1"/>
  <c r="F280" i="1"/>
  <c r="F279" i="1"/>
  <c r="F278" i="1"/>
  <c r="A278" i="1"/>
  <c r="A279" i="1" s="1"/>
  <c r="A280" i="1" s="1"/>
  <c r="A281" i="1" s="1"/>
  <c r="A282" i="1" s="1"/>
  <c r="G277" i="1"/>
  <c r="F277" i="1"/>
  <c r="E268" i="1"/>
  <c r="F275" i="1"/>
  <c r="D274" i="1"/>
  <c r="F274" i="1" s="1"/>
  <c r="F273" i="1"/>
  <c r="D271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72" i="1"/>
  <c r="A271" i="1"/>
  <c r="A272" i="1" s="1"/>
  <c r="A273" i="1" s="1"/>
  <c r="A274" i="1" s="1"/>
  <c r="A275" i="1" s="1"/>
  <c r="G270" i="1"/>
  <c r="G273" i="1" s="1"/>
  <c r="G268" i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G236" i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133" i="1" l="1"/>
  <c r="G132" i="1"/>
  <c r="F271" i="1"/>
  <c r="E128" i="1"/>
  <c r="C128" i="1"/>
  <c r="C129" i="1" s="1"/>
  <c r="C135" i="1" s="1"/>
  <c r="G134" i="1"/>
  <c r="F268" i="1"/>
  <c r="F270" i="1"/>
  <c r="G128" i="1" s="1"/>
  <c r="F184" i="1"/>
  <c r="F188" i="1"/>
  <c r="F189" i="1"/>
  <c r="F185" i="1"/>
  <c r="F177" i="1"/>
  <c r="F180" i="1"/>
  <c r="F181" i="1"/>
  <c r="J17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7" i="1"/>
  <c r="F186" i="1"/>
  <c r="F183" i="1"/>
  <c r="F182" i="1"/>
  <c r="F179" i="1"/>
  <c r="F178" i="1"/>
  <c r="F176" i="1"/>
  <c r="A176" i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G175" i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L176" i="1" l="1"/>
  <c r="G127" i="1"/>
  <c r="E129" i="1"/>
  <c r="E135" i="1" s="1"/>
  <c r="F162" i="1"/>
  <c r="F173" i="1"/>
  <c r="F172" i="1"/>
  <c r="F171" i="1"/>
  <c r="F170" i="1"/>
  <c r="F169" i="1"/>
  <c r="F161" i="1"/>
  <c r="F168" i="1"/>
  <c r="F167" i="1"/>
  <c r="F166" i="1"/>
  <c r="F165" i="1"/>
  <c r="F164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4" i="1" s="1"/>
  <c r="A165" i="1" s="1"/>
  <c r="A166" i="1" s="1"/>
  <c r="A167" i="1" s="1"/>
  <c r="A168" i="1" s="1"/>
  <c r="A161" i="1" s="1"/>
  <c r="A169" i="1" s="1"/>
  <c r="A170" i="1" s="1"/>
  <c r="A171" i="1" s="1"/>
  <c r="A172" i="1" s="1"/>
  <c r="A173" i="1" s="1"/>
  <c r="A162" i="1" s="1"/>
  <c r="G144" i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5" i="1" s="1"/>
  <c r="G166" i="1" s="1"/>
  <c r="G167" i="1" s="1"/>
  <c r="G168" i="1" s="1"/>
  <c r="G161" i="1" s="1"/>
  <c r="G169" i="1" s="1"/>
  <c r="G170" i="1" s="1"/>
  <c r="G171" i="1" s="1"/>
  <c r="G172" i="1" s="1"/>
  <c r="G173" i="1" s="1"/>
  <c r="G162" i="1" s="1"/>
  <c r="J143" i="1"/>
  <c r="G126" i="1" l="1"/>
  <c r="G129" i="1" s="1"/>
  <c r="G135" i="1" s="1"/>
  <c r="C15" i="1"/>
  <c r="E30" i="1" l="1"/>
  <c r="F325" i="1" l="1"/>
  <c r="F326" i="1"/>
  <c r="F327" i="1"/>
  <c r="F324" i="1"/>
  <c r="A325" i="1"/>
  <c r="A326" i="1" s="1"/>
  <c r="A327" i="1" s="1"/>
  <c r="G324" i="1"/>
  <c r="G325" i="1" s="1"/>
  <c r="G326" i="1" s="1"/>
  <c r="G327" i="1" s="1"/>
  <c r="F123" i="1" l="1"/>
  <c r="F285" i="1" l="1"/>
  <c r="F286" i="1"/>
  <c r="F287" i="1"/>
  <c r="F284" i="1"/>
  <c r="B354" i="1" l="1"/>
  <c r="A347" i="1"/>
  <c r="A335" i="1"/>
  <c r="A341" i="1"/>
  <c r="F351" i="1" l="1"/>
  <c r="F350" i="1"/>
  <c r="F349" i="1"/>
  <c r="F348" i="1"/>
  <c r="F347" i="1"/>
  <c r="F345" i="1"/>
  <c r="F344" i="1"/>
  <c r="F343" i="1"/>
  <c r="F342" i="1"/>
  <c r="F341" i="1"/>
  <c r="F339" i="1"/>
  <c r="F338" i="1"/>
  <c r="F337" i="1"/>
  <c r="F336" i="1"/>
  <c r="F335" i="1"/>
  <c r="F333" i="1"/>
  <c r="F332" i="1"/>
  <c r="F330" i="1"/>
  <c r="F329" i="1"/>
  <c r="F331" i="1"/>
  <c r="A348" i="1"/>
  <c r="A342" i="1"/>
  <c r="A336" i="1"/>
  <c r="B355" i="1" l="1"/>
  <c r="A349" i="1"/>
  <c r="A337" i="1"/>
  <c r="A34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75" i="1"/>
  <c r="G347" i="1"/>
  <c r="G348" i="1" s="1"/>
  <c r="G349" i="1" s="1"/>
  <c r="G350" i="1" s="1"/>
  <c r="G351" i="1" s="1"/>
  <c r="G341" i="1"/>
  <c r="G342" i="1" s="1"/>
  <c r="G343" i="1" s="1"/>
  <c r="G344" i="1" s="1"/>
  <c r="G345" i="1" s="1"/>
  <c r="G335" i="1"/>
  <c r="G336" i="1" s="1"/>
  <c r="G337" i="1" s="1"/>
  <c r="G338" i="1" s="1"/>
  <c r="G339" i="1" s="1"/>
  <c r="G329" i="1"/>
  <c r="G330" i="1" s="1"/>
  <c r="G331" i="1" s="1"/>
  <c r="G332" i="1" s="1"/>
  <c r="G333" i="1" s="1"/>
  <c r="A329" i="1"/>
  <c r="A330" i="1" s="1"/>
  <c r="A331" i="1" s="1"/>
  <c r="A332" i="1" s="1"/>
  <c r="A333" i="1" s="1"/>
  <c r="A285" i="1"/>
  <c r="A286" i="1" s="1"/>
  <c r="A287" i="1" s="1"/>
  <c r="G284" i="1"/>
  <c r="G285" i="1" s="1"/>
  <c r="G286" i="1" s="1"/>
  <c r="G287" i="1" s="1"/>
  <c r="J78" i="1"/>
  <c r="J77" i="1"/>
  <c r="D55" i="1"/>
  <c r="G50" i="1"/>
  <c r="C50" i="1"/>
  <c r="E43" i="1"/>
  <c r="E44" i="1" s="1"/>
  <c r="E27" i="1"/>
  <c r="E25" i="1"/>
  <c r="E7" i="1"/>
  <c r="E3" i="1"/>
  <c r="H68" i="1"/>
  <c r="A350" i="1"/>
  <c r="A338" i="1"/>
  <c r="A344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A345" i="1"/>
  <c r="A339" i="1"/>
  <c r="A351" i="1"/>
  <c r="J75" i="1" l="1"/>
  <c r="D73" i="1"/>
  <c r="J69" i="1"/>
  <c r="D71" i="1"/>
  <c r="J76" i="1" l="1"/>
  <c r="J80" i="1" l="1"/>
  <c r="C72" i="1" s="1"/>
  <c r="E71" i="1" s="1"/>
  <c r="D72" i="1" l="1"/>
  <c r="G71" i="1"/>
  <c r="D65" i="1" s="1"/>
  <c r="D66" i="1" s="1"/>
  <c r="J68" i="1"/>
  <c r="H82" i="1"/>
  <c r="D94" i="1" l="1"/>
  <c r="D90" i="1"/>
  <c r="D93" i="1"/>
  <c r="J85" i="1"/>
  <c r="D88" i="1"/>
  <c r="D87" i="1"/>
  <c r="D89" i="1"/>
  <c r="J87" i="1"/>
  <c r="J88" i="1" s="1"/>
  <c r="J81" i="1"/>
  <c r="J83" i="1" s="1"/>
  <c r="J86" i="1"/>
  <c r="C85" i="1" s="1"/>
  <c r="J84" i="1"/>
  <c r="D92" i="1"/>
  <c r="D91" i="1"/>
  <c r="I68" i="1"/>
  <c r="I69" i="1" s="1"/>
  <c r="F66" i="1"/>
  <c r="H96" i="1"/>
  <c r="J89" i="1" l="1"/>
  <c r="J90" i="1" s="1"/>
  <c r="D85" i="1"/>
  <c r="J100" i="1"/>
  <c r="C99" i="1" s="1"/>
  <c r="D99" i="1" s="1"/>
  <c r="J98" i="1"/>
  <c r="D103" i="1"/>
  <c r="J95" i="1"/>
  <c r="J97" i="1" s="1"/>
  <c r="D108" i="1"/>
  <c r="D106" i="1"/>
  <c r="D104" i="1"/>
  <c r="D102" i="1"/>
  <c r="D105" i="1"/>
  <c r="D101" i="1"/>
  <c r="J101" i="1"/>
  <c r="J102" i="1" s="1"/>
  <c r="D107" i="1"/>
  <c r="J99" i="1"/>
  <c r="I67" i="1"/>
  <c r="C69" i="1" s="1"/>
  <c r="J94" i="1" l="1"/>
  <c r="C86" i="1" s="1"/>
  <c r="J103" i="1"/>
  <c r="J104" i="1" s="1"/>
  <c r="E85" i="1" l="1"/>
  <c r="D86" i="1"/>
  <c r="I82" i="1" s="1"/>
  <c r="G85" i="1"/>
  <c r="J82" i="1"/>
  <c r="J108" i="1"/>
  <c r="C100" i="1" s="1"/>
  <c r="I83" i="1" l="1"/>
  <c r="I81" i="1" s="1"/>
  <c r="C83" i="1" s="1"/>
  <c r="E99" i="1"/>
  <c r="D100" i="1"/>
  <c r="I96" i="1" s="1"/>
  <c r="J96" i="1"/>
  <c r="G99" i="1"/>
  <c r="I97" i="1" l="1"/>
  <c r="I95" i="1" s="1"/>
  <c r="C97" i="1" s="1"/>
</calcChain>
</file>

<file path=xl/sharedStrings.xml><?xml version="1.0" encoding="utf-8"?>
<sst xmlns="http://schemas.openxmlformats.org/spreadsheetml/2006/main" count="519" uniqueCount="259">
  <si>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</si>
  <si>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</si>
  <si>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</si>
  <si>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</si>
  <si>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</si>
  <si>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</si>
  <si>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</si>
  <si>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</si>
  <si>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</si>
  <si>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</si>
  <si>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</si>
  <si>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</si>
  <si>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</si>
  <si>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</si>
  <si>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</si>
  <si>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</si>
  <si>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</si>
  <si>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</si>
  <si>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</si>
  <si>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</si>
  <si>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</si>
  <si>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</si>
  <si>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</si>
  <si>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</si>
  <si>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</si>
  <si>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</si>
  <si>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</si>
  <si>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</si>
  <si>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</si>
  <si>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</si>
  <si>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</si>
  <si>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</si>
  <si>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</si>
  <si>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</si>
  <si>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</si>
  <si>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</si>
  <si>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</si>
  <si>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</si>
  <si>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</si>
  <si>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</si>
  <si>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</si>
  <si>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</si>
  <si>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</si>
  <si>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</si>
  <si>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</si>
  <si>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</si>
  <si>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</si>
  <si>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</si>
  <si>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</si>
  <si>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</si>
  <si>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</si>
  <si>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</si>
  <si>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</si>
  <si>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</si>
  <si>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</si>
  <si>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</si>
  <si>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</si>
  <si>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</si>
  <si>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</si>
  <si>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</si>
  <si>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</si>
  <si>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</si>
  <si>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</si>
  <si>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</si>
  <si>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</si>
  <si>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</si>
  <si>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</si>
  <si>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</si>
  <si>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</si>
  <si>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</si>
  <si>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</si>
  <si>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</si>
  <si>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</si>
  <si>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</si>
  <si>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</si>
  <si>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</si>
  <si>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</si>
  <si>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</si>
  <si>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</si>
  <si>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</si>
  <si>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</si>
  <si>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</si>
  <si>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</si>
  <si>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</si>
  <si>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</si>
  <si>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</si>
  <si>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</si>
  <si>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</si>
  <si>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</si>
  <si>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</si>
  <si>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</si>
  <si>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</si>
  <si>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</si>
  <si>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</si>
  <si>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</si>
  <si>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</si>
  <si>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</si>
  <si>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</si>
  <si>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</si>
  <si>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</si>
  <si>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</si>
  <si>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</si>
  <si>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</si>
  <si>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</si>
  <si>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</si>
  <si>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</si>
  <si>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</si>
  <si>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</si>
  <si>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</si>
  <si>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</si>
  <si>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</si>
  <si>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</si>
  <si>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</si>
  <si>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</si>
  <si>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</si>
  <si>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</si>
  <si>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</si>
  <si>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</si>
  <si>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</si>
  <si>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</si>
  <si>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</si>
  <si>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</si>
  <si>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</si>
  <si>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</si>
  <si>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</si>
  <si>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</si>
  <si>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</si>
  <si>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</si>
  <si>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</si>
  <si>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</si>
  <si>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</si>
  <si>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</si>
  <si>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</si>
  <si>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</si>
  <si>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</si>
  <si>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</si>
  <si>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</si>
  <si>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</si>
  <si>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</si>
  <si>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</si>
  <si>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</si>
  <si>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</si>
  <si>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</si>
  <si>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</si>
  <si>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</si>
  <si>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</si>
  <si>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</si>
  <si>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</si>
  <si>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</si>
  <si>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</si>
  <si>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</si>
  <si>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</si>
  <si>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</si>
  <si>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</si>
  <si>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</si>
  <si>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</si>
  <si>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</si>
  <si>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</si>
  <si>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</si>
  <si>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</si>
  <si>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</si>
  <si>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</si>
  <si>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</si>
  <si>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</si>
  <si>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</si>
  <si>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</si>
  <si>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</si>
  <si>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</si>
  <si>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</si>
  <si>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</si>
  <si>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</si>
  <si>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</si>
  <si>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</si>
  <si>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</si>
  <si>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</si>
  <si>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Valid Up to:</t>
  </si>
  <si>
    <t>Commencement-CC No.</t>
  </si>
  <si>
    <t>Axis Thane</t>
  </si>
  <si>
    <t>Metro Lifescapes</t>
  </si>
  <si>
    <t>Aykon &amp; Centonic</t>
  </si>
  <si>
    <t>https://goo.gl/maps/7axFQQf3Ky43QGWh6</t>
  </si>
  <si>
    <t>Galleria Mall</t>
  </si>
  <si>
    <t>Palm Beach Road</t>
  </si>
  <si>
    <t>Satara Plaza</t>
  </si>
  <si>
    <t>Commercial Building</t>
  </si>
  <si>
    <t>Approved Plans, CC</t>
  </si>
  <si>
    <t>Plot No</t>
  </si>
  <si>
    <t>Vashi</t>
  </si>
  <si>
    <t>Thane</t>
  </si>
  <si>
    <t>3.1KM from Vashi Railway Station</t>
  </si>
  <si>
    <t>Vashi East</t>
  </si>
  <si>
    <t>Satra Plaza</t>
  </si>
  <si>
    <t>3 Wings</t>
  </si>
  <si>
    <t>Wing A, B &amp; C</t>
  </si>
  <si>
    <t>Wing C (Centonic)</t>
  </si>
  <si>
    <t>3rd &amp; 2nd Basement Floor For Parking</t>
  </si>
  <si>
    <t>1st Floor For Commercial</t>
  </si>
  <si>
    <t>Commercial Unit</t>
  </si>
  <si>
    <t>3rd Floor For Parking</t>
  </si>
  <si>
    <t>4th Floor For Amenities</t>
  </si>
  <si>
    <t>Office</t>
  </si>
  <si>
    <t>Aykon</t>
  </si>
  <si>
    <t>Wing A</t>
  </si>
  <si>
    <t>Wing B</t>
  </si>
  <si>
    <t>FROM RERA</t>
  </si>
  <si>
    <t>Shops</t>
  </si>
  <si>
    <t>Offices</t>
  </si>
  <si>
    <t>Aykon (Wing A &amp; B)
Centonic (Wing C)</t>
  </si>
  <si>
    <t>1st Basement Floor &amp; Ground Floor For Commercial &amp; Parking</t>
  </si>
  <si>
    <t>Shop  (Basement + Ground Floor)</t>
  </si>
  <si>
    <t>5th Floor For Residential</t>
  </si>
  <si>
    <t>Name / No of the Building as per Agreement</t>
  </si>
  <si>
    <t>Terrace Floor For Amenities</t>
  </si>
  <si>
    <t xml:space="preserve">Aykon (Residential Wing A &amp; B) = P51700046010 
Centonic (Commercial Wing C) = P51700046286 </t>
  </si>
  <si>
    <t>Mr.Somnath Kale - 9970822359</t>
  </si>
  <si>
    <t>18, Sector No -19D</t>
  </si>
  <si>
    <t>Navi Mumbai Municipal Corporation (NMMC)</t>
  </si>
  <si>
    <t xml:space="preserve">Aykon </t>
  </si>
  <si>
    <t>Attached Otla area</t>
  </si>
  <si>
    <t>4th Floor For Commercial &amp; Amenities</t>
  </si>
  <si>
    <t>We considered Gross carpet area = Net carpet + Deck Area + Dry Balcony.</t>
  </si>
  <si>
    <t>Layout Plan :</t>
  </si>
  <si>
    <t>Recommended rate of the Shop Per Sq. Ft. (for Ground Floor)</t>
  </si>
  <si>
    <t>Recommended rate of the Commercial Per Sq. Ft. (from 1st to 4th Floor)</t>
  </si>
  <si>
    <t>NMMC/TPO/BP/94/2023</t>
  </si>
  <si>
    <t>Aykon (Wing A &amp; B) = 3B + Gr + 3P + 4th Floor (Amenity) + 5th to  23rd Floor
Centonic (Wing C) = 3B + Gr/St + 1st to 22nd Floor</t>
  </si>
  <si>
    <t>NRV/A/94</t>
  </si>
  <si>
    <t xml:space="preserve">Shop </t>
  </si>
  <si>
    <t>Shop</t>
  </si>
  <si>
    <t>Ground Floor For Commercial &amp; Parking</t>
  </si>
  <si>
    <t>1st Basement, Ground, 1st &amp; 2nd Floor For Parking &amp; Commercial</t>
  </si>
  <si>
    <t>6th to 14th Floor</t>
  </si>
  <si>
    <t>15th to 23rd Floor (Part Refuge Area)</t>
  </si>
  <si>
    <t xml:space="preserve">5th &amp; 6th, 8th to 11th &amp; 13th to 16th, 18th to 22nd Floor </t>
  </si>
  <si>
    <t>7th, 12th &amp; 17th Floor (Part Refuge Area)</t>
  </si>
  <si>
    <t>Centonic Wing C</t>
  </si>
  <si>
    <t>Aykon (Wing A &amp; B) = Flats - 76
Shops - 30, Commercial Units- 61 Offices - 137</t>
  </si>
  <si>
    <t xml:space="preserve">We have updated revised approved floor plan &amp; C.C (on 29/06/2023).
</t>
  </si>
  <si>
    <t>Aykon (Wing A &amp; B) = 3B + Gr + 3P + 4th(Amenity) + 5th to 23rd Floor
Centonic (Wing C) = 3B + Gr + 1st to 22nd Floor</t>
  </si>
  <si>
    <t>Commercial Units</t>
  </si>
  <si>
    <t>Grand Total</t>
  </si>
  <si>
    <t>Development Charges + Club Charges</t>
  </si>
  <si>
    <t>Floor Rise Rate from 9th Floor</t>
  </si>
  <si>
    <t xml:space="preserve">17500 to 18800 + park  + OC </t>
  </si>
  <si>
    <t>Smith</t>
  </si>
  <si>
    <t>Cost sheet</t>
  </si>
  <si>
    <t>Recommended rate of the Office Per Sq. Ft. (from 5th to 22nd Floor)</t>
  </si>
  <si>
    <t>Office No. 1031, Wing J, Akshar Business Park, Plot No. 03 Sector 25, Near APMC Market,
Vashi, Navi Mumbai, Maharashtra 400703 TEL: 022-46090378/79/80                                                                                                     E mail : vsjcapf@gmail.com. Web site : www.vsjadon.com</t>
  </si>
  <si>
    <t>As per RERA - Aykon (Wing A &amp; B) = 30/12/2027
                         Centonic (Wing C) = 30/06/2027</t>
  </si>
  <si>
    <t>Aykon (Wing A) = 3B + Gr + 3P + 4th(Amenity) + 5th to 23rd Floor</t>
  </si>
  <si>
    <t>Construction work is in process at the time of Visit. Internal photographs was not allowed.</t>
  </si>
  <si>
    <t>Facade &amp; Plumbing</t>
  </si>
  <si>
    <t xml:space="preserve">Aykon (A &amp; B Wing) = 3B + Gr + 3P + 4th (Amenity) + 5th to 23rd Floor
</t>
  </si>
  <si>
    <t>Aykon (B Wing) = 3B + Gr + 3P + 4th (Amenity) + 5th to 23rd Floor</t>
  </si>
  <si>
    <t xml:space="preserve">Centonic (C Wing) = 3B + Gr + 1st to 22nd Floor
</t>
  </si>
  <si>
    <t>Mr.Sujit 8080888212/ 9004942131</t>
  </si>
  <si>
    <t>Mr.Sujit 8080888212</t>
  </si>
  <si>
    <t>Shruti Tathare</t>
  </si>
  <si>
    <t>Aakash Chaure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</si>
</sst>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4" xfId="1" applyFont="1" applyFill="1" applyBorder="1" applyAlignment="1"/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vertical="center" wrapText="1"/>
      <protection locked="0"/>
    </xf>
    <xf numFmtId="1" fontId="7" fillId="0" borderId="0" xfId="0" applyNumberFormat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Fill="1" applyBorder="1"/>
    <xf numFmtId="0" fontId="7" fillId="0" borderId="0" xfId="1" applyFont="1" applyFill="1" applyBorder="1" applyAlignment="1"/>
    <xf numFmtId="0" fontId="7" fillId="0" borderId="10" xfId="1" applyFont="1" applyFill="1" applyBorder="1" applyAlignment="1"/>
    <xf numFmtId="0" fontId="24" fillId="2" borderId="14" xfId="0" applyFont="1" applyFill="1" applyBorder="1"/>
    <xf numFmtId="0" fontId="7" fillId="0" borderId="0" xfId="1" applyFont="1" applyFill="1" applyAlignment="1">
      <alignment horizontal="center" vertical="center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>
      <alignment horizontal="center" vertical="center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68" fontId="4" fillId="0" borderId="2" xfId="1" applyNumberFormat="1" applyFont="1" applyFill="1" applyBorder="1" applyAlignment="1" applyProtection="1">
      <alignment horizontal="center" vertical="top" wrapText="1"/>
      <protection locked="0"/>
    </xf>
    <xf numFmtId="168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474</xdr:row>
      <xdr:rowOff>187125</xdr:rowOff>
    </xdr:from>
    <xdr:to>
      <xdr:col>6</xdr:col>
      <xdr:colOff>385</xdr:colOff>
      <xdr:row>493</xdr:row>
      <xdr:rowOff>166651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2125" y="120602175"/>
          <a:ext cx="3465000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85725</xdr:colOff>
      <xdr:row>455</xdr:row>
      <xdr:rowOff>0</xdr:rowOff>
    </xdr:from>
    <xdr:to>
      <xdr:col>6</xdr:col>
      <xdr:colOff>385</xdr:colOff>
      <xdr:row>473</xdr:row>
      <xdr:rowOff>179551</xdr:rowOff>
    </xdr:to>
    <xdr:pic>
      <xdr:nvPicPr>
        <xdr:cNvPr id="24" name="Picture 23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62125" y="116614575"/>
          <a:ext cx="3465000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600075</xdr:colOff>
      <xdr:row>426</xdr:row>
      <xdr:rowOff>104775</xdr:rowOff>
    </xdr:from>
    <xdr:to>
      <xdr:col>7</xdr:col>
      <xdr:colOff>245025</xdr:colOff>
      <xdr:row>448</xdr:row>
      <xdr:rowOff>24225</xdr:rowOff>
    </xdr:to>
    <xdr:grpSp>
      <xdr:nvGrpSpPr>
        <xdr:cNvPr id="7" name="Group 6"/>
        <xdr:cNvGrpSpPr/>
      </xdr:nvGrpSpPr>
      <xdr:grpSpPr>
        <a:xfrm>
          <a:off x="600075" y="100039343"/>
          <a:ext cx="5333973" cy="4300950"/>
          <a:chOff x="600075" y="101181834"/>
          <a:chExt cx="5348744" cy="4356979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0075" y="101181834"/>
            <a:ext cx="5348744" cy="4356979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" name="Rectangle 1"/>
          <xdr:cNvSpPr/>
        </xdr:nvSpPr>
        <xdr:spPr>
          <a:xfrm>
            <a:off x="2561665" y="101412115"/>
            <a:ext cx="2738717" cy="179630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3464859" y="102719281"/>
            <a:ext cx="1340560" cy="26456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Aykon (Wing A &amp; B)</a:t>
            </a:r>
          </a:p>
        </xdr:txBody>
      </xdr:sp>
      <xdr:sp macro="" textlink="">
        <xdr:nvSpPr>
          <xdr:cNvPr id="4" name="L-Shape 3"/>
          <xdr:cNvSpPr/>
        </xdr:nvSpPr>
        <xdr:spPr>
          <a:xfrm>
            <a:off x="1104899" y="101528095"/>
            <a:ext cx="2247341" cy="3025588"/>
          </a:xfrm>
          <a:prstGeom prst="corner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" name="Rectangle 4"/>
          <xdr:cNvSpPr/>
        </xdr:nvSpPr>
        <xdr:spPr>
          <a:xfrm>
            <a:off x="3352240" y="103314874"/>
            <a:ext cx="2167217" cy="123881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FF00"/>
              </a:solidFill>
            </a:endParaRP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1209675" y="103497529"/>
            <a:ext cx="1231556" cy="26456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Centonic (Wing C)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3950634" y="103851635"/>
            <a:ext cx="1231556" cy="26456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Centonic (Wing C)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2914090" y="101767901"/>
            <a:ext cx="688522" cy="26456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(Wing B)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4449296" y="101748851"/>
            <a:ext cx="694934" cy="26456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(Wing A)</a:t>
            </a:r>
          </a:p>
        </xdr:txBody>
      </xdr:sp>
    </xdr:grpSp>
    <xdr:clientData/>
  </xdr:twoCellAnchor>
  <xdr:oneCellAnchor>
    <xdr:from>
      <xdr:col>10</xdr:col>
      <xdr:colOff>330660</xdr:colOff>
      <xdr:row>374</xdr:row>
      <xdr:rowOff>0</xdr:rowOff>
    </xdr:from>
    <xdr:ext cx="600677" cy="264560"/>
    <xdr:sp macro="" textlink="">
      <xdr:nvSpPr>
        <xdr:cNvPr id="29" name="TextBox 28"/>
        <xdr:cNvSpPr txBox="1"/>
      </xdr:nvSpPr>
      <xdr:spPr>
        <a:xfrm>
          <a:off x="8773274" y="95656977"/>
          <a:ext cx="60067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oneCellAnchor>
    <xdr:from>
      <xdr:col>13</xdr:col>
      <xdr:colOff>358920</xdr:colOff>
      <xdr:row>374</xdr:row>
      <xdr:rowOff>122960</xdr:rowOff>
    </xdr:from>
    <xdr:ext cx="596253" cy="264560"/>
    <xdr:sp macro="" textlink="">
      <xdr:nvSpPr>
        <xdr:cNvPr id="30" name="TextBox 29"/>
        <xdr:cNvSpPr txBox="1"/>
      </xdr:nvSpPr>
      <xdr:spPr>
        <a:xfrm>
          <a:off x="10992284" y="95779937"/>
          <a:ext cx="59625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C</a:t>
          </a:r>
        </a:p>
      </xdr:txBody>
    </xdr:sp>
    <xdr:clientData/>
  </xdr:oneCellAnchor>
  <xdr:oneCellAnchor>
    <xdr:from>
      <xdr:col>9</xdr:col>
      <xdr:colOff>19050</xdr:colOff>
      <xdr:row>372</xdr:row>
      <xdr:rowOff>50800</xdr:rowOff>
    </xdr:from>
    <xdr:ext cx="607089" cy="264560"/>
    <xdr:sp macro="" textlink="">
      <xdr:nvSpPr>
        <xdr:cNvPr id="47" name="TextBox 46"/>
        <xdr:cNvSpPr txBox="1"/>
      </xdr:nvSpPr>
      <xdr:spPr>
        <a:xfrm>
          <a:off x="7705725" y="91005025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11</xdr:col>
      <xdr:colOff>637190</xdr:colOff>
      <xdr:row>372</xdr:row>
      <xdr:rowOff>50800</xdr:rowOff>
    </xdr:from>
    <xdr:ext cx="607089" cy="264560"/>
    <xdr:sp macro="" textlink="">
      <xdr:nvSpPr>
        <xdr:cNvPr id="48" name="TextBox 47"/>
        <xdr:cNvSpPr txBox="1"/>
      </xdr:nvSpPr>
      <xdr:spPr>
        <a:xfrm>
          <a:off x="9790715" y="91005025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  <xdr:oneCellAnchor>
    <xdr:from>
      <xdr:col>11</xdr:col>
      <xdr:colOff>509205</xdr:colOff>
      <xdr:row>375</xdr:row>
      <xdr:rowOff>127000</xdr:rowOff>
    </xdr:from>
    <xdr:ext cx="596253" cy="264560"/>
    <xdr:sp macro="" textlink="">
      <xdr:nvSpPr>
        <xdr:cNvPr id="49" name="TextBox 48"/>
        <xdr:cNvSpPr txBox="1"/>
      </xdr:nvSpPr>
      <xdr:spPr>
        <a:xfrm>
          <a:off x="9662730" y="91681300"/>
          <a:ext cx="596253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C</a:t>
          </a:r>
        </a:p>
      </xdr:txBody>
    </xdr:sp>
    <xdr:clientData/>
  </xdr:oneCellAnchor>
  <xdr:oneCellAnchor>
    <xdr:from>
      <xdr:col>8</xdr:col>
      <xdr:colOff>1168400</xdr:colOff>
      <xdr:row>380</xdr:row>
      <xdr:rowOff>120650</xdr:rowOff>
    </xdr:from>
    <xdr:ext cx="596574" cy="264560"/>
    <xdr:sp macro="" textlink="">
      <xdr:nvSpPr>
        <xdr:cNvPr id="6" name="TextBox 5"/>
        <xdr:cNvSpPr txBox="1"/>
      </xdr:nvSpPr>
      <xdr:spPr>
        <a:xfrm>
          <a:off x="8013700" y="910399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133350</xdr:colOff>
      <xdr:row>375</xdr:row>
      <xdr:rowOff>85725</xdr:rowOff>
    </xdr:from>
    <xdr:to>
      <xdr:col>7</xdr:col>
      <xdr:colOff>734175</xdr:colOff>
      <xdr:row>413</xdr:row>
      <xdr:rowOff>121649</xdr:rowOff>
    </xdr:to>
    <xdr:grpSp>
      <xdr:nvGrpSpPr>
        <xdr:cNvPr id="9" name="Group 8"/>
        <xdr:cNvGrpSpPr/>
      </xdr:nvGrpSpPr>
      <xdr:grpSpPr>
        <a:xfrm>
          <a:off x="133350" y="91465111"/>
          <a:ext cx="6289848" cy="7595311"/>
          <a:chOff x="133350" y="91857029"/>
          <a:chExt cx="6290977" cy="7581381"/>
        </a:xfrm>
      </xdr:grpSpPr>
      <xdr:pic>
        <xdr:nvPicPr>
          <xdr:cNvPr id="31" name="Picture 30" descr="https://vsjcllp.vsjadon.com/upload/insp-24657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09297" y="97292077"/>
            <a:ext cx="1615030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57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5114" y="94892397"/>
            <a:ext cx="3073813" cy="22951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577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97292077"/>
            <a:ext cx="1623313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577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50" y="91861791"/>
            <a:ext cx="3951356" cy="2944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577-85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75" y="94892397"/>
            <a:ext cx="3080439" cy="22951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577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41638" y="97290489"/>
            <a:ext cx="2875859" cy="21463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46577-86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80647" y="91857029"/>
            <a:ext cx="2216736" cy="29448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0" name="TextBox 49"/>
          <xdr:cNvSpPr txBox="1"/>
        </xdr:nvSpPr>
        <xdr:spPr>
          <a:xfrm>
            <a:off x="149915" y="91863034"/>
            <a:ext cx="849271" cy="26456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Wing A &amp; B</a:t>
            </a:r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4198041" y="91858271"/>
            <a:ext cx="596253" cy="26456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Wing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14</xdr:row>
      <xdr:rowOff>0</xdr:rowOff>
    </xdr:from>
    <xdr:to>
      <xdr:col>15</xdr:col>
      <xdr:colOff>226960</xdr:colOff>
      <xdr:row>32</xdr:row>
      <xdr:rowOff>171000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717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23</xdr:col>
      <xdr:colOff>152400</xdr:colOff>
      <xdr:row>42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3" y="762000"/>
          <a:ext cx="13011150" cy="7315200"/>
        </a:xfrm>
        <a:prstGeom prst="rect">
          <a:avLst/>
        </a:prstGeom>
      </xdr:spPr>
    </xdr:pic>
    <xdr:clientData/>
  </xdr:twoCellAnchor>
  <xdr:twoCellAnchor>
    <xdr:from>
      <xdr:col>8</xdr:col>
      <xdr:colOff>469447</xdr:colOff>
      <xdr:row>26</xdr:row>
      <xdr:rowOff>0</xdr:rowOff>
    </xdr:from>
    <xdr:to>
      <xdr:col>16</xdr:col>
      <xdr:colOff>371475</xdr:colOff>
      <xdr:row>29</xdr:row>
      <xdr:rowOff>114300</xdr:rowOff>
    </xdr:to>
    <xdr:sp macro="" textlink="">
      <xdr:nvSpPr>
        <xdr:cNvPr id="3" name="Rectangle 2"/>
        <xdr:cNvSpPr/>
      </xdr:nvSpPr>
      <xdr:spPr>
        <a:xfrm>
          <a:off x="5368018" y="4953000"/>
          <a:ext cx="4800600" cy="68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469447</xdr:colOff>
      <xdr:row>29</xdr:row>
      <xdr:rowOff>114300</xdr:rowOff>
    </xdr:from>
    <xdr:to>
      <xdr:col>16</xdr:col>
      <xdr:colOff>371475</xdr:colOff>
      <xdr:row>32</xdr:row>
      <xdr:rowOff>152400</xdr:rowOff>
    </xdr:to>
    <xdr:sp macro="" textlink="">
      <xdr:nvSpPr>
        <xdr:cNvPr id="4" name="Rectangle 3"/>
        <xdr:cNvSpPr/>
      </xdr:nvSpPr>
      <xdr:spPr>
        <a:xfrm>
          <a:off x="5368018" y="5638800"/>
          <a:ext cx="4800600" cy="6096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axFQQf3Ky43QGWh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54"/>
  <sheetViews>
    <sheetView tabSelected="1" view="pageBreakPreview" zoomScale="110" zoomScaleNormal="100" zoomScaleSheetLayoutView="110" workbookViewId="0">
      <selection activeCell="L4" sqref="L4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9" ht="46.5" customHeight="1" x14ac:dyDescent="0.25">
      <c r="A1" s="164" t="s">
        <v>247</v>
      </c>
      <c r="B1" s="164"/>
      <c r="C1" s="164"/>
      <c r="D1" s="164"/>
      <c r="E1" s="164"/>
      <c r="F1" s="164"/>
      <c r="G1" s="164"/>
      <c r="H1" s="164"/>
    </row>
    <row r="2" spans="1:9" ht="16.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9" x14ac:dyDescent="0.25">
      <c r="A3" s="165" t="s">
        <v>1</v>
      </c>
      <c r="B3" s="165"/>
      <c r="C3" s="165"/>
      <c r="D3" s="165"/>
      <c r="E3" s="165" t="str">
        <f ca="1">TEXT(TODAY(),"DD/MM/YYYY")</f>
        <v>09/09/2025</v>
      </c>
      <c r="F3" s="165"/>
      <c r="G3" s="165"/>
      <c r="H3" s="165"/>
    </row>
    <row r="4" spans="1:9" ht="15" customHeight="1" x14ac:dyDescent="0.25">
      <c r="A4" s="165" t="s">
        <v>2</v>
      </c>
      <c r="B4" s="165"/>
      <c r="C4" s="165"/>
      <c r="D4" s="165"/>
      <c r="E4" s="165" t="s">
        <v>177</v>
      </c>
      <c r="F4" s="165"/>
      <c r="G4" s="165"/>
      <c r="H4" s="165"/>
    </row>
    <row r="5" spans="1:9" x14ac:dyDescent="0.25">
      <c r="A5" s="165" t="s">
        <v>3</v>
      </c>
      <c r="B5" s="165"/>
      <c r="C5" s="165"/>
      <c r="D5" s="165"/>
      <c r="E5" s="167">
        <v>45908</v>
      </c>
      <c r="F5" s="165"/>
      <c r="G5" s="165"/>
      <c r="H5" s="165"/>
    </row>
    <row r="6" spans="1:9" ht="16.5" customHeight="1" x14ac:dyDescent="0.25">
      <c r="A6" s="165" t="s">
        <v>4</v>
      </c>
      <c r="B6" s="165"/>
      <c r="C6" s="165"/>
      <c r="D6" s="165"/>
      <c r="E6" s="165" t="s">
        <v>178</v>
      </c>
      <c r="F6" s="165"/>
      <c r="G6" s="165"/>
      <c r="H6" s="165"/>
    </row>
    <row r="7" spans="1:9" ht="15" customHeight="1" x14ac:dyDescent="0.25">
      <c r="A7" s="165" t="s">
        <v>5</v>
      </c>
      <c r="B7" s="165"/>
      <c r="C7" s="165"/>
      <c r="D7" s="165"/>
      <c r="E7" s="165" t="str">
        <f>E6</f>
        <v>Metro Lifescapes</v>
      </c>
      <c r="F7" s="165"/>
      <c r="G7" s="165"/>
      <c r="H7" s="165"/>
    </row>
    <row r="8" spans="1:9" x14ac:dyDescent="0.25">
      <c r="A8" s="165" t="s">
        <v>6</v>
      </c>
      <c r="B8" s="165"/>
      <c r="C8" s="165"/>
      <c r="D8" s="165"/>
      <c r="E8" s="166" t="s">
        <v>179</v>
      </c>
      <c r="F8" s="166"/>
      <c r="G8" s="166"/>
      <c r="H8" s="166"/>
    </row>
    <row r="9" spans="1:9" x14ac:dyDescent="0.25">
      <c r="A9" s="165" t="s">
        <v>173</v>
      </c>
      <c r="B9" s="165"/>
      <c r="C9" s="165"/>
      <c r="D9" s="165"/>
      <c r="E9" s="165" t="s">
        <v>255</v>
      </c>
      <c r="F9" s="165"/>
      <c r="G9" s="165"/>
      <c r="H9" s="165"/>
    </row>
    <row r="10" spans="1:9" x14ac:dyDescent="0.25">
      <c r="A10" s="165" t="s">
        <v>174</v>
      </c>
      <c r="B10" s="165"/>
      <c r="C10" s="165"/>
      <c r="D10" s="165"/>
      <c r="E10" s="167" t="s">
        <v>256</v>
      </c>
      <c r="F10" s="165"/>
      <c r="G10" s="165"/>
      <c r="H10" s="165"/>
      <c r="I10" s="21" t="s">
        <v>214</v>
      </c>
    </row>
    <row r="11" spans="1:9" x14ac:dyDescent="0.25">
      <c r="A11" s="165" t="s">
        <v>7</v>
      </c>
      <c r="B11" s="165"/>
      <c r="C11" s="165"/>
      <c r="D11" s="165"/>
      <c r="E11" s="165" t="s">
        <v>193</v>
      </c>
      <c r="F11" s="165"/>
      <c r="G11" s="165"/>
      <c r="H11" s="165"/>
    </row>
    <row r="12" spans="1:9" ht="33" customHeight="1" x14ac:dyDescent="0.25">
      <c r="A12" s="165" t="s">
        <v>211</v>
      </c>
      <c r="B12" s="165"/>
      <c r="C12" s="165"/>
      <c r="D12" s="165"/>
      <c r="E12" s="123" t="s">
        <v>207</v>
      </c>
      <c r="F12" s="165"/>
      <c r="G12" s="165"/>
      <c r="H12" s="165"/>
    </row>
    <row r="13" spans="1:9" x14ac:dyDescent="0.25">
      <c r="A13" s="122" t="s">
        <v>8</v>
      </c>
      <c r="B13" s="122"/>
      <c r="C13" s="122"/>
      <c r="D13" s="122"/>
      <c r="E13" s="123" t="s">
        <v>185</v>
      </c>
      <c r="F13" s="123"/>
      <c r="G13" s="123"/>
      <c r="H13" s="123"/>
    </row>
    <row r="14" spans="1:9" ht="33" customHeight="1" x14ac:dyDescent="0.25">
      <c r="A14" s="122" t="s">
        <v>9</v>
      </c>
      <c r="B14" s="122"/>
      <c r="C14" s="122"/>
      <c r="D14" s="122"/>
      <c r="E14" s="123" t="s">
        <v>213</v>
      </c>
      <c r="F14" s="165"/>
      <c r="G14" s="165"/>
      <c r="H14" s="165"/>
    </row>
    <row r="15" spans="1:9" ht="32.25" customHeight="1" x14ac:dyDescent="0.25">
      <c r="A15" s="121" t="s">
        <v>10</v>
      </c>
      <c r="B15" s="121"/>
      <c r="C15" s="12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Aykon &amp; Centonic, Plot No.18, Sector No -19D, near Satra Plaza, Palm Beach Road, Vashi, Vashi, Vashi East, Thane, Thane - 400703.</v>
      </c>
      <c r="D15" s="121"/>
      <c r="E15" s="121"/>
      <c r="F15" s="121"/>
      <c r="G15" s="121"/>
      <c r="H15" s="121"/>
    </row>
    <row r="16" spans="1:9" x14ac:dyDescent="0.25">
      <c r="A16" s="123" t="s">
        <v>186</v>
      </c>
      <c r="B16" s="123"/>
      <c r="C16" s="123" t="s">
        <v>215</v>
      </c>
      <c r="D16" s="123"/>
      <c r="E16" s="123"/>
      <c r="F16" s="123"/>
      <c r="G16" s="123"/>
      <c r="H16" s="123"/>
    </row>
    <row r="17" spans="1:8" ht="15.75" customHeight="1" x14ac:dyDescent="0.25">
      <c r="A17" s="123" t="s">
        <v>172</v>
      </c>
      <c r="B17" s="123"/>
      <c r="C17" s="123" t="s">
        <v>187</v>
      </c>
      <c r="D17" s="123"/>
      <c r="E17" s="123"/>
      <c r="F17" s="123"/>
      <c r="G17" s="123"/>
      <c r="H17" s="123"/>
    </row>
    <row r="18" spans="1:8" ht="15.75" customHeight="1" x14ac:dyDescent="0.25">
      <c r="A18" s="121" t="s">
        <v>11</v>
      </c>
      <c r="B18" s="121"/>
      <c r="C18" s="165" t="s">
        <v>182</v>
      </c>
      <c r="D18" s="165"/>
      <c r="E18" s="121" t="s">
        <v>77</v>
      </c>
      <c r="F18" s="121"/>
      <c r="G18" s="123" t="s">
        <v>187</v>
      </c>
      <c r="H18" s="123"/>
    </row>
    <row r="19" spans="1:8" x14ac:dyDescent="0.25">
      <c r="A19" s="122" t="s">
        <v>13</v>
      </c>
      <c r="B19" s="122"/>
      <c r="C19" s="123" t="s">
        <v>190</v>
      </c>
      <c r="D19" s="123"/>
      <c r="E19" s="121" t="s">
        <v>12</v>
      </c>
      <c r="F19" s="121"/>
      <c r="G19" s="169" t="s">
        <v>188</v>
      </c>
      <c r="H19" s="169"/>
    </row>
    <row r="20" spans="1:8" x14ac:dyDescent="0.25">
      <c r="A20" s="122" t="s">
        <v>78</v>
      </c>
      <c r="B20" s="122"/>
      <c r="C20" s="123" t="s">
        <v>188</v>
      </c>
      <c r="D20" s="123"/>
      <c r="E20" s="121" t="s">
        <v>14</v>
      </c>
      <c r="F20" s="121"/>
      <c r="G20" s="123">
        <v>400703</v>
      </c>
      <c r="H20" s="123"/>
    </row>
    <row r="21" spans="1:8" ht="32.25" customHeight="1" x14ac:dyDescent="0.25">
      <c r="A21" s="122" t="s">
        <v>130</v>
      </c>
      <c r="B21" s="122"/>
      <c r="C21" s="123" t="s">
        <v>191</v>
      </c>
      <c r="D21" s="123"/>
      <c r="E21" s="121" t="s">
        <v>15</v>
      </c>
      <c r="F21" s="121"/>
      <c r="G21" s="123" t="s">
        <v>189</v>
      </c>
      <c r="H21" s="123"/>
    </row>
    <row r="22" spans="1:8" ht="15" customHeight="1" x14ac:dyDescent="0.25">
      <c r="A22" s="121" t="s">
        <v>81</v>
      </c>
      <c r="B22" s="121"/>
      <c r="C22" s="121"/>
      <c r="D22" s="121"/>
      <c r="E22" s="165" t="s">
        <v>16</v>
      </c>
      <c r="F22" s="165"/>
      <c r="G22" s="165"/>
      <c r="H22" s="165"/>
    </row>
    <row r="23" spans="1:8" ht="18.75" customHeight="1" x14ac:dyDescent="0.25">
      <c r="A23" s="121"/>
      <c r="B23" s="121"/>
      <c r="C23" s="121"/>
      <c r="D23" s="121"/>
      <c r="E23" s="165"/>
      <c r="F23" s="165"/>
      <c r="G23" s="165"/>
      <c r="H23" s="165"/>
    </row>
    <row r="24" spans="1:8" ht="15" customHeight="1" x14ac:dyDescent="0.25">
      <c r="A24" s="121" t="s">
        <v>17</v>
      </c>
      <c r="B24" s="121"/>
      <c r="C24" s="121"/>
      <c r="D24" s="121"/>
      <c r="E24" s="123" t="s">
        <v>18</v>
      </c>
      <c r="F24" s="123"/>
      <c r="G24" s="123"/>
      <c r="H24" s="123"/>
    </row>
    <row r="25" spans="1:8" ht="15" customHeight="1" x14ac:dyDescent="0.25">
      <c r="A25" s="122" t="s">
        <v>19</v>
      </c>
      <c r="B25" s="122"/>
      <c r="C25" s="122"/>
      <c r="D25" s="122"/>
      <c r="E25" s="123" t="str">
        <f>IF(AND(G19="Mumbai"),"Upper Class","Middle Class")</f>
        <v>Middle Class</v>
      </c>
      <c r="F25" s="123"/>
      <c r="G25" s="123"/>
      <c r="H25" s="123"/>
    </row>
    <row r="26" spans="1:8" x14ac:dyDescent="0.25">
      <c r="A26" s="122" t="s">
        <v>20</v>
      </c>
      <c r="B26" s="122"/>
      <c r="C26" s="122"/>
      <c r="D26" s="122"/>
      <c r="E26" s="123" t="s">
        <v>21</v>
      </c>
      <c r="F26" s="123"/>
      <c r="G26" s="123"/>
      <c r="H26" s="123"/>
    </row>
    <row r="27" spans="1:8" ht="15.75" customHeight="1" x14ac:dyDescent="0.25">
      <c r="A27" s="122" t="s">
        <v>22</v>
      </c>
      <c r="B27" s="122"/>
      <c r="C27" s="122"/>
      <c r="D27" s="122"/>
      <c r="E27" s="123" t="str">
        <f>IF(AND(G19="Mumbai"),"Developed","Developing")</f>
        <v>Developing</v>
      </c>
      <c r="F27" s="123"/>
      <c r="G27" s="123"/>
      <c r="H27" s="123"/>
    </row>
    <row r="28" spans="1:8" x14ac:dyDescent="0.25">
      <c r="A28" s="122" t="s">
        <v>23</v>
      </c>
      <c r="B28" s="122"/>
      <c r="C28" s="122"/>
      <c r="D28" s="122"/>
      <c r="E28" s="123" t="s">
        <v>24</v>
      </c>
      <c r="F28" s="123"/>
      <c r="G28" s="123"/>
      <c r="H28" s="123"/>
    </row>
    <row r="29" spans="1:8" ht="15.75" customHeight="1" x14ac:dyDescent="0.25">
      <c r="A29" s="122" t="s">
        <v>86</v>
      </c>
      <c r="B29" s="122"/>
      <c r="C29" s="122"/>
      <c r="D29" s="122"/>
      <c r="E29" s="123" t="s">
        <v>87</v>
      </c>
      <c r="F29" s="123"/>
      <c r="G29" s="123"/>
      <c r="H29" s="123"/>
    </row>
    <row r="30" spans="1:8" ht="15" customHeight="1" x14ac:dyDescent="0.25">
      <c r="A30" s="122" t="s">
        <v>35</v>
      </c>
      <c r="B30" s="122"/>
      <c r="C30" s="122"/>
      <c r="D30" s="122"/>
      <c r="E30" s="12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3"/>
      <c r="G30" s="123"/>
      <c r="H30" s="123"/>
    </row>
    <row r="31" spans="1:8" ht="15.75" customHeight="1" x14ac:dyDescent="0.25">
      <c r="A31" s="122" t="s">
        <v>98</v>
      </c>
      <c r="B31" s="122"/>
      <c r="C31" s="122"/>
      <c r="D31" s="122"/>
      <c r="E31" s="123" t="s">
        <v>36</v>
      </c>
      <c r="F31" s="123"/>
      <c r="G31" s="123"/>
      <c r="H31" s="123"/>
    </row>
    <row r="32" spans="1:8" s="22" customFormat="1" x14ac:dyDescent="0.25">
      <c r="A32" s="173" t="s">
        <v>99</v>
      </c>
      <c r="B32" s="173"/>
      <c r="C32" s="172" t="s">
        <v>29</v>
      </c>
      <c r="D32" s="172"/>
      <c r="E32" s="172"/>
      <c r="F32" s="172" t="s">
        <v>31</v>
      </c>
      <c r="G32" s="172"/>
      <c r="H32" s="172"/>
    </row>
    <row r="33" spans="1:8" s="22" customFormat="1" x14ac:dyDescent="0.25">
      <c r="A33" s="170" t="s">
        <v>25</v>
      </c>
      <c r="B33" s="170" t="s">
        <v>30</v>
      </c>
      <c r="C33" s="171" t="s">
        <v>30</v>
      </c>
      <c r="D33" s="171"/>
      <c r="E33" s="171"/>
      <c r="F33" s="171" t="s">
        <v>184</v>
      </c>
      <c r="G33" s="171"/>
      <c r="H33" s="171"/>
    </row>
    <row r="34" spans="1:8" x14ac:dyDescent="0.25">
      <c r="A34" s="170" t="s">
        <v>26</v>
      </c>
      <c r="B34" s="170" t="s">
        <v>30</v>
      </c>
      <c r="C34" s="171" t="s">
        <v>30</v>
      </c>
      <c r="D34" s="171"/>
      <c r="E34" s="171"/>
      <c r="F34" s="171" t="s">
        <v>182</v>
      </c>
      <c r="G34" s="171"/>
      <c r="H34" s="171"/>
    </row>
    <row r="35" spans="1:8" s="22" customFormat="1" x14ac:dyDescent="0.25">
      <c r="A35" s="170" t="s">
        <v>28</v>
      </c>
      <c r="B35" s="170" t="s">
        <v>30</v>
      </c>
      <c r="C35" s="171" t="s">
        <v>30</v>
      </c>
      <c r="D35" s="171"/>
      <c r="E35" s="171"/>
      <c r="F35" s="171" t="s">
        <v>181</v>
      </c>
      <c r="G35" s="171"/>
      <c r="H35" s="171"/>
    </row>
    <row r="36" spans="1:8" x14ac:dyDescent="0.25">
      <c r="A36" s="170" t="s">
        <v>27</v>
      </c>
      <c r="B36" s="170" t="s">
        <v>30</v>
      </c>
      <c r="C36" s="171" t="s">
        <v>30</v>
      </c>
      <c r="D36" s="171"/>
      <c r="E36" s="171"/>
      <c r="F36" s="171" t="s">
        <v>183</v>
      </c>
      <c r="G36" s="171"/>
      <c r="H36" s="171"/>
    </row>
    <row r="37" spans="1:8" x14ac:dyDescent="0.25">
      <c r="A37" s="122" t="s">
        <v>32</v>
      </c>
      <c r="B37" s="122"/>
      <c r="C37" s="122"/>
      <c r="D37" s="122"/>
      <c r="E37" s="122"/>
      <c r="F37" s="122"/>
      <c r="G37" s="122"/>
      <c r="H37" s="122"/>
    </row>
    <row r="38" spans="1:8" ht="15.75" customHeight="1" x14ac:dyDescent="0.25">
      <c r="A38" s="116" t="s">
        <v>33</v>
      </c>
      <c r="B38" s="116"/>
      <c r="C38" s="175">
        <v>19.084352200000001</v>
      </c>
      <c r="D38" s="175"/>
      <c r="E38" s="116" t="s">
        <v>34</v>
      </c>
      <c r="F38" s="116"/>
      <c r="G38" s="176">
        <v>73.007105600000003</v>
      </c>
      <c r="H38" s="176"/>
    </row>
    <row r="39" spans="1:8" x14ac:dyDescent="0.25">
      <c r="A39" s="116" t="s">
        <v>171</v>
      </c>
      <c r="B39" s="116"/>
      <c r="C39" s="177" t="s">
        <v>180</v>
      </c>
      <c r="D39" s="123"/>
      <c r="E39" s="123"/>
      <c r="F39" s="123"/>
      <c r="G39" s="123"/>
      <c r="H39" s="123"/>
    </row>
    <row r="40" spans="1:8" x14ac:dyDescent="0.25">
      <c r="A40" s="160" t="s">
        <v>37</v>
      </c>
      <c r="B40" s="160"/>
      <c r="C40" s="160"/>
      <c r="D40" s="160"/>
      <c r="E40" s="160"/>
      <c r="F40" s="160"/>
      <c r="G40" s="160"/>
      <c r="H40" s="160"/>
    </row>
    <row r="41" spans="1:8" x14ac:dyDescent="0.25">
      <c r="A41" s="122" t="s">
        <v>38</v>
      </c>
      <c r="B41" s="122"/>
      <c r="C41" s="122"/>
      <c r="D41" s="122"/>
      <c r="E41" s="174">
        <v>7589.64</v>
      </c>
      <c r="F41" s="174"/>
      <c r="G41" s="174"/>
      <c r="H41" s="174"/>
    </row>
    <row r="42" spans="1:8" x14ac:dyDescent="0.25">
      <c r="A42" s="122" t="s">
        <v>39</v>
      </c>
      <c r="B42" s="122"/>
      <c r="C42" s="122"/>
      <c r="D42" s="122"/>
      <c r="E42" s="188">
        <v>1.1000000000000001</v>
      </c>
      <c r="F42" s="188"/>
      <c r="G42" s="188"/>
      <c r="H42" s="188"/>
    </row>
    <row r="43" spans="1:8" x14ac:dyDescent="0.25">
      <c r="A43" s="122" t="s">
        <v>40</v>
      </c>
      <c r="B43" s="122"/>
      <c r="C43" s="122"/>
      <c r="D43" s="122"/>
      <c r="E43" s="188">
        <f>E45/E41-E42</f>
        <v>2.526285041187724</v>
      </c>
      <c r="F43" s="188"/>
      <c r="G43" s="188"/>
      <c r="H43" s="188"/>
    </row>
    <row r="44" spans="1:8" x14ac:dyDescent="0.25">
      <c r="A44" s="122" t="s">
        <v>41</v>
      </c>
      <c r="B44" s="122"/>
      <c r="C44" s="122"/>
      <c r="D44" s="122"/>
      <c r="E44" s="188">
        <f>E42+E43</f>
        <v>3.6262850411877241</v>
      </c>
      <c r="F44" s="188"/>
      <c r="G44" s="188"/>
      <c r="H44" s="188"/>
    </row>
    <row r="45" spans="1:8" x14ac:dyDescent="0.25">
      <c r="A45" s="122" t="s">
        <v>97</v>
      </c>
      <c r="B45" s="122"/>
      <c r="C45" s="122"/>
      <c r="D45" s="122"/>
      <c r="E45" s="192">
        <v>27522.198</v>
      </c>
      <c r="F45" s="192"/>
      <c r="G45" s="192"/>
      <c r="H45" s="192"/>
    </row>
    <row r="46" spans="1:8" x14ac:dyDescent="0.25">
      <c r="A46" s="165" t="s">
        <v>42</v>
      </c>
      <c r="B46" s="165"/>
      <c r="C46" s="165"/>
      <c r="D46" s="165"/>
      <c r="E46" s="165" t="s">
        <v>192</v>
      </c>
      <c r="F46" s="165"/>
      <c r="G46" s="165"/>
      <c r="H46" s="165"/>
    </row>
    <row r="47" spans="1:8" x14ac:dyDescent="0.25">
      <c r="A47" s="160" t="s">
        <v>43</v>
      </c>
      <c r="B47" s="160"/>
      <c r="C47" s="160"/>
      <c r="D47" s="160"/>
      <c r="E47" s="160"/>
      <c r="F47" s="160"/>
      <c r="G47" s="160"/>
      <c r="H47" s="160"/>
    </row>
    <row r="48" spans="1:8" ht="33.75" customHeight="1" x14ac:dyDescent="0.25">
      <c r="A48" s="111" t="s">
        <v>163</v>
      </c>
      <c r="B48" s="113"/>
      <c r="C48" s="207" t="s">
        <v>216</v>
      </c>
      <c r="D48" s="208"/>
      <c r="E48" s="208"/>
      <c r="F48" s="208"/>
      <c r="G48" s="208"/>
      <c r="H48" s="209"/>
    </row>
    <row r="49" spans="1:14" ht="15.75" customHeight="1" x14ac:dyDescent="0.25">
      <c r="A49" s="111" t="s">
        <v>44</v>
      </c>
      <c r="B49" s="113"/>
      <c r="C49" s="111" t="s">
        <v>226</v>
      </c>
      <c r="D49" s="112"/>
      <c r="E49" s="113"/>
      <c r="F49" s="20" t="s">
        <v>45</v>
      </c>
      <c r="G49" s="168">
        <v>44930</v>
      </c>
      <c r="H49" s="113"/>
    </row>
    <row r="50" spans="1:14" x14ac:dyDescent="0.25">
      <c r="A50" s="111" t="s">
        <v>46</v>
      </c>
      <c r="B50" s="113"/>
      <c r="C50" s="111" t="str">
        <f>C49</f>
        <v>NRV/A/94</v>
      </c>
      <c r="D50" s="112"/>
      <c r="E50" s="113"/>
      <c r="F50" s="20" t="s">
        <v>45</v>
      </c>
      <c r="G50" s="168">
        <f>G49</f>
        <v>44930</v>
      </c>
      <c r="H50" s="183"/>
    </row>
    <row r="51" spans="1:14" s="23" customFormat="1" x14ac:dyDescent="0.25">
      <c r="A51" s="114" t="s">
        <v>176</v>
      </c>
      <c r="B51" s="115"/>
      <c r="C51" s="111" t="s">
        <v>224</v>
      </c>
      <c r="D51" s="112"/>
      <c r="E51" s="113"/>
      <c r="F51" s="20" t="s">
        <v>45</v>
      </c>
      <c r="G51" s="168">
        <v>44930</v>
      </c>
      <c r="H51" s="183"/>
    </row>
    <row r="52" spans="1:14" s="23" customFormat="1" ht="33" customHeight="1" x14ac:dyDescent="0.25">
      <c r="A52" s="127" t="s">
        <v>175</v>
      </c>
      <c r="B52" s="128"/>
      <c r="C52" s="111" t="s">
        <v>225</v>
      </c>
      <c r="D52" s="112"/>
      <c r="E52" s="112"/>
      <c r="F52" s="112"/>
      <c r="G52" s="112"/>
      <c r="H52" s="113"/>
    </row>
    <row r="53" spans="1:14" x14ac:dyDescent="0.25">
      <c r="A53" s="185" t="s">
        <v>47</v>
      </c>
      <c r="B53" s="186"/>
      <c r="C53" s="185" t="s">
        <v>110</v>
      </c>
      <c r="D53" s="187"/>
      <c r="E53" s="186"/>
      <c r="F53" s="45" t="s">
        <v>45</v>
      </c>
      <c r="G53" s="162" t="s">
        <v>30</v>
      </c>
      <c r="H53" s="163"/>
    </row>
    <row r="54" spans="1:14" x14ac:dyDescent="0.25">
      <c r="A54" s="161" t="s">
        <v>49</v>
      </c>
      <c r="B54" s="161"/>
      <c r="C54" s="161"/>
      <c r="D54" s="161"/>
      <c r="E54" s="161"/>
      <c r="F54" s="161"/>
      <c r="G54" s="161"/>
      <c r="H54" s="161"/>
    </row>
    <row r="55" spans="1:14" x14ac:dyDescent="0.25">
      <c r="A55" s="121" t="s">
        <v>96</v>
      </c>
      <c r="B55" s="121"/>
      <c r="C55" s="121"/>
      <c r="D55" s="122">
        <f>E45</f>
        <v>27522.198</v>
      </c>
      <c r="E55" s="122"/>
      <c r="F55" s="122"/>
      <c r="G55" s="122"/>
      <c r="H55" s="122"/>
    </row>
    <row r="56" spans="1:14" ht="33.75" customHeight="1" x14ac:dyDescent="0.25">
      <c r="A56" s="123" t="s">
        <v>50</v>
      </c>
      <c r="B56" s="165"/>
      <c r="C56" s="165"/>
      <c r="D56" s="123" t="s">
        <v>236</v>
      </c>
      <c r="E56" s="165"/>
      <c r="F56" s="165"/>
      <c r="G56" s="165"/>
      <c r="H56" s="165"/>
      <c r="I56" s="24"/>
      <c r="J56" s="21">
        <f>119+109</f>
        <v>228</v>
      </c>
    </row>
    <row r="57" spans="1:14" ht="51" customHeight="1" x14ac:dyDescent="0.25">
      <c r="A57" s="180" t="s">
        <v>51</v>
      </c>
      <c r="B57" s="181"/>
      <c r="C57" s="182"/>
      <c r="D57" s="178" t="s">
        <v>238</v>
      </c>
      <c r="E57" s="179"/>
      <c r="F57" s="179"/>
      <c r="G57" s="179"/>
      <c r="H57" s="179"/>
      <c r="I57" s="25"/>
    </row>
    <row r="58" spans="1:14" ht="30.95" customHeight="1" x14ac:dyDescent="0.25">
      <c r="A58" s="180" t="s">
        <v>94</v>
      </c>
      <c r="B58" s="181"/>
      <c r="C58" s="182"/>
      <c r="D58" s="123" t="s">
        <v>252</v>
      </c>
      <c r="E58" s="165"/>
      <c r="F58" s="165"/>
      <c r="G58" s="165"/>
      <c r="H58" s="165"/>
      <c r="I58" s="25" t="s">
        <v>204</v>
      </c>
    </row>
    <row r="59" spans="1:14" x14ac:dyDescent="0.25">
      <c r="A59" s="216"/>
      <c r="B59" s="217"/>
      <c r="C59" s="218"/>
      <c r="D59" s="123" t="s">
        <v>254</v>
      </c>
      <c r="E59" s="165"/>
      <c r="F59" s="165"/>
      <c r="G59" s="165"/>
      <c r="H59" s="165"/>
      <c r="I59" s="25" t="s">
        <v>204</v>
      </c>
    </row>
    <row r="60" spans="1:14" ht="33" customHeight="1" x14ac:dyDescent="0.25">
      <c r="A60" s="122" t="s">
        <v>48</v>
      </c>
      <c r="B60" s="122"/>
      <c r="C60" s="122"/>
      <c r="D60" s="121" t="s">
        <v>248</v>
      </c>
      <c r="E60" s="121"/>
      <c r="F60" s="121"/>
      <c r="G60" s="121"/>
      <c r="H60" s="121"/>
      <c r="J60" s="26"/>
      <c r="K60" s="24"/>
      <c r="N60" s="24"/>
    </row>
    <row r="61" spans="1:14" ht="15.75" customHeight="1" x14ac:dyDescent="0.25">
      <c r="A61" s="122" t="s">
        <v>92</v>
      </c>
      <c r="B61" s="122"/>
      <c r="C61" s="122"/>
      <c r="D61" s="184" t="str">
        <f>(IF(G53="NA","60 Years After Completion",IF(G53&lt;&gt;"NA",""&amp;60-ROUNDDOWN((E3-G53)/360,0)&amp;" Years"," ")))</f>
        <v>60 Years After Completion</v>
      </c>
      <c r="E61" s="184"/>
      <c r="F61" s="184"/>
      <c r="G61" s="184"/>
      <c r="H61" s="184"/>
      <c r="I61" s="75"/>
      <c r="N61" s="24"/>
    </row>
    <row r="62" spans="1:14" ht="15.75" customHeight="1" x14ac:dyDescent="0.25">
      <c r="A62" s="122" t="s">
        <v>93</v>
      </c>
      <c r="B62" s="122"/>
      <c r="C62" s="122"/>
      <c r="D62" s="121" t="s">
        <v>24</v>
      </c>
      <c r="E62" s="121"/>
      <c r="F62" s="121"/>
      <c r="G62" s="121"/>
      <c r="H62" s="121"/>
      <c r="I62" s="93"/>
      <c r="J62" s="27"/>
      <c r="K62" s="27"/>
    </row>
    <row r="63" spans="1:14" ht="15" hidden="1" customHeight="1" x14ac:dyDescent="0.25">
      <c r="A63" s="122" t="s">
        <v>79</v>
      </c>
      <c r="B63" s="122"/>
      <c r="C63" s="122"/>
      <c r="D63" s="123" t="s">
        <v>158</v>
      </c>
      <c r="E63" s="121"/>
      <c r="F63" s="121"/>
      <c r="G63" s="121"/>
      <c r="H63" s="121"/>
      <c r="I63" s="93"/>
    </row>
    <row r="64" spans="1:14" x14ac:dyDescent="0.25">
      <c r="A64" s="121" t="s">
        <v>159</v>
      </c>
      <c r="B64" s="121"/>
      <c r="C64" s="121"/>
      <c r="D64" s="121" t="s">
        <v>30</v>
      </c>
      <c r="E64" s="121"/>
      <c r="F64" s="121"/>
      <c r="G64" s="121"/>
      <c r="H64" s="121"/>
      <c r="I64" s="93"/>
      <c r="J64" s="28"/>
      <c r="K64" s="28"/>
      <c r="L64" s="28"/>
      <c r="M64" s="28"/>
      <c r="N64" s="28"/>
    </row>
    <row r="65" spans="1:10" ht="15.75" customHeight="1" x14ac:dyDescent="0.25">
      <c r="A65" s="122" t="s">
        <v>91</v>
      </c>
      <c r="B65" s="122"/>
      <c r="C65" s="122"/>
      <c r="D65" s="123" t="str">
        <f ca="1">(IF(G71&gt;95%,"Nothing",IF(G71&gt;0%,"Cement, Aggregate, Steel, etc",IF(G71=0%,"Work not yet Started"))))</f>
        <v>Cement, Aggregate, Steel, etc</v>
      </c>
      <c r="E65" s="123"/>
      <c r="F65" s="123"/>
      <c r="G65" s="123"/>
      <c r="H65" s="123"/>
      <c r="I65" s="93"/>
      <c r="J65" s="27"/>
    </row>
    <row r="66" spans="1:10" ht="33.75" customHeight="1" thickBot="1" x14ac:dyDescent="0.3">
      <c r="A66" s="121" t="s">
        <v>123</v>
      </c>
      <c r="B66" s="121"/>
      <c r="C66" s="121"/>
      <c r="D66" s="123" t="str">
        <f ca="1">(IF(D65="Nothing","Yes",IF(D65="Cement, Aggregate, Steel, etc","Under Construction",IF(D65="Work not yet Started","Work not yet Started"))))</f>
        <v>Under Construction</v>
      </c>
      <c r="E66" s="123"/>
      <c r="F66" s="123" t="str">
        <f ca="1">(IF(D65="Nothing","Yes",IF(D65="Cement, Aggregate, Steel, etc","Under Construction",IF(D65="Work not yet Started","Work not yet Started"))))</f>
        <v>Under Construction</v>
      </c>
      <c r="G66" s="123"/>
      <c r="H66" s="123"/>
      <c r="I66" s="94"/>
    </row>
    <row r="67" spans="1:10" x14ac:dyDescent="0.25">
      <c r="A67" s="194" t="s">
        <v>148</v>
      </c>
      <c r="B67" s="194"/>
      <c r="C67" s="194" t="s">
        <v>249</v>
      </c>
      <c r="D67" s="194"/>
      <c r="E67" s="194"/>
      <c r="F67" s="194"/>
      <c r="G67" s="194"/>
      <c r="H67" s="194"/>
      <c r="I67" s="9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21 Floor, Flooring upto 12 Floor, Painting upto 5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21 Floor, Flooring upto 12 Floor, Painting upto 5 Floor</v>
      </c>
    </row>
    <row r="68" spans="1:10" x14ac:dyDescent="0.25">
      <c r="A68" s="89" t="s">
        <v>150</v>
      </c>
      <c r="B68" s="89">
        <v>3</v>
      </c>
      <c r="C68" s="89" t="s">
        <v>76</v>
      </c>
      <c r="D68" s="89">
        <v>1</v>
      </c>
      <c r="E68" s="89" t="s">
        <v>75</v>
      </c>
      <c r="F68" s="89">
        <v>0</v>
      </c>
      <c r="G68" s="89" t="s">
        <v>85</v>
      </c>
      <c r="H68" s="89">
        <f ca="1">--TRIM(RIGHT(SUBSTITUTE(LEFT(C67,_xlfn.AGGREGATE(16,6,FIND({0,1,2,3,4,5,6,7,8,9},C67,ROW(INDIRECT("1:"&amp;LEN(C67)))),1))," ",REPT(" ",LEN(C67))),LEN(C67)))</f>
        <v>23</v>
      </c>
      <c r="I68" s="9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75" customHeight="1" x14ac:dyDescent="0.25">
      <c r="A69" s="193" t="s">
        <v>95</v>
      </c>
      <c r="B69" s="166"/>
      <c r="C69" s="194" t="str">
        <f ca="1">I67</f>
        <v>Excavation, Plinth, RCC Slab, Brickwork, Internal Plaster Completed, External Plaster upto 21 Floor, Flooring upto 12 Floor, Painting upto 5 Floor Completed</v>
      </c>
      <c r="D69" s="194"/>
      <c r="E69" s="194"/>
      <c r="F69" s="194"/>
      <c r="G69" s="194"/>
      <c r="H69" s="195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124" t="s">
        <v>52</v>
      </c>
      <c r="B70" s="125"/>
      <c r="C70" s="62" t="s">
        <v>147</v>
      </c>
      <c r="D70" s="62" t="s">
        <v>88</v>
      </c>
      <c r="E70" s="125" t="s">
        <v>90</v>
      </c>
      <c r="F70" s="125"/>
      <c r="G70" s="125" t="s">
        <v>89</v>
      </c>
      <c r="H70" s="126"/>
      <c r="I70" s="16" t="s">
        <v>149</v>
      </c>
      <c r="J70" s="29">
        <f ca="1">H68*25%</f>
        <v>5.75</v>
      </c>
    </row>
    <row r="71" spans="1:10" x14ac:dyDescent="0.25">
      <c r="A71" s="124" t="s">
        <v>136</v>
      </c>
      <c r="B71" s="125"/>
      <c r="C71" s="62">
        <f ca="1">J72</f>
        <v>23</v>
      </c>
      <c r="D71" s="63">
        <f ca="1">((100/H68)*C71)/100</f>
        <v>1</v>
      </c>
      <c r="E71" s="129">
        <f ca="1">(((C72/H68*10)+(40/(D68+F68+H68)*C73)+(7.5/(H68)*C74)+(7.5/(H68)*C75)+(10/H68*C76)+(10/H68*C77)+(5/H68*C78)+(5/H68*C79)+(5/H68*C80))/100)</f>
        <v>0.80434782608695643</v>
      </c>
      <c r="F71" s="130"/>
      <c r="G71" s="129">
        <f ca="1">((((C71/H68)*20)+((C72/H68)*25)+(30/(H68+F68+D68)*C73)+(5/H68*C74)+(5/H68*C75)+(5/H68*C76)+(5/H68*C77)+(0/H68*C78)+(0/H68*C79)+(5/H68*C80))/100)</f>
        <v>0.92173913043478251</v>
      </c>
      <c r="H71" s="135"/>
      <c r="I71" s="16" t="s">
        <v>105</v>
      </c>
      <c r="J71" s="30">
        <f ca="1">H68*50%</f>
        <v>11.5</v>
      </c>
    </row>
    <row r="72" spans="1:10" x14ac:dyDescent="0.25">
      <c r="A72" s="124" t="s">
        <v>53</v>
      </c>
      <c r="B72" s="125"/>
      <c r="C72" s="66">
        <f ca="1">J80</f>
        <v>23</v>
      </c>
      <c r="D72" s="63">
        <f ca="1">((100/H68)*C72)/100</f>
        <v>1</v>
      </c>
      <c r="E72" s="131"/>
      <c r="F72" s="132"/>
      <c r="G72" s="131"/>
      <c r="H72" s="136"/>
      <c r="I72" s="16" t="s">
        <v>106</v>
      </c>
      <c r="J72" s="30">
        <f ca="1">H68</f>
        <v>23</v>
      </c>
    </row>
    <row r="73" spans="1:10" ht="15.75" customHeight="1" x14ac:dyDescent="0.25">
      <c r="A73" s="124" t="s">
        <v>137</v>
      </c>
      <c r="B73" s="125"/>
      <c r="C73" s="62">
        <v>24</v>
      </c>
      <c r="D73" s="63">
        <f ca="1">((100/(D68+F68+H68))*C73)/100</f>
        <v>1</v>
      </c>
      <c r="E73" s="131"/>
      <c r="F73" s="132"/>
      <c r="G73" s="131"/>
      <c r="H73" s="136"/>
      <c r="I73" s="16" t="s">
        <v>107</v>
      </c>
      <c r="J73" s="31">
        <f ca="1">(IF(B68&gt;1,(H68/(B68+2)),H68/4))</f>
        <v>4.5999999999999996</v>
      </c>
    </row>
    <row r="74" spans="1:10" ht="15.75" customHeight="1" x14ac:dyDescent="0.25">
      <c r="A74" s="124" t="s">
        <v>144</v>
      </c>
      <c r="B74" s="125" t="s">
        <v>138</v>
      </c>
      <c r="C74" s="62">
        <v>23</v>
      </c>
      <c r="D74" s="63">
        <f ca="1">((100/H68)*C74)/100</f>
        <v>1</v>
      </c>
      <c r="E74" s="131"/>
      <c r="F74" s="132"/>
      <c r="G74" s="131"/>
      <c r="H74" s="136"/>
      <c r="I74" s="16" t="s">
        <v>108</v>
      </c>
      <c r="J74" s="31">
        <f ca="1">(IF(B68&gt;1,(H68/(B68+2)+J73),H68/4+J73))</f>
        <v>9.1999999999999993</v>
      </c>
    </row>
    <row r="75" spans="1:10" ht="15.75" customHeight="1" x14ac:dyDescent="0.25">
      <c r="A75" s="124" t="s">
        <v>145</v>
      </c>
      <c r="B75" s="125" t="s">
        <v>138</v>
      </c>
      <c r="C75" s="62">
        <v>23</v>
      </c>
      <c r="D75" s="63">
        <f ca="1">((100/H68)*C75)/100</f>
        <v>1</v>
      </c>
      <c r="E75" s="131"/>
      <c r="F75" s="132"/>
      <c r="G75" s="131"/>
      <c r="H75" s="136"/>
      <c r="I75" s="16" t="s">
        <v>156</v>
      </c>
      <c r="J75" s="31">
        <f ca="1">(IF(B68&gt;1,(H68/(B68+2)+J74),0))</f>
        <v>13.799999999999999</v>
      </c>
    </row>
    <row r="76" spans="1:10" ht="15" customHeight="1" x14ac:dyDescent="0.25">
      <c r="A76" s="124" t="s">
        <v>143</v>
      </c>
      <c r="B76" s="125" t="s">
        <v>140</v>
      </c>
      <c r="C76" s="62">
        <v>21</v>
      </c>
      <c r="D76" s="63">
        <f ca="1">((100/(H68))*C76)/100</f>
        <v>0.91304347826086951</v>
      </c>
      <c r="E76" s="131"/>
      <c r="F76" s="132"/>
      <c r="G76" s="131"/>
      <c r="H76" s="136"/>
      <c r="I76" s="16" t="s">
        <v>151</v>
      </c>
      <c r="J76" s="31">
        <f ca="1">(IF(B68&gt;2,(H68/(B68+2)+J75),0))</f>
        <v>18.399999999999999</v>
      </c>
    </row>
    <row r="77" spans="1:10" ht="15.75" customHeight="1" x14ac:dyDescent="0.25">
      <c r="A77" s="124" t="s">
        <v>139</v>
      </c>
      <c r="B77" s="125" t="s">
        <v>139</v>
      </c>
      <c r="C77" s="62">
        <v>12</v>
      </c>
      <c r="D77" s="63">
        <f ca="1">((100/H68)*C77)/100</f>
        <v>0.52173913043478259</v>
      </c>
      <c r="E77" s="131"/>
      <c r="F77" s="132"/>
      <c r="G77" s="131"/>
      <c r="H77" s="136"/>
      <c r="I77" s="16" t="s">
        <v>152</v>
      </c>
      <c r="J77" s="32">
        <f>(IF(B68&gt;3,(H68/(B68+2)+J76),0))</f>
        <v>0</v>
      </c>
    </row>
    <row r="78" spans="1:10" ht="15.75" customHeight="1" x14ac:dyDescent="0.25">
      <c r="A78" s="124" t="s">
        <v>146</v>
      </c>
      <c r="B78" s="125"/>
      <c r="C78" s="62">
        <v>5</v>
      </c>
      <c r="D78" s="63">
        <f ca="1">((100/H68)*C78)/100</f>
        <v>0.21739130434782608</v>
      </c>
      <c r="E78" s="131"/>
      <c r="F78" s="132"/>
      <c r="G78" s="131"/>
      <c r="H78" s="136"/>
      <c r="I78" s="16" t="s">
        <v>153</v>
      </c>
      <c r="J78" s="31">
        <f>(IF(B68&gt;4,(H68/(B68+2)+J77),0))</f>
        <v>0</v>
      </c>
    </row>
    <row r="79" spans="1:10" ht="15.75" customHeight="1" x14ac:dyDescent="0.25">
      <c r="A79" s="124" t="s">
        <v>141</v>
      </c>
      <c r="B79" s="125" t="s">
        <v>141</v>
      </c>
      <c r="C79" s="62">
        <v>0</v>
      </c>
      <c r="D79" s="63">
        <f ca="1">((100/(H68))*C79)/100</f>
        <v>0</v>
      </c>
      <c r="E79" s="131"/>
      <c r="F79" s="132"/>
      <c r="G79" s="131"/>
      <c r="H79" s="136"/>
      <c r="I79" s="16" t="s">
        <v>157</v>
      </c>
      <c r="J79" s="31">
        <f>(IF(B68=1,(H68/(B68+3)+J74),IF(B68=0,(H68/4+J74),IF(B68&gt;1,0))))</f>
        <v>0</v>
      </c>
    </row>
    <row r="80" spans="1:10" ht="16.5" thickBot="1" x14ac:dyDescent="0.3">
      <c r="A80" s="138" t="s">
        <v>142</v>
      </c>
      <c r="B80" s="139"/>
      <c r="C80" s="64">
        <v>0</v>
      </c>
      <c r="D80" s="65">
        <f ca="1">((100/(H68))*C80)/100</f>
        <v>0</v>
      </c>
      <c r="E80" s="133"/>
      <c r="F80" s="134"/>
      <c r="G80" s="133"/>
      <c r="H80" s="137"/>
      <c r="I80" s="17" t="s">
        <v>109</v>
      </c>
      <c r="J80" s="33">
        <f ca="1">(IF(B68&gt;1.5,(H68/(B68+2)+J74+MAX(0,J75-J74)+MAX(0,J76-J75)+MAX(0,J77-J76)+MAX(0,J78-J77)+MAX(0,J79-J78)),IF(B68=1,(H68/(B68+3)+J79),IF(B68=0,H68/4+J79))))</f>
        <v>23</v>
      </c>
    </row>
    <row r="81" spans="1:10" x14ac:dyDescent="0.25">
      <c r="A81" s="219" t="s">
        <v>148</v>
      </c>
      <c r="B81" s="220"/>
      <c r="C81" s="221" t="s">
        <v>253</v>
      </c>
      <c r="D81" s="222"/>
      <c r="E81" s="222"/>
      <c r="F81" s="222"/>
      <c r="G81" s="222"/>
      <c r="H81" s="223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21 Floor, Flooring upto 10 Floor, Painting upto 2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21 Floor, Flooring upto 10 Floor, Painting upto 2 Floor</v>
      </c>
    </row>
    <row r="82" spans="1:10" x14ac:dyDescent="0.25">
      <c r="A82" s="18" t="s">
        <v>150</v>
      </c>
      <c r="B82" s="86">
        <v>3</v>
      </c>
      <c r="C82" s="86" t="s">
        <v>76</v>
      </c>
      <c r="D82" s="86">
        <v>1</v>
      </c>
      <c r="E82" s="86" t="s">
        <v>75</v>
      </c>
      <c r="F82" s="86">
        <v>0</v>
      </c>
      <c r="G82" s="86" t="s">
        <v>85</v>
      </c>
      <c r="H82" s="19">
        <f ca="1">--TRIM(RIGHT(SUBSTITUTE(LEFT(C81,_xlfn.AGGREGATE(16,6,FIND({0,1,2,3,4,5,6,7,8,9},C81,ROW(INDIRECT("1:"&amp;LEN(C81)))),1))," ",REPT(" ",LEN(C81))),LEN(C81)))</f>
        <v>23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customHeight="1" x14ac:dyDescent="0.25">
      <c r="A83" s="193" t="s">
        <v>95</v>
      </c>
      <c r="B83" s="166"/>
      <c r="C83" s="194" t="str">
        <f ca="1">I81</f>
        <v>Excavation, Plinth, RCC Slab, Brickwork, Internal Plaster Completed, External Plaster upto 21 Floor, Flooring upto 10 Floor, Painting upto 2 Floor Completed</v>
      </c>
      <c r="D83" s="194"/>
      <c r="E83" s="194"/>
      <c r="F83" s="194"/>
      <c r="G83" s="194"/>
      <c r="H83" s="195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25">
      <c r="A84" s="124" t="s">
        <v>52</v>
      </c>
      <c r="B84" s="125"/>
      <c r="C84" s="84" t="s">
        <v>147</v>
      </c>
      <c r="D84" s="84" t="s">
        <v>88</v>
      </c>
      <c r="E84" s="125" t="s">
        <v>90</v>
      </c>
      <c r="F84" s="125"/>
      <c r="G84" s="125" t="s">
        <v>89</v>
      </c>
      <c r="H84" s="126"/>
      <c r="I84" s="16" t="s">
        <v>149</v>
      </c>
      <c r="J84" s="29">
        <f ca="1">H82*25%</f>
        <v>5.75</v>
      </c>
    </row>
    <row r="85" spans="1:10" x14ac:dyDescent="0.25">
      <c r="A85" s="124" t="s">
        <v>136</v>
      </c>
      <c r="B85" s="125"/>
      <c r="C85" s="84">
        <f ca="1">J86</f>
        <v>23</v>
      </c>
      <c r="D85" s="63">
        <f ca="1">((100/H82)*C85)/100</f>
        <v>1</v>
      </c>
      <c r="E85" s="129">
        <f ca="1">(((C86/H82*10)+(40/(D82+F82+H82)*C87)+(7.5/(H82)*C88)+(7.5/(H82)*C89)+(10/H82*C90)+(10/H82*C91)+(5/H82*C92)+(5/H82*C93)+(5/H82*C94))/100)</f>
        <v>0.78913043478260858</v>
      </c>
      <c r="F85" s="130"/>
      <c r="G85" s="129">
        <f ca="1">((((C85/H82)*20)+((C86/H82)*25)+(30/(H82+F82+D82)*C87)+(5/H82*C88)+(5/H82*C89)+(5/H82*C90)+(5/H82*C91)+(0/H82*C92)+(0/H82*C93)+(5/H82*C94))/100)</f>
        <v>0.91739130434782612</v>
      </c>
      <c r="H85" s="135"/>
      <c r="I85" s="16" t="s">
        <v>105</v>
      </c>
      <c r="J85" s="30">
        <f ca="1">H82*50%</f>
        <v>11.5</v>
      </c>
    </row>
    <row r="86" spans="1:10" x14ac:dyDescent="0.25">
      <c r="A86" s="124" t="s">
        <v>53</v>
      </c>
      <c r="B86" s="125"/>
      <c r="C86" s="66">
        <f ca="1">J94</f>
        <v>23</v>
      </c>
      <c r="D86" s="63">
        <f ca="1">((100/H82)*C86)/100</f>
        <v>1</v>
      </c>
      <c r="E86" s="131"/>
      <c r="F86" s="132"/>
      <c r="G86" s="131"/>
      <c r="H86" s="136"/>
      <c r="I86" s="16" t="s">
        <v>106</v>
      </c>
      <c r="J86" s="30">
        <f ca="1">H82</f>
        <v>23</v>
      </c>
    </row>
    <row r="87" spans="1:10" ht="15.75" customHeight="1" x14ac:dyDescent="0.25">
      <c r="A87" s="124" t="s">
        <v>137</v>
      </c>
      <c r="B87" s="125"/>
      <c r="C87" s="87">
        <v>24</v>
      </c>
      <c r="D87" s="63">
        <f ca="1">((100/(D82+F82+H82))*C87)/100</f>
        <v>1</v>
      </c>
      <c r="E87" s="131"/>
      <c r="F87" s="132"/>
      <c r="G87" s="131"/>
      <c r="H87" s="136"/>
      <c r="I87" s="16" t="s">
        <v>107</v>
      </c>
      <c r="J87" s="31">
        <f ca="1">(IF(B82&gt;1,(H82/(B82+2)),H82/4))</f>
        <v>4.5999999999999996</v>
      </c>
    </row>
    <row r="88" spans="1:10" ht="15.75" customHeight="1" x14ac:dyDescent="0.25">
      <c r="A88" s="124" t="s">
        <v>144</v>
      </c>
      <c r="B88" s="125" t="s">
        <v>138</v>
      </c>
      <c r="C88" s="87">
        <v>23</v>
      </c>
      <c r="D88" s="63">
        <f ca="1">((100/H82)*C88)/100</f>
        <v>1</v>
      </c>
      <c r="E88" s="131"/>
      <c r="F88" s="132"/>
      <c r="G88" s="131"/>
      <c r="H88" s="136"/>
      <c r="I88" s="16" t="s">
        <v>108</v>
      </c>
      <c r="J88" s="31">
        <f ca="1">(IF(B82&gt;1,(H82/(B82+2)+J87),H82/4+J87))</f>
        <v>9.1999999999999993</v>
      </c>
    </row>
    <row r="89" spans="1:10" ht="15.75" customHeight="1" x14ac:dyDescent="0.25">
      <c r="A89" s="124" t="s">
        <v>145</v>
      </c>
      <c r="B89" s="125" t="s">
        <v>138</v>
      </c>
      <c r="C89" s="87">
        <v>23</v>
      </c>
      <c r="D89" s="63">
        <f ca="1">((100/H82)*C89)/100</f>
        <v>1</v>
      </c>
      <c r="E89" s="131"/>
      <c r="F89" s="132"/>
      <c r="G89" s="131"/>
      <c r="H89" s="136"/>
      <c r="I89" s="16" t="s">
        <v>156</v>
      </c>
      <c r="J89" s="31">
        <f ca="1">(IF(B82&gt;1,(H82/(B82+2)+J88),0))</f>
        <v>13.799999999999999</v>
      </c>
    </row>
    <row r="90" spans="1:10" ht="15" customHeight="1" x14ac:dyDescent="0.25">
      <c r="A90" s="124" t="s">
        <v>143</v>
      </c>
      <c r="B90" s="125" t="s">
        <v>140</v>
      </c>
      <c r="C90" s="87">
        <v>21</v>
      </c>
      <c r="D90" s="63">
        <f ca="1">((100/(H82))*C90)/100</f>
        <v>0.91304347826086951</v>
      </c>
      <c r="E90" s="131"/>
      <c r="F90" s="132"/>
      <c r="G90" s="131"/>
      <c r="H90" s="136"/>
      <c r="I90" s="16" t="s">
        <v>151</v>
      </c>
      <c r="J90" s="31">
        <f ca="1">(IF(B82&gt;2,(H82/(B82+2)+J89),0))</f>
        <v>18.399999999999999</v>
      </c>
    </row>
    <row r="91" spans="1:10" ht="15.75" customHeight="1" x14ac:dyDescent="0.25">
      <c r="A91" s="124" t="s">
        <v>139</v>
      </c>
      <c r="B91" s="125" t="s">
        <v>139</v>
      </c>
      <c r="C91" s="87">
        <v>10</v>
      </c>
      <c r="D91" s="63">
        <f ca="1">((100/H82)*C91)/100</f>
        <v>0.43478260869565216</v>
      </c>
      <c r="E91" s="131"/>
      <c r="F91" s="132"/>
      <c r="G91" s="131"/>
      <c r="H91" s="136"/>
      <c r="I91" s="16" t="s">
        <v>152</v>
      </c>
      <c r="J91" s="32">
        <f>(IF(B82&gt;3,(H82/(B82+2)+J90),0))</f>
        <v>0</v>
      </c>
    </row>
    <row r="92" spans="1:10" ht="15.75" customHeight="1" x14ac:dyDescent="0.25">
      <c r="A92" s="124" t="s">
        <v>146</v>
      </c>
      <c r="B92" s="125"/>
      <c r="C92" s="84">
        <v>2</v>
      </c>
      <c r="D92" s="63">
        <f ca="1">((100/H82)*C92)/100</f>
        <v>8.6956521739130432E-2</v>
      </c>
      <c r="E92" s="131"/>
      <c r="F92" s="132"/>
      <c r="G92" s="131"/>
      <c r="H92" s="136"/>
      <c r="I92" s="16" t="s">
        <v>153</v>
      </c>
      <c r="J92" s="31">
        <f>(IF(B82&gt;4,(H82/(B82+2)+J91),0))</f>
        <v>0</v>
      </c>
    </row>
    <row r="93" spans="1:10" ht="15.75" customHeight="1" x14ac:dyDescent="0.25">
      <c r="A93" s="124" t="s">
        <v>141</v>
      </c>
      <c r="B93" s="125" t="s">
        <v>141</v>
      </c>
      <c r="C93" s="84">
        <v>0</v>
      </c>
      <c r="D93" s="63">
        <f ca="1">((100/(H82))*C93)/100</f>
        <v>0</v>
      </c>
      <c r="E93" s="131"/>
      <c r="F93" s="132"/>
      <c r="G93" s="131"/>
      <c r="H93" s="136"/>
      <c r="I93" s="16" t="s">
        <v>157</v>
      </c>
      <c r="J93" s="31">
        <f>(IF(B82=1,(H82/(B82+3)+J88),IF(B82=0,(H82/4+J88),IF(B82&gt;1,0))))</f>
        <v>0</v>
      </c>
    </row>
    <row r="94" spans="1:10" ht="16.5" thickBot="1" x14ac:dyDescent="0.3">
      <c r="A94" s="138" t="s">
        <v>142</v>
      </c>
      <c r="B94" s="139"/>
      <c r="C94" s="85">
        <v>0</v>
      </c>
      <c r="D94" s="65">
        <f ca="1">((100/(H82))*C94)/100</f>
        <v>0</v>
      </c>
      <c r="E94" s="133"/>
      <c r="F94" s="134"/>
      <c r="G94" s="133"/>
      <c r="H94" s="137"/>
      <c r="I94" s="17" t="s">
        <v>109</v>
      </c>
      <c r="J94" s="33">
        <f ca="1">(IF(B82&gt;1.5,(H82/(B82+2)+J88+MAX(0,J89-J88)+MAX(0,J90-J89)+MAX(0,J91-J90)+MAX(0,J92-J91)+MAX(0,J93-J92)),IF(B82=1,(H82/(B82+3)+J93),IF(B82=0,H82/4+J93))))</f>
        <v>23</v>
      </c>
    </row>
    <row r="95" spans="1:10" x14ac:dyDescent="0.25">
      <c r="A95" s="219" t="s">
        <v>148</v>
      </c>
      <c r="B95" s="220"/>
      <c r="C95" s="221" t="str">
        <f>D59</f>
        <v xml:space="preserve">Centonic (C Wing) = 3B + Gr + 1st to 22nd Floor
</v>
      </c>
      <c r="D95" s="222"/>
      <c r="E95" s="222"/>
      <c r="F95" s="222"/>
      <c r="G95" s="222"/>
      <c r="H95" s="223"/>
      <c r="I95" s="48" t="str">
        <f ca="1">IF(D108=100%,"All work Completed. Possession granted to the Building.",IF(D107=100%,"All work Completed, Waiting for OC",I96&amp;""&amp;I97&amp;""&amp;J96&amp;""&amp;J95&amp;" "&amp;J97))</f>
        <v>Excavation, Plinth, RCC Slab, Brickwork, Internal Plaster Completed, External Plaster upto 15 Floor, Flooring upto 9 Floor, Painting upto 5 Floor Completed</v>
      </c>
      <c r="J95" s="49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External Plaster upto 15 Floor, Flooring upto 9 Floor, Painting upto 5 Floor</v>
      </c>
    </row>
    <row r="96" spans="1:10" x14ac:dyDescent="0.25">
      <c r="A96" s="18" t="s">
        <v>150</v>
      </c>
      <c r="B96" s="78">
        <v>3</v>
      </c>
      <c r="C96" s="78" t="s">
        <v>76</v>
      </c>
      <c r="D96" s="78">
        <v>1</v>
      </c>
      <c r="E96" s="78" t="s">
        <v>75</v>
      </c>
      <c r="F96" s="78">
        <v>0</v>
      </c>
      <c r="G96" s="78" t="s">
        <v>85</v>
      </c>
      <c r="H96" s="19">
        <f ca="1">--TRIM(RIGHT(SUBSTITUTE(LEFT(C95,_xlfn.AGGREGATE(16,6,FIND({0,1,2,3,4,5,6,7,8,9},C95,ROW(INDIRECT("1:"&amp;LEN(C95)))),1))," ",REPT(" ",LEN(C95))),LEN(C95)))</f>
        <v>22</v>
      </c>
      <c r="I96" s="50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</v>
      </c>
      <c r="J96" s="51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3" ht="33.75" customHeight="1" x14ac:dyDescent="0.25">
      <c r="A97" s="166" t="s">
        <v>95</v>
      </c>
      <c r="B97" s="166"/>
      <c r="C97" s="194" t="str">
        <f ca="1">I95</f>
        <v>Excavation, Plinth, RCC Slab, Brickwork, Internal Plaster Completed, External Plaster upto 15 Floor, Flooring upto 9 Floor, Painting upto 5 Floor Completed</v>
      </c>
      <c r="D97" s="194"/>
      <c r="E97" s="194"/>
      <c r="F97" s="194"/>
      <c r="G97" s="194"/>
      <c r="H97" s="194"/>
      <c r="I97" s="92" t="str">
        <f ca="1">IF(I96&lt;&gt;""," Completed","")</f>
        <v xml:space="preserve"> Completed</v>
      </c>
      <c r="J97" s="51" t="str">
        <f ca="1">IF(J95&lt;&gt;"","Completed","")</f>
        <v>Completed</v>
      </c>
    </row>
    <row r="98" spans="1:13" ht="15.75" customHeight="1" x14ac:dyDescent="0.25">
      <c r="A98" s="125" t="s">
        <v>52</v>
      </c>
      <c r="B98" s="125"/>
      <c r="C98" s="90" t="s">
        <v>147</v>
      </c>
      <c r="D98" s="90" t="s">
        <v>88</v>
      </c>
      <c r="E98" s="125" t="s">
        <v>90</v>
      </c>
      <c r="F98" s="125"/>
      <c r="G98" s="125" t="s">
        <v>89</v>
      </c>
      <c r="H98" s="125"/>
      <c r="I98" s="16" t="s">
        <v>149</v>
      </c>
      <c r="J98" s="29">
        <f ca="1">H96*25%</f>
        <v>5.5</v>
      </c>
    </row>
    <row r="99" spans="1:13" x14ac:dyDescent="0.25">
      <c r="A99" s="125" t="s">
        <v>136</v>
      </c>
      <c r="B99" s="125"/>
      <c r="C99" s="90">
        <f ca="1">J100</f>
        <v>22</v>
      </c>
      <c r="D99" s="63">
        <f ca="1">((100/H96)*C99)/100</f>
        <v>1.0000000000000002</v>
      </c>
      <c r="E99" s="224">
        <f ca="1">(((C100/H96*10)+(40/(D96+F96+H96)*C101)+(7.5/(H96)*C102)+(7.5/(H96)*C103)+(10/H96*C104)+(10/H96*C105)+(5/H96*C106)+(5/H96*C107)+(5/H96*C108))/100)</f>
        <v>0.7704545454545455</v>
      </c>
      <c r="F99" s="224"/>
      <c r="G99" s="224">
        <f ca="1">((((C99/H96)*20)+((C100/H96)*25)+(30/(H96+F96+D96)*C101)+(5/H96*C102)+(5/H96*C103)+(5/H96*C104)+(5/H96*C105)+(0/H96*C106)+(0/H96*C107)+(5/H96*C108))/100)</f>
        <v>0.90454545454545454</v>
      </c>
      <c r="H99" s="224"/>
      <c r="I99" s="16" t="s">
        <v>105</v>
      </c>
      <c r="J99" s="30">
        <f ca="1">H96*50%</f>
        <v>11</v>
      </c>
    </row>
    <row r="100" spans="1:13" x14ac:dyDescent="0.25">
      <c r="A100" s="125" t="s">
        <v>53</v>
      </c>
      <c r="B100" s="125"/>
      <c r="C100" s="66">
        <f ca="1">J108</f>
        <v>22</v>
      </c>
      <c r="D100" s="63">
        <f ca="1">((100/H96)*C100)/100</f>
        <v>1.0000000000000002</v>
      </c>
      <c r="E100" s="224"/>
      <c r="F100" s="224"/>
      <c r="G100" s="224"/>
      <c r="H100" s="224"/>
      <c r="I100" s="16" t="s">
        <v>106</v>
      </c>
      <c r="J100" s="30">
        <f ca="1">H96</f>
        <v>22</v>
      </c>
    </row>
    <row r="101" spans="1:13" ht="15.75" customHeight="1" x14ac:dyDescent="0.25">
      <c r="A101" s="125" t="s">
        <v>137</v>
      </c>
      <c r="B101" s="125"/>
      <c r="C101" s="90">
        <v>23</v>
      </c>
      <c r="D101" s="63">
        <f ca="1">((100/(D96+F96+H96))*C101)/100</f>
        <v>1</v>
      </c>
      <c r="E101" s="224"/>
      <c r="F101" s="224"/>
      <c r="G101" s="224"/>
      <c r="H101" s="224"/>
      <c r="I101" s="16" t="s">
        <v>107</v>
      </c>
      <c r="J101" s="31">
        <f ca="1">(IF(B96&gt;1,(H96/(B96+2)),H96/4))</f>
        <v>4.4000000000000004</v>
      </c>
    </row>
    <row r="102" spans="1:13" ht="15.75" customHeight="1" x14ac:dyDescent="0.25">
      <c r="A102" s="125" t="s">
        <v>144</v>
      </c>
      <c r="B102" s="125" t="s">
        <v>138</v>
      </c>
      <c r="C102" s="90">
        <v>22</v>
      </c>
      <c r="D102" s="63">
        <f ca="1">((100/H96)*C102)/100</f>
        <v>1.0000000000000002</v>
      </c>
      <c r="E102" s="224"/>
      <c r="F102" s="224"/>
      <c r="G102" s="224"/>
      <c r="H102" s="224"/>
      <c r="I102" s="16" t="s">
        <v>108</v>
      </c>
      <c r="J102" s="31">
        <f ca="1">(IF(B96&gt;1,(H96/(B96+2)+J101),H96/4+J101))</f>
        <v>8.8000000000000007</v>
      </c>
    </row>
    <row r="103" spans="1:13" ht="15.75" customHeight="1" x14ac:dyDescent="0.25">
      <c r="A103" s="125" t="s">
        <v>145</v>
      </c>
      <c r="B103" s="125" t="s">
        <v>138</v>
      </c>
      <c r="C103" s="90">
        <v>22</v>
      </c>
      <c r="D103" s="63">
        <f ca="1">((100/H96)*C103)/100</f>
        <v>1.0000000000000002</v>
      </c>
      <c r="E103" s="224"/>
      <c r="F103" s="224"/>
      <c r="G103" s="224"/>
      <c r="H103" s="224"/>
      <c r="I103" s="16" t="s">
        <v>156</v>
      </c>
      <c r="J103" s="31">
        <f ca="1">(IF(B96&gt;1,(H96/(B96+2)+J102),0))</f>
        <v>13.200000000000001</v>
      </c>
    </row>
    <row r="104" spans="1:13" ht="15" customHeight="1" x14ac:dyDescent="0.25">
      <c r="A104" s="125" t="s">
        <v>251</v>
      </c>
      <c r="B104" s="125" t="s">
        <v>140</v>
      </c>
      <c r="C104" s="90">
        <v>15</v>
      </c>
      <c r="D104" s="63">
        <f ca="1">((100/(H96))*C104)/100</f>
        <v>0.68181818181818188</v>
      </c>
      <c r="E104" s="224"/>
      <c r="F104" s="224"/>
      <c r="G104" s="224"/>
      <c r="H104" s="224"/>
      <c r="I104" s="16" t="s">
        <v>151</v>
      </c>
      <c r="J104" s="31">
        <f ca="1">(IF(B96&gt;2,(H96/(B96+2)+J103),0))</f>
        <v>17.600000000000001</v>
      </c>
    </row>
    <row r="105" spans="1:13" ht="15.75" customHeight="1" x14ac:dyDescent="0.25">
      <c r="A105" s="125" t="s">
        <v>139</v>
      </c>
      <c r="B105" s="125" t="s">
        <v>139</v>
      </c>
      <c r="C105" s="90">
        <v>9</v>
      </c>
      <c r="D105" s="63">
        <f ca="1">((100/H96)*C105)/100</f>
        <v>0.40909090909090912</v>
      </c>
      <c r="E105" s="224"/>
      <c r="F105" s="224"/>
      <c r="G105" s="224"/>
      <c r="H105" s="224"/>
      <c r="I105" s="16" t="s">
        <v>152</v>
      </c>
      <c r="J105" s="32">
        <f>(IF(B96&gt;3,(H96/(B96+2)+J104),0))</f>
        <v>0</v>
      </c>
    </row>
    <row r="106" spans="1:13" ht="15.75" customHeight="1" x14ac:dyDescent="0.25">
      <c r="A106" s="125" t="s">
        <v>146</v>
      </c>
      <c r="B106" s="125"/>
      <c r="C106" s="90">
        <v>5</v>
      </c>
      <c r="D106" s="63">
        <f ca="1">((100/H96)*C106)/100</f>
        <v>0.22727272727272729</v>
      </c>
      <c r="E106" s="224"/>
      <c r="F106" s="224"/>
      <c r="G106" s="224"/>
      <c r="H106" s="224"/>
      <c r="I106" s="16" t="s">
        <v>153</v>
      </c>
      <c r="J106" s="31">
        <f>(IF(B96&gt;4,(H96/(B96+2)+J105),0))</f>
        <v>0</v>
      </c>
    </row>
    <row r="107" spans="1:13" ht="15.75" customHeight="1" x14ac:dyDescent="0.25">
      <c r="A107" s="125" t="s">
        <v>141</v>
      </c>
      <c r="B107" s="125" t="s">
        <v>141</v>
      </c>
      <c r="C107" s="90">
        <v>0</v>
      </c>
      <c r="D107" s="63">
        <f ca="1">((100/(H96))*C107)/100</f>
        <v>0</v>
      </c>
      <c r="E107" s="224"/>
      <c r="F107" s="224"/>
      <c r="G107" s="224"/>
      <c r="H107" s="224"/>
      <c r="I107" s="16" t="s">
        <v>157</v>
      </c>
      <c r="J107" s="31">
        <f>(IF(B96=1,(H96/(B96+3)+J102),IF(B96=0,(H96/4+J102),IF(B96&gt;1,0))))</f>
        <v>0</v>
      </c>
    </row>
    <row r="108" spans="1:13" ht="16.5" thickBot="1" x14ac:dyDescent="0.3">
      <c r="A108" s="125" t="s">
        <v>142</v>
      </c>
      <c r="B108" s="125"/>
      <c r="C108" s="90">
        <v>0</v>
      </c>
      <c r="D108" s="63">
        <f ca="1">((100/(H96))*C108)/100</f>
        <v>0</v>
      </c>
      <c r="E108" s="224"/>
      <c r="F108" s="224"/>
      <c r="G108" s="224"/>
      <c r="H108" s="224"/>
      <c r="I108" s="17" t="s">
        <v>109</v>
      </c>
      <c r="J108" s="33">
        <f ca="1">(IF(B96&gt;1.5,(H96/(B96+2)+J102+MAX(0,J103-J102)+MAX(0,J104-J103)+MAX(0,J105-J104)+MAX(0,J106-J105)+MAX(0,J107-J106)),IF(B96=1,(H96/(B96+3)+J107),IF(B96=0,H96/4+J107))))</f>
        <v>22</v>
      </c>
    </row>
    <row r="109" spans="1:13" x14ac:dyDescent="0.25">
      <c r="A109" s="202" t="s">
        <v>167</v>
      </c>
      <c r="B109" s="202"/>
      <c r="C109" s="202"/>
      <c r="D109" s="202"/>
      <c r="E109" s="202"/>
      <c r="F109" s="203" t="s">
        <v>169</v>
      </c>
      <c r="G109" s="203"/>
      <c r="H109" s="203"/>
    </row>
    <row r="110" spans="1:13" x14ac:dyDescent="0.25">
      <c r="A110" s="122" t="s">
        <v>168</v>
      </c>
      <c r="B110" s="122"/>
      <c r="C110" s="122"/>
      <c r="D110" s="122"/>
      <c r="E110" s="122"/>
      <c r="F110" s="148">
        <v>18800</v>
      </c>
      <c r="G110" s="148"/>
      <c r="H110" s="148"/>
      <c r="I110" s="82" t="s">
        <v>243</v>
      </c>
      <c r="J110" s="82"/>
      <c r="K110" s="82" t="s">
        <v>244</v>
      </c>
      <c r="L110" s="82" t="s">
        <v>245</v>
      </c>
      <c r="M110" s="83">
        <v>45159</v>
      </c>
    </row>
    <row r="111" spans="1:13" x14ac:dyDescent="0.25">
      <c r="A111" s="122" t="s">
        <v>222</v>
      </c>
      <c r="B111" s="122"/>
      <c r="C111" s="122"/>
      <c r="D111" s="122"/>
      <c r="E111" s="122"/>
      <c r="F111" s="148">
        <v>22000</v>
      </c>
      <c r="G111" s="148"/>
      <c r="H111" s="148"/>
    </row>
    <row r="112" spans="1:13" x14ac:dyDescent="0.25">
      <c r="A112" s="121" t="s">
        <v>223</v>
      </c>
      <c r="B112" s="121"/>
      <c r="C112" s="121"/>
      <c r="D112" s="121"/>
      <c r="E112" s="121"/>
      <c r="F112" s="148">
        <v>15500</v>
      </c>
      <c r="G112" s="148"/>
      <c r="H112" s="148"/>
    </row>
    <row r="113" spans="1:10" x14ac:dyDescent="0.25">
      <c r="A113" s="121" t="s">
        <v>246</v>
      </c>
      <c r="B113" s="121"/>
      <c r="C113" s="121"/>
      <c r="D113" s="121"/>
      <c r="E113" s="121"/>
      <c r="F113" s="148">
        <v>14000</v>
      </c>
      <c r="G113" s="148"/>
      <c r="H113" s="148"/>
    </row>
    <row r="114" spans="1:10" s="34" customFormat="1" x14ac:dyDescent="0.25">
      <c r="A114" s="122" t="s">
        <v>242</v>
      </c>
      <c r="B114" s="122"/>
      <c r="C114" s="122"/>
      <c r="D114" s="122"/>
      <c r="E114" s="122"/>
      <c r="F114" s="148">
        <v>50</v>
      </c>
      <c r="G114" s="148"/>
      <c r="H114" s="148"/>
    </row>
    <row r="115" spans="1:10" s="34" customFormat="1" x14ac:dyDescent="0.25">
      <c r="A115" s="122" t="s">
        <v>241</v>
      </c>
      <c r="B115" s="122"/>
      <c r="C115" s="122"/>
      <c r="D115" s="122"/>
      <c r="E115" s="122"/>
      <c r="F115" s="148">
        <v>1100000</v>
      </c>
      <c r="G115" s="148"/>
      <c r="H115" s="148"/>
    </row>
    <row r="116" spans="1:10" s="34" customFormat="1" hidden="1" x14ac:dyDescent="0.25">
      <c r="A116" s="122" t="s">
        <v>100</v>
      </c>
      <c r="B116" s="122"/>
      <c r="C116" s="122"/>
      <c r="D116" s="122"/>
      <c r="E116" s="122"/>
      <c r="F116" s="148"/>
      <c r="G116" s="148"/>
      <c r="H116" s="148"/>
    </row>
    <row r="117" spans="1:10" s="34" customFormat="1" hidden="1" x14ac:dyDescent="0.25">
      <c r="A117" s="122" t="s">
        <v>170</v>
      </c>
      <c r="B117" s="122"/>
      <c r="C117" s="122"/>
      <c r="D117" s="122"/>
      <c r="E117" s="122"/>
      <c r="F117" s="148"/>
      <c r="G117" s="148"/>
      <c r="H117" s="148"/>
    </row>
    <row r="118" spans="1:10" s="34" customFormat="1" hidden="1" x14ac:dyDescent="0.25">
      <c r="A118" s="122" t="s">
        <v>101</v>
      </c>
      <c r="B118" s="122"/>
      <c r="C118" s="122"/>
      <c r="D118" s="122"/>
      <c r="E118" s="122"/>
      <c r="F118" s="148"/>
      <c r="G118" s="148"/>
      <c r="H118" s="148"/>
    </row>
    <row r="119" spans="1:10" s="34" customFormat="1" hidden="1" x14ac:dyDescent="0.25">
      <c r="A119" s="122" t="s">
        <v>102</v>
      </c>
      <c r="B119" s="122"/>
      <c r="C119" s="122"/>
      <c r="D119" s="122"/>
      <c r="E119" s="122"/>
      <c r="F119" s="148"/>
      <c r="G119" s="148"/>
      <c r="H119" s="148"/>
    </row>
    <row r="120" spans="1:10" s="34" customFormat="1" hidden="1" x14ac:dyDescent="0.25">
      <c r="A120" s="122" t="s">
        <v>103</v>
      </c>
      <c r="B120" s="122"/>
      <c r="C120" s="122"/>
      <c r="D120" s="122"/>
      <c r="E120" s="122"/>
      <c r="F120" s="148"/>
      <c r="G120" s="148"/>
      <c r="H120" s="148"/>
    </row>
    <row r="121" spans="1:10" s="34" customFormat="1" hidden="1" x14ac:dyDescent="0.25">
      <c r="A121" s="122" t="s">
        <v>104</v>
      </c>
      <c r="B121" s="122"/>
      <c r="C121" s="122"/>
      <c r="D121" s="122"/>
      <c r="E121" s="122"/>
      <c r="F121" s="148"/>
      <c r="G121" s="148"/>
      <c r="H121" s="148"/>
    </row>
    <row r="122" spans="1:10" x14ac:dyDescent="0.25">
      <c r="A122" s="122" t="s">
        <v>54</v>
      </c>
      <c r="B122" s="122"/>
      <c r="C122" s="122"/>
      <c r="D122" s="122"/>
      <c r="E122" s="122"/>
      <c r="F122" s="148">
        <v>800000</v>
      </c>
      <c r="G122" s="148"/>
      <c r="H122" s="148"/>
    </row>
    <row r="123" spans="1:10" s="35" customFormat="1" x14ac:dyDescent="0.25">
      <c r="A123" s="160" t="s">
        <v>55</v>
      </c>
      <c r="B123" s="160"/>
      <c r="C123" s="160"/>
      <c r="D123" s="160"/>
      <c r="E123" s="160"/>
      <c r="F123" s="148">
        <f>F110*0.8</f>
        <v>15040</v>
      </c>
      <c r="G123" s="148"/>
      <c r="H123" s="148"/>
    </row>
    <row r="124" spans="1:10" s="36" customFormat="1" ht="15.75" customHeight="1" x14ac:dyDescent="0.25">
      <c r="A124" s="159" t="s">
        <v>80</v>
      </c>
      <c r="B124" s="159"/>
      <c r="C124" s="159"/>
      <c r="D124" s="159"/>
      <c r="E124" s="159"/>
      <c r="F124" s="159"/>
      <c r="G124" s="159"/>
      <c r="H124" s="159"/>
    </row>
    <row r="125" spans="1:10" s="36" customFormat="1" ht="15.75" customHeight="1" x14ac:dyDescent="0.25">
      <c r="A125" s="140" t="s">
        <v>56</v>
      </c>
      <c r="B125" s="140"/>
      <c r="C125" s="196" t="s">
        <v>83</v>
      </c>
      <c r="D125" s="196"/>
      <c r="E125" s="149" t="s">
        <v>57</v>
      </c>
      <c r="F125" s="149"/>
      <c r="G125" s="140" t="s">
        <v>58</v>
      </c>
      <c r="H125" s="140"/>
    </row>
    <row r="126" spans="1:10" s="36" customFormat="1" ht="15.75" customHeight="1" x14ac:dyDescent="0.25">
      <c r="A126" s="205" t="s">
        <v>193</v>
      </c>
      <c r="B126" s="60" t="s">
        <v>205</v>
      </c>
      <c r="C126" s="117">
        <f>COUNT(D143:D162)+COUNT(D164:D173)</f>
        <v>30</v>
      </c>
      <c r="D126" s="118"/>
      <c r="E126" s="119">
        <f>SUM(D143:D162)+SUM(D164:D173)</f>
        <v>35910.759923999991</v>
      </c>
      <c r="F126" s="120"/>
      <c r="G126" s="119">
        <f>SUM(F143:F162)+SUM(F164:F173)</f>
        <v>60547.961560319993</v>
      </c>
      <c r="H126" s="120"/>
      <c r="J126" s="80">
        <f>C126+C127</f>
        <v>91</v>
      </c>
    </row>
    <row r="127" spans="1:10" s="36" customFormat="1" ht="41.25" customHeight="1" x14ac:dyDescent="0.25">
      <c r="A127" s="206"/>
      <c r="B127" s="60" t="s">
        <v>239</v>
      </c>
      <c r="C127" s="117">
        <f>COUNT(D175:D234)+COUNT(D268)</f>
        <v>61</v>
      </c>
      <c r="D127" s="118"/>
      <c r="E127" s="191">
        <f>SUM(D175:D234)+SUM(D268)</f>
        <v>29116.027979999992</v>
      </c>
      <c r="F127" s="204"/>
      <c r="G127" s="191">
        <f>SUM(F175:F234)+SUM(F268)</f>
        <v>48256.527571199949</v>
      </c>
      <c r="H127" s="204"/>
      <c r="J127" s="36">
        <f>61+137</f>
        <v>198</v>
      </c>
    </row>
    <row r="128" spans="1:10" s="36" customFormat="1" ht="31.5" x14ac:dyDescent="0.25">
      <c r="A128" s="79" t="s">
        <v>194</v>
      </c>
      <c r="B128" s="60" t="s">
        <v>206</v>
      </c>
      <c r="C128" s="118">
        <f>COUNT(D236:D264)+COUNT(D270:D275)*15+COUNT(D277:D282)*3</f>
        <v>137</v>
      </c>
      <c r="D128" s="118"/>
      <c r="E128" s="191">
        <f>SUM(D236:D264)+SUM(D270:D275)*15+SUM(D277:D282)*3</f>
        <v>110028.445488</v>
      </c>
      <c r="F128" s="191"/>
      <c r="G128" s="191">
        <f>SUM(F236:F264)+SUM(F270:F275)*15+SUM(F277:F282)*3</f>
        <v>176045.51278080003</v>
      </c>
      <c r="H128" s="191"/>
    </row>
    <row r="129" spans="1:14" s="36" customFormat="1" x14ac:dyDescent="0.25">
      <c r="A129" s="198" t="s">
        <v>162</v>
      </c>
      <c r="B129" s="198"/>
      <c r="C129" s="197">
        <f>SUM(C126:D128)</f>
        <v>228</v>
      </c>
      <c r="D129" s="196"/>
      <c r="E129" s="197">
        <f>SUM(E126:F128)</f>
        <v>175055.23339199997</v>
      </c>
      <c r="F129" s="196"/>
      <c r="G129" s="197">
        <f>SUM(G126:H128)</f>
        <v>284850.00191231997</v>
      </c>
      <c r="H129" s="196"/>
    </row>
    <row r="130" spans="1:14" s="36" customFormat="1" x14ac:dyDescent="0.25">
      <c r="A130" s="159" t="s">
        <v>74</v>
      </c>
      <c r="B130" s="159"/>
      <c r="C130" s="159"/>
      <c r="D130" s="159"/>
      <c r="E130" s="159"/>
      <c r="F130" s="159"/>
      <c r="G130" s="159"/>
      <c r="H130" s="159"/>
    </row>
    <row r="131" spans="1:14" s="36" customFormat="1" ht="15.75" customHeight="1" x14ac:dyDescent="0.25">
      <c r="A131" s="140" t="s">
        <v>56</v>
      </c>
      <c r="B131" s="140"/>
      <c r="C131" s="196" t="s">
        <v>83</v>
      </c>
      <c r="D131" s="196"/>
      <c r="E131" s="149" t="s">
        <v>57</v>
      </c>
      <c r="F131" s="149"/>
      <c r="G131" s="140" t="s">
        <v>58</v>
      </c>
      <c r="H131" s="140"/>
    </row>
    <row r="132" spans="1:14" s="36" customFormat="1" x14ac:dyDescent="0.25">
      <c r="A132" s="199" t="s">
        <v>201</v>
      </c>
      <c r="B132" s="60" t="s">
        <v>202</v>
      </c>
      <c r="C132" s="118">
        <f>COUNT(D298:D299)+COUNT(D301:D302)*9+COUNT(D304:D305)*9</f>
        <v>38</v>
      </c>
      <c r="D132" s="118"/>
      <c r="E132" s="191">
        <f>SUM(D298:D299)+SUM(D301:D302)*9+SUM(D304:D305)*9</f>
        <v>100339.63991999999</v>
      </c>
      <c r="F132" s="191"/>
      <c r="G132" s="191">
        <f>SUM(F298:F299)+SUM(F301:F302)*9+SUM(F304:F305)*9</f>
        <v>155851.738029</v>
      </c>
      <c r="H132" s="191"/>
      <c r="J132" s="36">
        <f>23-4</f>
        <v>19</v>
      </c>
      <c r="K132" s="36">
        <f>J132*2</f>
        <v>38</v>
      </c>
    </row>
    <row r="133" spans="1:14" s="36" customFormat="1" x14ac:dyDescent="0.25">
      <c r="A133" s="200"/>
      <c r="B133" s="60" t="s">
        <v>203</v>
      </c>
      <c r="C133" s="118">
        <f>COUNT(D314:D315)+COUNT(D317:D318)*9+COUNT(D320:D321)*9</f>
        <v>38</v>
      </c>
      <c r="D133" s="118"/>
      <c r="E133" s="191">
        <f>SUM(D314:D315)+SUM(D317:D318)*9+SUM(D320:D321)*9</f>
        <v>58963.319063999996</v>
      </c>
      <c r="F133" s="191"/>
      <c r="G133" s="191">
        <f>SUM(F314:F315)+SUM(F317:F318)*9+SUM(F320:F321)*9</f>
        <v>91622.094829199996</v>
      </c>
      <c r="H133" s="191"/>
    </row>
    <row r="134" spans="1:14" s="36" customFormat="1" x14ac:dyDescent="0.25">
      <c r="A134" s="198" t="s">
        <v>162</v>
      </c>
      <c r="B134" s="198"/>
      <c r="C134" s="196">
        <f>SUM(C132:D133)</f>
        <v>76</v>
      </c>
      <c r="D134" s="196"/>
      <c r="E134" s="197">
        <f>SUM(E132:F133)</f>
        <v>159302.95898399997</v>
      </c>
      <c r="F134" s="197"/>
      <c r="G134" s="197">
        <f>SUM(G132:H133)</f>
        <v>247473.83285820001</v>
      </c>
      <c r="H134" s="197"/>
    </row>
    <row r="135" spans="1:14" s="36" customFormat="1" x14ac:dyDescent="0.25">
      <c r="A135" s="198" t="s">
        <v>240</v>
      </c>
      <c r="B135" s="198"/>
      <c r="C135" s="197">
        <f>C129+C134</f>
        <v>304</v>
      </c>
      <c r="D135" s="196"/>
      <c r="E135" s="197">
        <f>E129+E134</f>
        <v>334358.19237599993</v>
      </c>
      <c r="F135" s="197"/>
      <c r="G135" s="197">
        <f>G129+G134</f>
        <v>532323.83477051998</v>
      </c>
      <c r="H135" s="197"/>
    </row>
    <row r="136" spans="1:14" s="35" customFormat="1" x14ac:dyDescent="0.25">
      <c r="A136" s="116" t="s">
        <v>59</v>
      </c>
      <c r="B136" s="116"/>
      <c r="C136" s="116"/>
      <c r="D136" s="116"/>
      <c r="E136" s="116"/>
      <c r="F136" s="116"/>
      <c r="G136" s="116"/>
      <c r="H136" s="116"/>
    </row>
    <row r="137" spans="1:14" x14ac:dyDescent="0.25">
      <c r="A137" s="116" t="s">
        <v>60</v>
      </c>
      <c r="B137" s="116"/>
      <c r="C137" s="116"/>
      <c r="D137" s="116"/>
      <c r="E137" s="116"/>
      <c r="F137" s="116"/>
      <c r="G137" s="116"/>
      <c r="H137" s="116"/>
    </row>
    <row r="138" spans="1:14" ht="47.25" customHeight="1" x14ac:dyDescent="0.25">
      <c r="A138" s="142" t="s">
        <v>127</v>
      </c>
      <c r="B138" s="142" t="s">
        <v>126</v>
      </c>
      <c r="C138" s="142" t="s">
        <v>61</v>
      </c>
      <c r="D138" s="142" t="s">
        <v>62</v>
      </c>
      <c r="E138" s="189" t="s">
        <v>218</v>
      </c>
      <c r="F138" s="44" t="s">
        <v>160</v>
      </c>
      <c r="G138" s="103" t="s">
        <v>64</v>
      </c>
      <c r="H138" s="146"/>
    </row>
    <row r="139" spans="1:14" s="47" customFormat="1" x14ac:dyDescent="0.25">
      <c r="A139" s="143"/>
      <c r="B139" s="143"/>
      <c r="C139" s="143"/>
      <c r="D139" s="143"/>
      <c r="E139" s="190"/>
      <c r="F139" s="15">
        <v>0.6</v>
      </c>
      <c r="G139" s="104"/>
      <c r="H139" s="147"/>
    </row>
    <row r="140" spans="1:14" s="71" customFormat="1" x14ac:dyDescent="0.25">
      <c r="A140" s="105" t="s">
        <v>193</v>
      </c>
      <c r="B140" s="105"/>
      <c r="C140" s="105"/>
      <c r="D140" s="105"/>
      <c r="E140" s="105"/>
      <c r="F140" s="105"/>
      <c r="G140" s="105"/>
      <c r="H140" s="105"/>
      <c r="J140" s="37"/>
    </row>
    <row r="141" spans="1:14" s="54" customFormat="1" x14ac:dyDescent="0.25">
      <c r="A141" s="105" t="s">
        <v>195</v>
      </c>
      <c r="B141" s="105"/>
      <c r="C141" s="105"/>
      <c r="D141" s="105"/>
      <c r="E141" s="105"/>
      <c r="F141" s="105"/>
      <c r="G141" s="105"/>
      <c r="H141" s="105"/>
      <c r="J141" s="37"/>
    </row>
    <row r="142" spans="1:14" s="54" customFormat="1" x14ac:dyDescent="0.25">
      <c r="A142" s="105" t="s">
        <v>208</v>
      </c>
      <c r="B142" s="105"/>
      <c r="C142" s="105"/>
      <c r="D142" s="105"/>
      <c r="E142" s="105"/>
      <c r="F142" s="105"/>
      <c r="G142" s="105"/>
      <c r="H142" s="105"/>
      <c r="J142" s="37"/>
    </row>
    <row r="143" spans="1:14" s="54" customFormat="1" ht="45" x14ac:dyDescent="0.25">
      <c r="A143" s="100">
        <v>1</v>
      </c>
      <c r="B143" s="100"/>
      <c r="C143" s="70" t="s">
        <v>209</v>
      </c>
      <c r="D143" s="61">
        <f>(109.655+109.863)*(10.764)</f>
        <v>2362.891752</v>
      </c>
      <c r="E143" s="91">
        <f>(7.272*1.2)*10.764</f>
        <v>93.930969599999997</v>
      </c>
      <c r="F143" s="91">
        <f>(D143+E143)*(($F$139)+1)</f>
        <v>3930.9163545600004</v>
      </c>
      <c r="G143" s="100" t="str">
        <f>A142</f>
        <v>1st Basement Floor &amp; Ground Floor For Commercial &amp; Parking</v>
      </c>
      <c r="H143" s="100"/>
      <c r="I143" s="37">
        <f>D143*30000</f>
        <v>70886752.560000002</v>
      </c>
      <c r="J143" s="54">
        <f>I143/F143</f>
        <v>18033.136848045338</v>
      </c>
      <c r="L143" s="96"/>
      <c r="M143" s="96"/>
      <c r="N143" s="37"/>
    </row>
    <row r="144" spans="1:14" s="54" customFormat="1" ht="45" x14ac:dyDescent="0.25">
      <c r="A144" s="100">
        <f t="shared" ref="A144:A173" si="0">A143+1</f>
        <v>2</v>
      </c>
      <c r="B144" s="100"/>
      <c r="C144" s="70" t="s">
        <v>209</v>
      </c>
      <c r="D144" s="61">
        <f>(56.748+56.915)*(10.764)</f>
        <v>1223.4685319999999</v>
      </c>
      <c r="E144" s="91">
        <f>(3.787*1.2)*10.764</f>
        <v>48.91592159999999</v>
      </c>
      <c r="F144" s="91">
        <f t="shared" ref="F144:F146" si="1">(D144+E144)*(($F$139)+1)</f>
        <v>2035.81512576</v>
      </c>
      <c r="G144" s="100" t="str">
        <f t="shared" ref="G144:G173" si="2">G143</f>
        <v>1st Basement Floor &amp; Ground Floor For Commercial &amp; Parking</v>
      </c>
      <c r="H144" s="100"/>
      <c r="I144" s="37"/>
      <c r="L144" s="96"/>
      <c r="M144" s="96"/>
      <c r="N144" s="37"/>
    </row>
    <row r="145" spans="1:14" s="54" customFormat="1" ht="45" x14ac:dyDescent="0.25">
      <c r="A145" s="100">
        <f t="shared" si="0"/>
        <v>3</v>
      </c>
      <c r="B145" s="100"/>
      <c r="C145" s="70" t="s">
        <v>209</v>
      </c>
      <c r="D145" s="61">
        <f t="shared" ref="D145:D159" si="3">(56.748+56.915)*(10.764)</f>
        <v>1223.4685319999999</v>
      </c>
      <c r="E145" s="91">
        <f>(3.787*1.2)*10.764</f>
        <v>48.91592159999999</v>
      </c>
      <c r="F145" s="91">
        <f t="shared" si="1"/>
        <v>2035.81512576</v>
      </c>
      <c r="G145" s="100" t="str">
        <f t="shared" si="2"/>
        <v>1st Basement Floor &amp; Ground Floor For Commercial &amp; Parking</v>
      </c>
      <c r="H145" s="100"/>
      <c r="I145" s="37"/>
      <c r="L145" s="96"/>
      <c r="M145" s="96"/>
      <c r="N145" s="37"/>
    </row>
    <row r="146" spans="1:14" s="54" customFormat="1" ht="45" x14ac:dyDescent="0.25">
      <c r="A146" s="100">
        <f t="shared" si="0"/>
        <v>4</v>
      </c>
      <c r="B146" s="100"/>
      <c r="C146" s="70" t="s">
        <v>209</v>
      </c>
      <c r="D146" s="61">
        <f t="shared" si="3"/>
        <v>1223.4685319999999</v>
      </c>
      <c r="E146" s="91">
        <f>(3.787*1.2)*10.764</f>
        <v>48.91592159999999</v>
      </c>
      <c r="F146" s="91">
        <f t="shared" si="1"/>
        <v>2035.81512576</v>
      </c>
      <c r="G146" s="100" t="str">
        <f t="shared" si="2"/>
        <v>1st Basement Floor &amp; Ground Floor For Commercial &amp; Parking</v>
      </c>
      <c r="H146" s="100"/>
      <c r="I146" s="37"/>
      <c r="L146" s="96"/>
      <c r="M146" s="96"/>
      <c r="N146" s="37"/>
    </row>
    <row r="147" spans="1:14" s="54" customFormat="1" ht="45" x14ac:dyDescent="0.25">
      <c r="A147" s="100">
        <f t="shared" si="0"/>
        <v>5</v>
      </c>
      <c r="B147" s="100"/>
      <c r="C147" s="70" t="s">
        <v>209</v>
      </c>
      <c r="D147" s="61">
        <f t="shared" si="3"/>
        <v>1223.4685319999999</v>
      </c>
      <c r="E147" s="91">
        <f>(3.787*1.2)*10.764</f>
        <v>48.91592159999999</v>
      </c>
      <c r="F147" s="91">
        <f t="shared" ref="F147:F152" si="4">(D147+E147)*(($F$139)+1)</f>
        <v>2035.81512576</v>
      </c>
      <c r="G147" s="100" t="str">
        <f t="shared" si="2"/>
        <v>1st Basement Floor &amp; Ground Floor For Commercial &amp; Parking</v>
      </c>
      <c r="H147" s="100"/>
      <c r="I147" s="37"/>
      <c r="L147" s="96"/>
      <c r="M147" s="96"/>
      <c r="N147" s="37"/>
    </row>
    <row r="148" spans="1:14" s="54" customFormat="1" ht="45" x14ac:dyDescent="0.25">
      <c r="A148" s="101">
        <f t="shared" si="0"/>
        <v>6</v>
      </c>
      <c r="B148" s="102"/>
      <c r="C148" s="70" t="s">
        <v>209</v>
      </c>
      <c r="D148" s="61">
        <f t="shared" si="3"/>
        <v>1223.4685319999999</v>
      </c>
      <c r="E148" s="72">
        <f t="shared" ref="E148:E160" si="5">(3.787*1.2)*10.764</f>
        <v>48.91592159999999</v>
      </c>
      <c r="F148" s="53">
        <f t="shared" si="4"/>
        <v>2035.81512576</v>
      </c>
      <c r="G148" s="101" t="str">
        <f t="shared" si="2"/>
        <v>1st Basement Floor &amp; Ground Floor For Commercial &amp; Parking</v>
      </c>
      <c r="H148" s="102"/>
      <c r="I148" s="37"/>
      <c r="L148" s="96"/>
      <c r="M148" s="96"/>
      <c r="N148" s="37"/>
    </row>
    <row r="149" spans="1:14" s="54" customFormat="1" ht="45" x14ac:dyDescent="0.25">
      <c r="A149" s="101">
        <f t="shared" si="0"/>
        <v>7</v>
      </c>
      <c r="B149" s="102"/>
      <c r="C149" s="70" t="s">
        <v>209</v>
      </c>
      <c r="D149" s="61">
        <f t="shared" si="3"/>
        <v>1223.4685319999999</v>
      </c>
      <c r="E149" s="72">
        <f t="shared" si="5"/>
        <v>48.91592159999999</v>
      </c>
      <c r="F149" s="53">
        <f t="shared" si="4"/>
        <v>2035.81512576</v>
      </c>
      <c r="G149" s="101" t="str">
        <f t="shared" si="2"/>
        <v>1st Basement Floor &amp; Ground Floor For Commercial &amp; Parking</v>
      </c>
      <c r="H149" s="102"/>
      <c r="I149" s="37"/>
      <c r="L149" s="96"/>
      <c r="M149" s="96"/>
      <c r="N149" s="37"/>
    </row>
    <row r="150" spans="1:14" s="54" customFormat="1" ht="45" x14ac:dyDescent="0.25">
      <c r="A150" s="101">
        <f t="shared" si="0"/>
        <v>8</v>
      </c>
      <c r="B150" s="102"/>
      <c r="C150" s="70" t="s">
        <v>209</v>
      </c>
      <c r="D150" s="61">
        <f t="shared" si="3"/>
        <v>1223.4685319999999</v>
      </c>
      <c r="E150" s="72">
        <f t="shared" si="5"/>
        <v>48.91592159999999</v>
      </c>
      <c r="F150" s="53">
        <f t="shared" si="4"/>
        <v>2035.81512576</v>
      </c>
      <c r="G150" s="101" t="str">
        <f t="shared" si="2"/>
        <v>1st Basement Floor &amp; Ground Floor For Commercial &amp; Parking</v>
      </c>
      <c r="H150" s="102"/>
      <c r="I150" s="37"/>
      <c r="L150" s="96"/>
      <c r="M150" s="96"/>
      <c r="N150" s="37"/>
    </row>
    <row r="151" spans="1:14" s="54" customFormat="1" ht="45" x14ac:dyDescent="0.25">
      <c r="A151" s="101">
        <f t="shared" si="0"/>
        <v>9</v>
      </c>
      <c r="B151" s="102"/>
      <c r="C151" s="70" t="s">
        <v>209</v>
      </c>
      <c r="D151" s="61">
        <f t="shared" si="3"/>
        <v>1223.4685319999999</v>
      </c>
      <c r="E151" s="72">
        <f t="shared" si="5"/>
        <v>48.91592159999999</v>
      </c>
      <c r="F151" s="53">
        <f t="shared" si="4"/>
        <v>2035.81512576</v>
      </c>
      <c r="G151" s="101" t="str">
        <f t="shared" si="2"/>
        <v>1st Basement Floor &amp; Ground Floor For Commercial &amp; Parking</v>
      </c>
      <c r="H151" s="102"/>
      <c r="I151" s="37"/>
      <c r="L151" s="96"/>
      <c r="M151" s="96"/>
      <c r="N151" s="37"/>
    </row>
    <row r="152" spans="1:14" s="54" customFormat="1" ht="45" x14ac:dyDescent="0.25">
      <c r="A152" s="101">
        <f t="shared" si="0"/>
        <v>10</v>
      </c>
      <c r="B152" s="102"/>
      <c r="C152" s="70" t="s">
        <v>209</v>
      </c>
      <c r="D152" s="61">
        <f>(116.649+116.835)*(10.764)</f>
        <v>2513.2217759999999</v>
      </c>
      <c r="E152" s="53">
        <f>(7.7*1.2)*10.764</f>
        <v>99.45935999999999</v>
      </c>
      <c r="F152" s="53">
        <f t="shared" si="4"/>
        <v>4180.2898175999999</v>
      </c>
      <c r="G152" s="101" t="str">
        <f t="shared" si="2"/>
        <v>1st Basement Floor &amp; Ground Floor For Commercial &amp; Parking</v>
      </c>
      <c r="H152" s="102"/>
      <c r="I152" s="37"/>
      <c r="L152" s="96"/>
      <c r="M152" s="96"/>
      <c r="N152" s="37"/>
    </row>
    <row r="153" spans="1:14" s="54" customFormat="1" ht="45" x14ac:dyDescent="0.25">
      <c r="A153" s="101">
        <f t="shared" si="0"/>
        <v>11</v>
      </c>
      <c r="B153" s="102"/>
      <c r="C153" s="70" t="s">
        <v>209</v>
      </c>
      <c r="D153" s="61">
        <f t="shared" si="3"/>
        <v>1223.4685319999999</v>
      </c>
      <c r="E153" s="72">
        <f t="shared" si="5"/>
        <v>48.91592159999999</v>
      </c>
      <c r="F153" s="53">
        <f t="shared" ref="F153:F167" si="6">(D153+E153)*(($F$139)+1)</f>
        <v>2035.81512576</v>
      </c>
      <c r="G153" s="101" t="str">
        <f t="shared" si="2"/>
        <v>1st Basement Floor &amp; Ground Floor For Commercial &amp; Parking</v>
      </c>
      <c r="H153" s="102"/>
      <c r="I153" s="37"/>
      <c r="L153" s="96"/>
      <c r="M153" s="96"/>
      <c r="N153" s="37"/>
    </row>
    <row r="154" spans="1:14" s="54" customFormat="1" ht="45" x14ac:dyDescent="0.25">
      <c r="A154" s="101">
        <f t="shared" si="0"/>
        <v>12</v>
      </c>
      <c r="B154" s="102"/>
      <c r="C154" s="70" t="s">
        <v>209</v>
      </c>
      <c r="D154" s="61">
        <f t="shared" si="3"/>
        <v>1223.4685319999999</v>
      </c>
      <c r="E154" s="72">
        <f t="shared" si="5"/>
        <v>48.91592159999999</v>
      </c>
      <c r="F154" s="53">
        <f t="shared" si="6"/>
        <v>2035.81512576</v>
      </c>
      <c r="G154" s="101" t="str">
        <f t="shared" si="2"/>
        <v>1st Basement Floor &amp; Ground Floor For Commercial &amp; Parking</v>
      </c>
      <c r="H154" s="102"/>
      <c r="I154" s="37"/>
      <c r="L154" s="96"/>
      <c r="M154" s="96"/>
      <c r="N154" s="37"/>
    </row>
    <row r="155" spans="1:14" s="54" customFormat="1" ht="45" x14ac:dyDescent="0.25">
      <c r="A155" s="101">
        <f t="shared" si="0"/>
        <v>13</v>
      </c>
      <c r="B155" s="102"/>
      <c r="C155" s="70" t="s">
        <v>209</v>
      </c>
      <c r="D155" s="61">
        <f t="shared" si="3"/>
        <v>1223.4685319999999</v>
      </c>
      <c r="E155" s="72">
        <f t="shared" si="5"/>
        <v>48.91592159999999</v>
      </c>
      <c r="F155" s="53">
        <f t="shared" si="6"/>
        <v>2035.81512576</v>
      </c>
      <c r="G155" s="101" t="str">
        <f t="shared" si="2"/>
        <v>1st Basement Floor &amp; Ground Floor For Commercial &amp; Parking</v>
      </c>
      <c r="H155" s="102"/>
      <c r="I155" s="37"/>
      <c r="L155" s="96"/>
      <c r="M155" s="96"/>
      <c r="N155" s="37"/>
    </row>
    <row r="156" spans="1:14" s="54" customFormat="1" ht="45" x14ac:dyDescent="0.25">
      <c r="A156" s="101">
        <f t="shared" si="0"/>
        <v>14</v>
      </c>
      <c r="B156" s="102"/>
      <c r="C156" s="70" t="s">
        <v>209</v>
      </c>
      <c r="D156" s="61">
        <f t="shared" si="3"/>
        <v>1223.4685319999999</v>
      </c>
      <c r="E156" s="72">
        <f t="shared" si="5"/>
        <v>48.91592159999999</v>
      </c>
      <c r="F156" s="53">
        <f t="shared" si="6"/>
        <v>2035.81512576</v>
      </c>
      <c r="G156" s="101" t="str">
        <f t="shared" si="2"/>
        <v>1st Basement Floor &amp; Ground Floor For Commercial &amp; Parking</v>
      </c>
      <c r="H156" s="102"/>
      <c r="I156" s="37"/>
      <c r="L156" s="96"/>
      <c r="M156" s="96"/>
      <c r="N156" s="37"/>
    </row>
    <row r="157" spans="1:14" s="54" customFormat="1" ht="45" x14ac:dyDescent="0.25">
      <c r="A157" s="101">
        <f t="shared" si="0"/>
        <v>15</v>
      </c>
      <c r="B157" s="102"/>
      <c r="C157" s="70" t="s">
        <v>209</v>
      </c>
      <c r="D157" s="61">
        <f t="shared" si="3"/>
        <v>1223.4685319999999</v>
      </c>
      <c r="E157" s="72">
        <f t="shared" si="5"/>
        <v>48.91592159999999</v>
      </c>
      <c r="F157" s="53">
        <f t="shared" si="6"/>
        <v>2035.81512576</v>
      </c>
      <c r="G157" s="101" t="str">
        <f t="shared" si="2"/>
        <v>1st Basement Floor &amp; Ground Floor For Commercial &amp; Parking</v>
      </c>
      <c r="H157" s="102"/>
      <c r="I157" s="37"/>
      <c r="L157" s="96"/>
      <c r="M157" s="96"/>
      <c r="N157" s="37"/>
    </row>
    <row r="158" spans="1:14" s="54" customFormat="1" ht="45" x14ac:dyDescent="0.25">
      <c r="A158" s="101">
        <f t="shared" si="0"/>
        <v>16</v>
      </c>
      <c r="B158" s="102"/>
      <c r="C158" s="70" t="s">
        <v>209</v>
      </c>
      <c r="D158" s="61">
        <f t="shared" si="3"/>
        <v>1223.4685319999999</v>
      </c>
      <c r="E158" s="72">
        <f t="shared" si="5"/>
        <v>48.91592159999999</v>
      </c>
      <c r="F158" s="53">
        <f t="shared" si="6"/>
        <v>2035.81512576</v>
      </c>
      <c r="G158" s="101" t="str">
        <f t="shared" si="2"/>
        <v>1st Basement Floor &amp; Ground Floor For Commercial &amp; Parking</v>
      </c>
      <c r="H158" s="102"/>
      <c r="I158" s="37"/>
      <c r="L158" s="96"/>
      <c r="M158" s="96"/>
      <c r="N158" s="37"/>
    </row>
    <row r="159" spans="1:14" s="54" customFormat="1" ht="45" x14ac:dyDescent="0.25">
      <c r="A159" s="100">
        <f t="shared" si="0"/>
        <v>17</v>
      </c>
      <c r="B159" s="100"/>
      <c r="C159" s="70" t="s">
        <v>209</v>
      </c>
      <c r="D159" s="61">
        <f t="shared" si="3"/>
        <v>1223.4685319999999</v>
      </c>
      <c r="E159" s="88">
        <f t="shared" si="5"/>
        <v>48.91592159999999</v>
      </c>
      <c r="F159" s="88">
        <f t="shared" si="6"/>
        <v>2035.81512576</v>
      </c>
      <c r="G159" s="100" t="str">
        <f t="shared" si="2"/>
        <v>1st Basement Floor &amp; Ground Floor For Commercial &amp; Parking</v>
      </c>
      <c r="H159" s="100"/>
      <c r="I159" s="37"/>
      <c r="L159" s="96"/>
      <c r="M159" s="96"/>
      <c r="N159" s="37"/>
    </row>
    <row r="160" spans="1:14" s="54" customFormat="1" ht="45" x14ac:dyDescent="0.25">
      <c r="A160" s="100">
        <f t="shared" si="0"/>
        <v>18</v>
      </c>
      <c r="B160" s="100"/>
      <c r="C160" s="70" t="s">
        <v>209</v>
      </c>
      <c r="D160" s="61">
        <f>(228.538+56.915)*(10.764)</f>
        <v>3072.6160920000002</v>
      </c>
      <c r="E160" s="88">
        <f t="shared" si="5"/>
        <v>48.91592159999999</v>
      </c>
      <c r="F160" s="88">
        <f t="shared" si="6"/>
        <v>4994.4512217600004</v>
      </c>
      <c r="G160" s="100" t="str">
        <f t="shared" si="2"/>
        <v>1st Basement Floor &amp; Ground Floor For Commercial &amp; Parking</v>
      </c>
      <c r="H160" s="100"/>
      <c r="I160" s="37"/>
      <c r="L160" s="96"/>
      <c r="M160" s="96"/>
      <c r="N160" s="37"/>
    </row>
    <row r="161" spans="1:14" s="54" customFormat="1" ht="45" x14ac:dyDescent="0.25">
      <c r="A161" s="100">
        <f>A168+1</f>
        <v>24</v>
      </c>
      <c r="B161" s="100"/>
      <c r="C161" s="70" t="s">
        <v>209</v>
      </c>
      <c r="D161" s="61">
        <f>(41.686+53.602)*10.764</f>
        <v>1025.680032</v>
      </c>
      <c r="E161" s="88">
        <f>(1.2*3.787)*10.764</f>
        <v>48.91592159999999</v>
      </c>
      <c r="F161" s="88">
        <f>(D161+E161)*(($F$139)+1)</f>
        <v>1719.3535257600001</v>
      </c>
      <c r="G161" s="100" t="str">
        <f>G168</f>
        <v>Ground Floor For Commercial &amp; Parking</v>
      </c>
      <c r="H161" s="100"/>
      <c r="I161" s="37"/>
      <c r="L161" s="96"/>
      <c r="M161" s="96"/>
      <c r="N161" s="37"/>
    </row>
    <row r="162" spans="1:14" s="54" customFormat="1" ht="45" x14ac:dyDescent="0.25">
      <c r="A162" s="101">
        <f>A173+1</f>
        <v>30</v>
      </c>
      <c r="B162" s="102"/>
      <c r="C162" s="70" t="s">
        <v>209</v>
      </c>
      <c r="D162" s="61">
        <f>(65.689+78.148)*10.764</f>
        <v>1548.2614679999997</v>
      </c>
      <c r="E162" s="53">
        <f>(1.2*5.738+3.2*0.5*3.923)*10.764</f>
        <v>141.68007360000001</v>
      </c>
      <c r="F162" s="53">
        <f>(D162+E162)*(($F$139)+1)</f>
        <v>2703.9064665599999</v>
      </c>
      <c r="G162" s="101" t="str">
        <f>G173</f>
        <v>Ground Floor For Commercial &amp; Parking</v>
      </c>
      <c r="H162" s="102"/>
      <c r="I162" s="37"/>
      <c r="L162" s="96"/>
      <c r="M162" s="96"/>
      <c r="N162" s="37"/>
    </row>
    <row r="163" spans="1:14" s="76" customFormat="1" x14ac:dyDescent="0.25">
      <c r="A163" s="97" t="s">
        <v>229</v>
      </c>
      <c r="B163" s="98"/>
      <c r="C163" s="98"/>
      <c r="D163" s="98"/>
      <c r="E163" s="98"/>
      <c r="F163" s="98"/>
      <c r="G163" s="98"/>
      <c r="H163" s="99"/>
      <c r="J163" s="37"/>
    </row>
    <row r="164" spans="1:14" s="54" customFormat="1" x14ac:dyDescent="0.25">
      <c r="A164" s="101">
        <f>A160+1</f>
        <v>19</v>
      </c>
      <c r="B164" s="102"/>
      <c r="C164" s="53" t="s">
        <v>227</v>
      </c>
      <c r="D164" s="61">
        <f>(185.828)*(10.764)</f>
        <v>2000.2525919999998</v>
      </c>
      <c r="E164" s="53">
        <f>(1.2*(12.472+13.135))*10.764</f>
        <v>330.76049759999995</v>
      </c>
      <c r="F164" s="53">
        <f t="shared" si="6"/>
        <v>3729.6209433599997</v>
      </c>
      <c r="G164" s="101" t="str">
        <f>A163</f>
        <v>Ground Floor For Commercial &amp; Parking</v>
      </c>
      <c r="H164" s="102"/>
      <c r="I164" s="37"/>
      <c r="L164" s="96"/>
      <c r="M164" s="96"/>
      <c r="N164" s="37"/>
    </row>
    <row r="165" spans="1:14" s="54" customFormat="1" x14ac:dyDescent="0.25">
      <c r="A165" s="101">
        <f t="shared" si="0"/>
        <v>20</v>
      </c>
      <c r="B165" s="102"/>
      <c r="C165" s="69" t="s">
        <v>227</v>
      </c>
      <c r="D165" s="61">
        <f>(53.602)*(10.764)</f>
        <v>576.97192799999993</v>
      </c>
      <c r="E165" s="53">
        <f>(1.2*3.78)*10.764</f>
        <v>48.825503999999995</v>
      </c>
      <c r="F165" s="53">
        <f t="shared" si="6"/>
        <v>1001.2758911999999</v>
      </c>
      <c r="G165" s="101" t="str">
        <f t="shared" si="2"/>
        <v>Ground Floor For Commercial &amp; Parking</v>
      </c>
      <c r="H165" s="102"/>
      <c r="I165" s="37"/>
      <c r="L165" s="96"/>
      <c r="M165" s="96"/>
      <c r="N165" s="37"/>
    </row>
    <row r="166" spans="1:14" s="54" customFormat="1" x14ac:dyDescent="0.25">
      <c r="A166" s="101">
        <f t="shared" si="0"/>
        <v>21</v>
      </c>
      <c r="B166" s="102"/>
      <c r="C166" s="69" t="s">
        <v>227</v>
      </c>
      <c r="D166" s="61">
        <f t="shared" ref="D166:D168" si="7">(53.602)*(10.764)</f>
        <v>576.97192799999993</v>
      </c>
      <c r="E166" s="53">
        <f>(3.787*1.2)*10.764</f>
        <v>48.91592159999999</v>
      </c>
      <c r="F166" s="53">
        <f t="shared" si="6"/>
        <v>1001.42055936</v>
      </c>
      <c r="G166" s="101" t="str">
        <f t="shared" si="2"/>
        <v>Ground Floor For Commercial &amp; Parking</v>
      </c>
      <c r="H166" s="102"/>
      <c r="I166" s="37"/>
      <c r="L166" s="96"/>
      <c r="M166" s="96"/>
      <c r="N166" s="37"/>
    </row>
    <row r="167" spans="1:14" s="54" customFormat="1" x14ac:dyDescent="0.25">
      <c r="A167" s="101">
        <f t="shared" si="0"/>
        <v>22</v>
      </c>
      <c r="B167" s="102"/>
      <c r="C167" s="69" t="s">
        <v>227</v>
      </c>
      <c r="D167" s="61">
        <f t="shared" si="7"/>
        <v>576.97192799999993</v>
      </c>
      <c r="E167" s="53">
        <f>(3.787*1.2)*10.764</f>
        <v>48.91592159999999</v>
      </c>
      <c r="F167" s="53">
        <f t="shared" si="6"/>
        <v>1001.42055936</v>
      </c>
      <c r="G167" s="101" t="str">
        <f t="shared" si="2"/>
        <v>Ground Floor For Commercial &amp; Parking</v>
      </c>
      <c r="H167" s="102"/>
      <c r="I167" s="37"/>
      <c r="L167" s="96"/>
      <c r="M167" s="96"/>
      <c r="N167" s="37"/>
    </row>
    <row r="168" spans="1:14" s="54" customFormat="1" x14ac:dyDescent="0.25">
      <c r="A168" s="101">
        <f t="shared" si="0"/>
        <v>23</v>
      </c>
      <c r="B168" s="102"/>
      <c r="C168" s="69" t="s">
        <v>227</v>
      </c>
      <c r="D168" s="61">
        <f t="shared" si="7"/>
        <v>576.97192799999993</v>
      </c>
      <c r="E168" s="53">
        <f>(1.2*3.787)*10.764</f>
        <v>48.91592159999999</v>
      </c>
      <c r="F168" s="53">
        <f t="shared" ref="F168:F171" si="8">(D168+E168)*(($F$139)+1)</f>
        <v>1001.42055936</v>
      </c>
      <c r="G168" s="101" t="str">
        <f t="shared" si="2"/>
        <v>Ground Floor For Commercial &amp; Parking</v>
      </c>
      <c r="H168" s="102"/>
      <c r="I168" s="37"/>
      <c r="L168" s="96"/>
      <c r="M168" s="96"/>
      <c r="N168" s="37"/>
    </row>
    <row r="169" spans="1:14" s="54" customFormat="1" x14ac:dyDescent="0.25">
      <c r="A169" s="101">
        <f>A161+1</f>
        <v>25</v>
      </c>
      <c r="B169" s="102"/>
      <c r="C169" s="69" t="s">
        <v>228</v>
      </c>
      <c r="D169" s="61">
        <f>(46.467)*10.764</f>
        <v>500.17078799999996</v>
      </c>
      <c r="E169" s="53">
        <f>(1.2*3.416)*10.764</f>
        <v>44.123788799999993</v>
      </c>
      <c r="F169" s="53">
        <f t="shared" si="8"/>
        <v>870.87132287999998</v>
      </c>
      <c r="G169" s="101" t="str">
        <f>G161</f>
        <v>Ground Floor For Commercial &amp; Parking</v>
      </c>
      <c r="H169" s="102"/>
      <c r="I169" s="37"/>
      <c r="L169" s="96"/>
      <c r="M169" s="96"/>
      <c r="N169" s="37"/>
    </row>
    <row r="170" spans="1:14" s="54" customFormat="1" x14ac:dyDescent="0.25">
      <c r="A170" s="101">
        <f t="shared" si="0"/>
        <v>26</v>
      </c>
      <c r="B170" s="102"/>
      <c r="C170" s="69" t="s">
        <v>227</v>
      </c>
      <c r="D170" s="61">
        <f>(48.267)*10.764</f>
        <v>519.54598799999997</v>
      </c>
      <c r="E170" s="72">
        <f t="shared" ref="E170:E172" si="9">(1.2*3.416)*10.764</f>
        <v>44.123788799999993</v>
      </c>
      <c r="F170" s="53">
        <f t="shared" si="8"/>
        <v>901.87164287999985</v>
      </c>
      <c r="G170" s="101" t="str">
        <f t="shared" si="2"/>
        <v>Ground Floor For Commercial &amp; Parking</v>
      </c>
      <c r="H170" s="102"/>
      <c r="I170" s="37"/>
      <c r="L170" s="96"/>
      <c r="M170" s="96"/>
      <c r="N170" s="37"/>
    </row>
    <row r="171" spans="1:14" s="54" customFormat="1" x14ac:dyDescent="0.25">
      <c r="A171" s="101">
        <f t="shared" si="0"/>
        <v>27</v>
      </c>
      <c r="B171" s="102"/>
      <c r="C171" s="69" t="s">
        <v>227</v>
      </c>
      <c r="D171" s="61">
        <f>(45.862)*10.764</f>
        <v>493.658568</v>
      </c>
      <c r="E171" s="72">
        <f t="shared" si="9"/>
        <v>44.123788799999993</v>
      </c>
      <c r="F171" s="53">
        <f t="shared" si="8"/>
        <v>860.45177088000003</v>
      </c>
      <c r="G171" s="101" t="str">
        <f t="shared" si="2"/>
        <v>Ground Floor For Commercial &amp; Parking</v>
      </c>
      <c r="H171" s="102"/>
      <c r="I171" s="37"/>
      <c r="L171" s="96"/>
      <c r="M171" s="96"/>
      <c r="N171" s="37"/>
    </row>
    <row r="172" spans="1:14" s="54" customFormat="1" x14ac:dyDescent="0.25">
      <c r="A172" s="101">
        <f t="shared" si="0"/>
        <v>28</v>
      </c>
      <c r="B172" s="102"/>
      <c r="C172" s="77" t="s">
        <v>227</v>
      </c>
      <c r="D172" s="61">
        <f>(45.862)*10.764</f>
        <v>493.658568</v>
      </c>
      <c r="E172" s="72">
        <f t="shared" si="9"/>
        <v>44.123788799999993</v>
      </c>
      <c r="F172" s="53">
        <f t="shared" ref="F172:F173" si="10">(D172+E172)*(($F$139)+1)</f>
        <v>860.45177088000003</v>
      </c>
      <c r="G172" s="101" t="str">
        <f t="shared" si="2"/>
        <v>Ground Floor For Commercial &amp; Parking</v>
      </c>
      <c r="H172" s="102"/>
      <c r="I172" s="37"/>
      <c r="L172" s="96"/>
      <c r="M172" s="96"/>
      <c r="N172" s="37"/>
    </row>
    <row r="173" spans="1:14" s="54" customFormat="1" x14ac:dyDescent="0.25">
      <c r="A173" s="101">
        <f t="shared" si="0"/>
        <v>29</v>
      </c>
      <c r="B173" s="102"/>
      <c r="C173" s="69" t="s">
        <v>227</v>
      </c>
      <c r="D173" s="61">
        <f>(66.972)*10.764</f>
        <v>720.88660799999991</v>
      </c>
      <c r="E173" s="53">
        <f>(1.2*4.819)*10.764</f>
        <v>62.246059199999998</v>
      </c>
      <c r="F173" s="53">
        <f t="shared" si="10"/>
        <v>1253.01226752</v>
      </c>
      <c r="G173" s="101" t="str">
        <f t="shared" si="2"/>
        <v>Ground Floor For Commercial &amp; Parking</v>
      </c>
      <c r="H173" s="102"/>
      <c r="I173" s="37"/>
      <c r="L173" s="96"/>
      <c r="M173" s="96"/>
      <c r="N173" s="37"/>
    </row>
    <row r="174" spans="1:14" s="54" customFormat="1" x14ac:dyDescent="0.25">
      <c r="A174" s="97" t="s">
        <v>196</v>
      </c>
      <c r="B174" s="98"/>
      <c r="C174" s="98"/>
      <c r="D174" s="98"/>
      <c r="E174" s="98"/>
      <c r="F174" s="98"/>
      <c r="G174" s="98"/>
      <c r="H174" s="99"/>
      <c r="J174" s="37"/>
    </row>
    <row r="175" spans="1:14" s="54" customFormat="1" ht="29.25" customHeight="1" x14ac:dyDescent="0.25">
      <c r="A175" s="101">
        <v>1</v>
      </c>
      <c r="B175" s="102"/>
      <c r="C175" s="77" t="s">
        <v>239</v>
      </c>
      <c r="D175" s="61">
        <f>109.655*10.764</f>
        <v>1180.3264199999999</v>
      </c>
      <c r="E175" s="53">
        <v>0</v>
      </c>
      <c r="F175" s="53">
        <f>(D175+E175)*(($F$139)+1)</f>
        <v>1888.5222719999999</v>
      </c>
      <c r="G175" s="101" t="str">
        <f>A174</f>
        <v>1st Floor For Commercial</v>
      </c>
      <c r="H175" s="102"/>
      <c r="I175" s="37">
        <f>25000*D175</f>
        <v>29508160.499999996</v>
      </c>
      <c r="J175" s="54">
        <f>I175/F175</f>
        <v>15624.999999999998</v>
      </c>
      <c r="L175" s="110">
        <f>SUM(D175:D234)+SUM(D268)</f>
        <v>29116.027979999992</v>
      </c>
      <c r="M175" s="96"/>
      <c r="N175" s="37"/>
    </row>
    <row r="176" spans="1:14" s="54" customFormat="1" ht="31.5" x14ac:dyDescent="0.25">
      <c r="A176" s="101">
        <f t="shared" ref="A176:A234" si="11">A175+1</f>
        <v>2</v>
      </c>
      <c r="B176" s="102"/>
      <c r="C176" s="77" t="s">
        <v>239</v>
      </c>
      <c r="D176" s="61">
        <f>56.748*(10.764)</f>
        <v>610.83547199999998</v>
      </c>
      <c r="E176" s="53">
        <v>0</v>
      </c>
      <c r="F176" s="53">
        <f t="shared" ref="F176:F178" si="12">(D176+E176)*(($F$139)+1)</f>
        <v>977.33675519999997</v>
      </c>
      <c r="G176" s="101" t="str">
        <f t="shared" ref="G176:G234" si="13">G175</f>
        <v>1st Floor For Commercial</v>
      </c>
      <c r="H176" s="102"/>
      <c r="I176" s="37"/>
      <c r="L176" s="110">
        <f>SUM(F176:F235)+SUM(F269)</f>
        <v>35861.549068799977</v>
      </c>
      <c r="M176" s="96"/>
      <c r="N176" s="37"/>
    </row>
    <row r="177" spans="1:14" s="54" customFormat="1" ht="31.5" x14ac:dyDescent="0.25">
      <c r="A177" s="101">
        <f t="shared" si="11"/>
        <v>3</v>
      </c>
      <c r="B177" s="102"/>
      <c r="C177" s="77" t="s">
        <v>239</v>
      </c>
      <c r="D177" s="61">
        <f t="shared" ref="D177:D183" si="14">56.748*(10.764)</f>
        <v>610.83547199999998</v>
      </c>
      <c r="E177" s="53">
        <v>0</v>
      </c>
      <c r="F177" s="53">
        <f t="shared" si="12"/>
        <v>977.33675519999997</v>
      </c>
      <c r="G177" s="101" t="str">
        <f t="shared" si="13"/>
        <v>1st Floor For Commercial</v>
      </c>
      <c r="H177" s="102"/>
      <c r="I177" s="37"/>
      <c r="L177" s="96"/>
      <c r="M177" s="96"/>
      <c r="N177" s="37"/>
    </row>
    <row r="178" spans="1:14" s="54" customFormat="1" ht="31.5" x14ac:dyDescent="0.25">
      <c r="A178" s="101">
        <f t="shared" si="11"/>
        <v>4</v>
      </c>
      <c r="B178" s="102"/>
      <c r="C178" s="77" t="s">
        <v>239</v>
      </c>
      <c r="D178" s="61">
        <f t="shared" si="14"/>
        <v>610.83547199999998</v>
      </c>
      <c r="E178" s="53">
        <v>0</v>
      </c>
      <c r="F178" s="53">
        <f t="shared" si="12"/>
        <v>977.33675519999997</v>
      </c>
      <c r="G178" s="101" t="str">
        <f t="shared" si="13"/>
        <v>1st Floor For Commercial</v>
      </c>
      <c r="H178" s="102"/>
      <c r="I178" s="37"/>
      <c r="L178" s="96"/>
      <c r="M178" s="96"/>
      <c r="N178" s="37"/>
    </row>
    <row r="179" spans="1:14" s="54" customFormat="1" ht="31.5" x14ac:dyDescent="0.25">
      <c r="A179" s="101">
        <f t="shared" si="11"/>
        <v>5</v>
      </c>
      <c r="B179" s="102"/>
      <c r="C179" s="77" t="s">
        <v>239</v>
      </c>
      <c r="D179" s="61">
        <f t="shared" si="14"/>
        <v>610.83547199999998</v>
      </c>
      <c r="E179" s="53">
        <v>0</v>
      </c>
      <c r="F179" s="53">
        <f t="shared" ref="F179:F184" si="15">(D179+E179)*(($F$139)+1)</f>
        <v>977.33675519999997</v>
      </c>
      <c r="G179" s="101" t="str">
        <f t="shared" si="13"/>
        <v>1st Floor For Commercial</v>
      </c>
      <c r="H179" s="102"/>
      <c r="I179" s="37"/>
      <c r="L179" s="96"/>
      <c r="M179" s="96"/>
      <c r="N179" s="37"/>
    </row>
    <row r="180" spans="1:14" s="54" customFormat="1" ht="31.5" x14ac:dyDescent="0.25">
      <c r="A180" s="101">
        <f t="shared" si="11"/>
        <v>6</v>
      </c>
      <c r="B180" s="102"/>
      <c r="C180" s="77" t="s">
        <v>239</v>
      </c>
      <c r="D180" s="61">
        <f t="shared" si="14"/>
        <v>610.83547199999998</v>
      </c>
      <c r="E180" s="53">
        <v>0</v>
      </c>
      <c r="F180" s="53">
        <f t="shared" si="15"/>
        <v>977.33675519999997</v>
      </c>
      <c r="G180" s="101" t="str">
        <f t="shared" si="13"/>
        <v>1st Floor For Commercial</v>
      </c>
      <c r="H180" s="102"/>
      <c r="I180" s="37"/>
      <c r="L180" s="96"/>
      <c r="M180" s="96"/>
      <c r="N180" s="37"/>
    </row>
    <row r="181" spans="1:14" s="54" customFormat="1" ht="31.5" x14ac:dyDescent="0.25">
      <c r="A181" s="101">
        <f t="shared" si="11"/>
        <v>7</v>
      </c>
      <c r="B181" s="102"/>
      <c r="C181" s="77" t="s">
        <v>239</v>
      </c>
      <c r="D181" s="61">
        <f t="shared" si="14"/>
        <v>610.83547199999998</v>
      </c>
      <c r="E181" s="53">
        <v>0</v>
      </c>
      <c r="F181" s="53">
        <f t="shared" si="15"/>
        <v>977.33675519999997</v>
      </c>
      <c r="G181" s="101" t="str">
        <f t="shared" si="13"/>
        <v>1st Floor For Commercial</v>
      </c>
      <c r="H181" s="102"/>
      <c r="I181" s="37"/>
      <c r="L181" s="96"/>
      <c r="M181" s="96"/>
      <c r="N181" s="37"/>
    </row>
    <row r="182" spans="1:14" s="54" customFormat="1" ht="31.5" x14ac:dyDescent="0.25">
      <c r="A182" s="101">
        <f t="shared" si="11"/>
        <v>8</v>
      </c>
      <c r="B182" s="102"/>
      <c r="C182" s="77" t="s">
        <v>239</v>
      </c>
      <c r="D182" s="61">
        <f t="shared" si="14"/>
        <v>610.83547199999998</v>
      </c>
      <c r="E182" s="53">
        <v>0</v>
      </c>
      <c r="F182" s="53">
        <f t="shared" si="15"/>
        <v>977.33675519999997</v>
      </c>
      <c r="G182" s="101" t="str">
        <f t="shared" si="13"/>
        <v>1st Floor For Commercial</v>
      </c>
      <c r="H182" s="102"/>
      <c r="I182" s="37"/>
      <c r="L182" s="96"/>
      <c r="M182" s="96"/>
      <c r="N182" s="37"/>
    </row>
    <row r="183" spans="1:14" s="54" customFormat="1" ht="31.5" x14ac:dyDescent="0.25">
      <c r="A183" s="101">
        <f t="shared" si="11"/>
        <v>9</v>
      </c>
      <c r="B183" s="102"/>
      <c r="C183" s="77" t="s">
        <v>239</v>
      </c>
      <c r="D183" s="61">
        <f t="shared" si="14"/>
        <v>610.83547199999998</v>
      </c>
      <c r="E183" s="53">
        <v>0</v>
      </c>
      <c r="F183" s="53">
        <f t="shared" si="15"/>
        <v>977.33675519999997</v>
      </c>
      <c r="G183" s="101" t="str">
        <f t="shared" si="13"/>
        <v>1st Floor For Commercial</v>
      </c>
      <c r="H183" s="102"/>
      <c r="I183" s="37"/>
      <c r="L183" s="96"/>
      <c r="M183" s="96"/>
      <c r="N183" s="37"/>
    </row>
    <row r="184" spans="1:14" s="54" customFormat="1" ht="31.5" x14ac:dyDescent="0.25">
      <c r="A184" s="101">
        <f t="shared" si="11"/>
        <v>10</v>
      </c>
      <c r="B184" s="102"/>
      <c r="C184" s="77" t="s">
        <v>239</v>
      </c>
      <c r="D184" s="61">
        <f>(116.649)*(10.764)</f>
        <v>1255.6098359999999</v>
      </c>
      <c r="E184" s="53">
        <v>0</v>
      </c>
      <c r="F184" s="53">
        <f t="shared" si="15"/>
        <v>2008.9757375999998</v>
      </c>
      <c r="G184" s="101" t="str">
        <f t="shared" si="13"/>
        <v>1st Floor For Commercial</v>
      </c>
      <c r="H184" s="102"/>
      <c r="I184" s="37"/>
      <c r="L184" s="96"/>
      <c r="M184" s="96"/>
      <c r="N184" s="37"/>
    </row>
    <row r="185" spans="1:14" s="54" customFormat="1" ht="31.5" x14ac:dyDescent="0.25">
      <c r="A185" s="101">
        <f t="shared" si="11"/>
        <v>11</v>
      </c>
      <c r="B185" s="102"/>
      <c r="C185" s="77" t="s">
        <v>239</v>
      </c>
      <c r="D185" s="61">
        <f>(56.748)*(10.764)</f>
        <v>610.83547199999998</v>
      </c>
      <c r="E185" s="53">
        <v>0</v>
      </c>
      <c r="F185" s="53">
        <f t="shared" ref="F185:F196" si="16">(D185+E185)*(($F$139)+1)</f>
        <v>977.33675519999997</v>
      </c>
      <c r="G185" s="101" t="str">
        <f t="shared" si="13"/>
        <v>1st Floor For Commercial</v>
      </c>
      <c r="H185" s="102"/>
      <c r="I185" s="37"/>
      <c r="L185" s="96"/>
      <c r="M185" s="96"/>
      <c r="N185" s="37"/>
    </row>
    <row r="186" spans="1:14" s="54" customFormat="1" ht="31.5" x14ac:dyDescent="0.25">
      <c r="A186" s="100">
        <f t="shared" si="11"/>
        <v>12</v>
      </c>
      <c r="B186" s="100"/>
      <c r="C186" s="91" t="s">
        <v>239</v>
      </c>
      <c r="D186" s="61">
        <f t="shared" ref="D186:D191" si="17">(56.748)*(10.764)</f>
        <v>610.83547199999998</v>
      </c>
      <c r="E186" s="91">
        <v>0</v>
      </c>
      <c r="F186" s="91">
        <f t="shared" si="16"/>
        <v>977.33675519999997</v>
      </c>
      <c r="G186" s="100" t="str">
        <f t="shared" si="13"/>
        <v>1st Floor For Commercial</v>
      </c>
      <c r="H186" s="100"/>
      <c r="I186" s="37"/>
      <c r="L186" s="96"/>
      <c r="M186" s="96"/>
      <c r="N186" s="37"/>
    </row>
    <row r="187" spans="1:14" s="54" customFormat="1" ht="31.5" x14ac:dyDescent="0.25">
      <c r="A187" s="100">
        <f t="shared" si="11"/>
        <v>13</v>
      </c>
      <c r="B187" s="100"/>
      <c r="C187" s="91" t="s">
        <v>239</v>
      </c>
      <c r="D187" s="61">
        <f t="shared" si="17"/>
        <v>610.83547199999998</v>
      </c>
      <c r="E187" s="91">
        <v>0</v>
      </c>
      <c r="F187" s="91">
        <f t="shared" si="16"/>
        <v>977.33675519999997</v>
      </c>
      <c r="G187" s="100" t="str">
        <f t="shared" si="13"/>
        <v>1st Floor For Commercial</v>
      </c>
      <c r="H187" s="100"/>
      <c r="I187" s="37"/>
      <c r="L187" s="96"/>
      <c r="M187" s="96"/>
      <c r="N187" s="37"/>
    </row>
    <row r="188" spans="1:14" s="54" customFormat="1" ht="31.5" x14ac:dyDescent="0.25">
      <c r="A188" s="100">
        <f t="shared" si="11"/>
        <v>14</v>
      </c>
      <c r="B188" s="100"/>
      <c r="C188" s="91" t="s">
        <v>239</v>
      </c>
      <c r="D188" s="61">
        <f t="shared" si="17"/>
        <v>610.83547199999998</v>
      </c>
      <c r="E188" s="91">
        <v>0</v>
      </c>
      <c r="F188" s="91">
        <f t="shared" si="16"/>
        <v>977.33675519999997</v>
      </c>
      <c r="G188" s="100" t="str">
        <f t="shared" si="13"/>
        <v>1st Floor For Commercial</v>
      </c>
      <c r="H188" s="100"/>
      <c r="I188" s="37"/>
      <c r="L188" s="96"/>
      <c r="M188" s="96"/>
      <c r="N188" s="37"/>
    </row>
    <row r="189" spans="1:14" s="54" customFormat="1" ht="31.5" x14ac:dyDescent="0.25">
      <c r="A189" s="100">
        <f t="shared" si="11"/>
        <v>15</v>
      </c>
      <c r="B189" s="100"/>
      <c r="C189" s="91" t="s">
        <v>239</v>
      </c>
      <c r="D189" s="61">
        <f t="shared" si="17"/>
        <v>610.83547199999998</v>
      </c>
      <c r="E189" s="91">
        <v>0</v>
      </c>
      <c r="F189" s="91">
        <f t="shared" si="16"/>
        <v>977.33675519999997</v>
      </c>
      <c r="G189" s="100" t="str">
        <f t="shared" si="13"/>
        <v>1st Floor For Commercial</v>
      </c>
      <c r="H189" s="100"/>
      <c r="I189" s="37"/>
      <c r="L189" s="96"/>
      <c r="M189" s="96"/>
      <c r="N189" s="37"/>
    </row>
    <row r="190" spans="1:14" s="54" customFormat="1" ht="31.5" x14ac:dyDescent="0.25">
      <c r="A190" s="100">
        <f t="shared" si="11"/>
        <v>16</v>
      </c>
      <c r="B190" s="100"/>
      <c r="C190" s="91" t="s">
        <v>239</v>
      </c>
      <c r="D190" s="61">
        <f t="shared" si="17"/>
        <v>610.83547199999998</v>
      </c>
      <c r="E190" s="91">
        <v>0</v>
      </c>
      <c r="F190" s="91">
        <f t="shared" si="16"/>
        <v>977.33675519999997</v>
      </c>
      <c r="G190" s="100" t="str">
        <f t="shared" si="13"/>
        <v>1st Floor For Commercial</v>
      </c>
      <c r="H190" s="100"/>
      <c r="I190" s="37"/>
      <c r="L190" s="96"/>
      <c r="M190" s="96"/>
      <c r="N190" s="37"/>
    </row>
    <row r="191" spans="1:14" s="54" customFormat="1" ht="31.5" x14ac:dyDescent="0.25">
      <c r="A191" s="101">
        <f t="shared" si="11"/>
        <v>17</v>
      </c>
      <c r="B191" s="102"/>
      <c r="C191" s="77" t="s">
        <v>239</v>
      </c>
      <c r="D191" s="61">
        <f t="shared" si="17"/>
        <v>610.83547199999998</v>
      </c>
      <c r="E191" s="53">
        <v>0</v>
      </c>
      <c r="F191" s="53">
        <f t="shared" si="16"/>
        <v>977.33675519999997</v>
      </c>
      <c r="G191" s="101" t="str">
        <f t="shared" si="13"/>
        <v>1st Floor For Commercial</v>
      </c>
      <c r="H191" s="102"/>
      <c r="I191" s="37"/>
      <c r="L191" s="96"/>
      <c r="M191" s="96"/>
      <c r="N191" s="37"/>
    </row>
    <row r="192" spans="1:14" s="54" customFormat="1" ht="31.5" x14ac:dyDescent="0.25">
      <c r="A192" s="101">
        <f t="shared" si="11"/>
        <v>18</v>
      </c>
      <c r="B192" s="102"/>
      <c r="C192" s="77" t="s">
        <v>239</v>
      </c>
      <c r="D192" s="61">
        <f>228.538*10.764</f>
        <v>2459.9830320000001</v>
      </c>
      <c r="E192" s="53">
        <v>0</v>
      </c>
      <c r="F192" s="53">
        <f t="shared" si="16"/>
        <v>3935.9728512000002</v>
      </c>
      <c r="G192" s="101" t="str">
        <f t="shared" si="13"/>
        <v>1st Floor For Commercial</v>
      </c>
      <c r="H192" s="102"/>
      <c r="I192" s="37"/>
      <c r="L192" s="96"/>
      <c r="M192" s="96"/>
      <c r="N192" s="37"/>
    </row>
    <row r="193" spans="1:14" s="54" customFormat="1" ht="31.5" x14ac:dyDescent="0.25">
      <c r="A193" s="101">
        <f t="shared" si="11"/>
        <v>19</v>
      </c>
      <c r="B193" s="102"/>
      <c r="C193" s="77" t="s">
        <v>239</v>
      </c>
      <c r="D193" s="61">
        <f>58.162*10.764</f>
        <v>626.05576799999994</v>
      </c>
      <c r="E193" s="53">
        <v>0</v>
      </c>
      <c r="F193" s="53">
        <f t="shared" si="16"/>
        <v>1001.6892287999999</v>
      </c>
      <c r="G193" s="101" t="str">
        <f t="shared" si="13"/>
        <v>1st Floor For Commercial</v>
      </c>
      <c r="H193" s="102"/>
      <c r="I193" s="37"/>
      <c r="L193" s="96"/>
      <c r="M193" s="96"/>
      <c r="N193" s="37"/>
    </row>
    <row r="194" spans="1:14" s="54" customFormat="1" ht="31.5" x14ac:dyDescent="0.25">
      <c r="A194" s="101">
        <f t="shared" si="11"/>
        <v>20</v>
      </c>
      <c r="B194" s="102"/>
      <c r="C194" s="77" t="s">
        <v>239</v>
      </c>
      <c r="D194" s="61">
        <f>44.296*10.764</f>
        <v>476.80214399999994</v>
      </c>
      <c r="E194" s="53">
        <v>0</v>
      </c>
      <c r="F194" s="53">
        <f t="shared" si="16"/>
        <v>762.88343039999995</v>
      </c>
      <c r="G194" s="101" t="str">
        <f t="shared" si="13"/>
        <v>1st Floor For Commercial</v>
      </c>
      <c r="H194" s="102"/>
      <c r="I194" s="37"/>
      <c r="L194" s="96"/>
      <c r="M194" s="96"/>
      <c r="N194" s="37"/>
    </row>
    <row r="195" spans="1:14" s="54" customFormat="1" ht="31.5" x14ac:dyDescent="0.25">
      <c r="A195" s="101">
        <f t="shared" si="11"/>
        <v>21</v>
      </c>
      <c r="B195" s="102"/>
      <c r="C195" s="77" t="s">
        <v>239</v>
      </c>
      <c r="D195" s="61">
        <f>44.451*10.764</f>
        <v>478.47056399999997</v>
      </c>
      <c r="E195" s="53">
        <v>0</v>
      </c>
      <c r="F195" s="53">
        <f t="shared" si="16"/>
        <v>765.55290239999999</v>
      </c>
      <c r="G195" s="101" t="str">
        <f t="shared" si="13"/>
        <v>1st Floor For Commercial</v>
      </c>
      <c r="H195" s="102"/>
      <c r="I195" s="37"/>
      <c r="L195" s="96"/>
      <c r="M195" s="96"/>
      <c r="N195" s="37"/>
    </row>
    <row r="196" spans="1:14" s="54" customFormat="1" ht="31.5" x14ac:dyDescent="0.25">
      <c r="A196" s="101">
        <f t="shared" si="11"/>
        <v>22</v>
      </c>
      <c r="B196" s="102"/>
      <c r="C196" s="77" t="s">
        <v>239</v>
      </c>
      <c r="D196" s="61">
        <f t="shared" ref="D196:D197" si="18">44.451*10.764</f>
        <v>478.47056399999997</v>
      </c>
      <c r="E196" s="53">
        <v>0</v>
      </c>
      <c r="F196" s="53">
        <f t="shared" si="16"/>
        <v>765.55290239999999</v>
      </c>
      <c r="G196" s="101" t="str">
        <f t="shared" si="13"/>
        <v>1st Floor For Commercial</v>
      </c>
      <c r="H196" s="102"/>
      <c r="I196" s="37"/>
      <c r="L196" s="96"/>
      <c r="M196" s="96"/>
      <c r="N196" s="37"/>
    </row>
    <row r="197" spans="1:14" s="54" customFormat="1" ht="31.5" x14ac:dyDescent="0.25">
      <c r="A197" s="101">
        <f t="shared" si="11"/>
        <v>23</v>
      </c>
      <c r="B197" s="102"/>
      <c r="C197" s="77" t="s">
        <v>239</v>
      </c>
      <c r="D197" s="61">
        <f t="shared" si="18"/>
        <v>478.47056399999997</v>
      </c>
      <c r="E197" s="53">
        <v>0</v>
      </c>
      <c r="F197" s="53">
        <f t="shared" ref="F197:F220" si="19">(D197+E197)*(($F$139)+1)</f>
        <v>765.55290239999999</v>
      </c>
      <c r="G197" s="101" t="str">
        <f t="shared" si="13"/>
        <v>1st Floor For Commercial</v>
      </c>
      <c r="H197" s="102"/>
      <c r="I197" s="37"/>
      <c r="L197" s="96"/>
      <c r="M197" s="96"/>
      <c r="N197" s="37"/>
    </row>
    <row r="198" spans="1:14" s="54" customFormat="1" ht="31.5" x14ac:dyDescent="0.25">
      <c r="A198" s="101">
        <f t="shared" si="11"/>
        <v>24</v>
      </c>
      <c r="B198" s="102"/>
      <c r="C198" s="77" t="s">
        <v>239</v>
      </c>
      <c r="D198" s="61">
        <f>38.347*10.764</f>
        <v>412.76710800000001</v>
      </c>
      <c r="E198" s="53">
        <v>0</v>
      </c>
      <c r="F198" s="53">
        <f t="shared" si="19"/>
        <v>660.42737280000006</v>
      </c>
      <c r="G198" s="101" t="str">
        <f t="shared" si="13"/>
        <v>1st Floor For Commercial</v>
      </c>
      <c r="H198" s="102"/>
      <c r="I198" s="37"/>
      <c r="L198" s="96"/>
      <c r="M198" s="96"/>
      <c r="N198" s="37"/>
    </row>
    <row r="199" spans="1:14" s="54" customFormat="1" ht="31.5" x14ac:dyDescent="0.25">
      <c r="A199" s="101">
        <f t="shared" si="11"/>
        <v>25</v>
      </c>
      <c r="B199" s="102"/>
      <c r="C199" s="77" t="s">
        <v>239</v>
      </c>
      <c r="D199" s="61">
        <f>40.102*10.764</f>
        <v>431.65792799999991</v>
      </c>
      <c r="E199" s="53">
        <v>0</v>
      </c>
      <c r="F199" s="53">
        <f t="shared" si="19"/>
        <v>690.65268479999986</v>
      </c>
      <c r="G199" s="101" t="str">
        <f t="shared" si="13"/>
        <v>1st Floor For Commercial</v>
      </c>
      <c r="H199" s="102"/>
      <c r="I199" s="37"/>
      <c r="L199" s="96"/>
      <c r="M199" s="96"/>
      <c r="N199" s="37"/>
    </row>
    <row r="200" spans="1:14" s="54" customFormat="1" ht="31.5" x14ac:dyDescent="0.25">
      <c r="A200" s="101">
        <f t="shared" si="11"/>
        <v>26</v>
      </c>
      <c r="B200" s="102"/>
      <c r="C200" s="77" t="s">
        <v>239</v>
      </c>
      <c r="D200" s="61">
        <f>38.644*10.764</f>
        <v>415.96401599999996</v>
      </c>
      <c r="E200" s="53">
        <v>0</v>
      </c>
      <c r="F200" s="53">
        <f t="shared" si="19"/>
        <v>665.5424256</v>
      </c>
      <c r="G200" s="101" t="str">
        <f t="shared" si="13"/>
        <v>1st Floor For Commercial</v>
      </c>
      <c r="H200" s="102"/>
      <c r="I200" s="37"/>
      <c r="L200" s="96"/>
      <c r="M200" s="96"/>
      <c r="N200" s="37"/>
    </row>
    <row r="201" spans="1:14" s="54" customFormat="1" ht="31.5" x14ac:dyDescent="0.25">
      <c r="A201" s="101">
        <f t="shared" si="11"/>
        <v>27</v>
      </c>
      <c r="B201" s="102"/>
      <c r="C201" s="77" t="s">
        <v>239</v>
      </c>
      <c r="D201" s="61">
        <f>37.753*10.764</f>
        <v>406.37329199999999</v>
      </c>
      <c r="E201" s="53">
        <v>0</v>
      </c>
      <c r="F201" s="53">
        <f t="shared" si="19"/>
        <v>650.19726720000006</v>
      </c>
      <c r="G201" s="101" t="str">
        <f t="shared" si="13"/>
        <v>1st Floor For Commercial</v>
      </c>
      <c r="H201" s="102"/>
      <c r="I201" s="37"/>
      <c r="L201" s="96"/>
      <c r="M201" s="96"/>
      <c r="N201" s="37"/>
    </row>
    <row r="202" spans="1:14" s="54" customFormat="1" ht="31.5" x14ac:dyDescent="0.25">
      <c r="A202" s="101">
        <f t="shared" si="11"/>
        <v>28</v>
      </c>
      <c r="B202" s="102"/>
      <c r="C202" s="77" t="s">
        <v>239</v>
      </c>
      <c r="D202" s="61">
        <f>55.103*10.764</f>
        <v>593.128692</v>
      </c>
      <c r="E202" s="53">
        <v>0</v>
      </c>
      <c r="F202" s="53">
        <f t="shared" si="19"/>
        <v>949.00590720000002</v>
      </c>
      <c r="G202" s="101" t="str">
        <f t="shared" si="13"/>
        <v>1st Floor For Commercial</v>
      </c>
      <c r="H202" s="102"/>
      <c r="I202" s="37"/>
      <c r="L202" s="96"/>
      <c r="M202" s="96"/>
      <c r="N202" s="37"/>
    </row>
    <row r="203" spans="1:14" s="54" customFormat="1" ht="31.5" x14ac:dyDescent="0.25">
      <c r="A203" s="101">
        <f t="shared" si="11"/>
        <v>29</v>
      </c>
      <c r="B203" s="102"/>
      <c r="C203" s="77" t="s">
        <v>239</v>
      </c>
      <c r="D203" s="61">
        <f>62.324*10.764</f>
        <v>670.85553599999992</v>
      </c>
      <c r="E203" s="53">
        <v>0</v>
      </c>
      <c r="F203" s="53">
        <f t="shared" si="19"/>
        <v>1073.3688576</v>
      </c>
      <c r="G203" s="101" t="str">
        <f t="shared" si="13"/>
        <v>1st Floor For Commercial</v>
      </c>
      <c r="H203" s="102"/>
      <c r="I203" s="37"/>
      <c r="L203" s="96"/>
      <c r="M203" s="96"/>
      <c r="N203" s="37"/>
    </row>
    <row r="204" spans="1:14" s="54" customFormat="1" ht="31.5" x14ac:dyDescent="0.25">
      <c r="A204" s="101">
        <f t="shared" si="11"/>
        <v>30</v>
      </c>
      <c r="B204" s="102"/>
      <c r="C204" s="77" t="s">
        <v>239</v>
      </c>
      <c r="D204" s="61">
        <f>31.625*10.764</f>
        <v>340.41149999999999</v>
      </c>
      <c r="E204" s="53">
        <v>0</v>
      </c>
      <c r="F204" s="53">
        <f t="shared" si="19"/>
        <v>544.65840000000003</v>
      </c>
      <c r="G204" s="101" t="str">
        <f t="shared" si="13"/>
        <v>1st Floor For Commercial</v>
      </c>
      <c r="H204" s="102"/>
      <c r="I204" s="37"/>
      <c r="L204" s="96"/>
      <c r="M204" s="96"/>
      <c r="N204" s="37"/>
    </row>
    <row r="205" spans="1:14" s="54" customFormat="1" ht="31.5" x14ac:dyDescent="0.25">
      <c r="A205" s="101">
        <f t="shared" si="11"/>
        <v>31</v>
      </c>
      <c r="B205" s="102"/>
      <c r="C205" s="77" t="s">
        <v>239</v>
      </c>
      <c r="D205" s="61">
        <f>31.625*10.764</f>
        <v>340.41149999999999</v>
      </c>
      <c r="E205" s="53">
        <v>0</v>
      </c>
      <c r="F205" s="53">
        <f t="shared" si="19"/>
        <v>544.65840000000003</v>
      </c>
      <c r="G205" s="101" t="str">
        <f t="shared" si="13"/>
        <v>1st Floor For Commercial</v>
      </c>
      <c r="H205" s="102"/>
      <c r="I205" s="37"/>
      <c r="L205" s="96"/>
      <c r="M205" s="96"/>
      <c r="N205" s="37"/>
    </row>
    <row r="206" spans="1:14" s="54" customFormat="1" ht="31.5" x14ac:dyDescent="0.25">
      <c r="A206" s="101">
        <f t="shared" si="11"/>
        <v>32</v>
      </c>
      <c r="B206" s="102"/>
      <c r="C206" s="77" t="s">
        <v>239</v>
      </c>
      <c r="D206" s="61">
        <f>10.314*10.764</f>
        <v>111.01989599999999</v>
      </c>
      <c r="E206" s="53">
        <v>0</v>
      </c>
      <c r="F206" s="53">
        <f t="shared" si="19"/>
        <v>177.63183359999999</v>
      </c>
      <c r="G206" s="101" t="str">
        <f t="shared" si="13"/>
        <v>1st Floor For Commercial</v>
      </c>
      <c r="H206" s="102"/>
      <c r="I206" s="37"/>
      <c r="L206" s="96"/>
      <c r="M206" s="96"/>
      <c r="N206" s="37"/>
    </row>
    <row r="207" spans="1:14" s="54" customFormat="1" ht="31.5" x14ac:dyDescent="0.25">
      <c r="A207" s="100">
        <f t="shared" si="11"/>
        <v>33</v>
      </c>
      <c r="B207" s="100"/>
      <c r="C207" s="88" t="s">
        <v>239</v>
      </c>
      <c r="D207" s="61">
        <f>23.815*10.764</f>
        <v>256.34465999999998</v>
      </c>
      <c r="E207" s="88">
        <v>0</v>
      </c>
      <c r="F207" s="88">
        <f t="shared" si="19"/>
        <v>410.151456</v>
      </c>
      <c r="G207" s="100" t="str">
        <f t="shared" si="13"/>
        <v>1st Floor For Commercial</v>
      </c>
      <c r="H207" s="100"/>
      <c r="I207" s="37"/>
      <c r="L207" s="96"/>
      <c r="M207" s="96"/>
      <c r="N207" s="37"/>
    </row>
    <row r="208" spans="1:14" s="54" customFormat="1" ht="31.5" x14ac:dyDescent="0.25">
      <c r="A208" s="100">
        <f t="shared" si="11"/>
        <v>34</v>
      </c>
      <c r="B208" s="100"/>
      <c r="C208" s="88" t="s">
        <v>239</v>
      </c>
      <c r="D208" s="61">
        <f>10.857*10.764</f>
        <v>116.86474799999999</v>
      </c>
      <c r="E208" s="88">
        <v>0</v>
      </c>
      <c r="F208" s="88">
        <f t="shared" si="19"/>
        <v>186.98359679999999</v>
      </c>
      <c r="G208" s="100" t="str">
        <f t="shared" si="13"/>
        <v>1st Floor For Commercial</v>
      </c>
      <c r="H208" s="100"/>
      <c r="I208" s="37"/>
      <c r="L208" s="96"/>
      <c r="M208" s="96"/>
      <c r="N208" s="37"/>
    </row>
    <row r="209" spans="1:14" s="54" customFormat="1" ht="31.5" x14ac:dyDescent="0.25">
      <c r="A209" s="100">
        <f t="shared" si="11"/>
        <v>35</v>
      </c>
      <c r="B209" s="100"/>
      <c r="C209" s="88" t="s">
        <v>239</v>
      </c>
      <c r="D209" s="61">
        <f t="shared" ref="D209:D222" si="20">10.857*10.764</f>
        <v>116.86474799999999</v>
      </c>
      <c r="E209" s="88">
        <v>0</v>
      </c>
      <c r="F209" s="88">
        <f t="shared" si="19"/>
        <v>186.98359679999999</v>
      </c>
      <c r="G209" s="100" t="str">
        <f t="shared" si="13"/>
        <v>1st Floor For Commercial</v>
      </c>
      <c r="H209" s="100"/>
      <c r="I209" s="37"/>
      <c r="L209" s="96"/>
      <c r="M209" s="96"/>
      <c r="N209" s="37"/>
    </row>
    <row r="210" spans="1:14" s="54" customFormat="1" ht="31.5" x14ac:dyDescent="0.25">
      <c r="A210" s="100">
        <f t="shared" si="11"/>
        <v>36</v>
      </c>
      <c r="B210" s="100"/>
      <c r="C210" s="88" t="s">
        <v>239</v>
      </c>
      <c r="D210" s="61">
        <f t="shared" si="20"/>
        <v>116.86474799999999</v>
      </c>
      <c r="E210" s="88">
        <v>0</v>
      </c>
      <c r="F210" s="88">
        <f t="shared" si="19"/>
        <v>186.98359679999999</v>
      </c>
      <c r="G210" s="100" t="str">
        <f t="shared" si="13"/>
        <v>1st Floor For Commercial</v>
      </c>
      <c r="H210" s="100"/>
      <c r="I210" s="37"/>
      <c r="L210" s="96"/>
      <c r="M210" s="96"/>
      <c r="N210" s="37"/>
    </row>
    <row r="211" spans="1:14" s="54" customFormat="1" ht="31.5" x14ac:dyDescent="0.25">
      <c r="A211" s="101">
        <f t="shared" si="11"/>
        <v>37</v>
      </c>
      <c r="B211" s="102"/>
      <c r="C211" s="77" t="s">
        <v>239</v>
      </c>
      <c r="D211" s="61">
        <f t="shared" si="20"/>
        <v>116.86474799999999</v>
      </c>
      <c r="E211" s="53">
        <v>0</v>
      </c>
      <c r="F211" s="53">
        <f t="shared" si="19"/>
        <v>186.98359679999999</v>
      </c>
      <c r="G211" s="101" t="str">
        <f t="shared" si="13"/>
        <v>1st Floor For Commercial</v>
      </c>
      <c r="H211" s="102"/>
      <c r="I211" s="37"/>
      <c r="L211" s="96"/>
      <c r="M211" s="96"/>
      <c r="N211" s="37"/>
    </row>
    <row r="212" spans="1:14" s="54" customFormat="1" ht="31.5" x14ac:dyDescent="0.25">
      <c r="A212" s="101">
        <f t="shared" si="11"/>
        <v>38</v>
      </c>
      <c r="B212" s="102"/>
      <c r="C212" s="77" t="s">
        <v>239</v>
      </c>
      <c r="D212" s="61">
        <f t="shared" si="20"/>
        <v>116.86474799999999</v>
      </c>
      <c r="E212" s="53">
        <v>0</v>
      </c>
      <c r="F212" s="53">
        <f t="shared" si="19"/>
        <v>186.98359679999999</v>
      </c>
      <c r="G212" s="101" t="str">
        <f t="shared" si="13"/>
        <v>1st Floor For Commercial</v>
      </c>
      <c r="H212" s="102"/>
      <c r="I212" s="37"/>
      <c r="L212" s="96"/>
      <c r="M212" s="96"/>
      <c r="N212" s="37"/>
    </row>
    <row r="213" spans="1:14" s="54" customFormat="1" ht="31.5" x14ac:dyDescent="0.25">
      <c r="A213" s="101">
        <f t="shared" si="11"/>
        <v>39</v>
      </c>
      <c r="B213" s="102"/>
      <c r="C213" s="77" t="s">
        <v>239</v>
      </c>
      <c r="D213" s="61">
        <f>34.212*10.764</f>
        <v>368.25796800000001</v>
      </c>
      <c r="E213" s="53">
        <v>0</v>
      </c>
      <c r="F213" s="53">
        <f t="shared" si="19"/>
        <v>589.21274879999999</v>
      </c>
      <c r="G213" s="101" t="str">
        <f t="shared" si="13"/>
        <v>1st Floor For Commercial</v>
      </c>
      <c r="H213" s="102"/>
      <c r="I213" s="37"/>
      <c r="L213" s="96"/>
      <c r="M213" s="96"/>
      <c r="N213" s="37"/>
    </row>
    <row r="214" spans="1:14" s="54" customFormat="1" ht="31.5" x14ac:dyDescent="0.25">
      <c r="A214" s="101">
        <f t="shared" si="11"/>
        <v>40</v>
      </c>
      <c r="B214" s="102"/>
      <c r="C214" s="77" t="s">
        <v>239</v>
      </c>
      <c r="D214" s="61">
        <f t="shared" si="20"/>
        <v>116.86474799999999</v>
      </c>
      <c r="E214" s="53">
        <v>0</v>
      </c>
      <c r="F214" s="53">
        <f t="shared" si="19"/>
        <v>186.98359679999999</v>
      </c>
      <c r="G214" s="101" t="str">
        <f t="shared" si="13"/>
        <v>1st Floor For Commercial</v>
      </c>
      <c r="H214" s="102"/>
      <c r="I214" s="37"/>
      <c r="L214" s="96"/>
      <c r="M214" s="96"/>
      <c r="N214" s="37"/>
    </row>
    <row r="215" spans="1:14" s="54" customFormat="1" ht="31.5" x14ac:dyDescent="0.25">
      <c r="A215" s="101">
        <f t="shared" si="11"/>
        <v>41</v>
      </c>
      <c r="B215" s="102"/>
      <c r="C215" s="77" t="s">
        <v>239</v>
      </c>
      <c r="D215" s="61">
        <f t="shared" si="20"/>
        <v>116.86474799999999</v>
      </c>
      <c r="E215" s="53">
        <v>0</v>
      </c>
      <c r="F215" s="53">
        <f t="shared" si="19"/>
        <v>186.98359679999999</v>
      </c>
      <c r="G215" s="101" t="str">
        <f t="shared" si="13"/>
        <v>1st Floor For Commercial</v>
      </c>
      <c r="H215" s="102"/>
      <c r="I215" s="37"/>
      <c r="L215" s="96"/>
      <c r="M215" s="96"/>
      <c r="N215" s="37"/>
    </row>
    <row r="216" spans="1:14" s="54" customFormat="1" ht="31.5" x14ac:dyDescent="0.25">
      <c r="A216" s="101">
        <f t="shared" si="11"/>
        <v>42</v>
      </c>
      <c r="B216" s="102"/>
      <c r="C216" s="77" t="s">
        <v>239</v>
      </c>
      <c r="D216" s="61">
        <f t="shared" si="20"/>
        <v>116.86474799999999</v>
      </c>
      <c r="E216" s="53">
        <v>0</v>
      </c>
      <c r="F216" s="53">
        <f t="shared" si="19"/>
        <v>186.98359679999999</v>
      </c>
      <c r="G216" s="101" t="str">
        <f t="shared" si="13"/>
        <v>1st Floor For Commercial</v>
      </c>
      <c r="H216" s="102"/>
      <c r="I216" s="37"/>
      <c r="L216" s="96"/>
      <c r="M216" s="96"/>
      <c r="N216" s="37"/>
    </row>
    <row r="217" spans="1:14" s="54" customFormat="1" ht="31.5" x14ac:dyDescent="0.25">
      <c r="A217" s="101">
        <f t="shared" si="11"/>
        <v>43</v>
      </c>
      <c r="B217" s="102"/>
      <c r="C217" s="77" t="s">
        <v>239</v>
      </c>
      <c r="D217" s="61">
        <f t="shared" si="20"/>
        <v>116.86474799999999</v>
      </c>
      <c r="E217" s="53">
        <v>0</v>
      </c>
      <c r="F217" s="53">
        <f t="shared" si="19"/>
        <v>186.98359679999999</v>
      </c>
      <c r="G217" s="101" t="str">
        <f t="shared" si="13"/>
        <v>1st Floor For Commercial</v>
      </c>
      <c r="H217" s="102"/>
      <c r="I217" s="37"/>
      <c r="L217" s="96"/>
      <c r="M217" s="96"/>
      <c r="N217" s="37"/>
    </row>
    <row r="218" spans="1:14" s="54" customFormat="1" ht="31.5" x14ac:dyDescent="0.25">
      <c r="A218" s="101">
        <f t="shared" si="11"/>
        <v>44</v>
      </c>
      <c r="B218" s="102"/>
      <c r="C218" s="77" t="s">
        <v>239</v>
      </c>
      <c r="D218" s="61">
        <f t="shared" si="20"/>
        <v>116.86474799999999</v>
      </c>
      <c r="E218" s="53">
        <v>0</v>
      </c>
      <c r="F218" s="53">
        <f t="shared" si="19"/>
        <v>186.98359679999999</v>
      </c>
      <c r="G218" s="101" t="str">
        <f t="shared" si="13"/>
        <v>1st Floor For Commercial</v>
      </c>
      <c r="H218" s="102"/>
      <c r="I218" s="37"/>
      <c r="L218" s="96"/>
      <c r="M218" s="96"/>
      <c r="N218" s="37"/>
    </row>
    <row r="219" spans="1:14" s="54" customFormat="1" ht="31.5" x14ac:dyDescent="0.25">
      <c r="A219" s="101">
        <f t="shared" si="11"/>
        <v>45</v>
      </c>
      <c r="B219" s="102"/>
      <c r="C219" s="77" t="s">
        <v>239</v>
      </c>
      <c r="D219" s="61">
        <f>7.374*10.764</f>
        <v>79.373735999999994</v>
      </c>
      <c r="E219" s="53">
        <v>0</v>
      </c>
      <c r="F219" s="53">
        <f t="shared" si="19"/>
        <v>126.9979776</v>
      </c>
      <c r="G219" s="101" t="str">
        <f t="shared" si="13"/>
        <v>1st Floor For Commercial</v>
      </c>
      <c r="H219" s="102"/>
      <c r="I219" s="37"/>
      <c r="L219" s="96"/>
      <c r="M219" s="96"/>
      <c r="N219" s="37"/>
    </row>
    <row r="220" spans="1:14" s="54" customFormat="1" ht="31.5" x14ac:dyDescent="0.25">
      <c r="A220" s="101">
        <f t="shared" si="11"/>
        <v>46</v>
      </c>
      <c r="B220" s="102"/>
      <c r="C220" s="77" t="s">
        <v>239</v>
      </c>
      <c r="D220" s="61">
        <f t="shared" si="20"/>
        <v>116.86474799999999</v>
      </c>
      <c r="E220" s="53">
        <v>0</v>
      </c>
      <c r="F220" s="53">
        <f t="shared" si="19"/>
        <v>186.98359679999999</v>
      </c>
      <c r="G220" s="101" t="str">
        <f t="shared" si="13"/>
        <v>1st Floor For Commercial</v>
      </c>
      <c r="H220" s="102"/>
      <c r="I220" s="37"/>
      <c r="L220" s="96"/>
      <c r="M220" s="96"/>
      <c r="N220" s="37"/>
    </row>
    <row r="221" spans="1:14" s="54" customFormat="1" ht="31.5" x14ac:dyDescent="0.25">
      <c r="A221" s="101">
        <f t="shared" si="11"/>
        <v>47</v>
      </c>
      <c r="B221" s="102"/>
      <c r="C221" s="77" t="s">
        <v>239</v>
      </c>
      <c r="D221" s="61">
        <f t="shared" si="20"/>
        <v>116.86474799999999</v>
      </c>
      <c r="E221" s="53">
        <v>0</v>
      </c>
      <c r="F221" s="53">
        <f t="shared" ref="F221:F231" si="21">(D221+E221)*(($F$139)+1)</f>
        <v>186.98359679999999</v>
      </c>
      <c r="G221" s="101" t="str">
        <f t="shared" si="13"/>
        <v>1st Floor For Commercial</v>
      </c>
      <c r="H221" s="102"/>
      <c r="I221" s="37"/>
      <c r="L221" s="96"/>
      <c r="M221" s="96"/>
      <c r="N221" s="37"/>
    </row>
    <row r="222" spans="1:14" s="54" customFormat="1" ht="31.5" x14ac:dyDescent="0.25">
      <c r="A222" s="101">
        <f t="shared" si="11"/>
        <v>48</v>
      </c>
      <c r="B222" s="102"/>
      <c r="C222" s="77" t="s">
        <v>239</v>
      </c>
      <c r="D222" s="61">
        <f t="shared" si="20"/>
        <v>116.86474799999999</v>
      </c>
      <c r="E222" s="53">
        <v>0</v>
      </c>
      <c r="F222" s="53">
        <f t="shared" si="21"/>
        <v>186.98359679999999</v>
      </c>
      <c r="G222" s="101" t="str">
        <f t="shared" si="13"/>
        <v>1st Floor For Commercial</v>
      </c>
      <c r="H222" s="102"/>
      <c r="I222" s="37"/>
      <c r="L222" s="96"/>
      <c r="M222" s="96"/>
      <c r="N222" s="37"/>
    </row>
    <row r="223" spans="1:14" s="54" customFormat="1" ht="31.5" x14ac:dyDescent="0.25">
      <c r="A223" s="101">
        <f t="shared" si="11"/>
        <v>49</v>
      </c>
      <c r="B223" s="102"/>
      <c r="C223" s="77" t="s">
        <v>239</v>
      </c>
      <c r="D223" s="61">
        <f>9.664*10.764</f>
        <v>104.02329599999999</v>
      </c>
      <c r="E223" s="53">
        <v>0</v>
      </c>
      <c r="F223" s="53">
        <f t="shared" si="21"/>
        <v>166.4372736</v>
      </c>
      <c r="G223" s="101" t="str">
        <f t="shared" si="13"/>
        <v>1st Floor For Commercial</v>
      </c>
      <c r="H223" s="102"/>
      <c r="I223" s="37"/>
      <c r="L223" s="96"/>
      <c r="M223" s="96"/>
      <c r="N223" s="37"/>
    </row>
    <row r="224" spans="1:14" s="54" customFormat="1" ht="31.5" x14ac:dyDescent="0.25">
      <c r="A224" s="101">
        <f t="shared" si="11"/>
        <v>50</v>
      </c>
      <c r="B224" s="102"/>
      <c r="C224" s="77" t="s">
        <v>239</v>
      </c>
      <c r="D224" s="61">
        <f>10.229*10.764</f>
        <v>110.10495599999999</v>
      </c>
      <c r="E224" s="53">
        <v>0</v>
      </c>
      <c r="F224" s="53">
        <f t="shared" si="21"/>
        <v>176.16792959999998</v>
      </c>
      <c r="G224" s="101" t="str">
        <f t="shared" si="13"/>
        <v>1st Floor For Commercial</v>
      </c>
      <c r="H224" s="102"/>
      <c r="I224" s="37"/>
      <c r="L224" s="96"/>
      <c r="M224" s="96"/>
      <c r="N224" s="37"/>
    </row>
    <row r="225" spans="1:14" s="54" customFormat="1" ht="31.5" x14ac:dyDescent="0.25">
      <c r="A225" s="101">
        <f t="shared" si="11"/>
        <v>51</v>
      </c>
      <c r="B225" s="102"/>
      <c r="C225" s="77" t="s">
        <v>239</v>
      </c>
      <c r="D225" s="61">
        <f>7.895*10.764</f>
        <v>84.981779999999986</v>
      </c>
      <c r="E225" s="53">
        <v>0</v>
      </c>
      <c r="F225" s="53">
        <f t="shared" si="21"/>
        <v>135.97084799999999</v>
      </c>
      <c r="G225" s="101" t="str">
        <f t="shared" si="13"/>
        <v>1st Floor For Commercial</v>
      </c>
      <c r="H225" s="102"/>
      <c r="I225" s="37"/>
      <c r="L225" s="96"/>
      <c r="M225" s="96"/>
      <c r="N225" s="37"/>
    </row>
    <row r="226" spans="1:14" s="54" customFormat="1" ht="31.5" x14ac:dyDescent="0.25">
      <c r="A226" s="101">
        <f t="shared" si="11"/>
        <v>52</v>
      </c>
      <c r="B226" s="102"/>
      <c r="C226" s="77" t="s">
        <v>239</v>
      </c>
      <c r="D226" s="61">
        <f>7.041*10.764</f>
        <v>75.789323999999993</v>
      </c>
      <c r="E226" s="53">
        <v>0</v>
      </c>
      <c r="F226" s="53">
        <f t="shared" si="21"/>
        <v>121.26291839999999</v>
      </c>
      <c r="G226" s="101" t="str">
        <f t="shared" si="13"/>
        <v>1st Floor For Commercial</v>
      </c>
      <c r="H226" s="102"/>
      <c r="I226" s="37"/>
      <c r="L226" s="96"/>
      <c r="M226" s="96"/>
      <c r="N226" s="37"/>
    </row>
    <row r="227" spans="1:14" s="54" customFormat="1" ht="31.5" x14ac:dyDescent="0.25">
      <c r="A227" s="101">
        <f t="shared" si="11"/>
        <v>53</v>
      </c>
      <c r="B227" s="102"/>
      <c r="C227" s="77" t="s">
        <v>239</v>
      </c>
      <c r="D227" s="61">
        <f>7.105*10.764</f>
        <v>76.478219999999993</v>
      </c>
      <c r="E227" s="53">
        <v>0</v>
      </c>
      <c r="F227" s="53">
        <f t="shared" si="21"/>
        <v>122.36515199999999</v>
      </c>
      <c r="G227" s="101" t="str">
        <f t="shared" si="13"/>
        <v>1st Floor For Commercial</v>
      </c>
      <c r="H227" s="102"/>
      <c r="I227" s="37"/>
      <c r="L227" s="96"/>
      <c r="M227" s="96"/>
      <c r="N227" s="37"/>
    </row>
    <row r="228" spans="1:14" s="54" customFormat="1" ht="31.5" x14ac:dyDescent="0.25">
      <c r="A228" s="100">
        <f t="shared" si="11"/>
        <v>54</v>
      </c>
      <c r="B228" s="100"/>
      <c r="C228" s="88" t="s">
        <v>239</v>
      </c>
      <c r="D228" s="61">
        <f>10.389*10.764</f>
        <v>111.82719599999999</v>
      </c>
      <c r="E228" s="88">
        <v>0</v>
      </c>
      <c r="F228" s="88">
        <f t="shared" si="21"/>
        <v>178.92351359999998</v>
      </c>
      <c r="G228" s="100" t="str">
        <f t="shared" si="13"/>
        <v>1st Floor For Commercial</v>
      </c>
      <c r="H228" s="100"/>
      <c r="I228" s="37"/>
      <c r="L228" s="96"/>
      <c r="M228" s="96"/>
      <c r="N228" s="37"/>
    </row>
    <row r="229" spans="1:14" s="54" customFormat="1" ht="31.5" x14ac:dyDescent="0.25">
      <c r="A229" s="100">
        <f t="shared" si="11"/>
        <v>55</v>
      </c>
      <c r="B229" s="100"/>
      <c r="C229" s="88" t="s">
        <v>239</v>
      </c>
      <c r="D229" s="61">
        <f>7.01*10.764</f>
        <v>75.455639999999988</v>
      </c>
      <c r="E229" s="88">
        <v>0</v>
      </c>
      <c r="F229" s="88">
        <f t="shared" si="21"/>
        <v>120.72902399999998</v>
      </c>
      <c r="G229" s="100" t="str">
        <f t="shared" si="13"/>
        <v>1st Floor For Commercial</v>
      </c>
      <c r="H229" s="100"/>
      <c r="I229" s="37"/>
      <c r="L229" s="96"/>
      <c r="M229" s="96"/>
      <c r="N229" s="37"/>
    </row>
    <row r="230" spans="1:14" s="54" customFormat="1" ht="31.5" x14ac:dyDescent="0.25">
      <c r="A230" s="100">
        <f t="shared" si="11"/>
        <v>56</v>
      </c>
      <c r="B230" s="100"/>
      <c r="C230" s="88" t="s">
        <v>239</v>
      </c>
      <c r="D230" s="61">
        <f>10.389*10.764</f>
        <v>111.82719599999999</v>
      </c>
      <c r="E230" s="88">
        <v>0</v>
      </c>
      <c r="F230" s="88">
        <f t="shared" si="21"/>
        <v>178.92351359999998</v>
      </c>
      <c r="G230" s="100" t="str">
        <f t="shared" si="13"/>
        <v>1st Floor For Commercial</v>
      </c>
      <c r="H230" s="100"/>
      <c r="I230" s="37"/>
      <c r="L230" s="96"/>
      <c r="M230" s="96"/>
      <c r="N230" s="37"/>
    </row>
    <row r="231" spans="1:14" s="54" customFormat="1" ht="31.5" x14ac:dyDescent="0.25">
      <c r="A231" s="100">
        <f t="shared" si="11"/>
        <v>57</v>
      </c>
      <c r="B231" s="100"/>
      <c r="C231" s="88" t="s">
        <v>239</v>
      </c>
      <c r="D231" s="61">
        <f>6.608*10.764</f>
        <v>71.128511999999986</v>
      </c>
      <c r="E231" s="88">
        <v>0</v>
      </c>
      <c r="F231" s="88">
        <f t="shared" si="21"/>
        <v>113.80561919999998</v>
      </c>
      <c r="G231" s="100" t="str">
        <f t="shared" si="13"/>
        <v>1st Floor For Commercial</v>
      </c>
      <c r="H231" s="100"/>
      <c r="I231" s="37"/>
      <c r="L231" s="96"/>
      <c r="M231" s="96"/>
      <c r="N231" s="37"/>
    </row>
    <row r="232" spans="1:14" s="54" customFormat="1" ht="31.5" x14ac:dyDescent="0.25">
      <c r="A232" s="101">
        <f t="shared" si="11"/>
        <v>58</v>
      </c>
      <c r="B232" s="102"/>
      <c r="C232" s="77" t="s">
        <v>239</v>
      </c>
      <c r="D232" s="61">
        <f>7.315*10.764</f>
        <v>78.738659999999996</v>
      </c>
      <c r="E232" s="53">
        <v>0</v>
      </c>
      <c r="F232" s="53">
        <f t="shared" ref="F232:F234" si="22">(D232+E232)*(($F$139)+1)</f>
        <v>125.98185599999999</v>
      </c>
      <c r="G232" s="101" t="str">
        <f t="shared" si="13"/>
        <v>1st Floor For Commercial</v>
      </c>
      <c r="H232" s="102"/>
      <c r="I232" s="37"/>
      <c r="L232" s="96"/>
      <c r="M232" s="96"/>
      <c r="N232" s="37"/>
    </row>
    <row r="233" spans="1:14" s="54" customFormat="1" ht="31.5" x14ac:dyDescent="0.25">
      <c r="A233" s="101">
        <f t="shared" si="11"/>
        <v>59</v>
      </c>
      <c r="B233" s="102"/>
      <c r="C233" s="77" t="s">
        <v>239</v>
      </c>
      <c r="D233" s="61">
        <f>7.01*10.764</f>
        <v>75.455639999999988</v>
      </c>
      <c r="E233" s="53">
        <v>0</v>
      </c>
      <c r="F233" s="53">
        <f t="shared" si="22"/>
        <v>120.72902399999998</v>
      </c>
      <c r="G233" s="101" t="str">
        <f t="shared" si="13"/>
        <v>1st Floor For Commercial</v>
      </c>
      <c r="H233" s="102"/>
      <c r="I233" s="37"/>
      <c r="L233" s="96"/>
      <c r="M233" s="96"/>
      <c r="N233" s="37"/>
    </row>
    <row r="234" spans="1:14" s="54" customFormat="1" ht="31.5" x14ac:dyDescent="0.25">
      <c r="A234" s="101">
        <f t="shared" si="11"/>
        <v>60</v>
      </c>
      <c r="B234" s="102"/>
      <c r="C234" s="77" t="s">
        <v>239</v>
      </c>
      <c r="D234" s="61">
        <f>7.01*10.764</f>
        <v>75.455639999999988</v>
      </c>
      <c r="E234" s="53">
        <v>0</v>
      </c>
      <c r="F234" s="53">
        <f t="shared" si="22"/>
        <v>120.72902399999998</v>
      </c>
      <c r="G234" s="101" t="str">
        <f t="shared" si="13"/>
        <v>1st Floor For Commercial</v>
      </c>
      <c r="H234" s="102"/>
      <c r="I234" s="37"/>
      <c r="L234" s="96"/>
      <c r="M234" s="96"/>
      <c r="N234" s="37"/>
    </row>
    <row r="235" spans="1:14" s="56" customFormat="1" x14ac:dyDescent="0.25">
      <c r="A235" s="97" t="s">
        <v>125</v>
      </c>
      <c r="B235" s="98"/>
      <c r="C235" s="98"/>
      <c r="D235" s="98"/>
      <c r="E235" s="98"/>
      <c r="F235" s="98"/>
      <c r="G235" s="98"/>
      <c r="H235" s="99"/>
      <c r="J235" s="37"/>
    </row>
    <row r="236" spans="1:14" s="56" customFormat="1" x14ac:dyDescent="0.25">
      <c r="A236" s="101">
        <v>1</v>
      </c>
      <c r="B236" s="102"/>
      <c r="C236" s="81" t="s">
        <v>200</v>
      </c>
      <c r="D236" s="61">
        <f>109.655*10.764</f>
        <v>1180.3264199999999</v>
      </c>
      <c r="E236" s="55">
        <v>0</v>
      </c>
      <c r="F236" s="55">
        <f>(D236+E236)*(($F$139)+1)</f>
        <v>1888.5222719999999</v>
      </c>
      <c r="G236" s="101" t="str">
        <f>A235</f>
        <v>2nd Floor</v>
      </c>
      <c r="H236" s="102"/>
      <c r="I236" s="37"/>
      <c r="L236" s="96"/>
      <c r="M236" s="96"/>
      <c r="N236" s="37"/>
    </row>
    <row r="237" spans="1:14" s="56" customFormat="1" x14ac:dyDescent="0.25">
      <c r="A237" s="101">
        <f t="shared" ref="A237:A264" si="23">A236+1</f>
        <v>2</v>
      </c>
      <c r="B237" s="102"/>
      <c r="C237" s="77" t="s">
        <v>200</v>
      </c>
      <c r="D237" s="61">
        <f>56.748*(10.764)</f>
        <v>610.83547199999998</v>
      </c>
      <c r="E237" s="55">
        <v>0</v>
      </c>
      <c r="F237" s="55">
        <f t="shared" ref="F237:F239" si="24">(D237+E237)*(($F$139)+1)</f>
        <v>977.33675519999997</v>
      </c>
      <c r="G237" s="101" t="str">
        <f t="shared" ref="G237:G264" si="25">G236</f>
        <v>2nd Floor</v>
      </c>
      <c r="H237" s="102"/>
      <c r="I237" s="37"/>
      <c r="L237" s="96"/>
      <c r="M237" s="96"/>
      <c r="N237" s="37"/>
    </row>
    <row r="238" spans="1:14" s="56" customFormat="1" x14ac:dyDescent="0.25">
      <c r="A238" s="101">
        <f t="shared" si="23"/>
        <v>3</v>
      </c>
      <c r="B238" s="102"/>
      <c r="C238" s="77" t="s">
        <v>200</v>
      </c>
      <c r="D238" s="61">
        <f t="shared" ref="D238:D244" si="26">56.748*(10.764)</f>
        <v>610.83547199999998</v>
      </c>
      <c r="E238" s="55">
        <v>0</v>
      </c>
      <c r="F238" s="55">
        <f t="shared" si="24"/>
        <v>977.33675519999997</v>
      </c>
      <c r="G238" s="101" t="str">
        <f t="shared" si="25"/>
        <v>2nd Floor</v>
      </c>
      <c r="H238" s="102"/>
      <c r="I238" s="37"/>
      <c r="L238" s="96"/>
      <c r="M238" s="96"/>
      <c r="N238" s="37"/>
    </row>
    <row r="239" spans="1:14" s="56" customFormat="1" x14ac:dyDescent="0.25">
      <c r="A239" s="101">
        <f t="shared" si="23"/>
        <v>4</v>
      </c>
      <c r="B239" s="102"/>
      <c r="C239" s="77" t="s">
        <v>200</v>
      </c>
      <c r="D239" s="61">
        <f t="shared" si="26"/>
        <v>610.83547199999998</v>
      </c>
      <c r="E239" s="55">
        <v>0</v>
      </c>
      <c r="F239" s="55">
        <f t="shared" si="24"/>
        <v>977.33675519999997</v>
      </c>
      <c r="G239" s="101" t="str">
        <f t="shared" si="25"/>
        <v>2nd Floor</v>
      </c>
      <c r="H239" s="102"/>
      <c r="I239" s="37"/>
      <c r="L239" s="96"/>
      <c r="M239" s="96"/>
      <c r="N239" s="37"/>
    </row>
    <row r="240" spans="1:14" s="56" customFormat="1" x14ac:dyDescent="0.25">
      <c r="A240" s="101">
        <f t="shared" si="23"/>
        <v>5</v>
      </c>
      <c r="B240" s="102"/>
      <c r="C240" s="77" t="s">
        <v>200</v>
      </c>
      <c r="D240" s="61">
        <f t="shared" si="26"/>
        <v>610.83547199999998</v>
      </c>
      <c r="E240" s="55">
        <v>0</v>
      </c>
      <c r="F240" s="55">
        <f t="shared" ref="F240:F245" si="27">(D240+E240)*(($F$139)+1)</f>
        <v>977.33675519999997</v>
      </c>
      <c r="G240" s="101" t="str">
        <f t="shared" si="25"/>
        <v>2nd Floor</v>
      </c>
      <c r="H240" s="102"/>
      <c r="I240" s="37"/>
      <c r="L240" s="96"/>
      <c r="M240" s="96"/>
      <c r="N240" s="37"/>
    </row>
    <row r="241" spans="1:14" s="56" customFormat="1" x14ac:dyDescent="0.25">
      <c r="A241" s="101">
        <f t="shared" si="23"/>
        <v>6</v>
      </c>
      <c r="B241" s="102"/>
      <c r="C241" s="77" t="s">
        <v>200</v>
      </c>
      <c r="D241" s="61">
        <f t="shared" si="26"/>
        <v>610.83547199999998</v>
      </c>
      <c r="E241" s="55">
        <v>0</v>
      </c>
      <c r="F241" s="55">
        <f t="shared" si="27"/>
        <v>977.33675519999997</v>
      </c>
      <c r="G241" s="101" t="str">
        <f t="shared" si="25"/>
        <v>2nd Floor</v>
      </c>
      <c r="H241" s="102"/>
      <c r="I241" s="37"/>
      <c r="L241" s="96"/>
      <c r="M241" s="96"/>
      <c r="N241" s="37"/>
    </row>
    <row r="242" spans="1:14" s="56" customFormat="1" x14ac:dyDescent="0.25">
      <c r="A242" s="101">
        <f t="shared" si="23"/>
        <v>7</v>
      </c>
      <c r="B242" s="102"/>
      <c r="C242" s="77" t="s">
        <v>200</v>
      </c>
      <c r="D242" s="61">
        <f t="shared" si="26"/>
        <v>610.83547199999998</v>
      </c>
      <c r="E242" s="55">
        <v>0</v>
      </c>
      <c r="F242" s="55">
        <f t="shared" si="27"/>
        <v>977.33675519999997</v>
      </c>
      <c r="G242" s="101" t="str">
        <f t="shared" si="25"/>
        <v>2nd Floor</v>
      </c>
      <c r="H242" s="102"/>
      <c r="I242" s="37"/>
      <c r="L242" s="96"/>
      <c r="M242" s="96"/>
      <c r="N242" s="37"/>
    </row>
    <row r="243" spans="1:14" s="56" customFormat="1" x14ac:dyDescent="0.25">
      <c r="A243" s="101">
        <f t="shared" si="23"/>
        <v>8</v>
      </c>
      <c r="B243" s="102"/>
      <c r="C243" s="77" t="s">
        <v>200</v>
      </c>
      <c r="D243" s="61">
        <f t="shared" si="26"/>
        <v>610.83547199999998</v>
      </c>
      <c r="E243" s="55">
        <v>0</v>
      </c>
      <c r="F243" s="55">
        <f t="shared" si="27"/>
        <v>977.33675519999997</v>
      </c>
      <c r="G243" s="101" t="str">
        <f t="shared" si="25"/>
        <v>2nd Floor</v>
      </c>
      <c r="H243" s="102"/>
      <c r="I243" s="37"/>
      <c r="L243" s="96"/>
      <c r="M243" s="96"/>
      <c r="N243" s="37"/>
    </row>
    <row r="244" spans="1:14" s="56" customFormat="1" x14ac:dyDescent="0.25">
      <c r="A244" s="101">
        <f t="shared" si="23"/>
        <v>9</v>
      </c>
      <c r="B244" s="102"/>
      <c r="C244" s="77" t="s">
        <v>200</v>
      </c>
      <c r="D244" s="61">
        <f t="shared" si="26"/>
        <v>610.83547199999998</v>
      </c>
      <c r="E244" s="55">
        <v>0</v>
      </c>
      <c r="F244" s="55">
        <f t="shared" si="27"/>
        <v>977.33675519999997</v>
      </c>
      <c r="G244" s="101" t="str">
        <f t="shared" si="25"/>
        <v>2nd Floor</v>
      </c>
      <c r="H244" s="102"/>
      <c r="I244" s="37"/>
      <c r="L244" s="96"/>
      <c r="M244" s="96"/>
      <c r="N244" s="37"/>
    </row>
    <row r="245" spans="1:14" s="56" customFormat="1" x14ac:dyDescent="0.25">
      <c r="A245" s="101">
        <f t="shared" si="23"/>
        <v>10</v>
      </c>
      <c r="B245" s="102"/>
      <c r="C245" s="77" t="s">
        <v>200</v>
      </c>
      <c r="D245" s="61">
        <f>(116.649)*(10.764)</f>
        <v>1255.6098359999999</v>
      </c>
      <c r="E245" s="55">
        <v>0</v>
      </c>
      <c r="F245" s="55">
        <f t="shared" si="27"/>
        <v>2008.9757375999998</v>
      </c>
      <c r="G245" s="101" t="str">
        <f t="shared" si="25"/>
        <v>2nd Floor</v>
      </c>
      <c r="H245" s="102"/>
      <c r="I245" s="37"/>
      <c r="L245" s="96"/>
      <c r="M245" s="96"/>
      <c r="N245" s="37"/>
    </row>
    <row r="246" spans="1:14" s="56" customFormat="1" x14ac:dyDescent="0.25">
      <c r="A246" s="101">
        <f t="shared" si="23"/>
        <v>11</v>
      </c>
      <c r="B246" s="102"/>
      <c r="C246" s="77" t="s">
        <v>200</v>
      </c>
      <c r="D246" s="61">
        <f>(56.748)*(10.764)</f>
        <v>610.83547199999998</v>
      </c>
      <c r="E246" s="55">
        <v>0</v>
      </c>
      <c r="F246" s="55">
        <f t="shared" ref="F246:F257" si="28">(D246+E246)*(($F$139)+1)</f>
        <v>977.33675519999997</v>
      </c>
      <c r="G246" s="101" t="str">
        <f t="shared" si="25"/>
        <v>2nd Floor</v>
      </c>
      <c r="H246" s="102"/>
      <c r="I246" s="37"/>
      <c r="L246" s="96"/>
      <c r="M246" s="96"/>
      <c r="N246" s="37"/>
    </row>
    <row r="247" spans="1:14" s="56" customFormat="1" x14ac:dyDescent="0.25">
      <c r="A247" s="101">
        <f t="shared" si="23"/>
        <v>12</v>
      </c>
      <c r="B247" s="102"/>
      <c r="C247" s="77" t="s">
        <v>200</v>
      </c>
      <c r="D247" s="61">
        <f t="shared" ref="D247:D252" si="29">(56.748)*(10.764)</f>
        <v>610.83547199999998</v>
      </c>
      <c r="E247" s="55">
        <v>0</v>
      </c>
      <c r="F247" s="55">
        <f t="shared" si="28"/>
        <v>977.33675519999997</v>
      </c>
      <c r="G247" s="101" t="str">
        <f t="shared" si="25"/>
        <v>2nd Floor</v>
      </c>
      <c r="H247" s="102"/>
      <c r="I247" s="37"/>
      <c r="L247" s="96"/>
      <c r="M247" s="96"/>
      <c r="N247" s="37"/>
    </row>
    <row r="248" spans="1:14" s="56" customFormat="1" x14ac:dyDescent="0.25">
      <c r="A248" s="101">
        <f t="shared" si="23"/>
        <v>13</v>
      </c>
      <c r="B248" s="102"/>
      <c r="C248" s="77" t="s">
        <v>200</v>
      </c>
      <c r="D248" s="61">
        <f t="shared" si="29"/>
        <v>610.83547199999998</v>
      </c>
      <c r="E248" s="55">
        <v>0</v>
      </c>
      <c r="F248" s="55">
        <f t="shared" si="28"/>
        <v>977.33675519999997</v>
      </c>
      <c r="G248" s="101" t="str">
        <f t="shared" si="25"/>
        <v>2nd Floor</v>
      </c>
      <c r="H248" s="102"/>
      <c r="I248" s="37"/>
      <c r="L248" s="96"/>
      <c r="M248" s="96"/>
      <c r="N248" s="37"/>
    </row>
    <row r="249" spans="1:14" s="56" customFormat="1" x14ac:dyDescent="0.25">
      <c r="A249" s="101">
        <f t="shared" si="23"/>
        <v>14</v>
      </c>
      <c r="B249" s="102"/>
      <c r="C249" s="77" t="s">
        <v>200</v>
      </c>
      <c r="D249" s="61">
        <f t="shared" si="29"/>
        <v>610.83547199999998</v>
      </c>
      <c r="E249" s="55">
        <v>0</v>
      </c>
      <c r="F249" s="55">
        <f t="shared" si="28"/>
        <v>977.33675519999997</v>
      </c>
      <c r="G249" s="101" t="str">
        <f t="shared" si="25"/>
        <v>2nd Floor</v>
      </c>
      <c r="H249" s="102"/>
      <c r="I249" s="37"/>
      <c r="L249" s="96"/>
      <c r="M249" s="96"/>
      <c r="N249" s="37"/>
    </row>
    <row r="250" spans="1:14" s="56" customFormat="1" x14ac:dyDescent="0.25">
      <c r="A250" s="101">
        <f t="shared" si="23"/>
        <v>15</v>
      </c>
      <c r="B250" s="102"/>
      <c r="C250" s="77" t="s">
        <v>200</v>
      </c>
      <c r="D250" s="61">
        <f t="shared" si="29"/>
        <v>610.83547199999998</v>
      </c>
      <c r="E250" s="55">
        <v>0</v>
      </c>
      <c r="F250" s="55">
        <f t="shared" si="28"/>
        <v>977.33675519999997</v>
      </c>
      <c r="G250" s="101" t="str">
        <f t="shared" si="25"/>
        <v>2nd Floor</v>
      </c>
      <c r="H250" s="102"/>
      <c r="I250" s="37"/>
      <c r="L250" s="96"/>
      <c r="M250" s="96"/>
      <c r="N250" s="37"/>
    </row>
    <row r="251" spans="1:14" s="56" customFormat="1" x14ac:dyDescent="0.25">
      <c r="A251" s="101">
        <f t="shared" si="23"/>
        <v>16</v>
      </c>
      <c r="B251" s="102"/>
      <c r="C251" s="77" t="s">
        <v>200</v>
      </c>
      <c r="D251" s="61">
        <f t="shared" si="29"/>
        <v>610.83547199999998</v>
      </c>
      <c r="E251" s="55">
        <v>0</v>
      </c>
      <c r="F251" s="55">
        <f t="shared" si="28"/>
        <v>977.33675519999997</v>
      </c>
      <c r="G251" s="101" t="str">
        <f t="shared" si="25"/>
        <v>2nd Floor</v>
      </c>
      <c r="H251" s="102"/>
      <c r="I251" s="37"/>
      <c r="L251" s="96"/>
      <c r="M251" s="96"/>
      <c r="N251" s="37"/>
    </row>
    <row r="252" spans="1:14" s="56" customFormat="1" x14ac:dyDescent="0.25">
      <c r="A252" s="101">
        <f t="shared" si="23"/>
        <v>17</v>
      </c>
      <c r="B252" s="102"/>
      <c r="C252" s="77" t="s">
        <v>200</v>
      </c>
      <c r="D252" s="61">
        <f t="shared" si="29"/>
        <v>610.83547199999998</v>
      </c>
      <c r="E252" s="55">
        <v>0</v>
      </c>
      <c r="F252" s="55">
        <f t="shared" si="28"/>
        <v>977.33675519999997</v>
      </c>
      <c r="G252" s="101" t="str">
        <f t="shared" si="25"/>
        <v>2nd Floor</v>
      </c>
      <c r="H252" s="102"/>
      <c r="I252" s="37"/>
      <c r="L252" s="96"/>
      <c r="M252" s="96"/>
      <c r="N252" s="37"/>
    </row>
    <row r="253" spans="1:14" s="56" customFormat="1" x14ac:dyDescent="0.25">
      <c r="A253" s="101">
        <f t="shared" si="23"/>
        <v>18</v>
      </c>
      <c r="B253" s="102"/>
      <c r="C253" s="77" t="s">
        <v>200</v>
      </c>
      <c r="D253" s="61">
        <f>228.538*10.764</f>
        <v>2459.9830320000001</v>
      </c>
      <c r="E253" s="55">
        <v>0</v>
      </c>
      <c r="F253" s="55">
        <f t="shared" si="28"/>
        <v>3935.9728512000002</v>
      </c>
      <c r="G253" s="101" t="str">
        <f t="shared" si="25"/>
        <v>2nd Floor</v>
      </c>
      <c r="H253" s="102"/>
      <c r="I253" s="37"/>
      <c r="L253" s="96"/>
      <c r="M253" s="96"/>
      <c r="N253" s="37"/>
    </row>
    <row r="254" spans="1:14" s="56" customFormat="1" x14ac:dyDescent="0.25">
      <c r="A254" s="101">
        <f t="shared" si="23"/>
        <v>19</v>
      </c>
      <c r="B254" s="102"/>
      <c r="C254" s="77" t="s">
        <v>200</v>
      </c>
      <c r="D254" s="61">
        <f>58.162*10.764</f>
        <v>626.05576799999994</v>
      </c>
      <c r="E254" s="55">
        <v>0</v>
      </c>
      <c r="F254" s="55">
        <f t="shared" si="28"/>
        <v>1001.6892287999999</v>
      </c>
      <c r="G254" s="101" t="str">
        <f t="shared" si="25"/>
        <v>2nd Floor</v>
      </c>
      <c r="H254" s="102"/>
      <c r="I254" s="37"/>
      <c r="L254" s="96"/>
      <c r="M254" s="96"/>
      <c r="N254" s="37"/>
    </row>
    <row r="255" spans="1:14" s="56" customFormat="1" x14ac:dyDescent="0.25">
      <c r="A255" s="101">
        <f t="shared" si="23"/>
        <v>20</v>
      </c>
      <c r="B255" s="102"/>
      <c r="C255" s="77" t="s">
        <v>200</v>
      </c>
      <c r="D255" s="61">
        <f>44.296*10.764</f>
        <v>476.80214399999994</v>
      </c>
      <c r="E255" s="55">
        <v>0</v>
      </c>
      <c r="F255" s="55">
        <f t="shared" si="28"/>
        <v>762.88343039999995</v>
      </c>
      <c r="G255" s="101" t="str">
        <f t="shared" si="25"/>
        <v>2nd Floor</v>
      </c>
      <c r="H255" s="102"/>
      <c r="I255" s="37"/>
      <c r="L255" s="96"/>
      <c r="M255" s="96"/>
      <c r="N255" s="37"/>
    </row>
    <row r="256" spans="1:14" s="56" customFormat="1" x14ac:dyDescent="0.25">
      <c r="A256" s="101">
        <f t="shared" si="23"/>
        <v>21</v>
      </c>
      <c r="B256" s="102"/>
      <c r="C256" s="77" t="s">
        <v>200</v>
      </c>
      <c r="D256" s="61">
        <f>44.451*10.764</f>
        <v>478.47056399999997</v>
      </c>
      <c r="E256" s="55">
        <v>0</v>
      </c>
      <c r="F256" s="55">
        <f t="shared" si="28"/>
        <v>765.55290239999999</v>
      </c>
      <c r="G256" s="101" t="str">
        <f t="shared" si="25"/>
        <v>2nd Floor</v>
      </c>
      <c r="H256" s="102"/>
      <c r="I256" s="37"/>
      <c r="L256" s="96"/>
      <c r="M256" s="96"/>
      <c r="N256" s="37"/>
    </row>
    <row r="257" spans="1:14" s="56" customFormat="1" x14ac:dyDescent="0.25">
      <c r="A257" s="101">
        <f t="shared" si="23"/>
        <v>22</v>
      </c>
      <c r="B257" s="102"/>
      <c r="C257" s="77" t="s">
        <v>200</v>
      </c>
      <c r="D257" s="61">
        <f t="shared" ref="D257:D258" si="30">44.451*10.764</f>
        <v>478.47056399999997</v>
      </c>
      <c r="E257" s="55">
        <v>0</v>
      </c>
      <c r="F257" s="55">
        <f t="shared" si="28"/>
        <v>765.55290239999999</v>
      </c>
      <c r="G257" s="101" t="str">
        <f t="shared" si="25"/>
        <v>2nd Floor</v>
      </c>
      <c r="H257" s="102"/>
      <c r="I257" s="37"/>
      <c r="L257" s="96"/>
      <c r="M257" s="96"/>
      <c r="N257" s="37"/>
    </row>
    <row r="258" spans="1:14" s="56" customFormat="1" x14ac:dyDescent="0.25">
      <c r="A258" s="101">
        <f t="shared" si="23"/>
        <v>23</v>
      </c>
      <c r="B258" s="102"/>
      <c r="C258" s="77" t="s">
        <v>200</v>
      </c>
      <c r="D258" s="61">
        <f t="shared" si="30"/>
        <v>478.47056399999997</v>
      </c>
      <c r="E258" s="55">
        <v>0</v>
      </c>
      <c r="F258" s="55">
        <f t="shared" ref="F258:F262" si="31">(D258+E258)*(($F$139)+1)</f>
        <v>765.55290239999999</v>
      </c>
      <c r="G258" s="101" t="str">
        <f t="shared" si="25"/>
        <v>2nd Floor</v>
      </c>
      <c r="H258" s="102"/>
      <c r="I258" s="37"/>
      <c r="L258" s="96"/>
      <c r="M258" s="96"/>
      <c r="N258" s="37"/>
    </row>
    <row r="259" spans="1:14" s="56" customFormat="1" x14ac:dyDescent="0.25">
      <c r="A259" s="101">
        <f t="shared" si="23"/>
        <v>24</v>
      </c>
      <c r="B259" s="102"/>
      <c r="C259" s="77" t="s">
        <v>200</v>
      </c>
      <c r="D259" s="61">
        <f>38.347*10.764</f>
        <v>412.76710800000001</v>
      </c>
      <c r="E259" s="55">
        <v>0</v>
      </c>
      <c r="F259" s="55">
        <f t="shared" si="31"/>
        <v>660.42737280000006</v>
      </c>
      <c r="G259" s="101" t="str">
        <f t="shared" si="25"/>
        <v>2nd Floor</v>
      </c>
      <c r="H259" s="102"/>
      <c r="I259" s="37"/>
      <c r="L259" s="96"/>
      <c r="M259" s="96"/>
      <c r="N259" s="37"/>
    </row>
    <row r="260" spans="1:14" s="56" customFormat="1" x14ac:dyDescent="0.25">
      <c r="A260" s="101">
        <f t="shared" si="23"/>
        <v>25</v>
      </c>
      <c r="B260" s="102"/>
      <c r="C260" s="77" t="s">
        <v>200</v>
      </c>
      <c r="D260" s="61">
        <f>40.102*10.764</f>
        <v>431.65792799999991</v>
      </c>
      <c r="E260" s="55">
        <v>0</v>
      </c>
      <c r="F260" s="55">
        <f t="shared" si="31"/>
        <v>690.65268479999986</v>
      </c>
      <c r="G260" s="101" t="str">
        <f t="shared" si="25"/>
        <v>2nd Floor</v>
      </c>
      <c r="H260" s="102"/>
      <c r="I260" s="37"/>
      <c r="L260" s="96"/>
      <c r="M260" s="96"/>
      <c r="N260" s="37"/>
    </row>
    <row r="261" spans="1:14" s="56" customFormat="1" x14ac:dyDescent="0.25">
      <c r="A261" s="101">
        <f t="shared" si="23"/>
        <v>26</v>
      </c>
      <c r="B261" s="102"/>
      <c r="C261" s="77" t="s">
        <v>200</v>
      </c>
      <c r="D261" s="61">
        <f>38.644*10.764</f>
        <v>415.96401599999996</v>
      </c>
      <c r="E261" s="55">
        <v>0</v>
      </c>
      <c r="F261" s="55">
        <f t="shared" si="31"/>
        <v>665.5424256</v>
      </c>
      <c r="G261" s="101" t="str">
        <f t="shared" si="25"/>
        <v>2nd Floor</v>
      </c>
      <c r="H261" s="102"/>
      <c r="I261" s="37"/>
      <c r="L261" s="96"/>
      <c r="M261" s="96"/>
      <c r="N261" s="37"/>
    </row>
    <row r="262" spans="1:14" s="56" customFormat="1" x14ac:dyDescent="0.25">
      <c r="A262" s="101">
        <f t="shared" si="23"/>
        <v>27</v>
      </c>
      <c r="B262" s="102"/>
      <c r="C262" s="77" t="s">
        <v>200</v>
      </c>
      <c r="D262" s="61">
        <f>37.753*10.764</f>
        <v>406.37329199999999</v>
      </c>
      <c r="E262" s="55">
        <v>0</v>
      </c>
      <c r="F262" s="55">
        <f t="shared" si="31"/>
        <v>650.19726720000006</v>
      </c>
      <c r="G262" s="101" t="str">
        <f t="shared" si="25"/>
        <v>2nd Floor</v>
      </c>
      <c r="H262" s="102"/>
      <c r="I262" s="37"/>
      <c r="L262" s="96"/>
      <c r="M262" s="96"/>
      <c r="N262" s="37"/>
    </row>
    <row r="263" spans="1:14" s="56" customFormat="1" x14ac:dyDescent="0.25">
      <c r="A263" s="101">
        <f t="shared" si="23"/>
        <v>28</v>
      </c>
      <c r="B263" s="102"/>
      <c r="C263" s="77" t="s">
        <v>200</v>
      </c>
      <c r="D263" s="61">
        <f>55.103*10.764</f>
        <v>593.128692</v>
      </c>
      <c r="E263" s="55">
        <v>0</v>
      </c>
      <c r="F263" s="55">
        <f t="shared" ref="F263:F264" si="32">(D263+E263)*(($F$139)+1)</f>
        <v>949.00590720000002</v>
      </c>
      <c r="G263" s="101" t="str">
        <f t="shared" si="25"/>
        <v>2nd Floor</v>
      </c>
      <c r="H263" s="102"/>
      <c r="I263" s="37"/>
      <c r="L263" s="96"/>
      <c r="M263" s="96"/>
      <c r="N263" s="37"/>
    </row>
    <row r="264" spans="1:14" s="56" customFormat="1" x14ac:dyDescent="0.25">
      <c r="A264" s="101">
        <f t="shared" si="23"/>
        <v>29</v>
      </c>
      <c r="B264" s="102"/>
      <c r="C264" s="77" t="s">
        <v>200</v>
      </c>
      <c r="D264" s="61">
        <f>114.956*10.764</f>
        <v>1237.3863839999999</v>
      </c>
      <c r="E264" s="55">
        <v>0</v>
      </c>
      <c r="F264" s="55">
        <f t="shared" si="32"/>
        <v>1979.8182144</v>
      </c>
      <c r="G264" s="101" t="str">
        <f t="shared" si="25"/>
        <v>2nd Floor</v>
      </c>
      <c r="H264" s="102"/>
      <c r="I264" s="37"/>
      <c r="L264" s="96"/>
      <c r="M264" s="96"/>
      <c r="N264" s="37"/>
    </row>
    <row r="265" spans="1:14" s="54" customFormat="1" x14ac:dyDescent="0.25">
      <c r="A265" s="105" t="s">
        <v>235</v>
      </c>
      <c r="B265" s="105"/>
      <c r="C265" s="105"/>
      <c r="D265" s="105"/>
      <c r="E265" s="105"/>
      <c r="F265" s="105"/>
      <c r="G265" s="105"/>
      <c r="H265" s="105"/>
      <c r="J265" s="37"/>
    </row>
    <row r="266" spans="1:14" s="56" customFormat="1" x14ac:dyDescent="0.25">
      <c r="A266" s="105" t="s">
        <v>198</v>
      </c>
      <c r="B266" s="105"/>
      <c r="C266" s="105"/>
      <c r="D266" s="105"/>
      <c r="E266" s="105"/>
      <c r="F266" s="105"/>
      <c r="G266" s="105"/>
      <c r="H266" s="105"/>
      <c r="J266" s="37"/>
    </row>
    <row r="267" spans="1:14" s="56" customFormat="1" x14ac:dyDescent="0.25">
      <c r="A267" s="106" t="s">
        <v>219</v>
      </c>
      <c r="B267" s="106"/>
      <c r="C267" s="106"/>
      <c r="D267" s="106"/>
      <c r="E267" s="106"/>
      <c r="F267" s="106"/>
      <c r="G267" s="106"/>
      <c r="H267" s="106"/>
      <c r="J267" s="37"/>
    </row>
    <row r="268" spans="1:14" s="56" customFormat="1" ht="31.5" x14ac:dyDescent="0.25">
      <c r="A268" s="100">
        <v>401</v>
      </c>
      <c r="B268" s="100"/>
      <c r="C268" s="88" t="s">
        <v>197</v>
      </c>
      <c r="D268" s="61">
        <f>(513.028)*(10.764)</f>
        <v>5522.2333920000001</v>
      </c>
      <c r="E268" s="61">
        <f>(97.018)*(10.764)</f>
        <v>1044.3017519999999</v>
      </c>
      <c r="F268" s="88">
        <f>(D268+E268)*(($F$139)+1)</f>
        <v>10506.456230399999</v>
      </c>
      <c r="G268" s="100" t="str">
        <f>A267</f>
        <v>4th Floor For Commercial &amp; Amenities</v>
      </c>
      <c r="H268" s="100"/>
      <c r="I268" s="37"/>
      <c r="L268" s="96"/>
      <c r="M268" s="96"/>
      <c r="N268" s="37"/>
    </row>
    <row r="269" spans="1:14" s="56" customFormat="1" x14ac:dyDescent="0.25">
      <c r="A269" s="97" t="s">
        <v>233</v>
      </c>
      <c r="B269" s="98"/>
      <c r="C269" s="98"/>
      <c r="D269" s="98"/>
      <c r="E269" s="98"/>
      <c r="F269" s="98"/>
      <c r="G269" s="98"/>
      <c r="H269" s="99"/>
      <c r="J269" s="37"/>
    </row>
    <row r="270" spans="1:14" s="56" customFormat="1" ht="15.75" customHeight="1" x14ac:dyDescent="0.25">
      <c r="A270" s="101">
        <v>1</v>
      </c>
      <c r="B270" s="102"/>
      <c r="C270" s="55" t="s">
        <v>200</v>
      </c>
      <c r="D270" s="61">
        <f>76.06*10.764</f>
        <v>818.70983999999999</v>
      </c>
      <c r="E270" s="55">
        <v>0</v>
      </c>
      <c r="F270" s="55">
        <f>(D270+E270)*(($F$139)+1)</f>
        <v>1309.9357440000001</v>
      </c>
      <c r="G270" s="210" t="str">
        <f>A269</f>
        <v xml:space="preserve">5th &amp; 6th, 8th to 11th &amp; 13th to 16th, 18th to 22nd Floor </v>
      </c>
      <c r="H270" s="211"/>
      <c r="I270" s="37"/>
      <c r="L270" s="96"/>
      <c r="M270" s="96"/>
      <c r="N270" s="37"/>
    </row>
    <row r="271" spans="1:14" s="56" customFormat="1" ht="15.75" customHeight="1" x14ac:dyDescent="0.25">
      <c r="A271" s="101">
        <f t="shared" ref="A271:A275" si="33">A270+1</f>
        <v>2</v>
      </c>
      <c r="B271" s="102"/>
      <c r="C271" s="55" t="s">
        <v>200</v>
      </c>
      <c r="D271" s="61">
        <f>(52.76)*(10.764)</f>
        <v>567.90863999999999</v>
      </c>
      <c r="E271" s="55">
        <v>0</v>
      </c>
      <c r="F271" s="55">
        <f t="shared" ref="F271:F273" si="34">(D271+E271)*(($F$139)+1)</f>
        <v>908.65382399999999</v>
      </c>
      <c r="G271" s="214"/>
      <c r="H271" s="215"/>
      <c r="I271" s="37"/>
      <c r="L271" s="96"/>
      <c r="M271" s="96"/>
      <c r="N271" s="37"/>
    </row>
    <row r="272" spans="1:14" s="56" customFormat="1" ht="15.75" customHeight="1" x14ac:dyDescent="0.25">
      <c r="A272" s="101">
        <f t="shared" si="33"/>
        <v>3</v>
      </c>
      <c r="B272" s="102"/>
      <c r="C272" s="55" t="s">
        <v>200</v>
      </c>
      <c r="D272" s="61">
        <f>104.841*10.764</f>
        <v>1128.5085239999999</v>
      </c>
      <c r="E272" s="55">
        <v>0</v>
      </c>
      <c r="F272" s="55">
        <f t="shared" si="34"/>
        <v>1805.6136383999999</v>
      </c>
      <c r="G272" s="212"/>
      <c r="H272" s="213"/>
      <c r="I272" s="37"/>
      <c r="L272" s="96"/>
      <c r="M272" s="96"/>
      <c r="N272" s="37"/>
    </row>
    <row r="273" spans="1:14" s="56" customFormat="1" x14ac:dyDescent="0.25">
      <c r="A273" s="101">
        <f t="shared" si="33"/>
        <v>4</v>
      </c>
      <c r="B273" s="102"/>
      <c r="C273" s="55" t="s">
        <v>200</v>
      </c>
      <c r="D273" s="61">
        <f>101.692*10.764</f>
        <v>1094.6126879999999</v>
      </c>
      <c r="E273" s="55">
        <v>0</v>
      </c>
      <c r="F273" s="55">
        <f t="shared" si="34"/>
        <v>1751.3803008</v>
      </c>
      <c r="G273" s="210" t="str">
        <f>G270</f>
        <v xml:space="preserve">5th &amp; 6th, 8th to 11th &amp; 13th to 16th, 18th to 22nd Floor </v>
      </c>
      <c r="H273" s="211"/>
      <c r="I273" s="37"/>
      <c r="L273" s="96"/>
      <c r="M273" s="96"/>
      <c r="N273" s="37"/>
    </row>
    <row r="274" spans="1:14" s="56" customFormat="1" x14ac:dyDescent="0.25">
      <c r="A274" s="101">
        <f t="shared" si="33"/>
        <v>5</v>
      </c>
      <c r="B274" s="102"/>
      <c r="C274" s="55" t="s">
        <v>200</v>
      </c>
      <c r="D274" s="61">
        <f>(52.76)*(10.764)</f>
        <v>567.90863999999999</v>
      </c>
      <c r="E274" s="55">
        <v>0</v>
      </c>
      <c r="F274" s="55">
        <f t="shared" ref="F274:F275" si="35">(D274+E274)*(($F$139)+1)</f>
        <v>908.65382399999999</v>
      </c>
      <c r="G274" s="214"/>
      <c r="H274" s="215"/>
      <c r="I274" s="37"/>
      <c r="L274" s="96"/>
      <c r="M274" s="96"/>
      <c r="N274" s="37"/>
    </row>
    <row r="275" spans="1:14" s="56" customFormat="1" x14ac:dyDescent="0.25">
      <c r="A275" s="101">
        <f t="shared" si="33"/>
        <v>6</v>
      </c>
      <c r="B275" s="102"/>
      <c r="C275" s="55" t="s">
        <v>200</v>
      </c>
      <c r="D275" s="61">
        <f>76.06*10.764</f>
        <v>818.70983999999999</v>
      </c>
      <c r="E275" s="55">
        <v>0</v>
      </c>
      <c r="F275" s="55">
        <f t="shared" si="35"/>
        <v>1309.9357440000001</v>
      </c>
      <c r="G275" s="212"/>
      <c r="H275" s="213"/>
      <c r="I275" s="37"/>
      <c r="L275" s="96"/>
      <c r="M275" s="96"/>
      <c r="N275" s="37"/>
    </row>
    <row r="276" spans="1:14" s="56" customFormat="1" x14ac:dyDescent="0.25">
      <c r="A276" s="97" t="s">
        <v>234</v>
      </c>
      <c r="B276" s="98"/>
      <c r="C276" s="98"/>
      <c r="D276" s="98"/>
      <c r="E276" s="98"/>
      <c r="F276" s="98"/>
      <c r="G276" s="98"/>
      <c r="H276" s="99"/>
      <c r="J276" s="37"/>
    </row>
    <row r="277" spans="1:14" s="56" customFormat="1" ht="15.75" customHeight="1" x14ac:dyDescent="0.25">
      <c r="A277" s="101">
        <v>1</v>
      </c>
      <c r="B277" s="102"/>
      <c r="C277" s="55" t="s">
        <v>200</v>
      </c>
      <c r="D277" s="61">
        <f>76.06*10.764</f>
        <v>818.70983999999999</v>
      </c>
      <c r="E277" s="55">
        <v>0</v>
      </c>
      <c r="F277" s="55">
        <f>(D277+E277)*(($F$139)+1)</f>
        <v>1309.9357440000001</v>
      </c>
      <c r="G277" s="210" t="str">
        <f>A276</f>
        <v>7th, 12th &amp; 17th Floor (Part Refuge Area)</v>
      </c>
      <c r="H277" s="211"/>
      <c r="I277" s="37"/>
      <c r="L277" s="96"/>
      <c r="M277" s="96"/>
      <c r="N277" s="37"/>
    </row>
    <row r="278" spans="1:14" s="56" customFormat="1" ht="15.75" customHeight="1" x14ac:dyDescent="0.25">
      <c r="A278" s="101">
        <f t="shared" ref="A278:A282" si="36">A277+1</f>
        <v>2</v>
      </c>
      <c r="B278" s="102"/>
      <c r="C278" s="55" t="s">
        <v>200</v>
      </c>
      <c r="D278" s="61">
        <f>(52.76)*(10.764)</f>
        <v>567.90863999999999</v>
      </c>
      <c r="E278" s="55">
        <v>0</v>
      </c>
      <c r="F278" s="55">
        <f t="shared" ref="F278:F282" si="37">(D278+E278)*(($F$139)+1)</f>
        <v>908.65382399999999</v>
      </c>
      <c r="G278" s="214"/>
      <c r="H278" s="215"/>
      <c r="I278" s="37"/>
      <c r="L278" s="96"/>
      <c r="M278" s="96"/>
      <c r="N278" s="37"/>
    </row>
    <row r="279" spans="1:14" s="56" customFormat="1" ht="15.75" customHeight="1" x14ac:dyDescent="0.25">
      <c r="A279" s="101">
        <f t="shared" si="36"/>
        <v>3</v>
      </c>
      <c r="B279" s="102"/>
      <c r="C279" s="55" t="s">
        <v>200</v>
      </c>
      <c r="D279" s="61">
        <f>104.841*10.764</f>
        <v>1128.5085239999999</v>
      </c>
      <c r="E279" s="55">
        <v>0</v>
      </c>
      <c r="F279" s="55">
        <f t="shared" si="37"/>
        <v>1805.6136383999999</v>
      </c>
      <c r="G279" s="214"/>
      <c r="H279" s="215"/>
      <c r="I279" s="37"/>
      <c r="L279" s="96"/>
      <c r="M279" s="96"/>
      <c r="N279" s="37"/>
    </row>
    <row r="280" spans="1:14" s="56" customFormat="1" ht="15.75" customHeight="1" x14ac:dyDescent="0.25">
      <c r="A280" s="101">
        <f t="shared" si="36"/>
        <v>4</v>
      </c>
      <c r="B280" s="102"/>
      <c r="C280" s="55" t="s">
        <v>200</v>
      </c>
      <c r="D280" s="61">
        <f>101.692*10.764</f>
        <v>1094.6126879999999</v>
      </c>
      <c r="E280" s="55">
        <v>0</v>
      </c>
      <c r="F280" s="55">
        <f t="shared" si="37"/>
        <v>1751.3803008</v>
      </c>
      <c r="G280" s="214"/>
      <c r="H280" s="215"/>
      <c r="I280" s="37"/>
      <c r="L280" s="96"/>
      <c r="M280" s="96"/>
      <c r="N280" s="37"/>
    </row>
    <row r="281" spans="1:14" s="56" customFormat="1" ht="15.75" customHeight="1" x14ac:dyDescent="0.25">
      <c r="A281" s="101">
        <f t="shared" si="36"/>
        <v>5</v>
      </c>
      <c r="B281" s="102"/>
      <c r="C281" s="55" t="s">
        <v>200</v>
      </c>
      <c r="D281" s="61">
        <f>(52.76)*(10.764)</f>
        <v>567.90863999999999</v>
      </c>
      <c r="E281" s="55">
        <v>0</v>
      </c>
      <c r="F281" s="55">
        <f t="shared" si="37"/>
        <v>908.65382399999999</v>
      </c>
      <c r="G281" s="214"/>
      <c r="H281" s="215"/>
      <c r="I281" s="37"/>
      <c r="L281" s="96"/>
      <c r="M281" s="96"/>
      <c r="N281" s="37"/>
    </row>
    <row r="282" spans="1:14" s="56" customFormat="1" ht="15.75" customHeight="1" x14ac:dyDescent="0.25">
      <c r="A282" s="101">
        <f t="shared" si="36"/>
        <v>6</v>
      </c>
      <c r="B282" s="102"/>
      <c r="C282" s="55" t="s">
        <v>200</v>
      </c>
      <c r="D282" s="61">
        <f>76.06*10.764</f>
        <v>818.70983999999999</v>
      </c>
      <c r="E282" s="55">
        <v>0</v>
      </c>
      <c r="F282" s="55">
        <f t="shared" si="37"/>
        <v>1309.9357440000001</v>
      </c>
      <c r="G282" s="212"/>
      <c r="H282" s="213"/>
      <c r="I282" s="37"/>
      <c r="L282" s="96"/>
      <c r="M282" s="96"/>
      <c r="N282" s="37"/>
    </row>
    <row r="283" spans="1:14" s="47" customFormat="1" hidden="1" x14ac:dyDescent="0.25">
      <c r="A283" s="97" t="s">
        <v>124</v>
      </c>
      <c r="B283" s="98"/>
      <c r="C283" s="98"/>
      <c r="D283" s="98"/>
      <c r="E283" s="98"/>
      <c r="F283" s="98"/>
      <c r="G283" s="98"/>
      <c r="H283" s="99"/>
      <c r="J283" s="37"/>
    </row>
    <row r="284" spans="1:14" s="47" customFormat="1" hidden="1" x14ac:dyDescent="0.25">
      <c r="A284" s="101">
        <v>1</v>
      </c>
      <c r="B284" s="102"/>
      <c r="C284" s="43"/>
      <c r="D284" s="43"/>
      <c r="E284" s="43">
        <v>0</v>
      </c>
      <c r="F284" s="43">
        <f>(D284+E284)*(($F$139)+1)</f>
        <v>0</v>
      </c>
      <c r="G284" s="101" t="str">
        <f>A283</f>
        <v>Ground Floor</v>
      </c>
      <c r="H284" s="102"/>
      <c r="I284" s="37"/>
      <c r="L284" s="96"/>
      <c r="M284" s="96"/>
      <c r="N284" s="37"/>
    </row>
    <row r="285" spans="1:14" s="47" customFormat="1" hidden="1" x14ac:dyDescent="0.25">
      <c r="A285" s="101">
        <f t="shared" ref="A285:A287" si="38">A284+1</f>
        <v>2</v>
      </c>
      <c r="B285" s="102"/>
      <c r="C285" s="43"/>
      <c r="D285" s="43"/>
      <c r="E285" s="43">
        <v>0</v>
      </c>
      <c r="F285" s="43">
        <f t="shared" ref="F285:F287" si="39">(D285+E285)*(($F$139)+1)</f>
        <v>0</v>
      </c>
      <c r="G285" s="101" t="str">
        <f t="shared" ref="G285:G287" si="40">G284</f>
        <v>Ground Floor</v>
      </c>
      <c r="H285" s="102"/>
      <c r="I285" s="37"/>
      <c r="L285" s="96"/>
      <c r="M285" s="96"/>
      <c r="N285" s="37"/>
    </row>
    <row r="286" spans="1:14" s="47" customFormat="1" hidden="1" x14ac:dyDescent="0.25">
      <c r="A286" s="101">
        <f t="shared" si="38"/>
        <v>3</v>
      </c>
      <c r="B286" s="102"/>
      <c r="C286" s="43"/>
      <c r="D286" s="43"/>
      <c r="E286" s="43">
        <v>0</v>
      </c>
      <c r="F286" s="43">
        <f t="shared" si="39"/>
        <v>0</v>
      </c>
      <c r="G286" s="101" t="str">
        <f t="shared" si="40"/>
        <v>Ground Floor</v>
      </c>
      <c r="H286" s="102"/>
      <c r="I286" s="37"/>
      <c r="L286" s="96"/>
      <c r="M286" s="96"/>
      <c r="N286" s="37"/>
    </row>
    <row r="287" spans="1:14" s="47" customFormat="1" hidden="1" x14ac:dyDescent="0.25">
      <c r="A287" s="101">
        <f t="shared" si="38"/>
        <v>4</v>
      </c>
      <c r="B287" s="102"/>
      <c r="C287" s="43"/>
      <c r="D287" s="43"/>
      <c r="E287" s="43">
        <v>0</v>
      </c>
      <c r="F287" s="43">
        <f t="shared" si="39"/>
        <v>0</v>
      </c>
      <c r="G287" s="101" t="str">
        <f t="shared" si="40"/>
        <v>Ground Floor</v>
      </c>
      <c r="H287" s="102"/>
      <c r="I287" s="37"/>
      <c r="L287" s="96"/>
      <c r="M287" s="96"/>
      <c r="N287" s="37"/>
    </row>
    <row r="288" spans="1:14" s="47" customFormat="1" x14ac:dyDescent="0.25">
      <c r="A288" s="101"/>
      <c r="B288" s="201"/>
      <c r="C288" s="201"/>
      <c r="D288" s="201"/>
      <c r="E288" s="201"/>
      <c r="F288" s="201"/>
      <c r="G288" s="201"/>
      <c r="H288" s="102"/>
      <c r="I288" s="37"/>
      <c r="N288" s="37"/>
    </row>
    <row r="289" spans="1:14" ht="47.25" customHeight="1" x14ac:dyDescent="0.25">
      <c r="A289" s="103" t="s">
        <v>128</v>
      </c>
      <c r="B289" s="103" t="s">
        <v>129</v>
      </c>
      <c r="C289" s="142" t="s">
        <v>61</v>
      </c>
      <c r="D289" s="142" t="s">
        <v>62</v>
      </c>
      <c r="E289" s="144" t="s">
        <v>63</v>
      </c>
      <c r="F289" s="44" t="s">
        <v>160</v>
      </c>
      <c r="G289" s="103" t="s">
        <v>64</v>
      </c>
      <c r="H289" s="146"/>
      <c r="I289" s="37"/>
    </row>
    <row r="290" spans="1:14" s="47" customFormat="1" x14ac:dyDescent="0.25">
      <c r="A290" s="104"/>
      <c r="B290" s="104"/>
      <c r="C290" s="143"/>
      <c r="D290" s="143"/>
      <c r="E290" s="145"/>
      <c r="F290" s="15">
        <v>0.55000000000000004</v>
      </c>
      <c r="G290" s="104"/>
      <c r="H290" s="147"/>
      <c r="I290" s="37"/>
    </row>
    <row r="291" spans="1:14" s="56" customFormat="1" x14ac:dyDescent="0.25">
      <c r="A291" s="97" t="s">
        <v>217</v>
      </c>
      <c r="B291" s="98"/>
      <c r="C291" s="98"/>
      <c r="D291" s="98"/>
      <c r="E291" s="98"/>
      <c r="F291" s="98"/>
      <c r="G291" s="98"/>
      <c r="H291" s="99"/>
      <c r="J291" s="37"/>
    </row>
    <row r="292" spans="1:14" s="71" customFormat="1" x14ac:dyDescent="0.25">
      <c r="A292" s="97" t="s">
        <v>202</v>
      </c>
      <c r="B292" s="98"/>
      <c r="C292" s="98"/>
      <c r="D292" s="98"/>
      <c r="E292" s="98"/>
      <c r="F292" s="98"/>
      <c r="G292" s="98"/>
      <c r="H292" s="99"/>
      <c r="J292" s="37"/>
    </row>
    <row r="293" spans="1:14" s="67" customFormat="1" x14ac:dyDescent="0.25">
      <c r="A293" s="97" t="s">
        <v>195</v>
      </c>
      <c r="B293" s="98"/>
      <c r="C293" s="98"/>
      <c r="D293" s="98"/>
      <c r="E293" s="98"/>
      <c r="F293" s="98"/>
      <c r="G293" s="98"/>
      <c r="H293" s="99"/>
      <c r="J293" s="37"/>
    </row>
    <row r="294" spans="1:14" s="76" customFormat="1" x14ac:dyDescent="0.25">
      <c r="A294" s="97" t="s">
        <v>230</v>
      </c>
      <c r="B294" s="98"/>
      <c r="C294" s="98"/>
      <c r="D294" s="98"/>
      <c r="E294" s="98"/>
      <c r="F294" s="98"/>
      <c r="G294" s="98"/>
      <c r="H294" s="99"/>
      <c r="J294" s="37"/>
    </row>
    <row r="295" spans="1:14" s="67" customFormat="1" x14ac:dyDescent="0.25">
      <c r="A295" s="97" t="s">
        <v>198</v>
      </c>
      <c r="B295" s="98"/>
      <c r="C295" s="98"/>
      <c r="D295" s="98"/>
      <c r="E295" s="98"/>
      <c r="F295" s="98"/>
      <c r="G295" s="98"/>
      <c r="H295" s="99"/>
      <c r="J295" s="73"/>
    </row>
    <row r="296" spans="1:14" s="67" customFormat="1" x14ac:dyDescent="0.25">
      <c r="A296" s="97" t="s">
        <v>199</v>
      </c>
      <c r="B296" s="98"/>
      <c r="C296" s="98"/>
      <c r="D296" s="98"/>
      <c r="E296" s="98"/>
      <c r="F296" s="98"/>
      <c r="G296" s="98"/>
      <c r="H296" s="99"/>
      <c r="J296" s="73"/>
    </row>
    <row r="297" spans="1:14" s="67" customFormat="1" x14ac:dyDescent="0.25">
      <c r="A297" s="107" t="s">
        <v>210</v>
      </c>
      <c r="B297" s="108"/>
      <c r="C297" s="108"/>
      <c r="D297" s="108"/>
      <c r="E297" s="108"/>
      <c r="F297" s="108"/>
      <c r="G297" s="108"/>
      <c r="H297" s="109"/>
      <c r="J297" s="73"/>
    </row>
    <row r="298" spans="1:14" s="67" customFormat="1" ht="15.75" customHeight="1" x14ac:dyDescent="0.25">
      <c r="A298" s="101">
        <v>1</v>
      </c>
      <c r="B298" s="102"/>
      <c r="C298" s="52">
        <v>4</v>
      </c>
      <c r="D298" s="61">
        <f>(187.368+41.742+9.059+7.141)*(10.764)</f>
        <v>2640.5168399999998</v>
      </c>
      <c r="E298" s="68">
        <v>0</v>
      </c>
      <c r="F298" s="69">
        <f>D298*(($F$290)+1)+(IF(E298&lt;101,E298,IF(E298&lt;201,E298/2,IF(E298&lt;=301,E298/3,E298/4))))</f>
        <v>4092.8011019999999</v>
      </c>
      <c r="G298" s="210" t="str">
        <f>A297</f>
        <v>5th Floor For Residential</v>
      </c>
      <c r="H298" s="211"/>
      <c r="I298" s="37">
        <f>D298*27500</f>
        <v>72614213.099999994</v>
      </c>
      <c r="J298" s="74">
        <f>I298/F298</f>
        <v>17741.935483870966</v>
      </c>
      <c r="K298" s="67">
        <f>(9.97*2+6.6*2+3.65*2)</f>
        <v>40.44</v>
      </c>
      <c r="L298" s="96"/>
      <c r="M298" s="96"/>
      <c r="N298" s="37"/>
    </row>
    <row r="299" spans="1:14" s="67" customFormat="1" ht="15.75" customHeight="1" x14ac:dyDescent="0.25">
      <c r="A299" s="101">
        <f t="shared" ref="A299" si="41">A298+1</f>
        <v>2</v>
      </c>
      <c r="B299" s="102"/>
      <c r="C299" s="52">
        <v>4</v>
      </c>
      <c r="D299" s="61">
        <f>(187.368+41.742+9.059+7.141)*(10.764)</f>
        <v>2640.5168399999998</v>
      </c>
      <c r="E299" s="37">
        <f>(120.883)*(10.764)</f>
        <v>1301.1846119999998</v>
      </c>
      <c r="F299" s="69">
        <f>D299*(($F$290)+1)+(IF(E299&lt;101,E299,IF(E299&lt;201,E299/2,IF(E299&lt;=301,E299/3,E299/4))))</f>
        <v>4418.0972549999997</v>
      </c>
      <c r="G299" s="212" t="str">
        <f t="shared" ref="G299" si="42">G298</f>
        <v>5th Floor For Residential</v>
      </c>
      <c r="H299" s="213"/>
      <c r="I299" s="37"/>
      <c r="J299" s="74"/>
      <c r="L299" s="96"/>
      <c r="M299" s="96"/>
      <c r="N299" s="37"/>
    </row>
    <row r="300" spans="1:14" s="58" customFormat="1" x14ac:dyDescent="0.25">
      <c r="A300" s="97" t="s">
        <v>231</v>
      </c>
      <c r="B300" s="98"/>
      <c r="C300" s="98"/>
      <c r="D300" s="98"/>
      <c r="E300" s="98"/>
      <c r="F300" s="98"/>
      <c r="G300" s="98"/>
      <c r="H300" s="99"/>
      <c r="J300" s="73"/>
    </row>
    <row r="301" spans="1:14" s="58" customFormat="1" ht="15.75" customHeight="1" x14ac:dyDescent="0.25">
      <c r="A301" s="101">
        <v>1</v>
      </c>
      <c r="B301" s="102"/>
      <c r="C301" s="52">
        <v>4</v>
      </c>
      <c r="D301" s="61">
        <f>(187.368+41.742+9.059+7.141)*(10.764)</f>
        <v>2640.5168399999998</v>
      </c>
      <c r="E301" s="57">
        <v>0</v>
      </c>
      <c r="F301" s="59">
        <f>D301*(($F$290)+1)+(IF(E301&lt;101,E301,IF(E301&lt;201,E301/2,IF(E301&lt;=301,E301/3,E301/4))))</f>
        <v>4092.8011019999999</v>
      </c>
      <c r="G301" s="210" t="str">
        <f>A300</f>
        <v>6th to 14th Floor</v>
      </c>
      <c r="H301" s="211"/>
      <c r="I301" s="37"/>
      <c r="J301" s="74">
        <f>9+9+1</f>
        <v>19</v>
      </c>
      <c r="K301" s="58">
        <f>23-19</f>
        <v>4</v>
      </c>
      <c r="L301" s="96"/>
      <c r="M301" s="96"/>
      <c r="N301" s="37"/>
    </row>
    <row r="302" spans="1:14" s="58" customFormat="1" ht="15.75" customHeight="1" x14ac:dyDescent="0.25">
      <c r="A302" s="101">
        <f t="shared" ref="A302" si="43">A301+1</f>
        <v>2</v>
      </c>
      <c r="B302" s="102"/>
      <c r="C302" s="52">
        <v>4</v>
      </c>
      <c r="D302" s="61">
        <f>(187.368+41.742+9.059+7.141)*(10.764)</f>
        <v>2640.5168399999998</v>
      </c>
      <c r="E302" s="68">
        <v>0</v>
      </c>
      <c r="F302" s="59">
        <f>D302*(($F$290)+1)+(IF(E302&lt;101,E302,IF(E302&lt;201,E302/2,IF(E302&lt;=301,E302/3,E302/4))))</f>
        <v>4092.8011019999999</v>
      </c>
      <c r="G302" s="212"/>
      <c r="H302" s="213"/>
      <c r="I302" s="37"/>
      <c r="J302" s="74"/>
      <c r="L302" s="96"/>
      <c r="M302" s="96"/>
      <c r="N302" s="37"/>
    </row>
    <row r="303" spans="1:14" s="58" customFormat="1" x14ac:dyDescent="0.25">
      <c r="A303" s="97" t="s">
        <v>232</v>
      </c>
      <c r="B303" s="98"/>
      <c r="C303" s="98"/>
      <c r="D303" s="98"/>
      <c r="E303" s="98"/>
      <c r="F303" s="98"/>
      <c r="G303" s="98"/>
      <c r="H303" s="99"/>
      <c r="J303" s="73"/>
    </row>
    <row r="304" spans="1:14" s="58" customFormat="1" ht="15.75" customHeight="1" x14ac:dyDescent="0.25">
      <c r="A304" s="101">
        <v>1</v>
      </c>
      <c r="B304" s="102"/>
      <c r="C304" s="52">
        <v>4</v>
      </c>
      <c r="D304" s="61">
        <f>(187.368+41.742+9.059+7.141)*(10.764)</f>
        <v>2640.5168399999998</v>
      </c>
      <c r="E304" s="57">
        <v>0</v>
      </c>
      <c r="F304" s="59">
        <f>D304*(($F$290)+1)+(IF(E304&lt;101,E304,IF(E304&lt;201,E304/2,IF(E304&lt;=301,E304/3,E304/4))))</f>
        <v>4092.8011019999999</v>
      </c>
      <c r="G304" s="210" t="str">
        <f>A303</f>
        <v>15th to 23rd Floor (Part Refuge Area)</v>
      </c>
      <c r="H304" s="211"/>
      <c r="I304" s="37"/>
      <c r="L304" s="96"/>
      <c r="M304" s="96"/>
      <c r="N304" s="37"/>
    </row>
    <row r="305" spans="1:14" s="58" customFormat="1" ht="15.75" customHeight="1" x14ac:dyDescent="0.25">
      <c r="A305" s="101">
        <f t="shared" ref="A305" si="44">A304+1</f>
        <v>2</v>
      </c>
      <c r="B305" s="102"/>
      <c r="C305" s="52">
        <v>4</v>
      </c>
      <c r="D305" s="61">
        <f>(187.368+41.742+9.059+7.141)*(10.764)</f>
        <v>2640.5168399999998</v>
      </c>
      <c r="E305" s="68">
        <v>0</v>
      </c>
      <c r="F305" s="59">
        <f>D305*(($F$290)+1)+(IF(E305&lt;101,E305,IF(E305&lt;201,E305/2,IF(E305&lt;=301,E305/3,E305/4))))</f>
        <v>4092.8011019999999</v>
      </c>
      <c r="G305" s="212" t="str">
        <f t="shared" ref="G305" si="45">G304</f>
        <v>15th to 23rd Floor (Part Refuge Area)</v>
      </c>
      <c r="H305" s="213"/>
      <c r="I305" s="37"/>
      <c r="L305" s="96"/>
      <c r="M305" s="96"/>
      <c r="N305" s="37"/>
    </row>
    <row r="306" spans="1:14" s="67" customFormat="1" x14ac:dyDescent="0.25">
      <c r="A306" s="97" t="s">
        <v>212</v>
      </c>
      <c r="B306" s="98"/>
      <c r="C306" s="98"/>
      <c r="D306" s="98"/>
      <c r="E306" s="98"/>
      <c r="F306" s="98"/>
      <c r="G306" s="98"/>
      <c r="H306" s="99"/>
      <c r="J306" s="37"/>
    </row>
    <row r="307" spans="1:14" s="58" customFormat="1" x14ac:dyDescent="0.25">
      <c r="A307" s="97" t="s">
        <v>217</v>
      </c>
      <c r="B307" s="98"/>
      <c r="C307" s="98"/>
      <c r="D307" s="98"/>
      <c r="E307" s="98"/>
      <c r="F307" s="98"/>
      <c r="G307" s="98"/>
      <c r="H307" s="99"/>
      <c r="J307" s="37"/>
    </row>
    <row r="308" spans="1:14" s="71" customFormat="1" x14ac:dyDescent="0.25">
      <c r="A308" s="105" t="s">
        <v>203</v>
      </c>
      <c r="B308" s="105"/>
      <c r="C308" s="105"/>
      <c r="D308" s="105"/>
      <c r="E308" s="105"/>
      <c r="F308" s="105"/>
      <c r="G308" s="105"/>
      <c r="H308" s="105"/>
      <c r="J308" s="37"/>
    </row>
    <row r="309" spans="1:14" s="76" customFormat="1" x14ac:dyDescent="0.25">
      <c r="A309" s="105" t="s">
        <v>195</v>
      </c>
      <c r="B309" s="105"/>
      <c r="C309" s="105"/>
      <c r="D309" s="105"/>
      <c r="E309" s="105"/>
      <c r="F309" s="105"/>
      <c r="G309" s="105"/>
      <c r="H309" s="105"/>
      <c r="J309" s="37"/>
    </row>
    <row r="310" spans="1:14" s="76" customFormat="1" x14ac:dyDescent="0.25">
      <c r="A310" s="105" t="s">
        <v>230</v>
      </c>
      <c r="B310" s="105"/>
      <c r="C310" s="105"/>
      <c r="D310" s="105"/>
      <c r="E310" s="105"/>
      <c r="F310" s="105"/>
      <c r="G310" s="105"/>
      <c r="H310" s="105"/>
      <c r="J310" s="37"/>
    </row>
    <row r="311" spans="1:14" s="76" customFormat="1" x14ac:dyDescent="0.25">
      <c r="A311" s="105" t="s">
        <v>198</v>
      </c>
      <c r="B311" s="105"/>
      <c r="C311" s="105"/>
      <c r="D311" s="105"/>
      <c r="E311" s="105"/>
      <c r="F311" s="105"/>
      <c r="G311" s="105"/>
      <c r="H311" s="105"/>
      <c r="J311" s="73"/>
    </row>
    <row r="312" spans="1:14" s="76" customFormat="1" x14ac:dyDescent="0.25">
      <c r="A312" s="105" t="s">
        <v>199</v>
      </c>
      <c r="B312" s="105"/>
      <c r="C312" s="105"/>
      <c r="D312" s="105"/>
      <c r="E312" s="105"/>
      <c r="F312" s="105"/>
      <c r="G312" s="105"/>
      <c r="H312" s="105"/>
      <c r="J312" s="73"/>
    </row>
    <row r="313" spans="1:14" s="67" customFormat="1" x14ac:dyDescent="0.25">
      <c r="A313" s="106" t="s">
        <v>210</v>
      </c>
      <c r="B313" s="106"/>
      <c r="C313" s="106"/>
      <c r="D313" s="106"/>
      <c r="E313" s="106"/>
      <c r="F313" s="106"/>
      <c r="G313" s="106"/>
      <c r="H313" s="106"/>
      <c r="J313" s="37"/>
    </row>
    <row r="314" spans="1:14" s="67" customFormat="1" ht="15.75" customHeight="1" x14ac:dyDescent="0.25">
      <c r="A314" s="100">
        <v>1</v>
      </c>
      <c r="B314" s="100"/>
      <c r="C314" s="52">
        <v>3</v>
      </c>
      <c r="D314" s="61">
        <f>(114.853+7.5+5.671+8.143)*(10.764)</f>
        <v>1465.7015879999999</v>
      </c>
      <c r="E314" s="61">
        <f>(85.08)*(10.764)</f>
        <v>915.80111999999997</v>
      </c>
      <c r="F314" s="88">
        <f>D314*(($F$290)+1)+(IF(E314&lt;101,E314,IF(E314&lt;201,E314/2,IF(E314&lt;=301,E314/3,E314/4))))</f>
        <v>2500.7877414</v>
      </c>
      <c r="G314" s="100" t="str">
        <f>A313</f>
        <v>5th Floor For Residential</v>
      </c>
      <c r="H314" s="100"/>
      <c r="I314" s="37"/>
      <c r="J314" s="67">
        <f>1.965*1.745+6.1*7.785+3.66*3.085+3.65*5.5+2.135*2.1+1.45*2.17+2.285*1.745+3.05*4.25+3.66*4.25+1.55*1.61+1.55*2.45+2.125*1.85+2.45*1.85+3.66*5.785+3.05*4.6+1.85*1.985+1.35*2.45+2.265*2.49</f>
        <v>184.99780000000001</v>
      </c>
      <c r="L314" s="96"/>
      <c r="M314" s="96"/>
      <c r="N314" s="37"/>
    </row>
    <row r="315" spans="1:14" s="67" customFormat="1" ht="15.75" customHeight="1" x14ac:dyDescent="0.25">
      <c r="A315" s="100">
        <f t="shared" ref="A315" si="46">A314+1</f>
        <v>2</v>
      </c>
      <c r="B315" s="100"/>
      <c r="C315" s="52">
        <v>3</v>
      </c>
      <c r="D315" s="61">
        <f>(114.853+7.5+5.671+8.143)*(10.764)</f>
        <v>1465.7015879999999</v>
      </c>
      <c r="E315" s="88">
        <v>0</v>
      </c>
      <c r="F315" s="88">
        <f>D315*(($F$290)+1)+(IF(E315&lt;101,E315,IF(E315&lt;201,E315/2,IF(E315&lt;=301,E315/3,E315/4))))</f>
        <v>2271.8374613999999</v>
      </c>
      <c r="G315" s="100" t="str">
        <f t="shared" ref="G315" si="47">G314</f>
        <v>5th Floor For Residential</v>
      </c>
      <c r="H315" s="100"/>
      <c r="I315" s="37"/>
      <c r="J315" s="67">
        <f>5.68+5.45</f>
        <v>11.129999999999999</v>
      </c>
      <c r="L315" s="96"/>
      <c r="M315" s="96"/>
      <c r="N315" s="37"/>
    </row>
    <row r="316" spans="1:14" s="67" customFormat="1" x14ac:dyDescent="0.25">
      <c r="A316" s="105" t="s">
        <v>231</v>
      </c>
      <c r="B316" s="105"/>
      <c r="C316" s="105"/>
      <c r="D316" s="105"/>
      <c r="E316" s="105"/>
      <c r="F316" s="105"/>
      <c r="G316" s="105"/>
      <c r="H316" s="105"/>
      <c r="J316" s="61">
        <f>10.764</f>
        <v>10.763999999999999</v>
      </c>
    </row>
    <row r="317" spans="1:14" s="58" customFormat="1" ht="15.75" customHeight="1" x14ac:dyDescent="0.25">
      <c r="A317" s="100">
        <v>1</v>
      </c>
      <c r="B317" s="100"/>
      <c r="C317" s="52">
        <v>3</v>
      </c>
      <c r="D317" s="61">
        <f>(114.853+7.5+5.671+8.143)*(10.764)</f>
        <v>1465.7015879999999</v>
      </c>
      <c r="E317" s="88">
        <v>0</v>
      </c>
      <c r="F317" s="88">
        <f>D317*(($F$290)+1)+(IF(E317&lt;101,E317,IF(E317&lt;201,E317/2,IF(E317&lt;=301,E317/3,E317/4))))</f>
        <v>2271.8374613999999</v>
      </c>
      <c r="G317" s="100" t="str">
        <f>A316</f>
        <v>6th to 14th Floor</v>
      </c>
      <c r="H317" s="100"/>
      <c r="I317" s="37"/>
      <c r="J317" s="58">
        <f>1.965*1.745+6.1*7.785+3.66*3.085+3.65*5.5+2.135*2.1+1.45*2.17+2.285*1.745+3.05*4.25+3.66*4.25+1.55*1.61+1.55*2.45+2.125*1.85+2.45*1.85+3.66*5.785+3.05*4.6+1.85*1.985+1.35*2.45+2.265*2.49</f>
        <v>184.99780000000001</v>
      </c>
      <c r="L317" s="96"/>
      <c r="M317" s="96"/>
      <c r="N317" s="37"/>
    </row>
    <row r="318" spans="1:14" s="58" customFormat="1" ht="15.75" customHeight="1" x14ac:dyDescent="0.25">
      <c r="A318" s="100">
        <f t="shared" ref="A318" si="48">A317+1</f>
        <v>2</v>
      </c>
      <c r="B318" s="100"/>
      <c r="C318" s="52">
        <v>3</v>
      </c>
      <c r="D318" s="61">
        <f>(114.853+7.5+5.671+8.143)*(10.764)</f>
        <v>1465.7015879999999</v>
      </c>
      <c r="E318" s="88">
        <v>0</v>
      </c>
      <c r="F318" s="88">
        <f>D318*(($F$290)+1)+(IF(E318&lt;101,E318,IF(E318&lt;201,E318/2,IF(E318&lt;=301,E318/3,E318/4))))</f>
        <v>2271.8374613999999</v>
      </c>
      <c r="G318" s="100" t="str">
        <f t="shared" ref="G318" si="49">G317</f>
        <v>6th to 14th Floor</v>
      </c>
      <c r="H318" s="100"/>
      <c r="I318" s="37"/>
      <c r="J318" s="58">
        <f>5.68+5.45</f>
        <v>11.129999999999999</v>
      </c>
      <c r="L318" s="96"/>
      <c r="M318" s="96"/>
      <c r="N318" s="37"/>
    </row>
    <row r="319" spans="1:14" s="58" customFormat="1" x14ac:dyDescent="0.25">
      <c r="A319" s="97" t="s">
        <v>232</v>
      </c>
      <c r="B319" s="98"/>
      <c r="C319" s="98"/>
      <c r="D319" s="98"/>
      <c r="E319" s="98"/>
      <c r="F319" s="98"/>
      <c r="G319" s="98"/>
      <c r="H319" s="99"/>
      <c r="J319" s="37"/>
    </row>
    <row r="320" spans="1:14" s="58" customFormat="1" ht="15.75" customHeight="1" x14ac:dyDescent="0.25">
      <c r="A320" s="101">
        <v>1</v>
      </c>
      <c r="B320" s="102"/>
      <c r="C320" s="52">
        <v>3</v>
      </c>
      <c r="D320" s="61">
        <f>(114.853+24.36+5.671+8.143)*(10.764)</f>
        <v>1647.1826279999998</v>
      </c>
      <c r="E320" s="61">
        <v>0</v>
      </c>
      <c r="F320" s="59">
        <f>D320*(($F$290)+1)+(IF(E320&lt;101,E320,IF(E320&lt;201,E320/2,IF(E320&lt;=301,E320/3,E320/4))))</f>
        <v>2553.1330733999998</v>
      </c>
      <c r="G320" s="210" t="str">
        <f>A319</f>
        <v>15th to 23rd Floor (Part Refuge Area)</v>
      </c>
      <c r="H320" s="211"/>
      <c r="I320" s="37"/>
      <c r="L320" s="96"/>
      <c r="M320" s="96"/>
      <c r="N320" s="37"/>
    </row>
    <row r="321" spans="1:16" s="58" customFormat="1" ht="15.75" customHeight="1" x14ac:dyDescent="0.25">
      <c r="A321" s="101">
        <f t="shared" ref="A321" si="50">A320+1</f>
        <v>2</v>
      </c>
      <c r="B321" s="102"/>
      <c r="C321" s="52">
        <v>3</v>
      </c>
      <c r="D321" s="61">
        <f>(114.853+24.36+5.671+8.143)*(10.764)</f>
        <v>1647.1826279999998</v>
      </c>
      <c r="E321" s="61">
        <v>0</v>
      </c>
      <c r="F321" s="59">
        <f>D321*(($F$290)+1)+(IF(E321&lt;101,E321,IF(E321&lt;201,E321/2,IF(E321&lt;=301,E321/3,E321/4))))</f>
        <v>2553.1330733999998</v>
      </c>
      <c r="G321" s="212" t="str">
        <f t="shared" ref="G321" si="51">G320</f>
        <v>15th to 23rd Floor (Part Refuge Area)</v>
      </c>
      <c r="H321" s="213"/>
      <c r="I321" s="37"/>
      <c r="L321" s="96"/>
      <c r="M321" s="96"/>
      <c r="N321" s="37"/>
    </row>
    <row r="322" spans="1:16" s="67" customFormat="1" x14ac:dyDescent="0.25">
      <c r="A322" s="107" t="s">
        <v>212</v>
      </c>
      <c r="B322" s="108"/>
      <c r="C322" s="108"/>
      <c r="D322" s="108"/>
      <c r="E322" s="108"/>
      <c r="F322" s="108"/>
      <c r="G322" s="108"/>
      <c r="H322" s="109"/>
      <c r="J322" s="37"/>
    </row>
    <row r="323" spans="1:16" s="47" customFormat="1" hidden="1" x14ac:dyDescent="0.25">
      <c r="A323" s="97" t="s">
        <v>124</v>
      </c>
      <c r="B323" s="98"/>
      <c r="C323" s="98"/>
      <c r="D323" s="98"/>
      <c r="E323" s="98"/>
      <c r="F323" s="98"/>
      <c r="G323" s="98"/>
      <c r="H323" s="99"/>
      <c r="J323" s="37"/>
    </row>
    <row r="324" spans="1:16" s="47" customFormat="1" hidden="1" x14ac:dyDescent="0.25">
      <c r="A324" s="101">
        <v>1</v>
      </c>
      <c r="B324" s="102"/>
      <c r="C324" s="52"/>
      <c r="D324" s="43"/>
      <c r="E324" s="43">
        <v>0</v>
      </c>
      <c r="F324" s="43">
        <f>D324*(($F$290)+1)+(IF(E324&lt;101,E324,IF(E324&lt;201,E324/2,IF(E324&lt;=301,E324/3,E324/4))))</f>
        <v>0</v>
      </c>
      <c r="G324" s="101" t="str">
        <f>A323</f>
        <v>Ground Floor</v>
      </c>
      <c r="H324" s="102"/>
      <c r="I324" s="37"/>
      <c r="L324" s="96"/>
      <c r="M324" s="96"/>
      <c r="N324" s="37"/>
    </row>
    <row r="325" spans="1:16" s="47" customFormat="1" hidden="1" x14ac:dyDescent="0.25">
      <c r="A325" s="101">
        <f t="shared" ref="A325:A327" si="52">A324+1</f>
        <v>2</v>
      </c>
      <c r="B325" s="102"/>
      <c r="C325" s="52"/>
      <c r="D325" s="43"/>
      <c r="E325" s="43">
        <v>0</v>
      </c>
      <c r="F325" s="43">
        <f>D325*(($F$290)+1)+(IF(E325&lt;101,E325,IF(E325&lt;201,E325/2,IF(E325&lt;=301,E325/3,E325/4))))</f>
        <v>0</v>
      </c>
      <c r="G325" s="101" t="str">
        <f t="shared" ref="G325:G327" si="53">G324</f>
        <v>Ground Floor</v>
      </c>
      <c r="H325" s="102"/>
      <c r="I325" s="37"/>
      <c r="L325" s="96"/>
      <c r="M325" s="96"/>
      <c r="N325" s="37"/>
    </row>
    <row r="326" spans="1:16" s="47" customFormat="1" hidden="1" x14ac:dyDescent="0.25">
      <c r="A326" s="101">
        <f t="shared" si="52"/>
        <v>3</v>
      </c>
      <c r="B326" s="102"/>
      <c r="C326" s="52"/>
      <c r="D326" s="43"/>
      <c r="E326" s="43">
        <v>0</v>
      </c>
      <c r="F326" s="43">
        <f>D326*(($F$290)+1)+(IF(E326&lt;101,E326,IF(E326&lt;201,E326/2,IF(E326&lt;=301,E326/3,E326/4))))</f>
        <v>0</v>
      </c>
      <c r="G326" s="101" t="str">
        <f t="shared" si="53"/>
        <v>Ground Floor</v>
      </c>
      <c r="H326" s="102"/>
      <c r="I326" s="37"/>
      <c r="L326" s="96"/>
      <c r="M326" s="96"/>
      <c r="N326" s="37"/>
    </row>
    <row r="327" spans="1:16" s="47" customFormat="1" hidden="1" x14ac:dyDescent="0.25">
      <c r="A327" s="101">
        <f t="shared" si="52"/>
        <v>4</v>
      </c>
      <c r="B327" s="102"/>
      <c r="C327" s="52"/>
      <c r="D327" s="43"/>
      <c r="E327" s="43">
        <v>0</v>
      </c>
      <c r="F327" s="43">
        <f>D327*(($F$290)+1)+(IF(E327&lt;101,E327,IF(E327&lt;201,E327/2,IF(E327&lt;=301,E327/3,E327/4))))</f>
        <v>0</v>
      </c>
      <c r="G327" s="101" t="str">
        <f t="shared" si="53"/>
        <v>Ground Floor</v>
      </c>
      <c r="H327" s="102"/>
      <c r="I327" s="37"/>
      <c r="L327" s="96"/>
      <c r="M327" s="96"/>
      <c r="N327" s="37"/>
    </row>
    <row r="328" spans="1:16" s="47" customFormat="1" hidden="1" x14ac:dyDescent="0.25">
      <c r="A328" s="105" t="s">
        <v>125</v>
      </c>
      <c r="B328" s="105"/>
      <c r="C328" s="105"/>
      <c r="D328" s="105"/>
      <c r="E328" s="105"/>
      <c r="F328" s="105"/>
      <c r="G328" s="105"/>
      <c r="H328" s="105"/>
      <c r="I328" s="37"/>
      <c r="L328" s="96"/>
      <c r="M328" s="96"/>
    </row>
    <row r="329" spans="1:16" s="47" customFormat="1" hidden="1" x14ac:dyDescent="0.25">
      <c r="A329" s="100">
        <f>LEFT(A328,SUM(LEN(A328)-LEN(SUBSTITUTE(A328,{"0","1","2","3","4","5","6","7","8","9"},""))))*100+1</f>
        <v>201</v>
      </c>
      <c r="B329" s="100"/>
      <c r="C329" s="52"/>
      <c r="D329" s="43"/>
      <c r="E329" s="43">
        <v>0</v>
      </c>
      <c r="F329" s="43">
        <f t="shared" ref="F329:F330" si="54">D329*(($F$290)+1)+(IF(E329&lt;101,E329,IF(E329&lt;201,E329/2,IF(E329&lt;=301,E329/3,E329/4))))</f>
        <v>0</v>
      </c>
      <c r="G329" s="100" t="str">
        <f>A328</f>
        <v>2nd Floor</v>
      </c>
      <c r="H329" s="100"/>
      <c r="I329" s="37"/>
      <c r="N329" s="37"/>
    </row>
    <row r="330" spans="1:16" s="47" customFormat="1" hidden="1" x14ac:dyDescent="0.25">
      <c r="A330" s="100">
        <f>A329+1</f>
        <v>202</v>
      </c>
      <c r="B330" s="100"/>
      <c r="C330" s="52"/>
      <c r="D330" s="43"/>
      <c r="E330" s="43">
        <v>0</v>
      </c>
      <c r="F330" s="43">
        <f t="shared" si="54"/>
        <v>0</v>
      </c>
      <c r="G330" s="100" t="str">
        <f>G329</f>
        <v>2nd Floor</v>
      </c>
      <c r="H330" s="100"/>
      <c r="I330" s="37"/>
      <c r="N330" s="37"/>
    </row>
    <row r="331" spans="1:16" s="47" customFormat="1" hidden="1" x14ac:dyDescent="0.25">
      <c r="A331" s="100">
        <f>A330+1</f>
        <v>203</v>
      </c>
      <c r="B331" s="100"/>
      <c r="C331" s="52"/>
      <c r="D331" s="43"/>
      <c r="E331" s="43">
        <v>0</v>
      </c>
      <c r="F331" s="43">
        <f>D331*(($F$290)+1)+(IF(E331&lt;101,E331,IF(E331&lt;201,E331/2,IF(E331&lt;=301,E331/3,E331/4))))</f>
        <v>0</v>
      </c>
      <c r="G331" s="100" t="str">
        <f>G330</f>
        <v>2nd Floor</v>
      </c>
      <c r="H331" s="100"/>
      <c r="I331" s="37"/>
      <c r="N331" s="37"/>
    </row>
    <row r="332" spans="1:16" s="47" customFormat="1" hidden="1" x14ac:dyDescent="0.25">
      <c r="A332" s="100">
        <f>A331+1</f>
        <v>204</v>
      </c>
      <c r="B332" s="100"/>
      <c r="C332" s="52"/>
      <c r="D332" s="43"/>
      <c r="E332" s="43">
        <v>0</v>
      </c>
      <c r="F332" s="43">
        <f>D332*(($F$290)+1)+(IF(E332&lt;101,E332,IF(E332&lt;201,E332/2,IF(E332&lt;=301,E332/3,E332/4))))</f>
        <v>0</v>
      </c>
      <c r="G332" s="100" t="str">
        <f>G331</f>
        <v>2nd Floor</v>
      </c>
      <c r="H332" s="100"/>
      <c r="I332" s="37"/>
      <c r="N332" s="37"/>
    </row>
    <row r="333" spans="1:16" s="47" customFormat="1" hidden="1" x14ac:dyDescent="0.25">
      <c r="A333" s="100">
        <f>A332+1</f>
        <v>205</v>
      </c>
      <c r="B333" s="100"/>
      <c r="C333" s="52"/>
      <c r="D333" s="43"/>
      <c r="E333" s="43">
        <v>0</v>
      </c>
      <c r="F333" s="43">
        <f>D333*(($F$290)+1)+(IF(E333&lt;101,E333,IF(E333&lt;201,E333/2,IF(E333&lt;=301,E333/3,E333/4))))</f>
        <v>0</v>
      </c>
      <c r="G333" s="100" t="str">
        <f>G332</f>
        <v>2nd Floor</v>
      </c>
      <c r="H333" s="100"/>
      <c r="I333" s="37"/>
      <c r="N333" s="37"/>
    </row>
    <row r="334" spans="1:16" s="47" customFormat="1" ht="15.75" hidden="1" customHeight="1" x14ac:dyDescent="0.25">
      <c r="A334" s="97" t="s">
        <v>161</v>
      </c>
      <c r="B334" s="98"/>
      <c r="C334" s="98"/>
      <c r="D334" s="98"/>
      <c r="E334" s="98"/>
      <c r="F334" s="98"/>
      <c r="G334" s="98"/>
      <c r="H334" s="99"/>
      <c r="I334" s="37"/>
      <c r="P334" s="38"/>
    </row>
    <row r="335" spans="1:16" s="47" customFormat="1" hidden="1" x14ac:dyDescent="0.25">
      <c r="A335" s="101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10^ROW(INDIRECT("1:"&amp;LEN((LEFT(A334,SUM(LEN(A334)-LEN(SUBSTITUTE(A334,{"0","1","2"},""))))))))/10))*100+1&amp;""&amp;" ,..,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",LEN(A334))),LEN(A334)))))))/10))*100+1</f>
        <v>301 ,.., 1501</v>
      </c>
      <c r="B335" s="102"/>
      <c r="C335" s="52"/>
      <c r="D335" s="43"/>
      <c r="E335" s="43">
        <v>0</v>
      </c>
      <c r="F335" s="43">
        <f>D335*(($F$290)+1)+(IF(E335&lt;101,E335,IF(E335&lt;201,E335/2,IF(E335&lt;=301,E335/3,E335/4))))</f>
        <v>0</v>
      </c>
      <c r="G335" s="101" t="str">
        <f>A334</f>
        <v>3rd, 5th, 7th, 9th, 11th, 13th, 15th Floor</v>
      </c>
      <c r="H335" s="102"/>
      <c r="I335" s="37"/>
    </row>
    <row r="336" spans="1:16" s="47" customFormat="1" hidden="1" x14ac:dyDescent="0.25">
      <c r="A336" s="101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,..,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302 ,.., 1502</v>
      </c>
      <c r="B336" s="102"/>
      <c r="C336" s="52"/>
      <c r="D336" s="43"/>
      <c r="E336" s="43">
        <v>0</v>
      </c>
      <c r="F336" s="43">
        <f>D336*(($F$290)+1)+(IF(E336&lt;101,E336,IF(E336&lt;201,E336/2,IF(E336&lt;=301,E336/3,E336/4))))</f>
        <v>0</v>
      </c>
      <c r="G336" s="101" t="str">
        <f>G335</f>
        <v>3rd, 5th, 7th, 9th, 11th, 13th, 15th Floor</v>
      </c>
      <c r="H336" s="102"/>
      <c r="I336" s="37"/>
    </row>
    <row r="337" spans="1:16" s="47" customFormat="1" ht="15.75" hidden="1" customHeight="1" x14ac:dyDescent="0.25">
      <c r="A337" s="101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10^ROW(INDIRECT("1:"&amp;LEN((LEFT(A336,SUM(LEN(A336)-LEN(SUBSTITUTE(A336,{"0","1","2"},""))))))))/10))*1+1&amp;""&amp;" ,..,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",LEN(A336))),LEN(A336)))))))/10))*1+1</f>
        <v>303 ,.., 1503</v>
      </c>
      <c r="B337" s="102"/>
      <c r="C337" s="52"/>
      <c r="D337" s="43"/>
      <c r="E337" s="43">
        <v>0</v>
      </c>
      <c r="F337" s="43">
        <f>D337*(($F$290)+1)+(IF(E337&lt;101,E337,IF(E337&lt;201,E337/2,IF(E337&lt;=301,E337/3,E337/4))))</f>
        <v>0</v>
      </c>
      <c r="G337" s="101" t="str">
        <f>G336</f>
        <v>3rd, 5th, 7th, 9th, 11th, 13th, 15th Floor</v>
      </c>
      <c r="H337" s="102"/>
      <c r="I337" s="37"/>
    </row>
    <row r="338" spans="1:16" s="47" customFormat="1" ht="15.75" hidden="1" customHeight="1" x14ac:dyDescent="0.25">
      <c r="A338" s="101" t="str">
        <f ca="1">(SUMPRODUCT(MID(0&amp;(LEFT(A337,SUM(LEN(A337)-LEN(SUBSTITUTE(A337,{"0","1","2"},""))))), LARGE(INDEX(ISNUMBER(--MID((LEFT(A337,SUM(LEN(A337)-LEN(SUBSTITUTE(A337,{"0","1","2"},""))))), ROW(INDIRECT("1:"&amp;LEN((LEFT(A337,SUM(LEN(A337)-LEN(SUBSTITUTE(A337,{"0","1","2"},"")))))))), 1)) * ROW(INDIRECT("1:"&amp;LEN((LEFT(A337,SUM(LEN(A337)-LEN(SUBSTITUTE(A337,{"0","1","2"},"")))))))), 0), ROW(INDIRECT("1:"&amp;LEN((LEFT(A337,SUM(LEN(A337)-LEN(SUBSTITUTE(A337,{"0","1","2"},"")))))))))+1, 1) * 10^ROW(INDIRECT("1:"&amp;LEN((LEFT(A337,SUM(LEN(A337)-LEN(SUBSTITUTE(A337,{"0","1","2"},""))))))))/10))*1+1&amp;""&amp;" ,.., "&amp;""&amp;(SUMPRODUCT(MID(0&amp;(--TRIM(RIGHT(SUBSTITUTE(LEFT(A337,_xlfn.AGGREGATE(16,6,FIND({0,1,2,3,4,5,6,7,8,9},A337,ROW(INDIRECT("1:"&amp;LEN(A337)))),1))," ",REPT(" ",LEN(A337))),LEN(A337)))), LARGE(INDEX(ISNUMBER(--MID((--TRIM(RIGHT(SUBSTITUTE(LEFT(A337,_xlfn.AGGREGATE(16,6,FIND({0,1,2,3,4,5,6,7,8,9},A337,ROW(INDIRECT("1:"&amp;LEN(A337)))),1))," ",REPT(" ",LEN(A337))),LEN(A337)))), ROW(INDIRECT("1:"&amp;LEN((--TRIM(RIGHT(SUBSTITUTE(LEFT(A337,_xlfn.AGGREGATE(16,6,FIND({0,1,2,3,4,5,6,7,8,9},A337,ROW(INDIRECT("1:"&amp;LEN(A337)))),1))," ",REPT(" ",LEN(A337))),LEN(A337))))))), 1)) * ROW(INDIRECT("1:"&amp;LEN((--TRIM(RIGHT(SUBSTITUTE(LEFT(A337,_xlfn.AGGREGATE(16,6,FIND({0,1,2,3,4,5,6,7,8,9},A337,ROW(INDIRECT("1:"&amp;LEN(A337)))),1))," ",REPT(" ",LEN(A337))),LEN(A337))))))), 0), ROW(INDIRECT("1:"&amp;LEN((--TRIM(RIGHT(SUBSTITUTE(LEFT(A337,_xlfn.AGGREGATE(16,6,FIND({0,1,2,3,4,5,6,7,8,9},A337,ROW(INDIRECT("1:"&amp;LEN(A337)))),1))," ",REPT(" ",LEN(A337))),LEN(A337))))))))+1, 1) * 10^ROW(INDIRECT("1:"&amp;LEN((--TRIM(RIGHT(SUBSTITUTE(LEFT(A337,_xlfn.AGGREGATE(16,6,FIND({0,1,2,3,4,5,6,7,8,9},A337,ROW(INDIRECT("1:"&amp;LEN(A337)))),1))," ",REPT(" ",LEN(A337))),LEN(A337)))))))/10))*1+1</f>
        <v>304 ,.., 1504</v>
      </c>
      <c r="B338" s="102"/>
      <c r="C338" s="52"/>
      <c r="D338" s="43"/>
      <c r="E338" s="43">
        <v>0</v>
      </c>
      <c r="F338" s="43">
        <f>D338*(($F$290)+1)+(IF(E338&lt;101,E338,IF(E338&lt;201,E338/2,IF(E338&lt;=301,E338/3,E338/4))))</f>
        <v>0</v>
      </c>
      <c r="G338" s="101" t="str">
        <f>G337</f>
        <v>3rd, 5th, 7th, 9th, 11th, 13th, 15th Floor</v>
      </c>
      <c r="H338" s="102"/>
      <c r="I338" s="37"/>
    </row>
    <row r="339" spans="1:16" s="47" customFormat="1" ht="15.75" hidden="1" customHeight="1" x14ac:dyDescent="0.25">
      <c r="A339" s="101" t="str">
        <f ca="1">(SUMPRODUCT(MID(0&amp;(LEFT(A338,SUM(LEN(A338)-LEN(SUBSTITUTE(A338,{"0","1","2"},""))))), LARGE(INDEX(ISNUMBER(--MID((LEFT(A338,SUM(LEN(A338)-LEN(SUBSTITUTE(A338,{"0","1","2"},""))))), ROW(INDIRECT("1:"&amp;LEN((LEFT(A338,SUM(LEN(A338)-LEN(SUBSTITUTE(A338,{"0","1","2"},"")))))))), 1)) * ROW(INDIRECT("1:"&amp;LEN((LEFT(A338,SUM(LEN(A338)-LEN(SUBSTITUTE(A338,{"0","1","2"},"")))))))), 0), ROW(INDIRECT("1:"&amp;LEN((LEFT(A338,SUM(LEN(A338)-LEN(SUBSTITUTE(A338,{"0","1","2"},"")))))))))+1, 1) * 10^ROW(INDIRECT("1:"&amp;LEN((LEFT(A338,SUM(LEN(A338)-LEN(SUBSTITUTE(A338,{"0","1","2"},""))))))))/10))*1+1&amp;""&amp;" ,.., "&amp;""&amp;(SUMPRODUCT(MID(0&amp;(--TRIM(RIGHT(SUBSTITUTE(LEFT(A338,_xlfn.AGGREGATE(16,6,FIND({0,1,2,3,4,5,6,7,8,9},A338,ROW(INDIRECT("1:"&amp;LEN(A338)))),1))," ",REPT(" ",LEN(A338))),LEN(A338)))), LARGE(INDEX(ISNUMBER(--MID((--TRIM(RIGHT(SUBSTITUTE(LEFT(A338,_xlfn.AGGREGATE(16,6,FIND({0,1,2,3,4,5,6,7,8,9},A338,ROW(INDIRECT("1:"&amp;LEN(A338)))),1))," ",REPT(" ",LEN(A338))),LEN(A338)))), ROW(INDIRECT("1:"&amp;LEN((--TRIM(RIGHT(SUBSTITUTE(LEFT(A338,_xlfn.AGGREGATE(16,6,FIND({0,1,2,3,4,5,6,7,8,9},A338,ROW(INDIRECT("1:"&amp;LEN(A338)))),1))," ",REPT(" ",LEN(A338))),LEN(A338))))))), 1)) * ROW(INDIRECT("1:"&amp;LEN((--TRIM(RIGHT(SUBSTITUTE(LEFT(A338,_xlfn.AGGREGATE(16,6,FIND({0,1,2,3,4,5,6,7,8,9},A338,ROW(INDIRECT("1:"&amp;LEN(A338)))),1))," ",REPT(" ",LEN(A338))),LEN(A338))))))), 0), ROW(INDIRECT("1:"&amp;LEN((--TRIM(RIGHT(SUBSTITUTE(LEFT(A338,_xlfn.AGGREGATE(16,6,FIND({0,1,2,3,4,5,6,7,8,9},A338,ROW(INDIRECT("1:"&amp;LEN(A338)))),1))," ",REPT(" ",LEN(A338))),LEN(A338))))))))+1, 1) * 10^ROW(INDIRECT("1:"&amp;LEN((--TRIM(RIGHT(SUBSTITUTE(LEFT(A338,_xlfn.AGGREGATE(16,6,FIND({0,1,2,3,4,5,6,7,8,9},A338,ROW(INDIRECT("1:"&amp;LEN(A338)))),1))," ",REPT(" ",LEN(A338))),LEN(A338)))))))/10))*1+1</f>
        <v>305 ,.., 1505</v>
      </c>
      <c r="B339" s="102"/>
      <c r="C339" s="52"/>
      <c r="D339" s="43"/>
      <c r="E339" s="43">
        <v>0</v>
      </c>
      <c r="F339" s="43">
        <f>D339*(($F$290)+1)+(IF(E339&lt;101,E339,IF(E339&lt;201,E339/2,IF(E339&lt;=301,E339/3,E339/4))))</f>
        <v>0</v>
      </c>
      <c r="G339" s="101" t="str">
        <f>G338</f>
        <v>3rd, 5th, 7th, 9th, 11th, 13th, 15th Floor</v>
      </c>
      <c r="H339" s="102"/>
      <c r="I339" s="37"/>
    </row>
    <row r="340" spans="1:16" s="47" customFormat="1" hidden="1" x14ac:dyDescent="0.25">
      <c r="A340" s="97" t="s">
        <v>154</v>
      </c>
      <c r="B340" s="98"/>
      <c r="C340" s="98"/>
      <c r="D340" s="98"/>
      <c r="E340" s="98"/>
      <c r="F340" s="98"/>
      <c r="G340" s="98"/>
      <c r="H340" s="99"/>
      <c r="I340" s="37"/>
      <c r="P340" s="38"/>
    </row>
    <row r="341" spans="1:16" s="47" customFormat="1" hidden="1" x14ac:dyDescent="0.25">
      <c r="A341" s="101" t="str">
        <f ca="1">(SUMPRODUCT(MID(0&amp;(LEFT(A340,SUM(LEN(A340)-LEN(SUBSTITUTE(A340,{"0","1","2"},""))))), LARGE(INDEX(ISNUMBER(--MID((LEFT(A340,SUM(LEN(A340)-LEN(SUBSTITUTE(A340,{"0","1","2"},""))))), ROW(INDIRECT("1:"&amp;LEN((LEFT(A340,SUM(LEN(A340)-LEN(SUBSTITUTE(A340,{"0","1","2"},"")))))))), 1)) * ROW(INDIRECT("1:"&amp;LEN((LEFT(A340,SUM(LEN(A340)-LEN(SUBSTITUTE(A340,{"0","1","2"},"")))))))), 0), ROW(INDIRECT("1:"&amp;LEN((LEFT(A340,SUM(LEN(A340)-LEN(SUBSTITUTE(A340,{"0","1","2"},"")))))))))+1, 1) * 10^ROW(INDIRECT("1:"&amp;LEN((LEFT(A340,SUM(LEN(A340)-LEN(SUBSTITUTE(A340,{"0","1","2"},""))))))))/10))*100+1&amp;""&amp;" to "&amp;""&amp;(SUMPRODUCT(MID(0&amp;(--TRIM(RIGHT(SUBSTITUTE(LEFT(A340,_xlfn.AGGREGATE(16,6,FIND({0,1,2,3,4,5,6,7,8,9},A340,ROW(INDIRECT("1:"&amp;LEN(A340)))),1))," ",REPT(" ",LEN(A340))),LEN(A340)))), LARGE(INDEX(ISNUMBER(--MID((--TRIM(RIGHT(SUBSTITUTE(LEFT(A340,_xlfn.AGGREGATE(16,6,FIND({0,1,2,3,4,5,6,7,8,9},A340,ROW(INDIRECT("1:"&amp;LEN(A340)))),1))," ",REPT(" ",LEN(A340))),LEN(A340)))), ROW(INDIRECT("1:"&amp;LEN((--TRIM(RIGHT(SUBSTITUTE(LEFT(A340,_xlfn.AGGREGATE(16,6,FIND({0,1,2,3,4,5,6,7,8,9},A340,ROW(INDIRECT("1:"&amp;LEN(A340)))),1))," ",REPT(" ",LEN(A340))),LEN(A340))))))), 1)) * ROW(INDIRECT("1:"&amp;LEN((--TRIM(RIGHT(SUBSTITUTE(LEFT(A340,_xlfn.AGGREGATE(16,6,FIND({0,1,2,3,4,5,6,7,8,9},A340,ROW(INDIRECT("1:"&amp;LEN(A340)))),1))," ",REPT(" ",LEN(A340))),LEN(A340))))))), 0), ROW(INDIRECT("1:"&amp;LEN((--TRIM(RIGHT(SUBSTITUTE(LEFT(A340,_xlfn.AGGREGATE(16,6,FIND({0,1,2,3,4,5,6,7,8,9},A340,ROW(INDIRECT("1:"&amp;LEN(A340)))),1))," ",REPT(" ",LEN(A340))),LEN(A340))))))))+1, 1) * 10^ROW(INDIRECT("1:"&amp;LEN((--TRIM(RIGHT(SUBSTITUTE(LEFT(A340,_xlfn.AGGREGATE(16,6,FIND({0,1,2,3,4,5,6,7,8,9},A340,ROW(INDIRECT("1:"&amp;LEN(A340)))),1))," ",REPT(" ",LEN(A340))),LEN(A340)))))))/10))*100+1</f>
        <v>201 to 501</v>
      </c>
      <c r="B341" s="102"/>
      <c r="C341" s="52"/>
      <c r="D341" s="43"/>
      <c r="E341" s="43">
        <v>0</v>
      </c>
      <c r="F341" s="43">
        <f>D341*(($F$290)+1)+(IF(E341&lt;101,E341,IF(E341&lt;201,E341/2,IF(E341&lt;=301,E341/3,E341/4))))</f>
        <v>0</v>
      </c>
      <c r="G341" s="101" t="str">
        <f>A340</f>
        <v>2nd to 5th Floor</v>
      </c>
      <c r="H341" s="102"/>
      <c r="I341" s="37"/>
    </row>
    <row r="342" spans="1:16" s="47" customFormat="1" hidden="1" x14ac:dyDescent="0.25">
      <c r="A342" s="101" t="str">
        <f ca="1">(SUMPRODUCT(MID(0&amp;(LEFT(A341,SUM(LEN(A341)-LEN(SUBSTITUTE(A341,{"0","1","2"},""))))), LARGE(INDEX(ISNUMBER(--MID((LEFT(A341,SUM(LEN(A341)-LEN(SUBSTITUTE(A341,{"0","1","2"},""))))), ROW(INDIRECT("1:"&amp;LEN((LEFT(A341,SUM(LEN(A341)-LEN(SUBSTITUTE(A341,{"0","1","2"},"")))))))), 1)) * ROW(INDIRECT("1:"&amp;LEN((LEFT(A341,SUM(LEN(A341)-LEN(SUBSTITUTE(A341,{"0","1","2"},"")))))))), 0), ROW(INDIRECT("1:"&amp;LEN((LEFT(A341,SUM(LEN(A341)-LEN(SUBSTITUTE(A341,{"0","1","2"},"")))))))))+1, 1) * 10^ROW(INDIRECT("1:"&amp;LEN((LEFT(A341,SUM(LEN(A341)-LEN(SUBSTITUTE(A341,{"0","1","2"},""))))))))/10))*1+1&amp;""&amp;" to "&amp;""&amp;(SUMPRODUCT(MID(0&amp;(--TRIM(RIGHT(SUBSTITUTE(LEFT(A341,_xlfn.AGGREGATE(16,6,FIND({0,1,2,3,4,5,6,7,8,9},A341,ROW(INDIRECT("1:"&amp;LEN(A341)))),1))," ",REPT(" ",LEN(A341))),LEN(A341)))), LARGE(INDEX(ISNUMBER(--MID((--TRIM(RIGHT(SUBSTITUTE(LEFT(A341,_xlfn.AGGREGATE(16,6,FIND({0,1,2,3,4,5,6,7,8,9},A341,ROW(INDIRECT("1:"&amp;LEN(A341)))),1))," ",REPT(" ",LEN(A341))),LEN(A341)))), ROW(INDIRECT("1:"&amp;LEN((--TRIM(RIGHT(SUBSTITUTE(LEFT(A341,_xlfn.AGGREGATE(16,6,FIND({0,1,2,3,4,5,6,7,8,9},A341,ROW(INDIRECT("1:"&amp;LEN(A341)))),1))," ",REPT(" ",LEN(A341))),LEN(A341))))))), 1)) * ROW(INDIRECT("1:"&amp;LEN((--TRIM(RIGHT(SUBSTITUTE(LEFT(A341,_xlfn.AGGREGATE(16,6,FIND({0,1,2,3,4,5,6,7,8,9},A341,ROW(INDIRECT("1:"&amp;LEN(A341)))),1))," ",REPT(" ",LEN(A341))),LEN(A341))))))), 0), ROW(INDIRECT("1:"&amp;LEN((--TRIM(RIGHT(SUBSTITUTE(LEFT(A341,_xlfn.AGGREGATE(16,6,FIND({0,1,2,3,4,5,6,7,8,9},A341,ROW(INDIRECT("1:"&amp;LEN(A341)))),1))," ",REPT(" ",LEN(A341))),LEN(A341))))))))+1, 1) * 10^ROW(INDIRECT("1:"&amp;LEN((--TRIM(RIGHT(SUBSTITUTE(LEFT(A341,_xlfn.AGGREGATE(16,6,FIND({0,1,2,3,4,5,6,7,8,9},A341,ROW(INDIRECT("1:"&amp;LEN(A341)))),1))," ",REPT(" ",LEN(A341))),LEN(A341)))))))/10))*1+1</f>
        <v>202 to 502</v>
      </c>
      <c r="B342" s="102"/>
      <c r="C342" s="52"/>
      <c r="D342" s="43"/>
      <c r="E342" s="43">
        <v>0</v>
      </c>
      <c r="F342" s="43">
        <f>D342*(($F$290)+1)+(IF(E342&lt;101,E342,IF(E342&lt;201,E342/2,IF(E342&lt;=301,E342/3,E342/4))))</f>
        <v>0</v>
      </c>
      <c r="G342" s="101" t="str">
        <f>G341</f>
        <v>2nd to 5th Floor</v>
      </c>
      <c r="H342" s="102"/>
      <c r="I342" s="37"/>
    </row>
    <row r="343" spans="1:16" s="47" customFormat="1" hidden="1" x14ac:dyDescent="0.25">
      <c r="A343" s="101" t="str">
        <f ca="1">(SUMPRODUCT(MID(0&amp;(LEFT(A342,SUM(LEN(A342)-LEN(SUBSTITUTE(A342,{"0","1","2"},""))))), LARGE(INDEX(ISNUMBER(--MID((LEFT(A342,SUM(LEN(A342)-LEN(SUBSTITUTE(A342,{"0","1","2"},""))))), ROW(INDIRECT("1:"&amp;LEN((LEFT(A342,SUM(LEN(A342)-LEN(SUBSTITUTE(A342,{"0","1","2"},"")))))))), 1)) * ROW(INDIRECT("1:"&amp;LEN((LEFT(A342,SUM(LEN(A342)-LEN(SUBSTITUTE(A342,{"0","1","2"},"")))))))), 0), ROW(INDIRECT("1:"&amp;LEN((LEFT(A342,SUM(LEN(A342)-LEN(SUBSTITUTE(A342,{"0","1","2"},"")))))))))+1, 1) * 10^ROW(INDIRECT("1:"&amp;LEN((LEFT(A342,SUM(LEN(A342)-LEN(SUBSTITUTE(A342,{"0","1","2"},""))))))))/10))*1+1&amp;""&amp;" to "&amp;""&amp;(SUMPRODUCT(MID(0&amp;(--TRIM(RIGHT(SUBSTITUTE(LEFT(A342,_xlfn.AGGREGATE(16,6,FIND({0,1,2,3,4,5,6,7,8,9},A342,ROW(INDIRECT("1:"&amp;LEN(A342)))),1))," ",REPT(" ",LEN(A342))),LEN(A342)))), LARGE(INDEX(ISNUMBER(--MID((--TRIM(RIGHT(SUBSTITUTE(LEFT(A342,_xlfn.AGGREGATE(16,6,FIND({0,1,2,3,4,5,6,7,8,9},A342,ROW(INDIRECT("1:"&amp;LEN(A342)))),1))," ",REPT(" ",LEN(A342))),LEN(A342)))), ROW(INDIRECT("1:"&amp;LEN((--TRIM(RIGHT(SUBSTITUTE(LEFT(A342,_xlfn.AGGREGATE(16,6,FIND({0,1,2,3,4,5,6,7,8,9},A342,ROW(INDIRECT("1:"&amp;LEN(A342)))),1))," ",REPT(" ",LEN(A342))),LEN(A342))))))), 1)) * ROW(INDIRECT("1:"&amp;LEN((--TRIM(RIGHT(SUBSTITUTE(LEFT(A342,_xlfn.AGGREGATE(16,6,FIND({0,1,2,3,4,5,6,7,8,9},A342,ROW(INDIRECT("1:"&amp;LEN(A342)))),1))," ",REPT(" ",LEN(A342))),LEN(A342))))))), 0), ROW(INDIRECT("1:"&amp;LEN((--TRIM(RIGHT(SUBSTITUTE(LEFT(A342,_xlfn.AGGREGATE(16,6,FIND({0,1,2,3,4,5,6,7,8,9},A342,ROW(INDIRECT("1:"&amp;LEN(A342)))),1))," ",REPT(" ",LEN(A342))),LEN(A342))))))))+1, 1) * 10^ROW(INDIRECT("1:"&amp;LEN((--TRIM(RIGHT(SUBSTITUTE(LEFT(A342,_xlfn.AGGREGATE(16,6,FIND({0,1,2,3,4,5,6,7,8,9},A342,ROW(INDIRECT("1:"&amp;LEN(A342)))),1))," ",REPT(" ",LEN(A342))),LEN(A342)))))))/10))*1+1</f>
        <v>203 to 503</v>
      </c>
      <c r="B343" s="102"/>
      <c r="C343" s="52"/>
      <c r="D343" s="43"/>
      <c r="E343" s="43">
        <v>0</v>
      </c>
      <c r="F343" s="43">
        <f>D343*(($F$290)+1)+(IF(E343&lt;101,E343,IF(E343&lt;201,E343/2,IF(E343&lt;=301,E343/3,E343/4))))</f>
        <v>0</v>
      </c>
      <c r="G343" s="101" t="str">
        <f>G342</f>
        <v>2nd to 5th Floor</v>
      </c>
      <c r="H343" s="102"/>
      <c r="I343" s="37"/>
    </row>
    <row r="344" spans="1:16" s="47" customFormat="1" hidden="1" x14ac:dyDescent="0.25">
      <c r="A344" s="101" t="str">
        <f ca="1">(SUMPRODUCT(MID(0&amp;(LEFT(A343,SUM(LEN(A343)-LEN(SUBSTITUTE(A343,{"0","1","2"},""))))), LARGE(INDEX(ISNUMBER(--MID((LEFT(A343,SUM(LEN(A343)-LEN(SUBSTITUTE(A343,{"0","1","2"},""))))), ROW(INDIRECT("1:"&amp;LEN((LEFT(A343,SUM(LEN(A343)-LEN(SUBSTITUTE(A343,{"0","1","2"},"")))))))), 1)) * ROW(INDIRECT("1:"&amp;LEN((LEFT(A343,SUM(LEN(A343)-LEN(SUBSTITUTE(A343,{"0","1","2"},"")))))))), 0), ROW(INDIRECT("1:"&amp;LEN((LEFT(A343,SUM(LEN(A343)-LEN(SUBSTITUTE(A343,{"0","1","2"},"")))))))))+1, 1) * 10^ROW(INDIRECT("1:"&amp;LEN((LEFT(A343,SUM(LEN(A343)-LEN(SUBSTITUTE(A343,{"0","1","2"},""))))))))/10))*1+1&amp;""&amp;" to "&amp;""&amp;(SUMPRODUCT(MID(0&amp;(--TRIM(RIGHT(SUBSTITUTE(LEFT(A343,_xlfn.AGGREGATE(16,6,FIND({0,1,2,3,4,5,6,7,8,9},A343,ROW(INDIRECT("1:"&amp;LEN(A343)))),1))," ",REPT(" ",LEN(A343))),LEN(A343)))), LARGE(INDEX(ISNUMBER(--MID((--TRIM(RIGHT(SUBSTITUTE(LEFT(A343,_xlfn.AGGREGATE(16,6,FIND({0,1,2,3,4,5,6,7,8,9},A343,ROW(INDIRECT("1:"&amp;LEN(A343)))),1))," ",REPT(" ",LEN(A343))),LEN(A343)))), ROW(INDIRECT("1:"&amp;LEN((--TRIM(RIGHT(SUBSTITUTE(LEFT(A343,_xlfn.AGGREGATE(16,6,FIND({0,1,2,3,4,5,6,7,8,9},A343,ROW(INDIRECT("1:"&amp;LEN(A343)))),1))," ",REPT(" ",LEN(A343))),LEN(A343))))))), 1)) * ROW(INDIRECT("1:"&amp;LEN((--TRIM(RIGHT(SUBSTITUTE(LEFT(A343,_xlfn.AGGREGATE(16,6,FIND({0,1,2,3,4,5,6,7,8,9},A343,ROW(INDIRECT("1:"&amp;LEN(A343)))),1))," ",REPT(" ",LEN(A343))),LEN(A343))))))), 0), ROW(INDIRECT("1:"&amp;LEN((--TRIM(RIGHT(SUBSTITUTE(LEFT(A343,_xlfn.AGGREGATE(16,6,FIND({0,1,2,3,4,5,6,7,8,9},A343,ROW(INDIRECT("1:"&amp;LEN(A343)))),1))," ",REPT(" ",LEN(A343))),LEN(A343))))))))+1, 1) * 10^ROW(INDIRECT("1:"&amp;LEN((--TRIM(RIGHT(SUBSTITUTE(LEFT(A343,_xlfn.AGGREGATE(16,6,FIND({0,1,2,3,4,5,6,7,8,9},A343,ROW(INDIRECT("1:"&amp;LEN(A343)))),1))," ",REPT(" ",LEN(A343))),LEN(A343)))))))/10))*1+1</f>
        <v>204 to 504</v>
      </c>
      <c r="B344" s="102"/>
      <c r="C344" s="52"/>
      <c r="D344" s="43"/>
      <c r="E344" s="43">
        <v>0</v>
      </c>
      <c r="F344" s="43">
        <f>D344*(($F$290)+1)+(IF(E344&lt;101,E344,IF(E344&lt;201,E344/2,IF(E344&lt;=301,E344/3,E344/4))))</f>
        <v>0</v>
      </c>
      <c r="G344" s="101" t="str">
        <f>G343</f>
        <v>2nd to 5th Floor</v>
      </c>
      <c r="H344" s="102"/>
      <c r="I344" s="37"/>
    </row>
    <row r="345" spans="1:16" s="47" customFormat="1" hidden="1" x14ac:dyDescent="0.25">
      <c r="A345" s="101" t="str">
        <f ca="1">(SUMPRODUCT(MID(0&amp;(LEFT(A344,SUM(LEN(A344)-LEN(SUBSTITUTE(A344,{"0","1","2"},""))))), LARGE(INDEX(ISNUMBER(--MID((LEFT(A344,SUM(LEN(A344)-LEN(SUBSTITUTE(A344,{"0","1","2"},""))))), ROW(INDIRECT("1:"&amp;LEN((LEFT(A344,SUM(LEN(A344)-LEN(SUBSTITUTE(A344,{"0","1","2"},"")))))))), 1)) * ROW(INDIRECT("1:"&amp;LEN((LEFT(A344,SUM(LEN(A344)-LEN(SUBSTITUTE(A344,{"0","1","2"},"")))))))), 0), ROW(INDIRECT("1:"&amp;LEN((LEFT(A344,SUM(LEN(A344)-LEN(SUBSTITUTE(A344,{"0","1","2"},"")))))))))+1, 1) * 10^ROW(INDIRECT("1:"&amp;LEN((LEFT(A344,SUM(LEN(A344)-LEN(SUBSTITUTE(A344,{"0","1","2"},""))))))))/10))*1+1&amp;""&amp;" to "&amp;""&amp;(SUMPRODUCT(MID(0&amp;(--TRIM(RIGHT(SUBSTITUTE(LEFT(A344,_xlfn.AGGREGATE(16,6,FIND({0,1,2,3,4,5,6,7,8,9},A344,ROW(INDIRECT("1:"&amp;LEN(A344)))),1))," ",REPT(" ",LEN(A344))),LEN(A344)))), LARGE(INDEX(ISNUMBER(--MID((--TRIM(RIGHT(SUBSTITUTE(LEFT(A344,_xlfn.AGGREGATE(16,6,FIND({0,1,2,3,4,5,6,7,8,9},A344,ROW(INDIRECT("1:"&amp;LEN(A344)))),1))," ",REPT(" ",LEN(A344))),LEN(A344)))), ROW(INDIRECT("1:"&amp;LEN((--TRIM(RIGHT(SUBSTITUTE(LEFT(A344,_xlfn.AGGREGATE(16,6,FIND({0,1,2,3,4,5,6,7,8,9},A344,ROW(INDIRECT("1:"&amp;LEN(A344)))),1))," ",REPT(" ",LEN(A344))),LEN(A344))))))), 1)) * ROW(INDIRECT("1:"&amp;LEN((--TRIM(RIGHT(SUBSTITUTE(LEFT(A344,_xlfn.AGGREGATE(16,6,FIND({0,1,2,3,4,5,6,7,8,9},A344,ROW(INDIRECT("1:"&amp;LEN(A344)))),1))," ",REPT(" ",LEN(A344))),LEN(A344))))))), 0), ROW(INDIRECT("1:"&amp;LEN((--TRIM(RIGHT(SUBSTITUTE(LEFT(A344,_xlfn.AGGREGATE(16,6,FIND({0,1,2,3,4,5,6,7,8,9},A344,ROW(INDIRECT("1:"&amp;LEN(A344)))),1))," ",REPT(" ",LEN(A344))),LEN(A344))))))))+1, 1) * 10^ROW(INDIRECT("1:"&amp;LEN((--TRIM(RIGHT(SUBSTITUTE(LEFT(A344,_xlfn.AGGREGATE(16,6,FIND({0,1,2,3,4,5,6,7,8,9},A344,ROW(INDIRECT("1:"&amp;LEN(A344)))),1))," ",REPT(" ",LEN(A344))),LEN(A344)))))))/10))*1+1</f>
        <v>205 to 505</v>
      </c>
      <c r="B345" s="102"/>
      <c r="C345" s="52"/>
      <c r="D345" s="43"/>
      <c r="E345" s="43">
        <v>0</v>
      </c>
      <c r="F345" s="43">
        <f>D345*(($F$290)+1)+(IF(E345&lt;101,E345,IF(E345&lt;201,E345/2,IF(E345&lt;=301,E345/3,E345/4))))</f>
        <v>0</v>
      </c>
      <c r="G345" s="101" t="str">
        <f>G344</f>
        <v>2nd to 5th Floor</v>
      </c>
      <c r="H345" s="102"/>
      <c r="I345" s="37"/>
    </row>
    <row r="346" spans="1:16" s="47" customFormat="1" hidden="1" x14ac:dyDescent="0.25">
      <c r="A346" s="97" t="s">
        <v>155</v>
      </c>
      <c r="B346" s="98"/>
      <c r="C346" s="98"/>
      <c r="D346" s="98"/>
      <c r="E346" s="98"/>
      <c r="F346" s="98"/>
      <c r="G346" s="98"/>
      <c r="H346" s="99"/>
      <c r="I346" s="37"/>
      <c r="P346" s="38"/>
    </row>
    <row r="347" spans="1:16" s="47" customFormat="1" hidden="1" x14ac:dyDescent="0.25">
      <c r="A347" s="101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10^ROW(INDIRECT("1:"&amp;LEN((LEFT(A346,SUM(LEN(A346)-LEN(SUBSTITUTE(A346,{"0","1","2"},""))))))))/10))*100+1&amp;""&amp;" &amp;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",LEN(A346))),LEN(A346)))))))/10))*100+1</f>
        <v>201 &amp; 501</v>
      </c>
      <c r="B347" s="102"/>
      <c r="C347" s="52"/>
      <c r="D347" s="43"/>
      <c r="E347" s="43">
        <v>0</v>
      </c>
      <c r="F347" s="43">
        <f>D347*(($F$290)+1)+(IF(E347&lt;101,E347,IF(E347&lt;201,E347/2,IF(E347&lt;=301,E347/3,E347/4))))</f>
        <v>0</v>
      </c>
      <c r="G347" s="101" t="str">
        <f>A346</f>
        <v>2nd &amp; 5th Floor</v>
      </c>
      <c r="H347" s="102"/>
      <c r="I347" s="37"/>
    </row>
    <row r="348" spans="1:16" s="47" customFormat="1" hidden="1" x14ac:dyDescent="0.25">
      <c r="A348" s="101" t="str">
        <f ca="1">(SUMPRODUCT(MID(0&amp;(LEFT(A347,SUM(LEN(A347)-LEN(SUBSTITUTE(A347,{"0","1","2"},""))))), LARGE(INDEX(ISNUMBER(--MID((LEFT(A347,SUM(LEN(A347)-LEN(SUBSTITUTE(A347,{"0","1","2"},""))))), ROW(INDIRECT("1:"&amp;LEN((LEFT(A347,SUM(LEN(A347)-LEN(SUBSTITUTE(A347,{"0","1","2"},"")))))))), 1)) * ROW(INDIRECT("1:"&amp;LEN((LEFT(A347,SUM(LEN(A347)-LEN(SUBSTITUTE(A347,{"0","1","2"},"")))))))), 0), ROW(INDIRECT("1:"&amp;LEN((LEFT(A347,SUM(LEN(A347)-LEN(SUBSTITUTE(A347,{"0","1","2"},"")))))))))+1, 1) * 10^ROW(INDIRECT("1:"&amp;LEN((LEFT(A347,SUM(LEN(A347)-LEN(SUBSTITUTE(A347,{"0","1","2"},""))))))))/10))*1+1&amp;""&amp;" &amp; "&amp;""&amp;(SUMPRODUCT(MID(0&amp;(--TRIM(RIGHT(SUBSTITUTE(LEFT(A347,_xlfn.AGGREGATE(16,6,FIND({0,1,2,3,4,5,6,7,8,9},A347,ROW(INDIRECT("1:"&amp;LEN(A347)))),1))," ",REPT(" ",LEN(A347))),LEN(A347)))), LARGE(INDEX(ISNUMBER(--MID((--TRIM(RIGHT(SUBSTITUTE(LEFT(A347,_xlfn.AGGREGATE(16,6,FIND({0,1,2,3,4,5,6,7,8,9},A347,ROW(INDIRECT("1:"&amp;LEN(A347)))),1))," ",REPT(" ",LEN(A347))),LEN(A347)))), ROW(INDIRECT("1:"&amp;LEN((--TRIM(RIGHT(SUBSTITUTE(LEFT(A347,_xlfn.AGGREGATE(16,6,FIND({0,1,2,3,4,5,6,7,8,9},A347,ROW(INDIRECT("1:"&amp;LEN(A347)))),1))," ",REPT(" ",LEN(A347))),LEN(A347))))))), 1)) * ROW(INDIRECT("1:"&amp;LEN((--TRIM(RIGHT(SUBSTITUTE(LEFT(A347,_xlfn.AGGREGATE(16,6,FIND({0,1,2,3,4,5,6,7,8,9},A347,ROW(INDIRECT("1:"&amp;LEN(A347)))),1))," ",REPT(" ",LEN(A347))),LEN(A347))))))), 0), ROW(INDIRECT("1:"&amp;LEN((--TRIM(RIGHT(SUBSTITUTE(LEFT(A347,_xlfn.AGGREGATE(16,6,FIND({0,1,2,3,4,5,6,7,8,9},A347,ROW(INDIRECT("1:"&amp;LEN(A347)))),1))," ",REPT(" ",LEN(A347))),LEN(A347))))))))+1, 1) * 10^ROW(INDIRECT("1:"&amp;LEN((--TRIM(RIGHT(SUBSTITUTE(LEFT(A347,_xlfn.AGGREGATE(16,6,FIND({0,1,2,3,4,5,6,7,8,9},A347,ROW(INDIRECT("1:"&amp;LEN(A347)))),1))," ",REPT(" ",LEN(A347))),LEN(A347)))))))/10))*1+1</f>
        <v>202 &amp; 502</v>
      </c>
      <c r="B348" s="102"/>
      <c r="C348" s="52"/>
      <c r="D348" s="43"/>
      <c r="E348" s="43">
        <v>0</v>
      </c>
      <c r="F348" s="43">
        <f>D348*(($F$290)+1)+(IF(E348&lt;101,E348,IF(E348&lt;201,E348/2,IF(E348&lt;=301,E348/3,E348/4))))</f>
        <v>0</v>
      </c>
      <c r="G348" s="101" t="str">
        <f t="shared" ref="G348:G351" si="55">G347</f>
        <v>2nd &amp; 5th Floor</v>
      </c>
      <c r="H348" s="102"/>
      <c r="I348" s="37"/>
    </row>
    <row r="349" spans="1:16" s="47" customFormat="1" hidden="1" x14ac:dyDescent="0.25">
      <c r="A349" s="101" t="str">
        <f ca="1">(SUMPRODUCT(MID(0&amp;(LEFT(A348,SUM(LEN(A348)-LEN(SUBSTITUTE(A348,{"0","1","2"},""))))), LARGE(INDEX(ISNUMBER(--MID((LEFT(A348,SUM(LEN(A348)-LEN(SUBSTITUTE(A348,{"0","1","2"},""))))), ROW(INDIRECT("1:"&amp;LEN((LEFT(A348,SUM(LEN(A348)-LEN(SUBSTITUTE(A348,{"0","1","2"},"")))))))), 1)) * ROW(INDIRECT("1:"&amp;LEN((LEFT(A348,SUM(LEN(A348)-LEN(SUBSTITUTE(A348,{"0","1","2"},"")))))))), 0), ROW(INDIRECT("1:"&amp;LEN((LEFT(A348,SUM(LEN(A348)-LEN(SUBSTITUTE(A348,{"0","1","2"},"")))))))))+1, 1) * 10^ROW(INDIRECT("1:"&amp;LEN((LEFT(A348,SUM(LEN(A348)-LEN(SUBSTITUTE(A348,{"0","1","2"},""))))))))/10))*1+1&amp;""&amp;" &amp; "&amp;""&amp;(SUMPRODUCT(MID(0&amp;(--TRIM(RIGHT(SUBSTITUTE(LEFT(A348,_xlfn.AGGREGATE(16,6,FIND({0,1,2,3,4,5,6,7,8,9},A348,ROW(INDIRECT("1:"&amp;LEN(A348)))),1))," ",REPT(" ",LEN(A348))),LEN(A348)))), LARGE(INDEX(ISNUMBER(--MID((--TRIM(RIGHT(SUBSTITUTE(LEFT(A348,_xlfn.AGGREGATE(16,6,FIND({0,1,2,3,4,5,6,7,8,9},A348,ROW(INDIRECT("1:"&amp;LEN(A348)))),1))," ",REPT(" ",LEN(A348))),LEN(A348)))), ROW(INDIRECT("1:"&amp;LEN((--TRIM(RIGHT(SUBSTITUTE(LEFT(A348,_xlfn.AGGREGATE(16,6,FIND({0,1,2,3,4,5,6,7,8,9},A348,ROW(INDIRECT("1:"&amp;LEN(A348)))),1))," ",REPT(" ",LEN(A348))),LEN(A348))))))), 1)) * ROW(INDIRECT("1:"&amp;LEN((--TRIM(RIGHT(SUBSTITUTE(LEFT(A348,_xlfn.AGGREGATE(16,6,FIND({0,1,2,3,4,5,6,7,8,9},A348,ROW(INDIRECT("1:"&amp;LEN(A348)))),1))," ",REPT(" ",LEN(A348))),LEN(A348))))))), 0), ROW(INDIRECT("1:"&amp;LEN((--TRIM(RIGHT(SUBSTITUTE(LEFT(A348,_xlfn.AGGREGATE(16,6,FIND({0,1,2,3,4,5,6,7,8,9},A348,ROW(INDIRECT("1:"&amp;LEN(A348)))),1))," ",REPT(" ",LEN(A348))),LEN(A348))))))))+1, 1) * 10^ROW(INDIRECT("1:"&amp;LEN((--TRIM(RIGHT(SUBSTITUTE(LEFT(A348,_xlfn.AGGREGATE(16,6,FIND({0,1,2,3,4,5,6,7,8,9},A348,ROW(INDIRECT("1:"&amp;LEN(A348)))),1))," ",REPT(" ",LEN(A348))),LEN(A348)))))))/10))*1+1</f>
        <v>203 &amp; 503</v>
      </c>
      <c r="B349" s="102"/>
      <c r="C349" s="52"/>
      <c r="D349" s="43"/>
      <c r="E349" s="43">
        <v>0</v>
      </c>
      <c r="F349" s="43">
        <f>D349*(($F$290)+1)+(IF(E349&lt;101,E349,IF(E349&lt;201,E349/2,IF(E349&lt;=301,E349/3,E349/4))))</f>
        <v>0</v>
      </c>
      <c r="G349" s="101" t="str">
        <f t="shared" si="55"/>
        <v>2nd &amp; 5th Floor</v>
      </c>
      <c r="H349" s="102"/>
      <c r="I349" s="37"/>
    </row>
    <row r="350" spans="1:16" s="47" customFormat="1" hidden="1" x14ac:dyDescent="0.25">
      <c r="A350" s="101" t="str">
        <f ca="1">(SUMPRODUCT(MID(0&amp;(LEFT(A349,SUM(LEN(A349)-LEN(SUBSTITUTE(A349,{"0","1","2"},""))))), LARGE(INDEX(ISNUMBER(--MID((LEFT(A349,SUM(LEN(A349)-LEN(SUBSTITUTE(A349,{"0","1","2"},""))))), ROW(INDIRECT("1:"&amp;LEN((LEFT(A349,SUM(LEN(A349)-LEN(SUBSTITUTE(A349,{"0","1","2"},"")))))))), 1)) * ROW(INDIRECT("1:"&amp;LEN((LEFT(A349,SUM(LEN(A349)-LEN(SUBSTITUTE(A349,{"0","1","2"},"")))))))), 0), ROW(INDIRECT("1:"&amp;LEN((LEFT(A349,SUM(LEN(A349)-LEN(SUBSTITUTE(A349,{"0","1","2"},"")))))))))+1, 1) * 10^ROW(INDIRECT("1:"&amp;LEN((LEFT(A349,SUM(LEN(A349)-LEN(SUBSTITUTE(A349,{"0","1","2"},""))))))))/10))*1+1&amp;""&amp;" &amp; "&amp;""&amp;(SUMPRODUCT(MID(0&amp;(--TRIM(RIGHT(SUBSTITUTE(LEFT(A349,_xlfn.AGGREGATE(16,6,FIND({0,1,2,3,4,5,6,7,8,9},A349,ROW(INDIRECT("1:"&amp;LEN(A349)))),1))," ",REPT(" ",LEN(A349))),LEN(A349)))), LARGE(INDEX(ISNUMBER(--MID((--TRIM(RIGHT(SUBSTITUTE(LEFT(A349,_xlfn.AGGREGATE(16,6,FIND({0,1,2,3,4,5,6,7,8,9},A349,ROW(INDIRECT("1:"&amp;LEN(A349)))),1))," ",REPT(" ",LEN(A349))),LEN(A349)))), ROW(INDIRECT("1:"&amp;LEN((--TRIM(RIGHT(SUBSTITUTE(LEFT(A349,_xlfn.AGGREGATE(16,6,FIND({0,1,2,3,4,5,6,7,8,9},A349,ROW(INDIRECT("1:"&amp;LEN(A349)))),1))," ",REPT(" ",LEN(A349))),LEN(A349))))))), 1)) * ROW(INDIRECT("1:"&amp;LEN((--TRIM(RIGHT(SUBSTITUTE(LEFT(A349,_xlfn.AGGREGATE(16,6,FIND({0,1,2,3,4,5,6,7,8,9},A349,ROW(INDIRECT("1:"&amp;LEN(A349)))),1))," ",REPT(" ",LEN(A349))),LEN(A349))))))), 0), ROW(INDIRECT("1:"&amp;LEN((--TRIM(RIGHT(SUBSTITUTE(LEFT(A349,_xlfn.AGGREGATE(16,6,FIND({0,1,2,3,4,5,6,7,8,9},A349,ROW(INDIRECT("1:"&amp;LEN(A349)))),1))," ",REPT(" ",LEN(A349))),LEN(A349))))))))+1, 1) * 10^ROW(INDIRECT("1:"&amp;LEN((--TRIM(RIGHT(SUBSTITUTE(LEFT(A349,_xlfn.AGGREGATE(16,6,FIND({0,1,2,3,4,5,6,7,8,9},A349,ROW(INDIRECT("1:"&amp;LEN(A349)))),1))," ",REPT(" ",LEN(A349))),LEN(A349)))))))/10))*1+1</f>
        <v>204 &amp; 504</v>
      </c>
      <c r="B350" s="102"/>
      <c r="C350" s="52"/>
      <c r="D350" s="43"/>
      <c r="E350" s="43">
        <v>0</v>
      </c>
      <c r="F350" s="43">
        <f>D350*(($F$290)+1)+(IF(E350&lt;101,E350,IF(E350&lt;201,E350/2,IF(E350&lt;=301,E350/3,E350/4))))</f>
        <v>0</v>
      </c>
      <c r="G350" s="101" t="str">
        <f t="shared" si="55"/>
        <v>2nd &amp; 5th Floor</v>
      </c>
      <c r="H350" s="102"/>
      <c r="I350" s="37"/>
    </row>
    <row r="351" spans="1:16" s="47" customFormat="1" hidden="1" x14ac:dyDescent="0.25">
      <c r="A351" s="101" t="str">
        <f ca="1">(SUMPRODUCT(MID(0&amp;(LEFT(A350,SUM(LEN(A350)-LEN(SUBSTITUTE(A350,{"0","1","2"},""))))), LARGE(INDEX(ISNUMBER(--MID((LEFT(A350,SUM(LEN(A350)-LEN(SUBSTITUTE(A350,{"0","1","2"},""))))), ROW(INDIRECT("1:"&amp;LEN((LEFT(A350,SUM(LEN(A350)-LEN(SUBSTITUTE(A350,{"0","1","2"},"")))))))), 1)) * ROW(INDIRECT("1:"&amp;LEN((LEFT(A350,SUM(LEN(A350)-LEN(SUBSTITUTE(A350,{"0","1","2"},"")))))))), 0), ROW(INDIRECT("1:"&amp;LEN((LEFT(A350,SUM(LEN(A350)-LEN(SUBSTITUTE(A350,{"0","1","2"},"")))))))))+1, 1) * 10^ROW(INDIRECT("1:"&amp;LEN((LEFT(A350,SUM(LEN(A350)-LEN(SUBSTITUTE(A350,{"0","1","2"},""))))))))/10))*1+1&amp;""&amp;" &amp; "&amp;""&amp;(SUMPRODUCT(MID(0&amp;(--TRIM(RIGHT(SUBSTITUTE(LEFT(A350,_xlfn.AGGREGATE(16,6,FIND({0,1,2,3,4,5,6,7,8,9},A350,ROW(INDIRECT("1:"&amp;LEN(A350)))),1))," ",REPT(" ",LEN(A350))),LEN(A350)))), LARGE(INDEX(ISNUMBER(--MID((--TRIM(RIGHT(SUBSTITUTE(LEFT(A350,_xlfn.AGGREGATE(16,6,FIND({0,1,2,3,4,5,6,7,8,9},A350,ROW(INDIRECT("1:"&amp;LEN(A350)))),1))," ",REPT(" ",LEN(A350))),LEN(A350)))), ROW(INDIRECT("1:"&amp;LEN((--TRIM(RIGHT(SUBSTITUTE(LEFT(A350,_xlfn.AGGREGATE(16,6,FIND({0,1,2,3,4,5,6,7,8,9},A350,ROW(INDIRECT("1:"&amp;LEN(A350)))),1))," ",REPT(" ",LEN(A350))),LEN(A350))))))), 1)) * ROW(INDIRECT("1:"&amp;LEN((--TRIM(RIGHT(SUBSTITUTE(LEFT(A350,_xlfn.AGGREGATE(16,6,FIND({0,1,2,3,4,5,6,7,8,9},A350,ROW(INDIRECT("1:"&amp;LEN(A350)))),1))," ",REPT(" ",LEN(A350))),LEN(A350))))))), 0), ROW(INDIRECT("1:"&amp;LEN((--TRIM(RIGHT(SUBSTITUTE(LEFT(A350,_xlfn.AGGREGATE(16,6,FIND({0,1,2,3,4,5,6,7,8,9},A350,ROW(INDIRECT("1:"&amp;LEN(A350)))),1))," ",REPT(" ",LEN(A350))),LEN(A350))))))))+1, 1) * 10^ROW(INDIRECT("1:"&amp;LEN((--TRIM(RIGHT(SUBSTITUTE(LEFT(A350,_xlfn.AGGREGATE(16,6,FIND({0,1,2,3,4,5,6,7,8,9},A350,ROW(INDIRECT("1:"&amp;LEN(A350)))),1))," ",REPT(" ",LEN(A350))),LEN(A350)))))))/10))*1+1</f>
        <v>205 &amp; 505</v>
      </c>
      <c r="B351" s="102"/>
      <c r="C351" s="52"/>
      <c r="D351" s="43"/>
      <c r="E351" s="43">
        <v>0</v>
      </c>
      <c r="F351" s="43">
        <f>D351*(($F$290)+1)+(IF(E351&lt;101,E351,IF(E351&lt;201,E351/2,IF(E351&lt;=301,E351/3,E351/4))))</f>
        <v>0</v>
      </c>
      <c r="G351" s="101" t="str">
        <f t="shared" si="55"/>
        <v>2nd &amp; 5th Floor</v>
      </c>
      <c r="H351" s="102"/>
      <c r="I351" s="37"/>
    </row>
    <row r="352" spans="1:16" s="36" customFormat="1" x14ac:dyDescent="0.25">
      <c r="A352" s="150" t="s">
        <v>72</v>
      </c>
      <c r="B352" s="150"/>
      <c r="C352" s="150"/>
      <c r="D352" s="150"/>
      <c r="E352" s="150"/>
      <c r="F352" s="150"/>
      <c r="G352" s="150"/>
      <c r="H352" s="150"/>
    </row>
    <row r="353" spans="1:8" s="36" customFormat="1" x14ac:dyDescent="0.25">
      <c r="A353" s="46" t="s">
        <v>165</v>
      </c>
      <c r="B353" s="154" t="s">
        <v>250</v>
      </c>
      <c r="C353" s="155"/>
      <c r="D353" s="155"/>
      <c r="E353" s="155"/>
      <c r="F353" s="155"/>
      <c r="G353" s="155"/>
      <c r="H353" s="156"/>
    </row>
    <row r="354" spans="1:8" s="36" customFormat="1" x14ac:dyDescent="0.25">
      <c r="A354" s="46" t="s">
        <v>165</v>
      </c>
      <c r="B354" s="154" t="str">
        <f>(IF(F289="Saleable area Loading :","We have considered Saleable area of Flats as per our Calculation.","We considered Saleable area of Flat as per Builder area Sheet."))</f>
        <v>We have considered Saleable area of Flats as per our Calculation.</v>
      </c>
      <c r="C354" s="155"/>
      <c r="D354" s="155"/>
      <c r="E354" s="155"/>
      <c r="F354" s="155"/>
      <c r="G354" s="155"/>
      <c r="H354" s="156"/>
    </row>
    <row r="355" spans="1:8" s="36" customFormat="1" x14ac:dyDescent="0.25">
      <c r="A355" s="46" t="s">
        <v>165</v>
      </c>
      <c r="B355" s="154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55" s="155"/>
      <c r="D355" s="155"/>
      <c r="E355" s="155"/>
      <c r="F355" s="155"/>
      <c r="G355" s="155"/>
      <c r="H355" s="156"/>
    </row>
    <row r="356" spans="1:8" s="36" customFormat="1" x14ac:dyDescent="0.25">
      <c r="A356" s="46" t="s">
        <v>165</v>
      </c>
      <c r="B356" s="151" t="s">
        <v>131</v>
      </c>
      <c r="C356" s="152"/>
      <c r="D356" s="152"/>
      <c r="E356" s="152"/>
      <c r="F356" s="152"/>
      <c r="G356" s="152"/>
      <c r="H356" s="153"/>
    </row>
    <row r="357" spans="1:8" s="36" customFormat="1" x14ac:dyDescent="0.25">
      <c r="A357" s="46" t="s">
        <v>165</v>
      </c>
      <c r="B357" s="151" t="s">
        <v>220</v>
      </c>
      <c r="C357" s="152"/>
      <c r="D357" s="152"/>
      <c r="E357" s="152"/>
      <c r="F357" s="152"/>
      <c r="G357" s="152"/>
      <c r="H357" s="153"/>
    </row>
    <row r="358" spans="1:8" s="36" customFormat="1" x14ac:dyDescent="0.25">
      <c r="A358" s="46" t="s">
        <v>165</v>
      </c>
      <c r="B358" s="151" t="s">
        <v>164</v>
      </c>
      <c r="C358" s="152"/>
      <c r="D358" s="152"/>
      <c r="E358" s="152"/>
      <c r="F358" s="152"/>
      <c r="G358" s="152"/>
      <c r="H358" s="153"/>
    </row>
    <row r="359" spans="1:8" s="36" customFormat="1" x14ac:dyDescent="0.25">
      <c r="A359" s="46" t="s">
        <v>165</v>
      </c>
      <c r="B359" s="151" t="s">
        <v>132</v>
      </c>
      <c r="C359" s="152"/>
      <c r="D359" s="152"/>
      <c r="E359" s="152"/>
      <c r="F359" s="152"/>
      <c r="G359" s="152"/>
      <c r="H359" s="153"/>
    </row>
    <row r="360" spans="1:8" s="36" customFormat="1" ht="34.5" customHeight="1" x14ac:dyDescent="0.25">
      <c r="A360" s="46" t="s">
        <v>165</v>
      </c>
      <c r="B360" s="151" t="s">
        <v>166</v>
      </c>
      <c r="C360" s="152"/>
      <c r="D360" s="152"/>
      <c r="E360" s="152"/>
      <c r="F360" s="152"/>
      <c r="G360" s="152"/>
      <c r="H360" s="153"/>
    </row>
    <row r="361" spans="1:8" s="36" customFormat="1" x14ac:dyDescent="0.25">
      <c r="A361" s="46" t="s">
        <v>165</v>
      </c>
      <c r="B361" s="151" t="s">
        <v>133</v>
      </c>
      <c r="C361" s="152"/>
      <c r="D361" s="152"/>
      <c r="E361" s="152"/>
      <c r="F361" s="152"/>
      <c r="G361" s="152"/>
      <c r="H361" s="153"/>
    </row>
    <row r="362" spans="1:8" s="36" customFormat="1" x14ac:dyDescent="0.25">
      <c r="A362" s="60" t="s">
        <v>165</v>
      </c>
      <c r="B362" s="151" t="s">
        <v>237</v>
      </c>
      <c r="C362" s="152"/>
      <c r="D362" s="152"/>
      <c r="E362" s="152"/>
      <c r="F362" s="152"/>
      <c r="G362" s="152"/>
      <c r="H362" s="153"/>
    </row>
    <row r="363" spans="1:8" x14ac:dyDescent="0.25">
      <c r="A363" s="161" t="s">
        <v>65</v>
      </c>
      <c r="B363" s="161"/>
      <c r="C363" s="161"/>
      <c r="D363" s="161"/>
      <c r="E363" s="161"/>
      <c r="F363" s="161"/>
      <c r="G363" s="161"/>
      <c r="H363" s="161"/>
    </row>
    <row r="364" spans="1:8" x14ac:dyDescent="0.25">
      <c r="A364" s="122" t="s">
        <v>66</v>
      </c>
      <c r="B364" s="122"/>
      <c r="C364" s="122"/>
      <c r="D364" s="122"/>
      <c r="E364" s="122"/>
      <c r="F364" s="122"/>
      <c r="G364" s="122"/>
      <c r="H364" s="122"/>
    </row>
    <row r="365" spans="1:8" ht="15.75" customHeight="1" x14ac:dyDescent="0.25">
      <c r="A365" s="141" t="s">
        <v>67</v>
      </c>
      <c r="B365" s="141"/>
      <c r="C365" s="141"/>
      <c r="D365" s="141"/>
      <c r="E365" s="141"/>
      <c r="F365" s="141"/>
      <c r="G365" s="141"/>
      <c r="H365" s="141"/>
    </row>
    <row r="366" spans="1:8" x14ac:dyDescent="0.25">
      <c r="A366" s="122" t="s">
        <v>68</v>
      </c>
      <c r="B366" s="122"/>
      <c r="C366" s="122"/>
      <c r="D366" s="122"/>
      <c r="E366" s="122"/>
      <c r="F366" s="122"/>
      <c r="G366" s="122"/>
      <c r="H366" s="122"/>
    </row>
    <row r="367" spans="1:8" x14ac:dyDescent="0.25">
      <c r="A367" s="122" t="s">
        <v>69</v>
      </c>
      <c r="B367" s="122"/>
      <c r="C367" s="122"/>
      <c r="D367" s="122"/>
      <c r="E367" s="122"/>
      <c r="F367" s="122"/>
      <c r="G367" s="122"/>
      <c r="H367" s="122"/>
    </row>
    <row r="368" spans="1:8" x14ac:dyDescent="0.25">
      <c r="A368" s="122" t="s">
        <v>134</v>
      </c>
      <c r="B368" s="122"/>
      <c r="C368" s="122"/>
      <c r="D368" s="122"/>
      <c r="E368" s="122"/>
      <c r="F368" s="122"/>
      <c r="G368" s="122"/>
      <c r="H368" s="122"/>
    </row>
    <row r="369" spans="1:8" x14ac:dyDescent="0.25">
      <c r="A369" s="121" t="s">
        <v>135</v>
      </c>
      <c r="B369" s="121"/>
      <c r="C369" s="121"/>
      <c r="D369" s="121"/>
      <c r="E369" s="121"/>
      <c r="F369" s="121"/>
      <c r="G369" s="121"/>
      <c r="H369" s="121"/>
    </row>
    <row r="370" spans="1:8" x14ac:dyDescent="0.25">
      <c r="A370" s="158" t="s">
        <v>82</v>
      </c>
      <c r="B370" s="158"/>
      <c r="C370" s="158" t="s">
        <v>258</v>
      </c>
      <c r="D370" s="158"/>
      <c r="E370" s="158" t="s">
        <v>111</v>
      </c>
      <c r="F370" s="158"/>
      <c r="G370" s="158" t="s">
        <v>257</v>
      </c>
      <c r="H370" s="158"/>
    </row>
    <row r="371" spans="1:8" x14ac:dyDescent="0.25">
      <c r="A371" s="157" t="s">
        <v>84</v>
      </c>
      <c r="B371" s="157"/>
      <c r="C371" s="157"/>
      <c r="D371" s="157"/>
      <c r="E371" s="157"/>
      <c r="F371" s="157"/>
      <c r="G371" s="157"/>
      <c r="H371" s="157"/>
    </row>
    <row r="372" spans="1:8" x14ac:dyDescent="0.25">
      <c r="A372" s="157"/>
      <c r="B372" s="157"/>
      <c r="C372" s="157"/>
      <c r="D372" s="157"/>
      <c r="E372" s="157"/>
      <c r="F372" s="157"/>
      <c r="G372" s="157"/>
      <c r="H372" s="157"/>
    </row>
    <row r="373" spans="1:8" x14ac:dyDescent="0.25">
      <c r="A373" s="157"/>
      <c r="B373" s="157"/>
      <c r="C373" s="157"/>
      <c r="D373" s="157"/>
      <c r="E373" s="157"/>
      <c r="F373" s="157"/>
      <c r="G373" s="157"/>
      <c r="H373" s="157"/>
    </row>
    <row r="374" spans="1:8" x14ac:dyDescent="0.25">
      <c r="A374" s="157"/>
      <c r="B374" s="157"/>
      <c r="C374" s="157"/>
      <c r="D374" s="157"/>
      <c r="E374" s="157"/>
      <c r="F374" s="157"/>
      <c r="G374" s="157"/>
      <c r="H374" s="157"/>
    </row>
    <row r="375" spans="1:8" x14ac:dyDescent="0.25">
      <c r="A375" s="39" t="s">
        <v>70</v>
      </c>
      <c r="B375" s="40"/>
      <c r="C375" s="40"/>
      <c r="D375" s="39" t="str">
        <f>E8</f>
        <v>Aykon &amp; Centonic</v>
      </c>
      <c r="F375" s="40"/>
      <c r="G375" s="40"/>
      <c r="H375" s="40"/>
    </row>
    <row r="376" spans="1:8" x14ac:dyDescent="0.25">
      <c r="A376" s="40"/>
      <c r="B376" s="40"/>
      <c r="C376" s="40"/>
      <c r="D376" s="40"/>
      <c r="E376" s="40"/>
      <c r="F376" s="40"/>
      <c r="G376" s="40"/>
      <c r="H376" s="40"/>
    </row>
    <row r="377" spans="1:8" x14ac:dyDescent="0.25">
      <c r="A377" s="40"/>
      <c r="B377" s="40"/>
      <c r="C377" s="40"/>
      <c r="D377" s="40"/>
      <c r="E377" s="40"/>
      <c r="F377" s="40"/>
      <c r="G377" s="40"/>
      <c r="H377" s="40"/>
    </row>
    <row r="378" spans="1:8" ht="15" customHeight="1" x14ac:dyDescent="0.25"/>
    <row r="417" spans="1:1" hidden="1" x14ac:dyDescent="0.25"/>
    <row r="418" spans="1:1" hidden="1" x14ac:dyDescent="0.25"/>
    <row r="419" spans="1:1" hidden="1" x14ac:dyDescent="0.25"/>
    <row r="420" spans="1:1" hidden="1" x14ac:dyDescent="0.25"/>
    <row r="421" spans="1:1" hidden="1" x14ac:dyDescent="0.25"/>
    <row r="422" spans="1:1" hidden="1" x14ac:dyDescent="0.25"/>
    <row r="423" spans="1:1" hidden="1" x14ac:dyDescent="0.25"/>
    <row r="424" spans="1:1" hidden="1" x14ac:dyDescent="0.25"/>
    <row r="425" spans="1:1" x14ac:dyDescent="0.25">
      <c r="A425" s="42" t="s">
        <v>221</v>
      </c>
    </row>
    <row r="454" spans="1:1" x14ac:dyDescent="0.25">
      <c r="A454" s="42" t="s">
        <v>71</v>
      </c>
    </row>
  </sheetData>
  <mergeCells count="825"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C135:D135"/>
    <mergeCell ref="E135:F135"/>
    <mergeCell ref="G135:H135"/>
    <mergeCell ref="B362:H362"/>
    <mergeCell ref="D59:H59"/>
    <mergeCell ref="A58:C59"/>
    <mergeCell ref="A95:B95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35:B135"/>
    <mergeCell ref="G301:H302"/>
    <mergeCell ref="G298:H299"/>
    <mergeCell ref="G304:H305"/>
    <mergeCell ref="G314:H315"/>
    <mergeCell ref="G317:H318"/>
    <mergeCell ref="G320:H321"/>
    <mergeCell ref="G277:H282"/>
    <mergeCell ref="G270:H272"/>
    <mergeCell ref="G273:H275"/>
    <mergeCell ref="A276:H276"/>
    <mergeCell ref="A277:B277"/>
    <mergeCell ref="C289:C290"/>
    <mergeCell ref="A301:B301"/>
    <mergeCell ref="A294:H294"/>
    <mergeCell ref="A309:H309"/>
    <mergeCell ref="A310:H310"/>
    <mergeCell ref="A311:H311"/>
    <mergeCell ref="A312:H312"/>
    <mergeCell ref="A269:H269"/>
    <mergeCell ref="A270:B270"/>
    <mergeCell ref="A241:B241"/>
    <mergeCell ref="G241:H241"/>
    <mergeCell ref="L287:M287"/>
    <mergeCell ref="L286:M286"/>
    <mergeCell ref="L285:M285"/>
    <mergeCell ref="A280:B280"/>
    <mergeCell ref="L280:M280"/>
    <mergeCell ref="A281:B281"/>
    <mergeCell ref="L281:M281"/>
    <mergeCell ref="A282:B282"/>
    <mergeCell ref="L282:M282"/>
    <mergeCell ref="L284:M284"/>
    <mergeCell ref="G287:H287"/>
    <mergeCell ref="G285:H285"/>
    <mergeCell ref="A283:H283"/>
    <mergeCell ref="L277:M277"/>
    <mergeCell ref="A278:B278"/>
    <mergeCell ref="L278:M278"/>
    <mergeCell ref="A279:B279"/>
    <mergeCell ref="L279:M279"/>
    <mergeCell ref="A273:B273"/>
    <mergeCell ref="L273:M273"/>
    <mergeCell ref="A274:B274"/>
    <mergeCell ref="L274:M274"/>
    <mergeCell ref="A275:B275"/>
    <mergeCell ref="L275:M275"/>
    <mergeCell ref="L270:M270"/>
    <mergeCell ref="A271:B271"/>
    <mergeCell ref="L271:M271"/>
    <mergeCell ref="A272:B272"/>
    <mergeCell ref="L272:M272"/>
    <mergeCell ref="A260:B260"/>
    <mergeCell ref="G260:H260"/>
    <mergeCell ref="L260:M260"/>
    <mergeCell ref="A264:B264"/>
    <mergeCell ref="G264:H264"/>
    <mergeCell ref="L264:M264"/>
    <mergeCell ref="A266:H266"/>
    <mergeCell ref="A267:H267"/>
    <mergeCell ref="A268:B268"/>
    <mergeCell ref="G268:H268"/>
    <mergeCell ref="L268:M268"/>
    <mergeCell ref="A261:B261"/>
    <mergeCell ref="G261:H261"/>
    <mergeCell ref="L261:M261"/>
    <mergeCell ref="A262:B262"/>
    <mergeCell ref="G262:H262"/>
    <mergeCell ref="L262:M262"/>
    <mergeCell ref="A263:B263"/>
    <mergeCell ref="G263:H263"/>
    <mergeCell ref="A254:B254"/>
    <mergeCell ref="G254:H254"/>
    <mergeCell ref="L254:M254"/>
    <mergeCell ref="A255:B255"/>
    <mergeCell ref="G255:H255"/>
    <mergeCell ref="L255:M255"/>
    <mergeCell ref="L263:M263"/>
    <mergeCell ref="G256:H256"/>
    <mergeCell ref="L256:M256"/>
    <mergeCell ref="A257:B257"/>
    <mergeCell ref="G257:H257"/>
    <mergeCell ref="L257:M257"/>
    <mergeCell ref="A258:B258"/>
    <mergeCell ref="G258:H258"/>
    <mergeCell ref="L258:M258"/>
    <mergeCell ref="A259:B259"/>
    <mergeCell ref="G259:H259"/>
    <mergeCell ref="L259:M259"/>
    <mergeCell ref="A256:B256"/>
    <mergeCell ref="A250:B250"/>
    <mergeCell ref="G250:H250"/>
    <mergeCell ref="L250:M250"/>
    <mergeCell ref="A251:B251"/>
    <mergeCell ref="G251:H251"/>
    <mergeCell ref="L251:M251"/>
    <mergeCell ref="L252:M252"/>
    <mergeCell ref="A253:B253"/>
    <mergeCell ref="G253:H253"/>
    <mergeCell ref="L253:M253"/>
    <mergeCell ref="G246:H246"/>
    <mergeCell ref="L246:M246"/>
    <mergeCell ref="A247:B247"/>
    <mergeCell ref="G247:H247"/>
    <mergeCell ref="L247:M247"/>
    <mergeCell ref="A244:B244"/>
    <mergeCell ref="L248:M248"/>
    <mergeCell ref="A249:B249"/>
    <mergeCell ref="G249:H249"/>
    <mergeCell ref="L249:M249"/>
    <mergeCell ref="G243:H243"/>
    <mergeCell ref="L243:M243"/>
    <mergeCell ref="B360:H360"/>
    <mergeCell ref="A48:B48"/>
    <mergeCell ref="C48:H48"/>
    <mergeCell ref="B358:H358"/>
    <mergeCell ref="F111:H111"/>
    <mergeCell ref="A111:E111"/>
    <mergeCell ref="G336:H336"/>
    <mergeCell ref="G332:H332"/>
    <mergeCell ref="G329:H329"/>
    <mergeCell ref="D138:D139"/>
    <mergeCell ref="A114:E114"/>
    <mergeCell ref="A284:B284"/>
    <mergeCell ref="A285:B285"/>
    <mergeCell ref="A286:B286"/>
    <mergeCell ref="A287:B287"/>
    <mergeCell ref="A115:E115"/>
    <mergeCell ref="G236:H236"/>
    <mergeCell ref="L244:M244"/>
    <mergeCell ref="A245:B245"/>
    <mergeCell ref="G245:H245"/>
    <mergeCell ref="L245:M245"/>
    <mergeCell ref="A246:B246"/>
    <mergeCell ref="C127:D127"/>
    <mergeCell ref="E127:F127"/>
    <mergeCell ref="G127:H127"/>
    <mergeCell ref="A129:B129"/>
    <mergeCell ref="C129:D129"/>
    <mergeCell ref="E129:F129"/>
    <mergeCell ref="G129:H129"/>
    <mergeCell ref="C133:D133"/>
    <mergeCell ref="E133:F133"/>
    <mergeCell ref="G133:H133"/>
    <mergeCell ref="C131:D131"/>
    <mergeCell ref="G131:H131"/>
    <mergeCell ref="A126:A127"/>
    <mergeCell ref="A116:E116"/>
    <mergeCell ref="F116:H116"/>
    <mergeCell ref="A117:E117"/>
    <mergeCell ref="A119:E119"/>
    <mergeCell ref="F113:H113"/>
    <mergeCell ref="A118:E118"/>
    <mergeCell ref="A113:E113"/>
    <mergeCell ref="A109:E109"/>
    <mergeCell ref="F114:H114"/>
    <mergeCell ref="F109:H109"/>
    <mergeCell ref="F115:H115"/>
    <mergeCell ref="A112:E112"/>
    <mergeCell ref="F112:H112"/>
    <mergeCell ref="F117:H117"/>
    <mergeCell ref="A110:E110"/>
    <mergeCell ref="F118:H118"/>
    <mergeCell ref="A331:B331"/>
    <mergeCell ref="A341:B341"/>
    <mergeCell ref="A342:B342"/>
    <mergeCell ref="A343:B343"/>
    <mergeCell ref="A332:B332"/>
    <mergeCell ref="G333:H333"/>
    <mergeCell ref="G339:H339"/>
    <mergeCell ref="G338:H338"/>
    <mergeCell ref="L327:M327"/>
    <mergeCell ref="G341:H341"/>
    <mergeCell ref="A339:B339"/>
    <mergeCell ref="L328:M328"/>
    <mergeCell ref="A288:H288"/>
    <mergeCell ref="A289:A290"/>
    <mergeCell ref="G324:H324"/>
    <mergeCell ref="L324:M324"/>
    <mergeCell ref="A325:B325"/>
    <mergeCell ref="G325:H325"/>
    <mergeCell ref="L325:M325"/>
    <mergeCell ref="A326:B326"/>
    <mergeCell ref="G326:H326"/>
    <mergeCell ref="L326:M326"/>
    <mergeCell ref="A307:H307"/>
    <mergeCell ref="A300:H300"/>
    <mergeCell ref="L301:M301"/>
    <mergeCell ref="A302:B302"/>
    <mergeCell ref="L302:M302"/>
    <mergeCell ref="A303:H303"/>
    <mergeCell ref="A304:B304"/>
    <mergeCell ref="A293:H293"/>
    <mergeCell ref="L305:M305"/>
    <mergeCell ref="C134:D134"/>
    <mergeCell ref="G134:H134"/>
    <mergeCell ref="A134:B134"/>
    <mergeCell ref="G184:H184"/>
    <mergeCell ref="A140:H140"/>
    <mergeCell ref="C125:D125"/>
    <mergeCell ref="F120:H120"/>
    <mergeCell ref="C138:C139"/>
    <mergeCell ref="A265:H265"/>
    <mergeCell ref="A141:H141"/>
    <mergeCell ref="A142:H142"/>
    <mergeCell ref="E128:F128"/>
    <mergeCell ref="G128:H128"/>
    <mergeCell ref="A132:A133"/>
    <mergeCell ref="C132:D132"/>
    <mergeCell ref="E132:F132"/>
    <mergeCell ref="A235:H235"/>
    <mergeCell ref="A236:B236"/>
    <mergeCell ref="A240:B240"/>
    <mergeCell ref="E134:F134"/>
    <mergeCell ref="C128:D128"/>
    <mergeCell ref="A237:B237"/>
    <mergeCell ref="G237:H237"/>
    <mergeCell ref="A238:B238"/>
    <mergeCell ref="E138:E139"/>
    <mergeCell ref="G138:H139"/>
    <mergeCell ref="G132:H132"/>
    <mergeCell ref="E43:H43"/>
    <mergeCell ref="E44:H44"/>
    <mergeCell ref="E45:H45"/>
    <mergeCell ref="E46:H46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F121:H121"/>
    <mergeCell ref="F119:H119"/>
    <mergeCell ref="A137:H137"/>
    <mergeCell ref="B138:B139"/>
    <mergeCell ref="A138:A139"/>
    <mergeCell ref="A74:B74"/>
    <mergeCell ref="E70:F70"/>
    <mergeCell ref="A63:C63"/>
    <mergeCell ref="D63:H63"/>
    <mergeCell ref="A66:C66"/>
    <mergeCell ref="D66:H66"/>
    <mergeCell ref="C52:H52"/>
    <mergeCell ref="A64:C64"/>
    <mergeCell ref="A37:H37"/>
    <mergeCell ref="D61:H61"/>
    <mergeCell ref="D55:H55"/>
    <mergeCell ref="C51:E51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E42:H42"/>
    <mergeCell ref="A42:D42"/>
    <mergeCell ref="A49:B49"/>
    <mergeCell ref="A36:B36"/>
    <mergeCell ref="C36:E36"/>
    <mergeCell ref="A41:D41"/>
    <mergeCell ref="E41:H41"/>
    <mergeCell ref="F33:H33"/>
    <mergeCell ref="F34:H34"/>
    <mergeCell ref="A40:H40"/>
    <mergeCell ref="A60:C60"/>
    <mergeCell ref="F36:H36"/>
    <mergeCell ref="A38:B38"/>
    <mergeCell ref="E38:F38"/>
    <mergeCell ref="C38:D38"/>
    <mergeCell ref="G38:H38"/>
    <mergeCell ref="A39:B39"/>
    <mergeCell ref="C39:H39"/>
    <mergeCell ref="A45:D45"/>
    <mergeCell ref="A46:D46"/>
    <mergeCell ref="A47:H47"/>
    <mergeCell ref="D57:H57"/>
    <mergeCell ref="A57:C57"/>
    <mergeCell ref="G50:H50"/>
    <mergeCell ref="D60:H60"/>
    <mergeCell ref="A43:D43"/>
    <mergeCell ref="G51:H5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12:D12"/>
    <mergeCell ref="E12:H12"/>
    <mergeCell ref="A22:D23"/>
    <mergeCell ref="E22:H23"/>
    <mergeCell ref="E14:H14"/>
    <mergeCell ref="A15:B15"/>
    <mergeCell ref="C15:H15"/>
    <mergeCell ref="C16:H16"/>
    <mergeCell ref="C17:H17"/>
    <mergeCell ref="A78:B78"/>
    <mergeCell ref="G53:H5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A17:B17"/>
    <mergeCell ref="G49:H49"/>
    <mergeCell ref="A371:H374"/>
    <mergeCell ref="A370:B370"/>
    <mergeCell ref="E370:F370"/>
    <mergeCell ref="C370:D370"/>
    <mergeCell ref="G370:H370"/>
    <mergeCell ref="A124:H124"/>
    <mergeCell ref="A122:E122"/>
    <mergeCell ref="F122:H122"/>
    <mergeCell ref="A123:E123"/>
    <mergeCell ref="F123:H123"/>
    <mergeCell ref="A328:H328"/>
    <mergeCell ref="A337:B337"/>
    <mergeCell ref="A366:H366"/>
    <mergeCell ref="A130:H130"/>
    <mergeCell ref="A369:H369"/>
    <mergeCell ref="A367:H367"/>
    <mergeCell ref="B356:H356"/>
    <mergeCell ref="B357:H357"/>
    <mergeCell ref="A363:H363"/>
    <mergeCell ref="A364:H364"/>
    <mergeCell ref="E131:F131"/>
    <mergeCell ref="B361:H361"/>
    <mergeCell ref="G286:H286"/>
    <mergeCell ref="G284:H284"/>
    <mergeCell ref="B359:H359"/>
    <mergeCell ref="B355:H355"/>
    <mergeCell ref="A349:B349"/>
    <mergeCell ref="G349:H349"/>
    <mergeCell ref="G348:H348"/>
    <mergeCell ref="A346:H346"/>
    <mergeCell ref="A347:B347"/>
    <mergeCell ref="A348:B348"/>
    <mergeCell ref="A351:B351"/>
    <mergeCell ref="G351:H351"/>
    <mergeCell ref="A350:B350"/>
    <mergeCell ref="B353:H353"/>
    <mergeCell ref="B354:H354"/>
    <mergeCell ref="G347:H347"/>
    <mergeCell ref="G345:H345"/>
    <mergeCell ref="A352:H352"/>
    <mergeCell ref="A344:B344"/>
    <mergeCell ref="A345:B345"/>
    <mergeCell ref="G343:H343"/>
    <mergeCell ref="A305:B305"/>
    <mergeCell ref="A322:H322"/>
    <mergeCell ref="A321:B321"/>
    <mergeCell ref="A340:H340"/>
    <mergeCell ref="A334:H334"/>
    <mergeCell ref="A327:B327"/>
    <mergeCell ref="G337:H337"/>
    <mergeCell ref="G335:H335"/>
    <mergeCell ref="A324:B324"/>
    <mergeCell ref="G331:H331"/>
    <mergeCell ref="G350:H350"/>
    <mergeCell ref="G342:H342"/>
    <mergeCell ref="A336:B336"/>
    <mergeCell ref="A338:B338"/>
    <mergeCell ref="G330:H330"/>
    <mergeCell ref="A323:H323"/>
    <mergeCell ref="A320:B320"/>
    <mergeCell ref="A333:B333"/>
    <mergeCell ref="A330:B330"/>
    <mergeCell ref="A368:H368"/>
    <mergeCell ref="A365:H365"/>
    <mergeCell ref="G344:H344"/>
    <mergeCell ref="A329:B329"/>
    <mergeCell ref="A131:B131"/>
    <mergeCell ref="D289:D290"/>
    <mergeCell ref="E289:E290"/>
    <mergeCell ref="G289:H290"/>
    <mergeCell ref="A76:B76"/>
    <mergeCell ref="F110:H110"/>
    <mergeCell ref="G126:H126"/>
    <mergeCell ref="A335:B335"/>
    <mergeCell ref="G327:H327"/>
    <mergeCell ref="A143:B143"/>
    <mergeCell ref="G180:H180"/>
    <mergeCell ref="A184:B184"/>
    <mergeCell ref="E125:F125"/>
    <mergeCell ref="A125:B125"/>
    <mergeCell ref="G143:H143"/>
    <mergeCell ref="A121:E121"/>
    <mergeCell ref="A120:E120"/>
    <mergeCell ref="A169:B169"/>
    <mergeCell ref="G169:H169"/>
    <mergeCell ref="A216:B216"/>
    <mergeCell ref="C49:E49"/>
    <mergeCell ref="L143:M143"/>
    <mergeCell ref="A144:B144"/>
    <mergeCell ref="G144:H144"/>
    <mergeCell ref="L144:M144"/>
    <mergeCell ref="A145:B145"/>
    <mergeCell ref="G145:H145"/>
    <mergeCell ref="L145:M145"/>
    <mergeCell ref="A51:B51"/>
    <mergeCell ref="A136:H136"/>
    <mergeCell ref="C126:D126"/>
    <mergeCell ref="E126:F126"/>
    <mergeCell ref="D64:H64"/>
    <mergeCell ref="A65:C65"/>
    <mergeCell ref="D65:H65"/>
    <mergeCell ref="A71:B71"/>
    <mergeCell ref="G70:H70"/>
    <mergeCell ref="A52:B52"/>
    <mergeCell ref="A61:C61"/>
    <mergeCell ref="E71:F80"/>
    <mergeCell ref="G71:H80"/>
    <mergeCell ref="A79:B79"/>
    <mergeCell ref="A80:B80"/>
    <mergeCell ref="G125:H125"/>
    <mergeCell ref="L146:M146"/>
    <mergeCell ref="A147:B147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A146:B146"/>
    <mergeCell ref="G146:H146"/>
    <mergeCell ref="L150:M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G150:H150"/>
    <mergeCell ref="A150:B150"/>
    <mergeCell ref="L154:M15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A154:B154"/>
    <mergeCell ref="G154:H154"/>
    <mergeCell ref="A166:B166"/>
    <mergeCell ref="G166:H166"/>
    <mergeCell ref="L166:M166"/>
    <mergeCell ref="A167:B167"/>
    <mergeCell ref="G167:H167"/>
    <mergeCell ref="L167:M167"/>
    <mergeCell ref="A165:B165"/>
    <mergeCell ref="G165:H165"/>
    <mergeCell ref="L158:M158"/>
    <mergeCell ref="A159:B159"/>
    <mergeCell ref="G159:H159"/>
    <mergeCell ref="L159:M159"/>
    <mergeCell ref="A160:B160"/>
    <mergeCell ref="G160:H160"/>
    <mergeCell ref="L160:M160"/>
    <mergeCell ref="A164:B164"/>
    <mergeCell ref="G164:H164"/>
    <mergeCell ref="L164:M164"/>
    <mergeCell ref="A158:B158"/>
    <mergeCell ref="G158:H158"/>
    <mergeCell ref="A163:H163"/>
    <mergeCell ref="L161:M161"/>
    <mergeCell ref="A161:B161"/>
    <mergeCell ref="G161:H161"/>
    <mergeCell ref="L172:M172"/>
    <mergeCell ref="A173:B173"/>
    <mergeCell ref="G173:H173"/>
    <mergeCell ref="L173:M173"/>
    <mergeCell ref="A162:B162"/>
    <mergeCell ref="G162:H162"/>
    <mergeCell ref="L162:M162"/>
    <mergeCell ref="A174:H174"/>
    <mergeCell ref="A175:B175"/>
    <mergeCell ref="G175:H175"/>
    <mergeCell ref="L175:M175"/>
    <mergeCell ref="A172:B172"/>
    <mergeCell ref="G172:H172"/>
    <mergeCell ref="L169:M169"/>
    <mergeCell ref="A170:B170"/>
    <mergeCell ref="G170:H170"/>
    <mergeCell ref="L170:M170"/>
    <mergeCell ref="A171:B171"/>
    <mergeCell ref="G171:H171"/>
    <mergeCell ref="L171:M171"/>
    <mergeCell ref="A168:B168"/>
    <mergeCell ref="G168:H168"/>
    <mergeCell ref="L168:M168"/>
    <mergeCell ref="L165:M165"/>
    <mergeCell ref="L176:M176"/>
    <mergeCell ref="A177:B177"/>
    <mergeCell ref="G177:H177"/>
    <mergeCell ref="L177:M177"/>
    <mergeCell ref="A178:B178"/>
    <mergeCell ref="G178:H178"/>
    <mergeCell ref="L178:M178"/>
    <mergeCell ref="A179:B179"/>
    <mergeCell ref="G179:H179"/>
    <mergeCell ref="L179:M179"/>
    <mergeCell ref="A176:B176"/>
    <mergeCell ref="G176:H176"/>
    <mergeCell ref="L180:M180"/>
    <mergeCell ref="A181:B181"/>
    <mergeCell ref="G181:H181"/>
    <mergeCell ref="L181:M181"/>
    <mergeCell ref="A182:B182"/>
    <mergeCell ref="G182:H182"/>
    <mergeCell ref="L182:M182"/>
    <mergeCell ref="A183:B183"/>
    <mergeCell ref="G183:H183"/>
    <mergeCell ref="L183:M183"/>
    <mergeCell ref="A180:B180"/>
    <mergeCell ref="L184:M184"/>
    <mergeCell ref="A185:B185"/>
    <mergeCell ref="G185:H185"/>
    <mergeCell ref="L185:M185"/>
    <mergeCell ref="A186:B186"/>
    <mergeCell ref="G186:H186"/>
    <mergeCell ref="L186:M186"/>
    <mergeCell ref="A187:B187"/>
    <mergeCell ref="G187:H187"/>
    <mergeCell ref="L187:M187"/>
    <mergeCell ref="L188:M188"/>
    <mergeCell ref="A189:B189"/>
    <mergeCell ref="G189:H189"/>
    <mergeCell ref="L189:M189"/>
    <mergeCell ref="A190:B190"/>
    <mergeCell ref="G190:H190"/>
    <mergeCell ref="L190:M190"/>
    <mergeCell ref="A191:B191"/>
    <mergeCell ref="G191:H191"/>
    <mergeCell ref="L191:M191"/>
    <mergeCell ref="A188:B188"/>
    <mergeCell ref="G188:H188"/>
    <mergeCell ref="L192:M192"/>
    <mergeCell ref="A193:B193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G192:H192"/>
    <mergeCell ref="A192:B192"/>
    <mergeCell ref="L196:M196"/>
    <mergeCell ref="A197:B197"/>
    <mergeCell ref="G197:H197"/>
    <mergeCell ref="L197:M197"/>
    <mergeCell ref="A198:B198"/>
    <mergeCell ref="G198:H198"/>
    <mergeCell ref="L198:M198"/>
    <mergeCell ref="A199:B199"/>
    <mergeCell ref="G199:H199"/>
    <mergeCell ref="L199:M199"/>
    <mergeCell ref="A196:B196"/>
    <mergeCell ref="G196:H196"/>
    <mergeCell ref="L200:M200"/>
    <mergeCell ref="A201:B201"/>
    <mergeCell ref="G201:H201"/>
    <mergeCell ref="L201:M201"/>
    <mergeCell ref="A202:B202"/>
    <mergeCell ref="G202:H202"/>
    <mergeCell ref="L202:M202"/>
    <mergeCell ref="A203:B203"/>
    <mergeCell ref="G203:H203"/>
    <mergeCell ref="L203:M203"/>
    <mergeCell ref="A200:B200"/>
    <mergeCell ref="G200:H200"/>
    <mergeCell ref="L204:M204"/>
    <mergeCell ref="A205:B205"/>
    <mergeCell ref="G205:H205"/>
    <mergeCell ref="L205:M205"/>
    <mergeCell ref="A206:B206"/>
    <mergeCell ref="G206:H206"/>
    <mergeCell ref="L206:M206"/>
    <mergeCell ref="A207:B207"/>
    <mergeCell ref="G207:H207"/>
    <mergeCell ref="L207:M207"/>
    <mergeCell ref="A204:B204"/>
    <mergeCell ref="G204:H204"/>
    <mergeCell ref="L208:M208"/>
    <mergeCell ref="A209:B209"/>
    <mergeCell ref="G209:H209"/>
    <mergeCell ref="L209:M209"/>
    <mergeCell ref="A210:B210"/>
    <mergeCell ref="G210:H210"/>
    <mergeCell ref="L210:M210"/>
    <mergeCell ref="A211:B211"/>
    <mergeCell ref="G211:H211"/>
    <mergeCell ref="L211:M211"/>
    <mergeCell ref="A208:B208"/>
    <mergeCell ref="G208:H208"/>
    <mergeCell ref="L212:M212"/>
    <mergeCell ref="A213:B213"/>
    <mergeCell ref="G213:H213"/>
    <mergeCell ref="L213:M213"/>
    <mergeCell ref="A214:B214"/>
    <mergeCell ref="G214:H214"/>
    <mergeCell ref="L214:M214"/>
    <mergeCell ref="A215:B215"/>
    <mergeCell ref="G215:H215"/>
    <mergeCell ref="L215:M215"/>
    <mergeCell ref="A212:B212"/>
    <mergeCell ref="G212:H212"/>
    <mergeCell ref="G216:H216"/>
    <mergeCell ref="L216:M216"/>
    <mergeCell ref="A217:B217"/>
    <mergeCell ref="G217:H217"/>
    <mergeCell ref="L217:M217"/>
    <mergeCell ref="A218:B218"/>
    <mergeCell ref="G218:H218"/>
    <mergeCell ref="L218:M218"/>
    <mergeCell ref="A219:B219"/>
    <mergeCell ref="G219:H219"/>
    <mergeCell ref="L219:M219"/>
    <mergeCell ref="A220:B220"/>
    <mergeCell ref="G220:H220"/>
    <mergeCell ref="L220:M220"/>
    <mergeCell ref="A221:B221"/>
    <mergeCell ref="G221:H221"/>
    <mergeCell ref="L221:M221"/>
    <mergeCell ref="A222:B222"/>
    <mergeCell ref="G222:H222"/>
    <mergeCell ref="L222:M222"/>
    <mergeCell ref="A223:B223"/>
    <mergeCell ref="G223:H223"/>
    <mergeCell ref="L223:M223"/>
    <mergeCell ref="A224:B224"/>
    <mergeCell ref="G224:H224"/>
    <mergeCell ref="L224:M224"/>
    <mergeCell ref="A225:B225"/>
    <mergeCell ref="G225:H225"/>
    <mergeCell ref="L225:M225"/>
    <mergeCell ref="A228:B228"/>
    <mergeCell ref="G228:H228"/>
    <mergeCell ref="L228:M228"/>
    <mergeCell ref="L304:M304"/>
    <mergeCell ref="A234:B234"/>
    <mergeCell ref="G234:H234"/>
    <mergeCell ref="L234:M234"/>
    <mergeCell ref="A231:B231"/>
    <mergeCell ref="G231:H231"/>
    <mergeCell ref="L231:M231"/>
    <mergeCell ref="G238:H238"/>
    <mergeCell ref="G240:H240"/>
    <mergeCell ref="L241:M241"/>
    <mergeCell ref="A242:B242"/>
    <mergeCell ref="G242:H242"/>
    <mergeCell ref="L242:M242"/>
    <mergeCell ref="A243:B243"/>
    <mergeCell ref="A230:B230"/>
    <mergeCell ref="G230:H230"/>
    <mergeCell ref="L230:M230"/>
    <mergeCell ref="A298:B298"/>
    <mergeCell ref="L298:M298"/>
    <mergeCell ref="A296:H296"/>
    <mergeCell ref="A297:H297"/>
    <mergeCell ref="A226:B226"/>
    <mergeCell ref="G226:H226"/>
    <mergeCell ref="L226:M226"/>
    <mergeCell ref="A227:B227"/>
    <mergeCell ref="G227:H227"/>
    <mergeCell ref="L227:M227"/>
    <mergeCell ref="L321:M321"/>
    <mergeCell ref="A292:H292"/>
    <mergeCell ref="A308:H308"/>
    <mergeCell ref="A299:B299"/>
    <mergeCell ref="L299:M299"/>
    <mergeCell ref="A313:H313"/>
    <mergeCell ref="L320:M320"/>
    <mergeCell ref="A316:H316"/>
    <mergeCell ref="A317:B317"/>
    <mergeCell ref="L317:M317"/>
    <mergeCell ref="A318:B318"/>
    <mergeCell ref="L318:M318"/>
    <mergeCell ref="A319:H319"/>
    <mergeCell ref="A314:B314"/>
    <mergeCell ref="L314:M314"/>
    <mergeCell ref="A315:B315"/>
    <mergeCell ref="L315:M315"/>
    <mergeCell ref="A295:H295"/>
    <mergeCell ref="L236:M236"/>
    <mergeCell ref="A306:H306"/>
    <mergeCell ref="A229:B229"/>
    <mergeCell ref="L237:M237"/>
    <mergeCell ref="L238:M238"/>
    <mergeCell ref="A239:B239"/>
    <mergeCell ref="G239:H239"/>
    <mergeCell ref="L239:M239"/>
    <mergeCell ref="L240:M240"/>
    <mergeCell ref="A291:H291"/>
    <mergeCell ref="B289:B290"/>
    <mergeCell ref="G244:H244"/>
    <mergeCell ref="A248:B248"/>
    <mergeCell ref="G248:H248"/>
    <mergeCell ref="A252:B252"/>
    <mergeCell ref="G252:H252"/>
    <mergeCell ref="A232:B232"/>
    <mergeCell ref="G232:H232"/>
    <mergeCell ref="L232:M232"/>
    <mergeCell ref="A233:B233"/>
    <mergeCell ref="G233:H233"/>
    <mergeCell ref="L233:M233"/>
    <mergeCell ref="G229:H229"/>
    <mergeCell ref="L229:M229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374" max="16383" man="1"/>
    <brk id="424" max="16383" man="1"/>
    <brk id="45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25" t="s">
        <v>112</v>
      </c>
      <c r="C3" s="225"/>
      <c r="D3" s="225"/>
      <c r="E3" s="225"/>
      <c r="F3" s="225"/>
      <c r="G3" s="225"/>
      <c r="H3" s="225"/>
    </row>
    <row r="4" spans="1:9" x14ac:dyDescent="0.25">
      <c r="A4" s="3"/>
      <c r="B4" s="4" t="s">
        <v>113</v>
      </c>
      <c r="C4" s="4" t="s">
        <v>114</v>
      </c>
      <c r="D4" s="4" t="s">
        <v>73</v>
      </c>
      <c r="E4" s="4" t="s">
        <v>115</v>
      </c>
      <c r="F4" s="4" t="s">
        <v>121</v>
      </c>
      <c r="G4" s="4" t="s">
        <v>122</v>
      </c>
      <c r="H4" s="4" t="s">
        <v>116</v>
      </c>
    </row>
    <row r="5" spans="1:9" ht="15" customHeight="1" x14ac:dyDescent="0.25">
      <c r="A5" s="3"/>
      <c r="B5" s="6" t="s">
        <v>117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120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22" zoomScale="70" zoomScaleNormal="70" workbookViewId="0">
      <selection activeCell="Y17" sqref="Y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2025-09-09T07:59:26Z</cp:lastPrinted>
  <dcterms:created xsi:type="dcterms:W3CDTF">2019-07-16T09:29:46Z</dcterms:created>
  <dcterms:modified xsi:type="dcterms:W3CDTF">2025-09-09T08:01:21Z</dcterms:modified>
</cp:coreProperties>
</file>