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4" i="1" l="1"/>
  <c r="J184" i="1" s="1"/>
  <c r="D193" i="1"/>
  <c r="F193" i="1" s="1"/>
  <c r="A193" i="1"/>
  <c r="D192" i="1"/>
  <c r="F192" i="1" s="1"/>
  <c r="D191" i="1"/>
  <c r="F191" i="1" s="1"/>
  <c r="A191" i="1"/>
  <c r="D190" i="1"/>
  <c r="F190" i="1" s="1"/>
  <c r="A190" i="1"/>
  <c r="D189" i="1"/>
  <c r="F189" i="1" s="1"/>
  <c r="G188" i="1"/>
  <c r="D188" i="1"/>
  <c r="F188" i="1" s="1"/>
  <c r="D172" i="1" l="1"/>
  <c r="D154" i="1"/>
  <c r="L113" i="1"/>
  <c r="N154" i="1" l="1"/>
  <c r="K164" i="1"/>
  <c r="D184" i="1"/>
  <c r="D183" i="1"/>
  <c r="F183" i="1" s="1"/>
  <c r="I183" i="1" s="1"/>
  <c r="D169" i="1"/>
  <c r="F169" i="1" s="1"/>
  <c r="D168" i="1"/>
  <c r="F168" i="1" s="1"/>
  <c r="D167" i="1"/>
  <c r="F167" i="1" s="1"/>
  <c r="D166" i="1"/>
  <c r="F166" i="1" s="1"/>
  <c r="D164" i="1"/>
  <c r="F164" i="1" s="1"/>
  <c r="D186" i="1"/>
  <c r="F186" i="1" s="1"/>
  <c r="A186" i="1"/>
  <c r="D185" i="1"/>
  <c r="F185" i="1" s="1"/>
  <c r="A183" i="1"/>
  <c r="A184" i="1" s="1"/>
  <c r="D182" i="1"/>
  <c r="F182" i="1" s="1"/>
  <c r="G181" i="1"/>
  <c r="D181" i="1"/>
  <c r="F181" i="1" s="1"/>
  <c r="D165" i="1"/>
  <c r="F165" i="1" s="1"/>
  <c r="A165" i="1"/>
  <c r="G164" i="1"/>
  <c r="G174" i="1"/>
  <c r="E161" i="1"/>
  <c r="D161" i="1"/>
  <c r="E160" i="1"/>
  <c r="D160" i="1"/>
  <c r="E159" i="1"/>
  <c r="D159" i="1"/>
  <c r="D157" i="1"/>
  <c r="F157" i="1" s="1"/>
  <c r="J157" i="1" s="1"/>
  <c r="A158" i="1"/>
  <c r="D158" i="1"/>
  <c r="F158" i="1" s="1"/>
  <c r="D155" i="1"/>
  <c r="F155" i="1" s="1"/>
  <c r="J155" i="1" s="1"/>
  <c r="G154" i="1"/>
  <c r="G172" i="1"/>
  <c r="F172" i="1"/>
  <c r="K183" i="1" l="1"/>
  <c r="J183" i="1"/>
  <c r="F160" i="1"/>
  <c r="F161" i="1"/>
  <c r="F159" i="1"/>
  <c r="E177" i="1"/>
  <c r="D177" i="1"/>
  <c r="E176" i="1"/>
  <c r="D176" i="1"/>
  <c r="E175" i="1"/>
  <c r="D175" i="1"/>
  <c r="D174" i="1"/>
  <c r="D179" i="1"/>
  <c r="D178" i="1"/>
  <c r="D162" i="1"/>
  <c r="E100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C100" i="1" l="1"/>
  <c r="F174" i="1"/>
  <c r="E101" i="1"/>
  <c r="E102" i="1" s="1"/>
  <c r="C101" i="1"/>
  <c r="F176" i="1"/>
  <c r="C96" i="1"/>
  <c r="C95" i="1"/>
  <c r="E95" i="1"/>
  <c r="E96" i="1"/>
  <c r="F175" i="1"/>
  <c r="F177" i="1"/>
  <c r="A131" i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G130" i="1"/>
  <c r="F128" i="1"/>
  <c r="F127" i="1"/>
  <c r="F126" i="1"/>
  <c r="F125" i="1"/>
  <c r="F124" i="1"/>
  <c r="F122" i="1"/>
  <c r="F121" i="1"/>
  <c r="F120" i="1"/>
  <c r="F119" i="1"/>
  <c r="F117" i="1"/>
  <c r="F116" i="1"/>
  <c r="F115" i="1"/>
  <c r="F114" i="1"/>
  <c r="F113" i="1"/>
  <c r="I109" i="1"/>
  <c r="F123" i="1"/>
  <c r="F118" i="1"/>
  <c r="C102" i="1" l="1"/>
  <c r="C97" i="1"/>
  <c r="E97" i="1"/>
  <c r="G96" i="1"/>
  <c r="F109" i="1"/>
  <c r="E103" i="1" l="1"/>
  <c r="C103" i="1"/>
  <c r="E42" i="1" l="1"/>
  <c r="E43" i="1" s="1"/>
  <c r="C14" i="1" l="1"/>
  <c r="E29" i="1" l="1"/>
  <c r="F154" i="1" l="1"/>
  <c r="J154" i="1" l="1"/>
  <c r="F92" i="1"/>
  <c r="F110" i="1" l="1"/>
  <c r="F111" i="1"/>
  <c r="F112" i="1"/>
  <c r="G95" i="1" l="1"/>
  <c r="G97" i="1" s="1"/>
  <c r="B196" i="1"/>
  <c r="F179" i="1" l="1"/>
  <c r="F178" i="1"/>
  <c r="F162" i="1"/>
  <c r="G100" i="1" s="1"/>
  <c r="G101" i="1" l="1"/>
  <c r="G102" i="1" s="1"/>
  <c r="G103" i="1" s="1"/>
  <c r="B197" i="1"/>
  <c r="I80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9" i="1"/>
  <c r="G157" i="1"/>
  <c r="A179" i="1"/>
  <c r="A176" i="1" s="1"/>
  <c r="A177" i="1" s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G109" i="1"/>
  <c r="B66" i="1"/>
  <c r="D54" i="1"/>
  <c r="G49" i="1"/>
  <c r="C49" i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J73" i="1" l="1"/>
  <c r="J74" i="1" s="1"/>
  <c r="J75" i="1" s="1"/>
  <c r="J76" i="1" s="1"/>
  <c r="D71" i="1"/>
  <c r="J67" i="1"/>
  <c r="D69" i="1"/>
  <c r="G69" i="1" l="1"/>
  <c r="D63" i="1" s="1"/>
  <c r="D64" i="1" s="1"/>
  <c r="J66" i="1" l="1"/>
  <c r="D70" i="1"/>
  <c r="I66" i="1" s="1"/>
  <c r="I67" i="1" s="1"/>
  <c r="E69" i="1"/>
  <c r="F64" i="1"/>
  <c r="I65" i="1" l="1"/>
  <c r="C67" i="1" s="1"/>
</calcChain>
</file>

<file path=xl/sharedStrings.xml><?xml version="1.0" encoding="utf-8"?>
<sst xmlns="http://schemas.openxmlformats.org/spreadsheetml/2006/main" count="353" uniqueCount="238">
  <si>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</si>
  <si>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</si>
  <si>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</si>
  <si>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</si>
  <si>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</si>
  <si>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</si>
  <si>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</si>
  <si>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</si>
  <si>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</si>
  <si>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</si>
  <si>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</si>
  <si>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</si>
  <si>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</si>
  <si>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</si>
  <si>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</si>
  <si>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</si>
  <si>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</si>
  <si>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</si>
  <si>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</si>
  <si>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</si>
  <si>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</si>
  <si>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</si>
  <si>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</si>
  <si>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</si>
  <si>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</si>
  <si>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</si>
  <si>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</si>
  <si>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</si>
  <si>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</si>
  <si>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</si>
  <si>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</si>
  <si>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</si>
  <si>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</si>
  <si>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</si>
  <si>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</si>
  <si>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</si>
  <si>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</si>
  <si>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</si>
  <si>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</si>
  <si>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</si>
  <si>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</si>
  <si>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</si>
  <si>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</si>
  <si>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</si>
  <si>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</si>
  <si>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</si>
  <si>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</si>
  <si>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</si>
  <si>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</si>
  <si>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</si>
  <si>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</si>
  <si>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</si>
  <si>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</si>
  <si>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</si>
  <si>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</si>
  <si>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</si>
  <si>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</si>
  <si>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</si>
  <si>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</si>
  <si>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</si>
  <si>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</si>
  <si>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</si>
  <si>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</si>
  <si>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</si>
  <si>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</si>
  <si>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</si>
  <si>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</si>
  <si>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</si>
  <si>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</si>
  <si>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</si>
  <si>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</si>
  <si>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</si>
  <si>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</si>
  <si>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</si>
  <si>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</si>
  <si>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</si>
  <si>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</si>
  <si>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</si>
  <si>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</si>
  <si>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</si>
  <si>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</si>
  <si>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</si>
  <si>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</si>
  <si>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</si>
  <si>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</si>
  <si>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</si>
  <si>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</si>
  <si>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</si>
  <si>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</si>
  <si>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</si>
  <si>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</si>
  <si>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</si>
  <si>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</si>
  <si>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</si>
  <si>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</si>
  <si>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</si>
  <si>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</si>
  <si>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</si>
  <si>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</si>
  <si>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</si>
  <si>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</si>
  <si>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</si>
  <si>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</si>
  <si>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</si>
  <si>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</si>
  <si>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</si>
  <si>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</si>
  <si>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</si>
  <si>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</si>
  <si>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</si>
  <si>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</si>
  <si>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</si>
  <si>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</si>
  <si>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</si>
  <si>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</si>
  <si>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</si>
  <si>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</si>
  <si>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</si>
  <si>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</si>
  <si>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</si>
  <si>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</si>
  <si>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</si>
  <si>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</si>
  <si>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</si>
  <si>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</si>
  <si>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</si>
  <si>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</si>
  <si>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</si>
  <si>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</si>
  <si>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</si>
  <si>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</si>
  <si>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</si>
  <si>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</si>
  <si>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</si>
  <si>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</si>
  <si>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</si>
  <si>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</si>
  <si>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</si>
  <si>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</si>
  <si>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</si>
  <si>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</si>
  <si>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</si>
  <si>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</si>
  <si>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</si>
  <si>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</si>
  <si>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</si>
  <si>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</si>
  <si>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</si>
  <si>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</si>
  <si>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</si>
  <si>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</si>
  <si>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</si>
  <si>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</si>
  <si>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</si>
  <si>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</si>
  <si>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</si>
  <si>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</si>
  <si>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</si>
  <si>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</si>
  <si>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</si>
  <si>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</si>
  <si>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</si>
  <si>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</si>
  <si>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</si>
  <si>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</si>
  <si>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</si>
  <si>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</si>
  <si>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</si>
  <si>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</si>
  <si>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</si>
  <si>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</si>
  <si>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</si>
  <si>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</si>
  <si>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</si>
  <si>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</si>
  <si>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Axis Badlapur</t>
  </si>
  <si>
    <t>Balaji Developers</t>
  </si>
  <si>
    <t>Balaji Krupa</t>
  </si>
  <si>
    <t>Survey No</t>
  </si>
  <si>
    <t>Bopele</t>
  </si>
  <si>
    <t>Raigad</t>
  </si>
  <si>
    <t>Karjat</t>
  </si>
  <si>
    <t>P52000025237</t>
  </si>
  <si>
    <t>https://goo.gl/maps/jD9YvrLgmprdAygAA?coh=178572&amp;entry=tt</t>
  </si>
  <si>
    <t>Ramkrishna Nagar</t>
  </si>
  <si>
    <t>Internal Road</t>
  </si>
  <si>
    <t>Neral</t>
  </si>
  <si>
    <t>Prime Homes</t>
  </si>
  <si>
    <t>0.85 KM from Neral  Railway Station</t>
  </si>
  <si>
    <t>Open Plot</t>
  </si>
  <si>
    <t>Building</t>
  </si>
  <si>
    <t>RJP/Bandhkam/NSVP/514/2019</t>
  </si>
  <si>
    <t>Commencement-CC No</t>
  </si>
  <si>
    <t>Valid Up to: Gr/St + 1st to 4th Floor</t>
  </si>
  <si>
    <t>Raigad Zilla Parishad</t>
  </si>
  <si>
    <t>Gr/Stilt + 1st to 4th Floor</t>
  </si>
  <si>
    <t>Ground Floor for Commercial &amp; Parking</t>
  </si>
  <si>
    <t>Shop</t>
  </si>
  <si>
    <t>Hall</t>
  </si>
  <si>
    <t>1st Floor for Commercial &amp; Residential</t>
  </si>
  <si>
    <t>1.5BHK</t>
  </si>
  <si>
    <t>2.5BHK</t>
  </si>
  <si>
    <t>1BHK</t>
  </si>
  <si>
    <t>2BHK</t>
  </si>
  <si>
    <t>3rd &amp; 4th Floor</t>
  </si>
  <si>
    <t>We considered Gross carpet area = Net carpet + Enclose balcony + E.P. Area + W.S. Area</t>
  </si>
  <si>
    <t>Flats - 39, Shops - 37, Hall - 02</t>
  </si>
  <si>
    <t>Inspection</t>
  </si>
  <si>
    <t>Online</t>
  </si>
  <si>
    <t>Water, MSEB, Development Charges</t>
  </si>
  <si>
    <t>Society Formation Charges + Infrastructure + Maintenance</t>
  </si>
  <si>
    <t>Approved Plans, CC, Cost Sheet</t>
  </si>
  <si>
    <t>Kolhare Road Neral</t>
  </si>
  <si>
    <t>Kids Fun Area, Meditation Area, Senior Citizen Seating</t>
  </si>
  <si>
    <t>RJP/BD/NSVP/514/2019</t>
  </si>
  <si>
    <t>A Wing</t>
  </si>
  <si>
    <t>B Wing</t>
  </si>
  <si>
    <t>As per approved floor plans, wings are not mentioned but the Flats are divided into two sections. Therefore, we have taken consideration of the Builder area sheet for naming the Wings &amp; flats (A &amp; B Wing).</t>
  </si>
  <si>
    <t>A Wing Flats</t>
  </si>
  <si>
    <t>B Wing Flats</t>
  </si>
  <si>
    <t>01 Building (A &amp; B Wing)</t>
  </si>
  <si>
    <t>19.0284556,73.3246503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</si>
  <si>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</si>
  <si>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27/1A &amp; 28A, Plot No. 21, 22, 23, 29, 30 &amp; 31</t>
  </si>
  <si>
    <t xml:space="preserve"> Rate 150+ Rushikesh verbal</t>
  </si>
  <si>
    <t>3500 to 3600</t>
  </si>
  <si>
    <t>Other charges/ Rate has been revised as per market inquiry (on 07/12/2023) &amp; (on 28/08/2024).</t>
  </si>
  <si>
    <t>allready fooring % extra given please check 13/09/2024.</t>
  </si>
  <si>
    <t>3rd Floor</t>
  </si>
  <si>
    <t>4th Floor</t>
  </si>
  <si>
    <t>Recommended Rates/Other Charges of the Property have been revised on 11/02/2025.</t>
  </si>
  <si>
    <t>Flat B304 SA 576 Akash Mote 85% LTV on 11/02/2025</t>
  </si>
  <si>
    <t>As per RERA - 30/12/2025</t>
  </si>
  <si>
    <t>Mr. Mahesh 9324270173</t>
  </si>
  <si>
    <t>Mr. Mahesh 7021736540</t>
  </si>
  <si>
    <t>Shruti Tathare</t>
  </si>
  <si>
    <t>Naynesh Lovanshi</t>
  </si>
  <si>
    <t>Some Flats are occupied by tenants but Lift &amp; finishing work is in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</si>
</sst>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5" fillId="2" borderId="0" xfId="1" applyNumberFormat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7" fillId="2" borderId="0" xfId="1" applyFont="1" applyFill="1"/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0" fontId="15" fillId="0" borderId="22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199157</xdr:colOff>
      <xdr:row>369</xdr:row>
      <xdr:rowOff>85245</xdr:rowOff>
    </xdr:from>
    <xdr:to>
      <xdr:col>7</xdr:col>
      <xdr:colOff>630134</xdr:colOff>
      <xdr:row>389</xdr:row>
      <xdr:rowOff>82550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9157" y="72989595"/>
          <a:ext cx="6406327" cy="39343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199157</xdr:colOff>
      <xdr:row>348</xdr:row>
      <xdr:rowOff>86590</xdr:rowOff>
    </xdr:from>
    <xdr:to>
      <xdr:col>7</xdr:col>
      <xdr:colOff>630134</xdr:colOff>
      <xdr:row>368</xdr:row>
      <xdr:rowOff>166823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9157" y="61747976"/>
          <a:ext cx="6120000" cy="40634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467591</xdr:colOff>
      <xdr:row>374</xdr:row>
      <xdr:rowOff>155864</xdr:rowOff>
    </xdr:from>
    <xdr:to>
      <xdr:col>6</xdr:col>
      <xdr:colOff>510886</xdr:colOff>
      <xdr:row>384</xdr:row>
      <xdr:rowOff>8659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026227" y="66995387"/>
          <a:ext cx="3394364" cy="1844386"/>
        </a:xfrm>
        <a:prstGeom prst="round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0</xdr:col>
      <xdr:colOff>640766</xdr:colOff>
      <xdr:row>263</xdr:row>
      <xdr:rowOff>69272</xdr:rowOff>
    </xdr:from>
    <xdr:ext cx="5213305" cy="3824522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0766" y="61925743"/>
          <a:ext cx="5213305" cy="38245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oneCellAnchor>
    <xdr:from>
      <xdr:col>1</xdr:col>
      <xdr:colOff>742366</xdr:colOff>
      <xdr:row>283</xdr:row>
      <xdr:rowOff>90823</xdr:rowOff>
    </xdr:from>
    <xdr:ext cx="3481011" cy="2967669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04366" y="65981411"/>
          <a:ext cx="3481011" cy="29676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oneCellAnchor>
  <xdr:twoCellAnchor editAs="oneCell">
    <xdr:from>
      <xdr:col>0</xdr:col>
      <xdr:colOff>275411</xdr:colOff>
      <xdr:row>305</xdr:row>
      <xdr:rowOff>80595</xdr:rowOff>
    </xdr:from>
    <xdr:to>
      <xdr:col>7</xdr:col>
      <xdr:colOff>542193</xdr:colOff>
      <xdr:row>345</xdr:row>
      <xdr:rowOff>153863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1" t="3541" r="594" b="1803"/>
        <a:stretch/>
      </xdr:blipFill>
      <xdr:spPr>
        <a:xfrm>
          <a:off x="275411" y="60930691"/>
          <a:ext cx="5974455" cy="79863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414212</xdr:colOff>
      <xdr:row>324</xdr:row>
      <xdr:rowOff>144911</xdr:rowOff>
    </xdr:from>
    <xdr:to>
      <xdr:col>5</xdr:col>
      <xdr:colOff>768465</xdr:colOff>
      <xdr:row>328</xdr:row>
      <xdr:rowOff>110333</xdr:rowOff>
    </xdr:to>
    <xdr:sp macro="" textlink="">
      <xdr:nvSpPr>
        <xdr:cNvPr id="19" name="TextBox 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1176212" y="64753719"/>
          <a:ext cx="3731965" cy="756729"/>
        </a:xfrm>
        <a:prstGeom prst="rect">
          <a:avLst/>
        </a:prstGeom>
        <a:noFill/>
        <a:ln w="38100">
          <a:solidFill>
            <a:schemeClr val="accent5">
              <a:lumMod val="50000"/>
            </a:schemeClr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1</xdr:col>
      <xdr:colOff>403006</xdr:colOff>
      <xdr:row>328</xdr:row>
      <xdr:rowOff>146032</xdr:rowOff>
    </xdr:from>
    <xdr:to>
      <xdr:col>6</xdr:col>
      <xdr:colOff>6897</xdr:colOff>
      <xdr:row>332</xdr:row>
      <xdr:rowOff>139309</xdr:rowOff>
    </xdr:to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165006" y="65546147"/>
          <a:ext cx="3765583" cy="784585"/>
        </a:xfrm>
        <a:prstGeom prst="rect">
          <a:avLst/>
        </a:prstGeom>
        <a:noFill/>
        <a:ln w="38100">
          <a:solidFill>
            <a:schemeClr val="accent6">
              <a:lumMod val="50000"/>
            </a:schemeClr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0</xdr:col>
      <xdr:colOff>527317</xdr:colOff>
      <xdr:row>323</xdr:row>
      <xdr:rowOff>193418</xdr:rowOff>
    </xdr:from>
    <xdr:to>
      <xdr:col>1</xdr:col>
      <xdr:colOff>134649</xdr:colOff>
      <xdr:row>328</xdr:row>
      <xdr:rowOff>113347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>
        <a:xfrm rot="16200000">
          <a:off x="257451" y="64874265"/>
          <a:ext cx="909063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1</xdr:col>
      <xdr:colOff>130798</xdr:colOff>
      <xdr:row>325</xdr:row>
      <xdr:rowOff>73449</xdr:rowOff>
    </xdr:from>
    <xdr:to>
      <xdr:col>1</xdr:col>
      <xdr:colOff>414212</xdr:colOff>
      <xdr:row>327</xdr:row>
      <xdr:rowOff>187164</xdr:rowOff>
    </xdr:to>
    <xdr:sp macro="" textlink="">
      <xdr:nvSpPr>
        <xdr:cNvPr id="22" name="Left Brac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892798" y="64880084"/>
          <a:ext cx="283414" cy="509368"/>
        </a:xfrm>
        <a:prstGeom prst="leftBrac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0</xdr:col>
      <xdr:colOff>507527</xdr:colOff>
      <xdr:row>328</xdr:row>
      <xdr:rowOff>160598</xdr:rowOff>
    </xdr:from>
    <xdr:to>
      <xdr:col>1</xdr:col>
      <xdr:colOff>114859</xdr:colOff>
      <xdr:row>333</xdr:row>
      <xdr:rowOff>74789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 rot="16200000">
          <a:off x="240530" y="65827710"/>
          <a:ext cx="903326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1</xdr:col>
      <xdr:colOff>126948</xdr:colOff>
      <xdr:row>329</xdr:row>
      <xdr:rowOff>67195</xdr:rowOff>
    </xdr:from>
    <xdr:to>
      <xdr:col>1</xdr:col>
      <xdr:colOff>410362</xdr:colOff>
      <xdr:row>331</xdr:row>
      <xdr:rowOff>180911</xdr:rowOff>
    </xdr:to>
    <xdr:sp macro="" textlink="">
      <xdr:nvSpPr>
        <xdr:cNvPr id="24" name="Left Brac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888948" y="65665137"/>
          <a:ext cx="283414" cy="509370"/>
        </a:xfrm>
        <a:prstGeom prst="leftBrace">
          <a:avLst/>
        </a:prstGeom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9</xdr:col>
      <xdr:colOff>0</xdr:colOff>
      <xdr:row>215</xdr:row>
      <xdr:rowOff>0</xdr:rowOff>
    </xdr:from>
    <xdr:to>
      <xdr:col>9</xdr:col>
      <xdr:colOff>596574</xdr:colOff>
      <xdr:row>216</xdr:row>
      <xdr:rowOff>67710</xdr:rowOff>
    </xdr:to>
    <xdr:sp macro="" textlink="">
      <xdr:nvSpPr>
        <xdr:cNvPr id="38" name="TextBox 37"/>
        <xdr:cNvSpPr txBox="1"/>
      </xdr:nvSpPr>
      <xdr:spPr>
        <a:xfrm>
          <a:off x="8172450" y="443738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twoCellAnchor>
  <xdr:twoCellAnchor>
    <xdr:from>
      <xdr:col>12</xdr:col>
      <xdr:colOff>201074</xdr:colOff>
      <xdr:row>215</xdr:row>
      <xdr:rowOff>127000</xdr:rowOff>
    </xdr:from>
    <xdr:to>
      <xdr:col>12</xdr:col>
      <xdr:colOff>797648</xdr:colOff>
      <xdr:row>216</xdr:row>
      <xdr:rowOff>194710</xdr:rowOff>
    </xdr:to>
    <xdr:sp macro="" textlink="">
      <xdr:nvSpPr>
        <xdr:cNvPr id="46" name="TextBox 45"/>
        <xdr:cNvSpPr txBox="1"/>
      </xdr:nvSpPr>
      <xdr:spPr>
        <a:xfrm>
          <a:off x="10646824" y="445008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twoCellAnchor>
  <xdr:twoCellAnchor>
    <xdr:from>
      <xdr:col>0</xdr:col>
      <xdr:colOff>109954</xdr:colOff>
      <xdr:row>219</xdr:row>
      <xdr:rowOff>85724</xdr:rowOff>
    </xdr:from>
    <xdr:to>
      <xdr:col>7</xdr:col>
      <xdr:colOff>887604</xdr:colOff>
      <xdr:row>259</xdr:row>
      <xdr:rowOff>31161</xdr:rowOff>
    </xdr:to>
    <xdr:grpSp>
      <xdr:nvGrpSpPr>
        <xdr:cNvPr id="7" name="Group 6"/>
        <xdr:cNvGrpSpPr/>
      </xdr:nvGrpSpPr>
      <xdr:grpSpPr>
        <a:xfrm>
          <a:off x="109954" y="45681899"/>
          <a:ext cx="6473600" cy="7936912"/>
          <a:chOff x="109954" y="45881924"/>
          <a:chExt cx="6473600" cy="7936912"/>
        </a:xfrm>
      </xdr:grpSpPr>
      <xdr:pic>
        <xdr:nvPicPr>
          <xdr:cNvPr id="33" name="Picture 32" descr="https://vsjcllp.vsjadon.com/upload/insp-246579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286375" y="52073174"/>
            <a:ext cx="1297179" cy="17313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579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38550" y="49839562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6579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04951" y="52087461"/>
            <a:ext cx="2306362" cy="17313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46579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1475" y="45881924"/>
            <a:ext cx="2890206" cy="38576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46579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62325" y="45881924"/>
            <a:ext cx="2890206" cy="38576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46579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0025" y="498348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46579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24050" y="4983480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6" name="Picture 55" descr="https://vsjcllp.vsjadon.com/upload/insp-246579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05250" y="52073174"/>
            <a:ext cx="1297179" cy="17313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7" name="Picture 56" descr="https://vsjcllp.vsjadon.com/upload/insp-246579-916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9954" y="52082700"/>
            <a:ext cx="1298809" cy="173355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257738</xdr:colOff>
      <xdr:row>13</xdr:row>
      <xdr:rowOff>145678</xdr:rowOff>
    </xdr:from>
    <xdr:to>
      <xdr:col>6</xdr:col>
      <xdr:colOff>476473</xdr:colOff>
      <xdr:row>35</xdr:row>
      <xdr:rowOff>2701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738" y="2633384"/>
          <a:ext cx="7200000" cy="40480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D9YvrLgmprdAygAA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348"/>
  <sheetViews>
    <sheetView tabSelected="1" view="pageBreakPreview" zoomScaleNormal="100" zoomScaleSheetLayoutView="100" zoomScalePageLayoutView="85" workbookViewId="0">
      <selection activeCell="L7" sqref="L7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4" style="38" customWidth="1"/>
    <col min="9" max="9" width="17.7109375" style="19" customWidth="1"/>
    <col min="10" max="10" width="11.42578125" style="19" customWidth="1"/>
    <col min="11" max="11" width="10.570312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66" t="s">
        <v>222</v>
      </c>
      <c r="B1" s="166"/>
      <c r="C1" s="166"/>
      <c r="D1" s="166"/>
      <c r="E1" s="166"/>
      <c r="F1" s="166"/>
      <c r="G1" s="166"/>
      <c r="H1" s="166"/>
    </row>
    <row r="2" spans="1:8" ht="16.5" customHeight="1" x14ac:dyDescent="0.25">
      <c r="A2" s="124" t="s">
        <v>0</v>
      </c>
      <c r="B2" s="124"/>
      <c r="C2" s="124"/>
      <c r="D2" s="124"/>
      <c r="E2" s="124"/>
      <c r="F2" s="124"/>
      <c r="G2" s="124"/>
      <c r="H2" s="124"/>
    </row>
    <row r="3" spans="1:8" x14ac:dyDescent="0.25">
      <c r="A3" s="139" t="s">
        <v>1</v>
      </c>
      <c r="B3" s="139"/>
      <c r="C3" s="139"/>
      <c r="D3" s="139"/>
      <c r="E3" s="139" t="str">
        <f ca="1">TEXT(TODAY(),"DD/MM/YYYY")</f>
        <v>15/09/2025</v>
      </c>
      <c r="F3" s="139"/>
      <c r="G3" s="139"/>
      <c r="H3" s="139"/>
    </row>
    <row r="4" spans="1:8" ht="15" customHeight="1" x14ac:dyDescent="0.25">
      <c r="A4" s="139" t="s">
        <v>2</v>
      </c>
      <c r="B4" s="139"/>
      <c r="C4" s="139"/>
      <c r="D4" s="139"/>
      <c r="E4" s="139" t="s">
        <v>175</v>
      </c>
      <c r="F4" s="139"/>
      <c r="G4" s="139"/>
      <c r="H4" s="139"/>
    </row>
    <row r="5" spans="1:8" x14ac:dyDescent="0.25">
      <c r="A5" s="139" t="s">
        <v>3</v>
      </c>
      <c r="B5" s="139"/>
      <c r="C5" s="139"/>
      <c r="D5" s="139"/>
      <c r="E5" s="167">
        <v>45908</v>
      </c>
      <c r="F5" s="139"/>
      <c r="G5" s="139"/>
      <c r="H5" s="139"/>
    </row>
    <row r="6" spans="1:8" ht="16.5" customHeight="1" x14ac:dyDescent="0.25">
      <c r="A6" s="139" t="s">
        <v>4</v>
      </c>
      <c r="B6" s="139"/>
      <c r="C6" s="139"/>
      <c r="D6" s="139"/>
      <c r="E6" s="139" t="s">
        <v>176</v>
      </c>
      <c r="F6" s="139"/>
      <c r="G6" s="139"/>
      <c r="H6" s="139"/>
    </row>
    <row r="7" spans="1:8" ht="15" customHeight="1" x14ac:dyDescent="0.25">
      <c r="A7" s="139" t="s">
        <v>5</v>
      </c>
      <c r="B7" s="139"/>
      <c r="C7" s="139"/>
      <c r="D7" s="139"/>
      <c r="E7" s="139" t="str">
        <f>E6</f>
        <v>Balaji Developers</v>
      </c>
      <c r="F7" s="139"/>
      <c r="G7" s="139"/>
      <c r="H7" s="139"/>
    </row>
    <row r="8" spans="1:8" x14ac:dyDescent="0.25">
      <c r="A8" s="139" t="s">
        <v>6</v>
      </c>
      <c r="B8" s="139"/>
      <c r="C8" s="139"/>
      <c r="D8" s="139"/>
      <c r="E8" s="142" t="s">
        <v>177</v>
      </c>
      <c r="F8" s="142"/>
      <c r="G8" s="142"/>
      <c r="H8" s="142"/>
    </row>
    <row r="9" spans="1:8" x14ac:dyDescent="0.25">
      <c r="A9" s="139" t="s">
        <v>173</v>
      </c>
      <c r="B9" s="139"/>
      <c r="C9" s="139"/>
      <c r="D9" s="139"/>
      <c r="E9" s="139" t="s">
        <v>233</v>
      </c>
      <c r="F9" s="139"/>
      <c r="G9" s="139"/>
      <c r="H9" s="139"/>
    </row>
    <row r="10" spans="1:8" x14ac:dyDescent="0.25">
      <c r="A10" s="139" t="s">
        <v>174</v>
      </c>
      <c r="B10" s="139"/>
      <c r="C10" s="139"/>
      <c r="D10" s="139"/>
      <c r="E10" s="139" t="s">
        <v>234</v>
      </c>
      <c r="F10" s="139"/>
      <c r="G10" s="139"/>
      <c r="H10" s="139"/>
    </row>
    <row r="11" spans="1:8" x14ac:dyDescent="0.25">
      <c r="A11" s="139" t="s">
        <v>7</v>
      </c>
      <c r="B11" s="139"/>
      <c r="C11" s="139"/>
      <c r="D11" s="139"/>
      <c r="E11" s="139" t="s">
        <v>220</v>
      </c>
      <c r="F11" s="139"/>
      <c r="G11" s="139"/>
      <c r="H11" s="139"/>
    </row>
    <row r="12" spans="1:8" s="21" customFormat="1" x14ac:dyDescent="0.25">
      <c r="A12" s="139" t="s">
        <v>8</v>
      </c>
      <c r="B12" s="139"/>
      <c r="C12" s="139"/>
      <c r="D12" s="139"/>
      <c r="E12" s="130" t="s">
        <v>211</v>
      </c>
      <c r="F12" s="130"/>
      <c r="G12" s="130"/>
      <c r="H12" s="130"/>
    </row>
    <row r="13" spans="1:8" x14ac:dyDescent="0.25">
      <c r="A13" s="81" t="s">
        <v>9</v>
      </c>
      <c r="B13" s="81"/>
      <c r="C13" s="81"/>
      <c r="D13" s="81"/>
      <c r="E13" s="130" t="s">
        <v>182</v>
      </c>
      <c r="F13" s="139"/>
      <c r="G13" s="139"/>
      <c r="H13" s="139"/>
    </row>
    <row r="14" spans="1:8" ht="48.75" customHeight="1" x14ac:dyDescent="0.25">
      <c r="A14" s="130" t="s">
        <v>10</v>
      </c>
      <c r="B14" s="130"/>
      <c r="C14" s="13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Balaji Krupa, Survey No.27/1A &amp; 28A, Plot No. 21, 22, 23, 29, 30 &amp; 31, near Prime Homes, Kolhare Road Neral, Ramkrishna Nagar, Bopele, Neral, Karjat, Raigad - 410101.</v>
      </c>
      <c r="D14" s="130"/>
      <c r="E14" s="130"/>
      <c r="F14" s="130"/>
      <c r="G14" s="130"/>
      <c r="H14" s="130"/>
    </row>
    <row r="15" spans="1:8" x14ac:dyDescent="0.25">
      <c r="A15" s="130" t="s">
        <v>178</v>
      </c>
      <c r="B15" s="130"/>
      <c r="C15" s="130" t="s">
        <v>223</v>
      </c>
      <c r="D15" s="130"/>
      <c r="E15" s="130"/>
      <c r="F15" s="130"/>
      <c r="G15" s="130"/>
      <c r="H15" s="130"/>
    </row>
    <row r="16" spans="1:8" ht="15.75" customHeight="1" x14ac:dyDescent="0.25">
      <c r="A16" s="130" t="s">
        <v>169</v>
      </c>
      <c r="B16" s="130"/>
      <c r="C16" s="130" t="s">
        <v>184</v>
      </c>
      <c r="D16" s="130"/>
      <c r="E16" s="130"/>
      <c r="F16" s="130"/>
      <c r="G16" s="130"/>
      <c r="H16" s="130"/>
    </row>
    <row r="17" spans="1:8" ht="15.75" customHeight="1" x14ac:dyDescent="0.25">
      <c r="A17" s="127" t="s">
        <v>11</v>
      </c>
      <c r="B17" s="127"/>
      <c r="C17" s="139" t="s">
        <v>212</v>
      </c>
      <c r="D17" s="139"/>
      <c r="E17" s="127" t="s">
        <v>75</v>
      </c>
      <c r="F17" s="127"/>
      <c r="G17" s="130" t="s">
        <v>179</v>
      </c>
      <c r="H17" s="130"/>
    </row>
    <row r="18" spans="1:8" x14ac:dyDescent="0.25">
      <c r="A18" s="81" t="s">
        <v>13</v>
      </c>
      <c r="B18" s="81"/>
      <c r="C18" s="130" t="s">
        <v>186</v>
      </c>
      <c r="D18" s="130"/>
      <c r="E18" s="127" t="s">
        <v>12</v>
      </c>
      <c r="F18" s="127"/>
      <c r="G18" s="165" t="s">
        <v>180</v>
      </c>
      <c r="H18" s="165"/>
    </row>
    <row r="19" spans="1:8" x14ac:dyDescent="0.25">
      <c r="A19" s="81" t="s">
        <v>76</v>
      </c>
      <c r="B19" s="81"/>
      <c r="C19" s="130" t="s">
        <v>181</v>
      </c>
      <c r="D19" s="130"/>
      <c r="E19" s="127" t="s">
        <v>14</v>
      </c>
      <c r="F19" s="127"/>
      <c r="G19" s="130">
        <v>410101</v>
      </c>
      <c r="H19" s="130"/>
    </row>
    <row r="20" spans="1:8" ht="32.25" customHeight="1" x14ac:dyDescent="0.25">
      <c r="A20" s="81" t="s">
        <v>127</v>
      </c>
      <c r="B20" s="81"/>
      <c r="C20" s="130" t="s">
        <v>187</v>
      </c>
      <c r="D20" s="130"/>
      <c r="E20" s="127" t="s">
        <v>15</v>
      </c>
      <c r="F20" s="127"/>
      <c r="G20" s="130" t="s">
        <v>188</v>
      </c>
      <c r="H20" s="130"/>
    </row>
    <row r="21" spans="1:8" ht="15" customHeight="1" x14ac:dyDescent="0.25">
      <c r="A21" s="127" t="s">
        <v>79</v>
      </c>
      <c r="B21" s="127"/>
      <c r="C21" s="127"/>
      <c r="D21" s="127"/>
      <c r="E21" s="139" t="s">
        <v>16</v>
      </c>
      <c r="F21" s="139"/>
      <c r="G21" s="139"/>
      <c r="H21" s="139"/>
    </row>
    <row r="22" spans="1:8" ht="18.75" customHeight="1" x14ac:dyDescent="0.25">
      <c r="A22" s="127"/>
      <c r="B22" s="127"/>
      <c r="C22" s="127"/>
      <c r="D22" s="127"/>
      <c r="E22" s="139"/>
      <c r="F22" s="139"/>
      <c r="G22" s="139"/>
      <c r="H22" s="139"/>
    </row>
    <row r="23" spans="1:8" ht="15" customHeight="1" x14ac:dyDescent="0.25">
      <c r="A23" s="127" t="s">
        <v>17</v>
      </c>
      <c r="B23" s="127"/>
      <c r="C23" s="127"/>
      <c r="D23" s="127"/>
      <c r="E23" s="130" t="s">
        <v>18</v>
      </c>
      <c r="F23" s="130"/>
      <c r="G23" s="130"/>
      <c r="H23" s="130"/>
    </row>
    <row r="24" spans="1:8" ht="15" customHeight="1" x14ac:dyDescent="0.25">
      <c r="A24" s="81" t="s">
        <v>19</v>
      </c>
      <c r="B24" s="81"/>
      <c r="C24" s="81"/>
      <c r="D24" s="81"/>
      <c r="E24" s="130" t="str">
        <f>IF(AND(G18="Mumbai"),"Upper Class","Middle Class")</f>
        <v>Middle Class</v>
      </c>
      <c r="F24" s="130"/>
      <c r="G24" s="130"/>
      <c r="H24" s="130"/>
    </row>
    <row r="25" spans="1:8" x14ac:dyDescent="0.25">
      <c r="A25" s="81" t="s">
        <v>20</v>
      </c>
      <c r="B25" s="81"/>
      <c r="C25" s="81"/>
      <c r="D25" s="81"/>
      <c r="E25" s="130" t="s">
        <v>21</v>
      </c>
      <c r="F25" s="130"/>
      <c r="G25" s="130"/>
      <c r="H25" s="130"/>
    </row>
    <row r="26" spans="1:8" ht="15.75" customHeight="1" x14ac:dyDescent="0.25">
      <c r="A26" s="81" t="s">
        <v>22</v>
      </c>
      <c r="B26" s="81"/>
      <c r="C26" s="81"/>
      <c r="D26" s="81"/>
      <c r="E26" s="130" t="str">
        <f>IF(AND(G18="Mumbai"),"Developed","Developing")</f>
        <v>Developing</v>
      </c>
      <c r="F26" s="130"/>
      <c r="G26" s="130"/>
      <c r="H26" s="130"/>
    </row>
    <row r="27" spans="1:8" x14ac:dyDescent="0.25">
      <c r="A27" s="81" t="s">
        <v>23</v>
      </c>
      <c r="B27" s="81"/>
      <c r="C27" s="81"/>
      <c r="D27" s="81"/>
      <c r="E27" s="130" t="s">
        <v>24</v>
      </c>
      <c r="F27" s="130"/>
      <c r="G27" s="130"/>
      <c r="H27" s="130"/>
    </row>
    <row r="28" spans="1:8" ht="15.75" customHeight="1" x14ac:dyDescent="0.25">
      <c r="A28" s="81" t="s">
        <v>84</v>
      </c>
      <c r="B28" s="81"/>
      <c r="C28" s="81"/>
      <c r="D28" s="81"/>
      <c r="E28" s="130" t="s">
        <v>85</v>
      </c>
      <c r="F28" s="130"/>
      <c r="G28" s="130"/>
      <c r="H28" s="130"/>
    </row>
    <row r="29" spans="1:8" ht="15" customHeight="1" x14ac:dyDescent="0.25">
      <c r="A29" s="81" t="s">
        <v>33</v>
      </c>
      <c r="B29" s="81"/>
      <c r="C29" s="81"/>
      <c r="D29" s="81"/>
      <c r="E29" s="13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30"/>
      <c r="G29" s="130"/>
      <c r="H29" s="130"/>
    </row>
    <row r="30" spans="1:8" ht="15.75" customHeight="1" x14ac:dyDescent="0.25">
      <c r="A30" s="81" t="s">
        <v>96</v>
      </c>
      <c r="B30" s="81"/>
      <c r="C30" s="81"/>
      <c r="D30" s="81"/>
      <c r="E30" s="130" t="s">
        <v>34</v>
      </c>
      <c r="F30" s="130"/>
      <c r="G30" s="130"/>
      <c r="H30" s="130"/>
    </row>
    <row r="31" spans="1:8" s="20" customFormat="1" x14ac:dyDescent="0.25">
      <c r="A31" s="164" t="s">
        <v>97</v>
      </c>
      <c r="B31" s="164"/>
      <c r="C31" s="163" t="s">
        <v>29</v>
      </c>
      <c r="D31" s="163"/>
      <c r="E31" s="163"/>
      <c r="F31" s="163" t="s">
        <v>31</v>
      </c>
      <c r="G31" s="163"/>
      <c r="H31" s="163"/>
    </row>
    <row r="32" spans="1:8" s="20" customFormat="1" x14ac:dyDescent="0.25">
      <c r="A32" s="131" t="s">
        <v>25</v>
      </c>
      <c r="B32" s="131" t="s">
        <v>30</v>
      </c>
      <c r="C32" s="132" t="s">
        <v>30</v>
      </c>
      <c r="D32" s="132"/>
      <c r="E32" s="132"/>
      <c r="F32" s="132" t="s">
        <v>189</v>
      </c>
      <c r="G32" s="132"/>
      <c r="H32" s="132"/>
    </row>
    <row r="33" spans="1:8" x14ac:dyDescent="0.25">
      <c r="A33" s="131" t="s">
        <v>26</v>
      </c>
      <c r="B33" s="131" t="s">
        <v>30</v>
      </c>
      <c r="C33" s="132" t="s">
        <v>30</v>
      </c>
      <c r="D33" s="132"/>
      <c r="E33" s="132"/>
      <c r="F33" s="132" t="s">
        <v>190</v>
      </c>
      <c r="G33" s="132"/>
      <c r="H33" s="132"/>
    </row>
    <row r="34" spans="1:8" s="20" customFormat="1" x14ac:dyDescent="0.25">
      <c r="A34" s="131" t="s">
        <v>28</v>
      </c>
      <c r="B34" s="131" t="s">
        <v>30</v>
      </c>
      <c r="C34" s="132" t="s">
        <v>30</v>
      </c>
      <c r="D34" s="132"/>
      <c r="E34" s="132"/>
      <c r="F34" s="132" t="s">
        <v>189</v>
      </c>
      <c r="G34" s="132"/>
      <c r="H34" s="132"/>
    </row>
    <row r="35" spans="1:8" x14ac:dyDescent="0.25">
      <c r="A35" s="131" t="s">
        <v>27</v>
      </c>
      <c r="B35" s="131" t="s">
        <v>30</v>
      </c>
      <c r="C35" s="132" t="s">
        <v>30</v>
      </c>
      <c r="D35" s="132"/>
      <c r="E35" s="132"/>
      <c r="F35" s="132" t="s">
        <v>185</v>
      </c>
      <c r="G35" s="132"/>
      <c r="H35" s="132"/>
    </row>
    <row r="36" spans="1:8" x14ac:dyDescent="0.25">
      <c r="A36" s="81" t="s">
        <v>32</v>
      </c>
      <c r="B36" s="81"/>
      <c r="C36" s="81"/>
      <c r="D36" s="81"/>
      <c r="E36" s="81"/>
      <c r="F36" s="81"/>
      <c r="G36" s="81"/>
      <c r="H36" s="81"/>
    </row>
    <row r="37" spans="1:8" ht="15.75" customHeight="1" x14ac:dyDescent="0.25">
      <c r="A37" s="128" t="s">
        <v>171</v>
      </c>
      <c r="B37" s="128"/>
      <c r="C37" s="81" t="s">
        <v>221</v>
      </c>
      <c r="D37" s="81"/>
      <c r="E37" s="81"/>
      <c r="F37" s="81"/>
      <c r="G37" s="81"/>
      <c r="H37" s="81"/>
    </row>
    <row r="38" spans="1:8" ht="16.5" customHeight="1" x14ac:dyDescent="0.25">
      <c r="A38" s="128" t="s">
        <v>168</v>
      </c>
      <c r="B38" s="128"/>
      <c r="C38" s="129" t="s">
        <v>183</v>
      </c>
      <c r="D38" s="130"/>
      <c r="E38" s="130"/>
      <c r="F38" s="130"/>
      <c r="G38" s="130"/>
      <c r="H38" s="130"/>
    </row>
    <row r="39" spans="1:8" x14ac:dyDescent="0.25">
      <c r="A39" s="128" t="s">
        <v>35</v>
      </c>
      <c r="B39" s="128"/>
      <c r="C39" s="128"/>
      <c r="D39" s="128"/>
      <c r="E39" s="128"/>
      <c r="F39" s="128"/>
      <c r="G39" s="128"/>
      <c r="H39" s="128"/>
    </row>
    <row r="40" spans="1:8" x14ac:dyDescent="0.25">
      <c r="A40" s="81" t="s">
        <v>36</v>
      </c>
      <c r="B40" s="81"/>
      <c r="C40" s="81"/>
      <c r="D40" s="81"/>
      <c r="E40" s="152">
        <v>1314.8</v>
      </c>
      <c r="F40" s="152"/>
      <c r="G40" s="152"/>
      <c r="H40" s="152"/>
    </row>
    <row r="41" spans="1:8" x14ac:dyDescent="0.25">
      <c r="A41" s="81" t="s">
        <v>37</v>
      </c>
      <c r="B41" s="81"/>
      <c r="C41" s="81"/>
      <c r="D41" s="81"/>
      <c r="E41" s="137">
        <v>1.1000000000000001</v>
      </c>
      <c r="F41" s="137"/>
      <c r="G41" s="137"/>
      <c r="H41" s="137"/>
    </row>
    <row r="42" spans="1:8" x14ac:dyDescent="0.25">
      <c r="A42" s="81" t="s">
        <v>38</v>
      </c>
      <c r="B42" s="81"/>
      <c r="C42" s="81"/>
      <c r="D42" s="81"/>
      <c r="E42" s="137">
        <f>E44/E40-E41</f>
        <v>0.45257833891086086</v>
      </c>
      <c r="F42" s="137"/>
      <c r="G42" s="137"/>
      <c r="H42" s="137"/>
    </row>
    <row r="43" spans="1:8" x14ac:dyDescent="0.25">
      <c r="A43" s="81" t="s">
        <v>39</v>
      </c>
      <c r="B43" s="81"/>
      <c r="C43" s="81"/>
      <c r="D43" s="81"/>
      <c r="E43" s="137">
        <f>E41+E42</f>
        <v>1.5525783389108609</v>
      </c>
      <c r="F43" s="137"/>
      <c r="G43" s="137"/>
      <c r="H43" s="137"/>
    </row>
    <row r="44" spans="1:8" x14ac:dyDescent="0.25">
      <c r="A44" s="81" t="s">
        <v>95</v>
      </c>
      <c r="B44" s="81"/>
      <c r="C44" s="81"/>
      <c r="D44" s="81"/>
      <c r="E44" s="138">
        <v>2041.33</v>
      </c>
      <c r="F44" s="138"/>
      <c r="G44" s="138"/>
      <c r="H44" s="138"/>
    </row>
    <row r="45" spans="1:8" x14ac:dyDescent="0.25">
      <c r="A45" s="139" t="s">
        <v>40</v>
      </c>
      <c r="B45" s="139"/>
      <c r="C45" s="139"/>
      <c r="D45" s="139"/>
      <c r="E45" s="139" t="s">
        <v>126</v>
      </c>
      <c r="F45" s="139"/>
      <c r="G45" s="139"/>
      <c r="H45" s="139"/>
    </row>
    <row r="46" spans="1:8" x14ac:dyDescent="0.25">
      <c r="A46" s="128" t="s">
        <v>41</v>
      </c>
      <c r="B46" s="128"/>
      <c r="C46" s="128"/>
      <c r="D46" s="128"/>
      <c r="E46" s="128"/>
      <c r="F46" s="128"/>
      <c r="G46" s="128"/>
      <c r="H46" s="128"/>
    </row>
    <row r="47" spans="1:8" ht="33.75" customHeight="1" x14ac:dyDescent="0.25">
      <c r="A47" s="72" t="s">
        <v>156</v>
      </c>
      <c r="B47" s="73"/>
      <c r="C47" s="74" t="s">
        <v>194</v>
      </c>
      <c r="D47" s="75"/>
      <c r="E47" s="75"/>
      <c r="F47" s="75"/>
      <c r="G47" s="75"/>
      <c r="H47" s="76"/>
    </row>
    <row r="48" spans="1:8" ht="15.75" customHeight="1" x14ac:dyDescent="0.25">
      <c r="A48" s="72" t="s">
        <v>42</v>
      </c>
      <c r="B48" s="73"/>
      <c r="C48" s="72" t="s">
        <v>214</v>
      </c>
      <c r="D48" s="148"/>
      <c r="E48" s="73"/>
      <c r="F48" s="18" t="s">
        <v>43</v>
      </c>
      <c r="G48" s="149">
        <v>43678</v>
      </c>
      <c r="H48" s="73"/>
    </row>
    <row r="49" spans="1:14" x14ac:dyDescent="0.25">
      <c r="A49" s="72" t="s">
        <v>44</v>
      </c>
      <c r="B49" s="73"/>
      <c r="C49" s="72" t="str">
        <f>C48</f>
        <v>RJP/BD/NSVP/514/2019</v>
      </c>
      <c r="D49" s="148"/>
      <c r="E49" s="73"/>
      <c r="F49" s="18" t="s">
        <v>43</v>
      </c>
      <c r="G49" s="149">
        <f>G48</f>
        <v>43678</v>
      </c>
      <c r="H49" s="158"/>
    </row>
    <row r="50" spans="1:14" s="21" customFormat="1" ht="15.75" customHeight="1" x14ac:dyDescent="0.25">
      <c r="A50" s="159" t="s">
        <v>192</v>
      </c>
      <c r="B50" s="160"/>
      <c r="C50" s="72" t="s">
        <v>191</v>
      </c>
      <c r="D50" s="148"/>
      <c r="E50" s="73"/>
      <c r="F50" s="18" t="s">
        <v>43</v>
      </c>
      <c r="G50" s="149">
        <v>43678</v>
      </c>
      <c r="H50" s="73"/>
    </row>
    <row r="51" spans="1:14" s="21" customFormat="1" x14ac:dyDescent="0.25">
      <c r="A51" s="161"/>
      <c r="B51" s="162"/>
      <c r="C51" s="72" t="s">
        <v>193</v>
      </c>
      <c r="D51" s="148"/>
      <c r="E51" s="148"/>
      <c r="F51" s="148"/>
      <c r="G51" s="148"/>
      <c r="H51" s="73"/>
    </row>
    <row r="52" spans="1:14" x14ac:dyDescent="0.25">
      <c r="A52" s="175" t="s">
        <v>45</v>
      </c>
      <c r="B52" s="176"/>
      <c r="C52" s="175" t="s">
        <v>107</v>
      </c>
      <c r="D52" s="177"/>
      <c r="E52" s="176"/>
      <c r="F52" s="42" t="s">
        <v>43</v>
      </c>
      <c r="G52" s="178" t="s">
        <v>30</v>
      </c>
      <c r="H52" s="179"/>
    </row>
    <row r="53" spans="1:14" x14ac:dyDescent="0.25">
      <c r="A53" s="174" t="s">
        <v>47</v>
      </c>
      <c r="B53" s="174"/>
      <c r="C53" s="174"/>
      <c r="D53" s="174"/>
      <c r="E53" s="174"/>
      <c r="F53" s="174"/>
      <c r="G53" s="174"/>
      <c r="H53" s="174"/>
    </row>
    <row r="54" spans="1:14" x14ac:dyDescent="0.25">
      <c r="A54" s="127" t="s">
        <v>94</v>
      </c>
      <c r="B54" s="127"/>
      <c r="C54" s="127"/>
      <c r="D54" s="81">
        <f>E44</f>
        <v>2041.33</v>
      </c>
      <c r="E54" s="81"/>
      <c r="F54" s="81"/>
      <c r="G54" s="81"/>
      <c r="H54" s="81"/>
    </row>
    <row r="55" spans="1:14" x14ac:dyDescent="0.25">
      <c r="A55" s="130" t="s">
        <v>48</v>
      </c>
      <c r="B55" s="139"/>
      <c r="C55" s="139"/>
      <c r="D55" s="139" t="s">
        <v>206</v>
      </c>
      <c r="E55" s="139"/>
      <c r="F55" s="139"/>
      <c r="G55" s="139"/>
      <c r="H55" s="139"/>
      <c r="I55" s="22"/>
    </row>
    <row r="56" spans="1:14" s="21" customFormat="1" x14ac:dyDescent="0.25">
      <c r="A56" s="155" t="s">
        <v>49</v>
      </c>
      <c r="B56" s="156"/>
      <c r="C56" s="157"/>
      <c r="D56" s="153" t="s">
        <v>195</v>
      </c>
      <c r="E56" s="154"/>
      <c r="F56" s="154"/>
      <c r="G56" s="154"/>
      <c r="H56" s="154"/>
    </row>
    <row r="57" spans="1:14" ht="15.75" customHeight="1" x14ac:dyDescent="0.25">
      <c r="A57" s="155" t="s">
        <v>92</v>
      </c>
      <c r="B57" s="156"/>
      <c r="C57" s="156"/>
      <c r="D57" s="130" t="s">
        <v>195</v>
      </c>
      <c r="E57" s="139"/>
      <c r="F57" s="139"/>
      <c r="G57" s="139"/>
      <c r="H57" s="139"/>
    </row>
    <row r="58" spans="1:14" ht="15.75" customHeight="1" x14ac:dyDescent="0.25">
      <c r="A58" s="81" t="s">
        <v>46</v>
      </c>
      <c r="B58" s="81"/>
      <c r="C58" s="81"/>
      <c r="D58" s="134" t="s">
        <v>232</v>
      </c>
      <c r="E58" s="134"/>
      <c r="F58" s="134"/>
      <c r="G58" s="134"/>
      <c r="H58" s="134"/>
      <c r="J58" s="23"/>
      <c r="K58" s="22"/>
      <c r="N58" s="22"/>
    </row>
    <row r="59" spans="1:14" ht="15.75" customHeight="1" x14ac:dyDescent="0.25">
      <c r="A59" s="81" t="s">
        <v>90</v>
      </c>
      <c r="B59" s="81"/>
      <c r="C59" s="81"/>
      <c r="D59" s="136" t="str">
        <f>(IF(G52="NA","60 Years After Completion",IF(G52&lt;&gt;"NA",""&amp;60-ROUNDDOWN((E3-G52)/360,0)&amp;" Years"," ")))</f>
        <v>60 Years After Completion</v>
      </c>
      <c r="E59" s="136"/>
      <c r="F59" s="136"/>
      <c r="G59" s="136"/>
      <c r="H59" s="136"/>
      <c r="N59" s="22"/>
    </row>
    <row r="60" spans="1:14" ht="15.75" customHeight="1" x14ac:dyDescent="0.25">
      <c r="A60" s="81" t="s">
        <v>91</v>
      </c>
      <c r="B60" s="81"/>
      <c r="C60" s="81"/>
      <c r="D60" s="127" t="s">
        <v>24</v>
      </c>
      <c r="E60" s="127"/>
      <c r="F60" s="127"/>
      <c r="G60" s="127"/>
      <c r="H60" s="127"/>
      <c r="J60" s="24"/>
      <c r="K60" s="24"/>
    </row>
    <row r="61" spans="1:14" ht="18" customHeight="1" x14ac:dyDescent="0.25">
      <c r="A61" s="81" t="s">
        <v>77</v>
      </c>
      <c r="B61" s="81"/>
      <c r="C61" s="81"/>
      <c r="D61" s="130" t="s">
        <v>213</v>
      </c>
      <c r="E61" s="127"/>
      <c r="F61" s="127"/>
      <c r="G61" s="127"/>
      <c r="H61" s="127"/>
    </row>
    <row r="62" spans="1:14" x14ac:dyDescent="0.25">
      <c r="A62" s="127" t="s">
        <v>153</v>
      </c>
      <c r="B62" s="127"/>
      <c r="C62" s="127"/>
      <c r="D62" s="127" t="s">
        <v>30</v>
      </c>
      <c r="E62" s="127"/>
      <c r="F62" s="127"/>
      <c r="G62" s="127"/>
      <c r="H62" s="127"/>
      <c r="I62" s="25"/>
      <c r="J62" s="25"/>
      <c r="K62" s="25"/>
      <c r="L62" s="25"/>
      <c r="M62" s="25"/>
      <c r="N62" s="25"/>
    </row>
    <row r="63" spans="1:14" ht="15.75" customHeight="1" x14ac:dyDescent="0.25">
      <c r="A63" s="170" t="s">
        <v>89</v>
      </c>
      <c r="B63" s="170"/>
      <c r="C63" s="170"/>
      <c r="D63" s="153" t="str">
        <f ca="1">(IF(G69&gt;95%,"Nothing",IF(G69&gt;0%,"Cement, Aggregate, Steel, etc",IF(G69=0%,"Work not yet Started"))))</f>
        <v>Cement, Aggregate, Steel, etc</v>
      </c>
      <c r="E63" s="153"/>
      <c r="F63" s="153"/>
      <c r="G63" s="153"/>
      <c r="H63" s="153"/>
      <c r="J63" s="24"/>
    </row>
    <row r="64" spans="1:14" ht="33.75" customHeight="1" thickBot="1" x14ac:dyDescent="0.3">
      <c r="A64" s="169" t="s">
        <v>120</v>
      </c>
      <c r="B64" s="169"/>
      <c r="C64" s="169"/>
      <c r="D64" s="153" t="str">
        <f ca="1">(IF(D63="Nothing","Yes",IF(D63="Cement, Aggregate, Steel, etc","Under Construction",IF(D63="Work not yet Started","Work not yet Started"))))</f>
        <v>Under Construction</v>
      </c>
      <c r="E64" s="153"/>
      <c r="F64" s="153" t="str">
        <f ca="1">(IF(D63="Nothing","Yes",IF(D63="Cement, Aggregate, Steel, etc","Under Construction",IF(D63="Work not yet Started","Work not yet Started"))))</f>
        <v>Under Construction</v>
      </c>
      <c r="G64" s="153"/>
      <c r="H64" s="153"/>
    </row>
    <row r="65" spans="1:15" ht="15.75" customHeight="1" x14ac:dyDescent="0.25">
      <c r="A65" s="143" t="s">
        <v>145</v>
      </c>
      <c r="B65" s="144"/>
      <c r="C65" s="145" t="s">
        <v>195</v>
      </c>
      <c r="D65" s="146"/>
      <c r="E65" s="146"/>
      <c r="F65" s="146"/>
      <c r="G65" s="146"/>
      <c r="H65" s="147"/>
      <c r="I65" s="44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2 Floor Completed</v>
      </c>
      <c r="J65" s="45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2 Floor</v>
      </c>
    </row>
    <row r="66" spans="1:15" x14ac:dyDescent="0.25">
      <c r="A66" s="16" t="s">
        <v>147</v>
      </c>
      <c r="B66" s="48">
        <f>IF(AND(ISNUMBER(SEARCH("1B",C65))),1,IF(AND(ISNUMBER(SEARCH("2B",C65))),2,IF(AND(ISNUMBER(SEARCH("3B",C65))),3,IF(AND(ISNUMBER(SEARCH("4B",C65))),4,IF(ISNUMBER(SEARCH("5B",C65)),5,0)))))</f>
        <v>0</v>
      </c>
      <c r="C66" s="48" t="s">
        <v>74</v>
      </c>
      <c r="D66" s="48">
        <v>1</v>
      </c>
      <c r="E66" s="48" t="s">
        <v>73</v>
      </c>
      <c r="F66" s="48">
        <v>0</v>
      </c>
      <c r="G66" s="48" t="s">
        <v>83</v>
      </c>
      <c r="H66" s="17">
        <f ca="1">--TRIM(RIGHT(SUBSTITUTE(LEFT(C65,_xlfn.AGGREGATE(16,6,FIND({0,1,2,3,4,5,6,7,8,9},C65,ROW(INDIRECT("1:"&amp;LEN(C65)))),1))," ",REPT(" ",LEN(C65))),LEN(C65)))</f>
        <v>4</v>
      </c>
      <c r="I66" s="46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47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5" ht="32.25" customHeight="1" x14ac:dyDescent="0.25">
      <c r="A67" s="141" t="s">
        <v>93</v>
      </c>
      <c r="B67" s="142"/>
      <c r="C67" s="150" t="str">
        <f ca="1">I65</f>
        <v>Excavation, Plinth, RCC Slab, Brickwork, Internal Plaster, External Plaster, Flooring, Painting Completed, Finishing upto 2 Floor Completed</v>
      </c>
      <c r="D67" s="150"/>
      <c r="E67" s="150"/>
      <c r="F67" s="150"/>
      <c r="G67" s="150"/>
      <c r="H67" s="151"/>
      <c r="I67" s="46" t="str">
        <f ca="1">IF(I66&lt;&gt;""," Completed","")</f>
        <v xml:space="preserve"> Completed</v>
      </c>
      <c r="J67" s="47" t="str">
        <f ca="1">IF(J65&lt;&gt;"","Completed","")</f>
        <v>Completed</v>
      </c>
    </row>
    <row r="68" spans="1:15" ht="15.75" customHeight="1" x14ac:dyDescent="0.25">
      <c r="A68" s="140" t="s">
        <v>50</v>
      </c>
      <c r="B68" s="102"/>
      <c r="C68" s="49" t="s">
        <v>144</v>
      </c>
      <c r="D68" s="49" t="s">
        <v>86</v>
      </c>
      <c r="E68" s="168" t="s">
        <v>88</v>
      </c>
      <c r="F68" s="168"/>
      <c r="G68" s="168" t="s">
        <v>87</v>
      </c>
      <c r="H68" s="171"/>
      <c r="I68" s="14" t="s">
        <v>146</v>
      </c>
      <c r="J68" s="26">
        <f ca="1">H66*25%</f>
        <v>1</v>
      </c>
    </row>
    <row r="69" spans="1:15" x14ac:dyDescent="0.25">
      <c r="A69" s="102" t="s">
        <v>133</v>
      </c>
      <c r="B69" s="102"/>
      <c r="C69" s="71">
        <f ca="1">J70</f>
        <v>4</v>
      </c>
      <c r="D69" s="50">
        <f ca="1">((100/H66)*C69)/100</f>
        <v>1</v>
      </c>
      <c r="E69" s="135">
        <f ca="1">(((C70/H66*10)+(40/(D66+F66+H66)*C71)+(7.5/(H66)*C72)+(7.5/(H66)*C73)+(10/H66*C74)+(10/H66*C75)+(5/H66*C76)+(5/H66*C77)+(5/H66*C78))/100)</f>
        <v>0.92500000000000004</v>
      </c>
      <c r="F69" s="135"/>
      <c r="G69" s="135">
        <f ca="1">((((C69/H66)*20)+((C70/H66)*25)+(30/(H66+F66+D66)*C71)+(5/H66*C72)+(5/H66*C73)+(5/H66*C74)+(5/H66*C75)+(0/H66*C76)+(0/H66*C77)+(5/H66*C78))/100)</f>
        <v>0.95</v>
      </c>
      <c r="H69" s="135"/>
      <c r="I69" s="14" t="s">
        <v>102</v>
      </c>
      <c r="J69" s="27">
        <f ca="1">H66*50%</f>
        <v>2</v>
      </c>
    </row>
    <row r="70" spans="1:15" x14ac:dyDescent="0.25">
      <c r="A70" s="102" t="s">
        <v>51</v>
      </c>
      <c r="B70" s="102"/>
      <c r="C70" s="51">
        <f ca="1">J78</f>
        <v>4</v>
      </c>
      <c r="D70" s="50">
        <f ca="1">((100/H66)*C70)/100</f>
        <v>1</v>
      </c>
      <c r="E70" s="135"/>
      <c r="F70" s="135"/>
      <c r="G70" s="135"/>
      <c r="H70" s="135"/>
      <c r="I70" s="14" t="s">
        <v>103</v>
      </c>
      <c r="J70" s="27">
        <f ca="1">H66</f>
        <v>4</v>
      </c>
    </row>
    <row r="71" spans="1:15" ht="15.75" customHeight="1" x14ac:dyDescent="0.25">
      <c r="A71" s="102" t="s">
        <v>134</v>
      </c>
      <c r="B71" s="102"/>
      <c r="C71" s="71">
        <v>5</v>
      </c>
      <c r="D71" s="50">
        <f ca="1">((100/(D66+F66+H66))*C71)/100</f>
        <v>1</v>
      </c>
      <c r="E71" s="135"/>
      <c r="F71" s="135"/>
      <c r="G71" s="135"/>
      <c r="H71" s="135"/>
      <c r="I71" s="14" t="s">
        <v>104</v>
      </c>
      <c r="J71" s="28">
        <f ca="1">(IF(B66&gt;1,(H66/(B66+2)),H66/4))</f>
        <v>1</v>
      </c>
    </row>
    <row r="72" spans="1:15" ht="15.75" customHeight="1" x14ac:dyDescent="0.25">
      <c r="A72" s="102" t="s">
        <v>141</v>
      </c>
      <c r="B72" s="102" t="s">
        <v>135</v>
      </c>
      <c r="C72" s="71">
        <v>4</v>
      </c>
      <c r="D72" s="50">
        <f ca="1">((100/H66)*C72)/100</f>
        <v>1</v>
      </c>
      <c r="E72" s="135"/>
      <c r="F72" s="135"/>
      <c r="G72" s="135"/>
      <c r="H72" s="135"/>
      <c r="I72" s="14" t="s">
        <v>105</v>
      </c>
      <c r="J72" s="28">
        <f ca="1">(IF(B66&gt;1,(H66/(B66+2)+J71),H66/4+J71))</f>
        <v>2</v>
      </c>
    </row>
    <row r="73" spans="1:15" ht="15.75" customHeight="1" x14ac:dyDescent="0.25">
      <c r="A73" s="102" t="s">
        <v>142</v>
      </c>
      <c r="B73" s="102" t="s">
        <v>135</v>
      </c>
      <c r="C73" s="71">
        <v>4</v>
      </c>
      <c r="D73" s="50">
        <f ca="1">((100/H66)*C73)/100</f>
        <v>1</v>
      </c>
      <c r="E73" s="135"/>
      <c r="F73" s="135"/>
      <c r="G73" s="135"/>
      <c r="H73" s="135"/>
      <c r="I73" s="14" t="s">
        <v>151</v>
      </c>
      <c r="J73" s="28">
        <f>(IF(B66&gt;1,(H66/(B66+2)+J72),0))</f>
        <v>0</v>
      </c>
      <c r="K73" s="20" t="s">
        <v>227</v>
      </c>
      <c r="L73" s="20"/>
      <c r="M73" s="20"/>
      <c r="N73" s="20"/>
      <c r="O73" s="20"/>
    </row>
    <row r="74" spans="1:15" ht="15" customHeight="1" x14ac:dyDescent="0.25">
      <c r="A74" s="102" t="s">
        <v>140</v>
      </c>
      <c r="B74" s="102" t="s">
        <v>137</v>
      </c>
      <c r="C74" s="71">
        <v>4</v>
      </c>
      <c r="D74" s="50">
        <f ca="1">((100/(H66))*C74)/100</f>
        <v>1</v>
      </c>
      <c r="E74" s="135"/>
      <c r="F74" s="135"/>
      <c r="G74" s="135"/>
      <c r="H74" s="135"/>
      <c r="I74" s="14" t="s">
        <v>148</v>
      </c>
      <c r="J74" s="28">
        <f>(IF(B66&gt;2,(H66/(B66+2)+J73),0))</f>
        <v>0</v>
      </c>
    </row>
    <row r="75" spans="1:15" ht="15.75" customHeight="1" x14ac:dyDescent="0.25">
      <c r="A75" s="102" t="s">
        <v>136</v>
      </c>
      <c r="B75" s="102" t="s">
        <v>136</v>
      </c>
      <c r="C75" s="71">
        <v>4</v>
      </c>
      <c r="D75" s="50">
        <f ca="1">((100/H66)*C75)/100</f>
        <v>1</v>
      </c>
      <c r="E75" s="135"/>
      <c r="F75" s="135"/>
      <c r="G75" s="135"/>
      <c r="H75" s="135"/>
      <c r="I75" s="14" t="s">
        <v>149</v>
      </c>
      <c r="J75" s="29">
        <f>(IF(B66&gt;3,(H66/(B66+2)+J74),0))</f>
        <v>0</v>
      </c>
    </row>
    <row r="76" spans="1:15" ht="15.75" customHeight="1" x14ac:dyDescent="0.25">
      <c r="A76" s="102" t="s">
        <v>143</v>
      </c>
      <c r="B76" s="102"/>
      <c r="C76" s="71">
        <v>4</v>
      </c>
      <c r="D76" s="50">
        <f ca="1">((100/H66)*C76)/100</f>
        <v>1</v>
      </c>
      <c r="E76" s="135"/>
      <c r="F76" s="135"/>
      <c r="G76" s="135"/>
      <c r="H76" s="135"/>
      <c r="I76" s="14" t="s">
        <v>150</v>
      </c>
      <c r="J76" s="28">
        <f>(IF(B66&gt;4,(H66/(B66+2)+J75),0))</f>
        <v>0</v>
      </c>
    </row>
    <row r="77" spans="1:15" ht="15.75" customHeight="1" x14ac:dyDescent="0.25">
      <c r="A77" s="102" t="s">
        <v>138</v>
      </c>
      <c r="B77" s="102" t="s">
        <v>138</v>
      </c>
      <c r="C77" s="71">
        <v>2</v>
      </c>
      <c r="D77" s="50">
        <f ca="1">((100/(H66))*C77)/100</f>
        <v>0.5</v>
      </c>
      <c r="E77" s="135"/>
      <c r="F77" s="135"/>
      <c r="G77" s="135"/>
      <c r="H77" s="135"/>
      <c r="I77" s="14" t="s">
        <v>152</v>
      </c>
      <c r="J77" s="28">
        <f ca="1">(IF(B66=1,(H66/(B66+3)+J72),IF(B66=0,(H66/4+J72),IF(B66&gt;1,0))))</f>
        <v>3</v>
      </c>
    </row>
    <row r="78" spans="1:15" ht="16.5" thickBot="1" x14ac:dyDescent="0.3">
      <c r="A78" s="102" t="s">
        <v>139</v>
      </c>
      <c r="B78" s="102"/>
      <c r="C78" s="71">
        <v>0</v>
      </c>
      <c r="D78" s="50">
        <f ca="1">((100/(H66))*C78)/100</f>
        <v>0</v>
      </c>
      <c r="E78" s="135"/>
      <c r="F78" s="135"/>
      <c r="G78" s="135"/>
      <c r="H78" s="135"/>
      <c r="I78" s="15" t="s">
        <v>106</v>
      </c>
      <c r="J78" s="30">
        <f ca="1">(IF(B66&gt;1.5,(H66/(B66+2)+J72+MAX(0,J73-J72)+MAX(0,J74-J73)+MAX(0,J75-J74)+MAX(0,J76-J75)+MAX(0,J77-J76)),IF(B66=1,(H66/(B66+3)+J77),IF(B66=0,H66/4+J77))))</f>
        <v>4</v>
      </c>
    </row>
    <row r="79" spans="1:15" x14ac:dyDescent="0.25">
      <c r="A79" s="128" t="s">
        <v>161</v>
      </c>
      <c r="B79" s="128"/>
      <c r="C79" s="128"/>
      <c r="D79" s="128"/>
      <c r="E79" s="128"/>
      <c r="F79" s="124" t="s">
        <v>166</v>
      </c>
      <c r="G79" s="124"/>
      <c r="H79" s="124"/>
      <c r="I79" s="58"/>
      <c r="J79" s="58"/>
      <c r="K79" s="58"/>
      <c r="L79" s="58"/>
      <c r="M79" s="58"/>
      <c r="N79" s="58"/>
    </row>
    <row r="80" spans="1:15" x14ac:dyDescent="0.25">
      <c r="A80" s="81" t="s">
        <v>164</v>
      </c>
      <c r="B80" s="81"/>
      <c r="C80" s="81"/>
      <c r="D80" s="81"/>
      <c r="E80" s="81"/>
      <c r="F80" s="181">
        <v>3650</v>
      </c>
      <c r="G80" s="181"/>
      <c r="H80" s="181"/>
      <c r="I80" s="61">
        <f>AVERAGE(J80:M80)</f>
        <v>24616</v>
      </c>
      <c r="J80" s="58">
        <v>3700</v>
      </c>
      <c r="K80" s="64" t="s">
        <v>225</v>
      </c>
      <c r="L80" s="64">
        <v>45532</v>
      </c>
      <c r="M80" s="65"/>
      <c r="N80" s="65" t="s">
        <v>224</v>
      </c>
      <c r="O80" s="66"/>
    </row>
    <row r="81" spans="1:14" x14ac:dyDescent="0.25">
      <c r="A81" s="81" t="s">
        <v>163</v>
      </c>
      <c r="B81" s="81"/>
      <c r="C81" s="81"/>
      <c r="D81" s="81"/>
      <c r="E81" s="81"/>
      <c r="F81" s="80">
        <v>10000</v>
      </c>
      <c r="G81" s="80"/>
      <c r="H81" s="80"/>
      <c r="I81" s="188" t="s">
        <v>231</v>
      </c>
      <c r="J81" s="189"/>
      <c r="K81" s="189"/>
      <c r="L81" s="189"/>
      <c r="M81" s="189"/>
      <c r="N81" s="58"/>
    </row>
    <row r="82" spans="1:14" hidden="1" x14ac:dyDescent="0.25">
      <c r="A82" s="81" t="s">
        <v>165</v>
      </c>
      <c r="B82" s="81"/>
      <c r="C82" s="81"/>
      <c r="D82" s="81"/>
      <c r="E82" s="81"/>
      <c r="F82" s="80"/>
      <c r="G82" s="80"/>
      <c r="H82" s="80"/>
      <c r="I82" s="58"/>
      <c r="J82" s="58"/>
      <c r="K82" s="58"/>
      <c r="L82" s="58"/>
      <c r="M82" s="58"/>
      <c r="N82" s="58"/>
    </row>
    <row r="83" spans="1:14" s="31" customFormat="1" hidden="1" x14ac:dyDescent="0.25">
      <c r="A83" s="81" t="s">
        <v>162</v>
      </c>
      <c r="B83" s="81"/>
      <c r="C83" s="81"/>
      <c r="D83" s="81"/>
      <c r="E83" s="81"/>
      <c r="F83" s="80"/>
      <c r="G83" s="80"/>
      <c r="H83" s="80"/>
      <c r="I83" s="59"/>
      <c r="J83" s="59"/>
      <c r="K83" s="59"/>
      <c r="L83" s="59"/>
      <c r="M83" s="59"/>
      <c r="N83" s="59"/>
    </row>
    <row r="84" spans="1:14" s="31" customFormat="1" hidden="1" x14ac:dyDescent="0.25">
      <c r="A84" s="81" t="s">
        <v>98</v>
      </c>
      <c r="B84" s="81"/>
      <c r="C84" s="81"/>
      <c r="D84" s="81"/>
      <c r="E84" s="81"/>
      <c r="F84" s="80"/>
      <c r="G84" s="80"/>
      <c r="H84" s="80"/>
      <c r="I84" s="59"/>
      <c r="J84" s="59"/>
      <c r="K84" s="59"/>
      <c r="L84" s="59"/>
      <c r="M84" s="59"/>
      <c r="N84" s="59"/>
    </row>
    <row r="85" spans="1:14" s="31" customFormat="1" hidden="1" x14ac:dyDescent="0.25">
      <c r="A85" s="81" t="s">
        <v>99</v>
      </c>
      <c r="B85" s="81"/>
      <c r="C85" s="81"/>
      <c r="D85" s="81"/>
      <c r="E85" s="81"/>
      <c r="F85" s="80"/>
      <c r="G85" s="80"/>
      <c r="H85" s="80"/>
      <c r="I85" s="59"/>
      <c r="J85" s="59"/>
      <c r="K85" s="59"/>
      <c r="L85" s="59"/>
      <c r="M85" s="59"/>
      <c r="N85" s="59"/>
    </row>
    <row r="86" spans="1:14" s="31" customFormat="1" hidden="1" x14ac:dyDescent="0.25">
      <c r="A86" s="81" t="s">
        <v>167</v>
      </c>
      <c r="B86" s="81"/>
      <c r="C86" s="81"/>
      <c r="D86" s="81"/>
      <c r="E86" s="81"/>
      <c r="F86" s="80"/>
      <c r="G86" s="80"/>
      <c r="H86" s="80"/>
      <c r="I86" s="59"/>
      <c r="J86" s="59"/>
      <c r="K86" s="59"/>
      <c r="L86" s="59"/>
      <c r="M86" s="59"/>
      <c r="N86" s="59"/>
    </row>
    <row r="87" spans="1:14" s="31" customFormat="1" hidden="1" x14ac:dyDescent="0.25">
      <c r="A87" s="81" t="s">
        <v>100</v>
      </c>
      <c r="B87" s="81"/>
      <c r="C87" s="81"/>
      <c r="D87" s="81"/>
      <c r="E87" s="81"/>
      <c r="F87" s="80"/>
      <c r="G87" s="80"/>
      <c r="H87" s="80"/>
      <c r="I87" s="59"/>
      <c r="J87" s="59"/>
      <c r="K87" s="59"/>
      <c r="L87" s="59"/>
      <c r="M87" s="59"/>
      <c r="N87" s="59"/>
    </row>
    <row r="88" spans="1:14" s="31" customFormat="1" x14ac:dyDescent="0.25">
      <c r="A88" s="81" t="s">
        <v>209</v>
      </c>
      <c r="B88" s="81"/>
      <c r="C88" s="81"/>
      <c r="D88" s="81"/>
      <c r="E88" s="81"/>
      <c r="F88" s="80">
        <v>75000</v>
      </c>
      <c r="G88" s="80"/>
      <c r="H88" s="80"/>
      <c r="I88" s="59"/>
      <c r="J88" s="59"/>
      <c r="K88" s="59"/>
      <c r="L88" s="59"/>
      <c r="M88" s="59"/>
      <c r="N88" s="59"/>
    </row>
    <row r="89" spans="1:14" s="31" customFormat="1" x14ac:dyDescent="0.25">
      <c r="A89" s="81" t="s">
        <v>210</v>
      </c>
      <c r="B89" s="81"/>
      <c r="C89" s="81"/>
      <c r="D89" s="81"/>
      <c r="E89" s="81"/>
      <c r="F89" s="80">
        <v>125000</v>
      </c>
      <c r="G89" s="80"/>
      <c r="H89" s="80"/>
      <c r="I89" s="59"/>
      <c r="J89" s="59"/>
      <c r="K89" s="59"/>
      <c r="L89" s="59"/>
      <c r="M89" s="59"/>
      <c r="N89" s="59"/>
    </row>
    <row r="90" spans="1:14" s="31" customFormat="1" hidden="1" x14ac:dyDescent="0.25">
      <c r="A90" s="81" t="s">
        <v>101</v>
      </c>
      <c r="B90" s="81"/>
      <c r="C90" s="81"/>
      <c r="D90" s="81"/>
      <c r="E90" s="81"/>
      <c r="F90" s="80"/>
      <c r="G90" s="80"/>
      <c r="H90" s="80"/>
      <c r="I90" s="59"/>
      <c r="J90" s="59"/>
      <c r="K90" s="59"/>
      <c r="L90" s="59"/>
      <c r="M90" s="59"/>
      <c r="N90" s="59"/>
    </row>
    <row r="91" spans="1:14" x14ac:dyDescent="0.25">
      <c r="A91" s="81" t="s">
        <v>52</v>
      </c>
      <c r="B91" s="81"/>
      <c r="C91" s="81"/>
      <c r="D91" s="81"/>
      <c r="E91" s="81"/>
      <c r="F91" s="80">
        <v>150000</v>
      </c>
      <c r="G91" s="80"/>
      <c r="H91" s="80"/>
      <c r="I91" s="58"/>
      <c r="J91" s="58"/>
      <c r="K91" s="58"/>
      <c r="L91" s="58"/>
      <c r="M91" s="58"/>
      <c r="N91" s="58"/>
    </row>
    <row r="92" spans="1:14" s="32" customFormat="1" x14ac:dyDescent="0.25">
      <c r="A92" s="128" t="s">
        <v>53</v>
      </c>
      <c r="B92" s="128"/>
      <c r="C92" s="128"/>
      <c r="D92" s="128"/>
      <c r="E92" s="128"/>
      <c r="F92" s="80">
        <f>F80*0.8</f>
        <v>2920</v>
      </c>
      <c r="G92" s="80"/>
      <c r="H92" s="80"/>
      <c r="I92" s="60"/>
      <c r="J92" s="60"/>
      <c r="K92" s="60"/>
      <c r="L92" s="60"/>
      <c r="M92" s="60"/>
      <c r="N92" s="60"/>
    </row>
    <row r="93" spans="1:14" s="33" customFormat="1" ht="15.75" customHeight="1" x14ac:dyDescent="0.25">
      <c r="A93" s="95" t="s">
        <v>78</v>
      </c>
      <c r="B93" s="95"/>
      <c r="C93" s="95"/>
      <c r="D93" s="95"/>
      <c r="E93" s="95"/>
      <c r="F93" s="95"/>
      <c r="G93" s="95"/>
      <c r="H93" s="95"/>
    </row>
    <row r="94" spans="1:14" s="33" customFormat="1" ht="15.75" customHeight="1" x14ac:dyDescent="0.25">
      <c r="A94" s="114" t="s">
        <v>54</v>
      </c>
      <c r="B94" s="114"/>
      <c r="C94" s="112" t="s">
        <v>81</v>
      </c>
      <c r="D94" s="112"/>
      <c r="E94" s="107" t="s">
        <v>55</v>
      </c>
      <c r="F94" s="107"/>
      <c r="G94" s="114" t="s">
        <v>56</v>
      </c>
      <c r="H94" s="114"/>
    </row>
    <row r="95" spans="1:14" s="33" customFormat="1" x14ac:dyDescent="0.25">
      <c r="A95" s="106" t="s">
        <v>197</v>
      </c>
      <c r="B95" s="106"/>
      <c r="C95" s="91">
        <f>COUNT(D109:D128)+COUNT(D130:D146)</f>
        <v>37</v>
      </c>
      <c r="D95" s="92"/>
      <c r="E95" s="93">
        <f>SUM(D109:D128)+SUM(D130:D146)</f>
        <v>7083.7883999999995</v>
      </c>
      <c r="F95" s="94"/>
      <c r="G95" s="93">
        <f>SUM(F109:F128)+SUM(F130:F146)</f>
        <v>11039.859792000001</v>
      </c>
      <c r="H95" s="94"/>
    </row>
    <row r="96" spans="1:14" s="33" customFormat="1" x14ac:dyDescent="0.25">
      <c r="A96" s="106" t="s">
        <v>198</v>
      </c>
      <c r="B96" s="106"/>
      <c r="C96" s="91">
        <f>COUNT(D147:D148)</f>
        <v>2</v>
      </c>
      <c r="D96" s="92"/>
      <c r="E96" s="93">
        <f>SUM(D147:D148)</f>
        <v>426.03911999999991</v>
      </c>
      <c r="F96" s="94"/>
      <c r="G96" s="93">
        <f>SUM(F147:F148)</f>
        <v>681.6625919999999</v>
      </c>
      <c r="H96" s="94"/>
    </row>
    <row r="97" spans="1:14" s="33" customFormat="1" x14ac:dyDescent="0.25">
      <c r="A97" s="95" t="s">
        <v>155</v>
      </c>
      <c r="B97" s="95"/>
      <c r="C97" s="111">
        <f>SUM(C95:C96)</f>
        <v>39</v>
      </c>
      <c r="D97" s="112"/>
      <c r="E97" s="133">
        <f>SUM(E95:E96)</f>
        <v>7509.8275199999989</v>
      </c>
      <c r="F97" s="107"/>
      <c r="G97" s="114">
        <f>SUM(G95:G96)</f>
        <v>11721.522384000002</v>
      </c>
      <c r="H97" s="114"/>
    </row>
    <row r="98" spans="1:14" s="33" customFormat="1" x14ac:dyDescent="0.25">
      <c r="A98" s="95" t="s">
        <v>72</v>
      </c>
      <c r="B98" s="95"/>
      <c r="C98" s="95"/>
      <c r="D98" s="95"/>
      <c r="E98" s="95"/>
      <c r="F98" s="95"/>
      <c r="G98" s="95"/>
      <c r="H98" s="95"/>
    </row>
    <row r="99" spans="1:14" s="33" customFormat="1" ht="15.75" customHeight="1" x14ac:dyDescent="0.25">
      <c r="A99" s="114" t="s">
        <v>54</v>
      </c>
      <c r="B99" s="114"/>
      <c r="C99" s="112" t="s">
        <v>81</v>
      </c>
      <c r="D99" s="112"/>
      <c r="E99" s="107" t="s">
        <v>55</v>
      </c>
      <c r="F99" s="107"/>
      <c r="G99" s="114" t="s">
        <v>56</v>
      </c>
      <c r="H99" s="114"/>
    </row>
    <row r="100" spans="1:14" s="33" customFormat="1" x14ac:dyDescent="0.25">
      <c r="A100" s="106" t="s">
        <v>218</v>
      </c>
      <c r="B100" s="106"/>
      <c r="C100" s="92">
        <f>COUNT(D154:D155)+COUNT(D157:D162)+COUNT(D164:D169)*2</f>
        <v>20</v>
      </c>
      <c r="D100" s="92"/>
      <c r="E100" s="93">
        <f>SUM(D154:D155)+SUM(D157:D162)+SUM(D164:D169)*2</f>
        <v>8102.8464191999992</v>
      </c>
      <c r="F100" s="93"/>
      <c r="G100" s="93">
        <f>SUM(F154:F155)+SUM(F157:F162)+SUM(F164:F169)*2</f>
        <v>12406.362508800001</v>
      </c>
      <c r="H100" s="93"/>
    </row>
    <row r="101" spans="1:14" s="33" customFormat="1" x14ac:dyDescent="0.25">
      <c r="A101" s="106" t="s">
        <v>219</v>
      </c>
      <c r="B101" s="106"/>
      <c r="C101" s="92">
        <f>COUNT(D172)+COUNT(D174:D179)+COUNT(D181:D186)*2</f>
        <v>19</v>
      </c>
      <c r="D101" s="92"/>
      <c r="E101" s="93">
        <f>SUM(D172)+SUM(D174:D179)+SUM(D181:D186)*2</f>
        <v>7800.2972891999998</v>
      </c>
      <c r="F101" s="93"/>
      <c r="G101" s="93">
        <f>SUM(F172)+SUM(F174:F179)+SUM(F181:F186)*2</f>
        <v>12010.808773799999</v>
      </c>
      <c r="H101" s="93"/>
    </row>
    <row r="102" spans="1:14" s="33" customFormat="1" ht="16.5" thickBot="1" x14ac:dyDescent="0.3">
      <c r="A102" s="108" t="s">
        <v>155</v>
      </c>
      <c r="B102" s="108"/>
      <c r="C102" s="125">
        <f>SUM(C100:D101)</f>
        <v>39</v>
      </c>
      <c r="D102" s="125"/>
      <c r="E102" s="109">
        <f>SUM(E100:F101)</f>
        <v>15903.143708399999</v>
      </c>
      <c r="F102" s="110"/>
      <c r="G102" s="90">
        <f>SUM(G100:H101)</f>
        <v>24417.1712826</v>
      </c>
      <c r="H102" s="90"/>
    </row>
    <row r="103" spans="1:14" s="33" customFormat="1" ht="16.5" thickBot="1" x14ac:dyDescent="0.3">
      <c r="A103" s="182" t="s">
        <v>172</v>
      </c>
      <c r="B103" s="183"/>
      <c r="C103" s="184">
        <f>C97+C102</f>
        <v>78</v>
      </c>
      <c r="D103" s="184"/>
      <c r="E103" s="185">
        <f>E97+E102</f>
        <v>23412.971228399998</v>
      </c>
      <c r="F103" s="185"/>
      <c r="G103" s="186">
        <f>G97+G102</f>
        <v>36138.693666600004</v>
      </c>
      <c r="H103" s="187"/>
    </row>
    <row r="104" spans="1:14" s="32" customFormat="1" x14ac:dyDescent="0.25">
      <c r="A104" s="126" t="s">
        <v>57</v>
      </c>
      <c r="B104" s="126"/>
      <c r="C104" s="126"/>
      <c r="D104" s="126"/>
      <c r="E104" s="126"/>
      <c r="F104" s="126"/>
      <c r="G104" s="126"/>
      <c r="H104" s="126"/>
    </row>
    <row r="105" spans="1:14" x14ac:dyDescent="0.25">
      <c r="A105" s="124" t="s">
        <v>58</v>
      </c>
      <c r="B105" s="124"/>
      <c r="C105" s="124"/>
      <c r="D105" s="124"/>
      <c r="E105" s="124"/>
      <c r="F105" s="124"/>
      <c r="G105" s="124"/>
      <c r="H105" s="124"/>
    </row>
    <row r="106" spans="1:14" ht="47.25" customHeight="1" x14ac:dyDescent="0.25">
      <c r="A106" s="82" t="s">
        <v>123</v>
      </c>
      <c r="B106" s="82" t="s">
        <v>122</v>
      </c>
      <c r="C106" s="82" t="s">
        <v>59</v>
      </c>
      <c r="D106" s="82" t="s">
        <v>60</v>
      </c>
      <c r="E106" s="120" t="s">
        <v>160</v>
      </c>
      <c r="F106" s="41" t="s">
        <v>154</v>
      </c>
      <c r="G106" s="88" t="s">
        <v>62</v>
      </c>
      <c r="H106" s="122"/>
    </row>
    <row r="107" spans="1:14" s="35" customFormat="1" x14ac:dyDescent="0.25">
      <c r="A107" s="83"/>
      <c r="B107" s="83"/>
      <c r="C107" s="83"/>
      <c r="D107" s="83"/>
      <c r="E107" s="121"/>
      <c r="F107" s="13">
        <v>0.6</v>
      </c>
      <c r="G107" s="89"/>
      <c r="H107" s="123"/>
      <c r="J107" s="57"/>
    </row>
    <row r="108" spans="1:14" s="35" customFormat="1" ht="15.75" customHeight="1" x14ac:dyDescent="0.25">
      <c r="A108" s="117" t="s">
        <v>196</v>
      </c>
      <c r="B108" s="118"/>
      <c r="C108" s="118"/>
      <c r="D108" s="118"/>
      <c r="E108" s="118"/>
      <c r="F108" s="118"/>
      <c r="G108" s="118"/>
      <c r="H108" s="119"/>
      <c r="J108" s="57"/>
    </row>
    <row r="109" spans="1:14" s="35" customFormat="1" ht="15.75" customHeight="1" x14ac:dyDescent="0.25">
      <c r="A109" s="84">
        <v>1</v>
      </c>
      <c r="B109" s="84"/>
      <c r="C109" s="70" t="s">
        <v>197</v>
      </c>
      <c r="D109" s="56">
        <f>(15.6)*10.764</f>
        <v>167.91839999999999</v>
      </c>
      <c r="E109" s="70">
        <v>0</v>
      </c>
      <c r="F109" s="70">
        <f>(D109+E109)*(($F$107)+1)</f>
        <v>268.66944000000001</v>
      </c>
      <c r="G109" s="84" t="str">
        <f>A108</f>
        <v>Ground Floor for Commercial &amp; Parking</v>
      </c>
      <c r="H109" s="84"/>
      <c r="I109" s="54">
        <f>2.6*6</f>
        <v>15.600000000000001</v>
      </c>
      <c r="J109" s="57"/>
      <c r="L109" s="116"/>
      <c r="M109" s="116"/>
      <c r="N109" s="34"/>
    </row>
    <row r="110" spans="1:14" s="35" customFormat="1" x14ac:dyDescent="0.25">
      <c r="A110" s="84">
        <f t="shared" ref="A110:A128" si="0">A109+1</f>
        <v>2</v>
      </c>
      <c r="B110" s="84"/>
      <c r="C110" s="70" t="s">
        <v>197</v>
      </c>
      <c r="D110" s="56">
        <f>(18)*10.764</f>
        <v>193.75199999999998</v>
      </c>
      <c r="E110" s="70">
        <v>0</v>
      </c>
      <c r="F110" s="70">
        <f t="shared" ref="F110:F112" si="1">(D110+E110)*(($F$107)+1)</f>
        <v>310.00319999999999</v>
      </c>
      <c r="G110" s="84"/>
      <c r="H110" s="84"/>
      <c r="I110" s="34"/>
      <c r="J110" s="57"/>
      <c r="L110" s="116"/>
      <c r="M110" s="116"/>
      <c r="N110" s="34"/>
    </row>
    <row r="111" spans="1:14" s="35" customFormat="1" x14ac:dyDescent="0.25">
      <c r="A111" s="84">
        <f t="shared" si="0"/>
        <v>3</v>
      </c>
      <c r="B111" s="84"/>
      <c r="C111" s="70" t="s">
        <v>197</v>
      </c>
      <c r="D111" s="56">
        <f>(18)*10.764</f>
        <v>193.75199999999998</v>
      </c>
      <c r="E111" s="70">
        <v>0</v>
      </c>
      <c r="F111" s="70">
        <f t="shared" si="1"/>
        <v>310.00319999999999</v>
      </c>
      <c r="G111" s="84"/>
      <c r="H111" s="84"/>
      <c r="I111" s="34"/>
      <c r="J111" s="57"/>
      <c r="L111" s="116"/>
      <c r="M111" s="116"/>
      <c r="N111" s="34"/>
    </row>
    <row r="112" spans="1:14" s="35" customFormat="1" x14ac:dyDescent="0.25">
      <c r="A112" s="84">
        <f t="shared" si="0"/>
        <v>4</v>
      </c>
      <c r="B112" s="84"/>
      <c r="C112" s="70" t="s">
        <v>197</v>
      </c>
      <c r="D112" s="56">
        <f>(13.2)*10.764</f>
        <v>142.08479999999997</v>
      </c>
      <c r="E112" s="70">
        <v>0</v>
      </c>
      <c r="F112" s="70">
        <f t="shared" si="1"/>
        <v>227.33567999999997</v>
      </c>
      <c r="G112" s="84"/>
      <c r="H112" s="84"/>
      <c r="I112" s="34"/>
      <c r="J112" s="57"/>
      <c r="L112" s="116"/>
      <c r="M112" s="116"/>
      <c r="N112" s="34"/>
    </row>
    <row r="113" spans="1:14" s="35" customFormat="1" x14ac:dyDescent="0.25">
      <c r="A113" s="84">
        <f t="shared" si="0"/>
        <v>5</v>
      </c>
      <c r="B113" s="84"/>
      <c r="C113" s="70" t="s">
        <v>197</v>
      </c>
      <c r="D113" s="56">
        <f>(16.5)*10.764</f>
        <v>177.60599999999999</v>
      </c>
      <c r="E113" s="70">
        <v>0</v>
      </c>
      <c r="F113" s="70">
        <f t="shared" ref="F113:F128" si="2">D113*(($F$151)+1)+(IF(E113&lt;101,E113,IF(E113&lt;201,E113/2,IF(E113&lt;=301,E113/3,E113/4))))</f>
        <v>266.40899999999999</v>
      </c>
      <c r="G113" s="84"/>
      <c r="H113" s="84"/>
      <c r="I113" s="34"/>
      <c r="L113" s="116">
        <f>3*6+1</f>
        <v>19</v>
      </c>
      <c r="M113" s="116"/>
      <c r="N113" s="34"/>
    </row>
    <row r="114" spans="1:14" s="35" customFormat="1" x14ac:dyDescent="0.25">
      <c r="A114" s="84">
        <f t="shared" si="0"/>
        <v>6</v>
      </c>
      <c r="B114" s="84"/>
      <c r="C114" s="70" t="s">
        <v>197</v>
      </c>
      <c r="D114" s="56">
        <f>(16.5)*10.764</f>
        <v>177.60599999999999</v>
      </c>
      <c r="E114" s="70">
        <v>0</v>
      </c>
      <c r="F114" s="70">
        <f t="shared" si="2"/>
        <v>266.40899999999999</v>
      </c>
      <c r="G114" s="84"/>
      <c r="H114" s="84"/>
      <c r="I114" s="34"/>
      <c r="L114" s="116"/>
      <c r="M114" s="116"/>
      <c r="N114" s="34"/>
    </row>
    <row r="115" spans="1:14" s="35" customFormat="1" x14ac:dyDescent="0.25">
      <c r="A115" s="84">
        <f t="shared" si="0"/>
        <v>7</v>
      </c>
      <c r="B115" s="84"/>
      <c r="C115" s="70" t="s">
        <v>197</v>
      </c>
      <c r="D115" s="56">
        <f>(13.2)*10.764</f>
        <v>142.08479999999997</v>
      </c>
      <c r="E115" s="70">
        <v>0</v>
      </c>
      <c r="F115" s="70">
        <f t="shared" si="2"/>
        <v>213.12719999999996</v>
      </c>
      <c r="G115" s="84"/>
      <c r="H115" s="84"/>
      <c r="I115" s="34"/>
      <c r="L115" s="116"/>
      <c r="M115" s="116"/>
      <c r="N115" s="34"/>
    </row>
    <row r="116" spans="1:14" s="35" customFormat="1" x14ac:dyDescent="0.25">
      <c r="A116" s="84">
        <f t="shared" si="0"/>
        <v>8</v>
      </c>
      <c r="B116" s="84"/>
      <c r="C116" s="70" t="s">
        <v>197</v>
      </c>
      <c r="D116" s="56">
        <f>(18)*10.764</f>
        <v>193.75199999999998</v>
      </c>
      <c r="E116" s="70">
        <v>0</v>
      </c>
      <c r="F116" s="70">
        <f t="shared" si="2"/>
        <v>290.62799999999999</v>
      </c>
      <c r="G116" s="84"/>
      <c r="H116" s="84"/>
      <c r="I116" s="34"/>
      <c r="L116" s="116"/>
      <c r="M116" s="116"/>
      <c r="N116" s="34"/>
    </row>
    <row r="117" spans="1:14" s="35" customFormat="1" x14ac:dyDescent="0.25">
      <c r="A117" s="84">
        <f t="shared" si="0"/>
        <v>9</v>
      </c>
      <c r="B117" s="84"/>
      <c r="C117" s="70" t="s">
        <v>197</v>
      </c>
      <c r="D117" s="56">
        <f>(18)*10.764</f>
        <v>193.75199999999998</v>
      </c>
      <c r="E117" s="70">
        <v>0</v>
      </c>
      <c r="F117" s="70">
        <f t="shared" si="2"/>
        <v>290.62799999999999</v>
      </c>
      <c r="G117" s="84"/>
      <c r="H117" s="84"/>
      <c r="I117" s="34"/>
      <c r="L117" s="116"/>
      <c r="M117" s="116"/>
      <c r="N117" s="34"/>
    </row>
    <row r="118" spans="1:14" s="35" customFormat="1" x14ac:dyDescent="0.25">
      <c r="A118" s="84">
        <f t="shared" si="0"/>
        <v>10</v>
      </c>
      <c r="B118" s="84"/>
      <c r="C118" s="70" t="s">
        <v>197</v>
      </c>
      <c r="D118" s="56">
        <f>(18)*10.764</f>
        <v>193.75199999999998</v>
      </c>
      <c r="E118" s="70">
        <v>0</v>
      </c>
      <c r="F118" s="70">
        <f t="shared" si="2"/>
        <v>290.62799999999999</v>
      </c>
      <c r="G118" s="84"/>
      <c r="H118" s="84"/>
      <c r="I118" s="34"/>
      <c r="L118" s="116"/>
      <c r="M118" s="116"/>
      <c r="N118" s="34"/>
    </row>
    <row r="119" spans="1:14" s="35" customFormat="1" x14ac:dyDescent="0.25">
      <c r="A119" s="84">
        <f t="shared" si="0"/>
        <v>11</v>
      </c>
      <c r="B119" s="84"/>
      <c r="C119" s="70" t="s">
        <v>197</v>
      </c>
      <c r="D119" s="56">
        <f>(18)*10.764</f>
        <v>193.75199999999998</v>
      </c>
      <c r="E119" s="70">
        <v>0</v>
      </c>
      <c r="F119" s="70">
        <f t="shared" si="2"/>
        <v>290.62799999999999</v>
      </c>
      <c r="G119" s="84"/>
      <c r="H119" s="84"/>
      <c r="I119" s="34"/>
      <c r="L119" s="116"/>
      <c r="M119" s="116"/>
      <c r="N119" s="34"/>
    </row>
    <row r="120" spans="1:14" s="35" customFormat="1" x14ac:dyDescent="0.25">
      <c r="A120" s="84">
        <f t="shared" si="0"/>
        <v>12</v>
      </c>
      <c r="B120" s="84"/>
      <c r="C120" s="70" t="s">
        <v>197</v>
      </c>
      <c r="D120" s="56">
        <f>(13.2)*10.764</f>
        <v>142.08479999999997</v>
      </c>
      <c r="E120" s="70">
        <v>0</v>
      </c>
      <c r="F120" s="70">
        <f t="shared" si="2"/>
        <v>213.12719999999996</v>
      </c>
      <c r="G120" s="84"/>
      <c r="H120" s="84"/>
      <c r="I120" s="34"/>
      <c r="L120" s="116"/>
      <c r="M120" s="116"/>
      <c r="N120" s="34"/>
    </row>
    <row r="121" spans="1:14" s="35" customFormat="1" x14ac:dyDescent="0.25">
      <c r="A121" s="84">
        <f t="shared" si="0"/>
        <v>13</v>
      </c>
      <c r="B121" s="84"/>
      <c r="C121" s="70" t="s">
        <v>197</v>
      </c>
      <c r="D121" s="56">
        <f>(16.5)*10.764</f>
        <v>177.60599999999999</v>
      </c>
      <c r="E121" s="70">
        <v>0</v>
      </c>
      <c r="F121" s="70">
        <f t="shared" si="2"/>
        <v>266.40899999999999</v>
      </c>
      <c r="G121" s="84"/>
      <c r="H121" s="84"/>
      <c r="I121" s="34"/>
      <c r="L121" s="116"/>
      <c r="M121" s="116"/>
      <c r="N121" s="34"/>
    </row>
    <row r="122" spans="1:14" s="35" customFormat="1" x14ac:dyDescent="0.25">
      <c r="A122" s="84">
        <f t="shared" si="0"/>
        <v>14</v>
      </c>
      <c r="B122" s="84"/>
      <c r="C122" s="70" t="s">
        <v>197</v>
      </c>
      <c r="D122" s="56">
        <f>(16.5)*10.764</f>
        <v>177.60599999999999</v>
      </c>
      <c r="E122" s="70">
        <v>0</v>
      </c>
      <c r="F122" s="70">
        <f t="shared" si="2"/>
        <v>266.40899999999999</v>
      </c>
      <c r="G122" s="84"/>
      <c r="H122" s="84"/>
      <c r="I122" s="34"/>
      <c r="L122" s="116"/>
      <c r="M122" s="116"/>
      <c r="N122" s="34"/>
    </row>
    <row r="123" spans="1:14" s="35" customFormat="1" x14ac:dyDescent="0.25">
      <c r="A123" s="84">
        <f t="shared" si="0"/>
        <v>15</v>
      </c>
      <c r="B123" s="84"/>
      <c r="C123" s="70" t="s">
        <v>197</v>
      </c>
      <c r="D123" s="56">
        <f>(13.2)*10.764</f>
        <v>142.08479999999997</v>
      </c>
      <c r="E123" s="70">
        <v>0</v>
      </c>
      <c r="F123" s="70">
        <f t="shared" si="2"/>
        <v>213.12719999999996</v>
      </c>
      <c r="G123" s="84"/>
      <c r="H123" s="84"/>
      <c r="I123" s="34"/>
      <c r="L123" s="116"/>
      <c r="M123" s="116"/>
      <c r="N123" s="34"/>
    </row>
    <row r="124" spans="1:14" s="35" customFormat="1" x14ac:dyDescent="0.25">
      <c r="A124" s="84">
        <f t="shared" si="0"/>
        <v>16</v>
      </c>
      <c r="B124" s="84"/>
      <c r="C124" s="70" t="s">
        <v>197</v>
      </c>
      <c r="D124" s="56">
        <f>(18)*10.764</f>
        <v>193.75199999999998</v>
      </c>
      <c r="E124" s="70">
        <v>0</v>
      </c>
      <c r="F124" s="70">
        <f t="shared" si="2"/>
        <v>290.62799999999999</v>
      </c>
      <c r="G124" s="84"/>
      <c r="H124" s="84"/>
      <c r="I124" s="34"/>
      <c r="L124" s="116"/>
      <c r="M124" s="116"/>
      <c r="N124" s="34"/>
    </row>
    <row r="125" spans="1:14" s="35" customFormat="1" x14ac:dyDescent="0.25">
      <c r="A125" s="84">
        <f t="shared" si="0"/>
        <v>17</v>
      </c>
      <c r="B125" s="84"/>
      <c r="C125" s="70" t="s">
        <v>197</v>
      </c>
      <c r="D125" s="56">
        <f>(29.58)*10.764</f>
        <v>318.39911999999998</v>
      </c>
      <c r="E125" s="70">
        <v>0</v>
      </c>
      <c r="F125" s="70">
        <f t="shared" si="2"/>
        <v>477.59867999999994</v>
      </c>
      <c r="G125" s="84"/>
      <c r="H125" s="84"/>
      <c r="I125" s="34"/>
      <c r="L125" s="116"/>
      <c r="M125" s="116"/>
      <c r="N125" s="34"/>
    </row>
    <row r="126" spans="1:14" s="35" customFormat="1" x14ac:dyDescent="0.25">
      <c r="A126" s="84">
        <f t="shared" si="0"/>
        <v>18</v>
      </c>
      <c r="B126" s="84"/>
      <c r="C126" s="70" t="s">
        <v>197</v>
      </c>
      <c r="D126" s="56">
        <f>(14.5)*10.764</f>
        <v>156.078</v>
      </c>
      <c r="E126" s="70">
        <v>0</v>
      </c>
      <c r="F126" s="70">
        <f t="shared" si="2"/>
        <v>234.11700000000002</v>
      </c>
      <c r="G126" s="84"/>
      <c r="H126" s="84"/>
      <c r="I126" s="34"/>
      <c r="L126" s="116"/>
      <c r="M126" s="116"/>
      <c r="N126" s="34"/>
    </row>
    <row r="127" spans="1:14" s="35" customFormat="1" x14ac:dyDescent="0.25">
      <c r="A127" s="84">
        <f t="shared" si="0"/>
        <v>19</v>
      </c>
      <c r="B127" s="84"/>
      <c r="C127" s="70" t="s">
        <v>197</v>
      </c>
      <c r="D127" s="56">
        <f>(14.5)*10.764</f>
        <v>156.078</v>
      </c>
      <c r="E127" s="70">
        <v>0</v>
      </c>
      <c r="F127" s="70">
        <f t="shared" si="2"/>
        <v>234.11700000000002</v>
      </c>
      <c r="G127" s="84"/>
      <c r="H127" s="84"/>
      <c r="I127" s="34"/>
      <c r="L127" s="116"/>
      <c r="M127" s="116"/>
      <c r="N127" s="34"/>
    </row>
    <row r="128" spans="1:14" s="35" customFormat="1" x14ac:dyDescent="0.25">
      <c r="A128" s="84">
        <f t="shared" si="0"/>
        <v>20</v>
      </c>
      <c r="B128" s="84"/>
      <c r="C128" s="70" t="s">
        <v>197</v>
      </c>
      <c r="D128" s="56">
        <f>(19.14)*10.764</f>
        <v>206.02295999999998</v>
      </c>
      <c r="E128" s="70">
        <v>0</v>
      </c>
      <c r="F128" s="70">
        <f t="shared" si="2"/>
        <v>309.03443999999996</v>
      </c>
      <c r="G128" s="84"/>
      <c r="H128" s="84"/>
      <c r="I128" s="34"/>
      <c r="L128" s="116"/>
      <c r="M128" s="116"/>
      <c r="N128" s="34"/>
    </row>
    <row r="129" spans="1:14" s="35" customFormat="1" x14ac:dyDescent="0.25">
      <c r="A129" s="115" t="s">
        <v>199</v>
      </c>
      <c r="B129" s="115"/>
      <c r="C129" s="115"/>
      <c r="D129" s="115"/>
      <c r="E129" s="115"/>
      <c r="F129" s="115"/>
      <c r="G129" s="115"/>
      <c r="H129" s="115"/>
      <c r="J129" s="34"/>
    </row>
    <row r="130" spans="1:14" s="35" customFormat="1" x14ac:dyDescent="0.25">
      <c r="A130" s="85">
        <v>21</v>
      </c>
      <c r="B130" s="87"/>
      <c r="C130" s="40" t="s">
        <v>197</v>
      </c>
      <c r="D130" s="56">
        <f>(16.64)*10.764</f>
        <v>179.11295999999999</v>
      </c>
      <c r="E130" s="40">
        <v>0</v>
      </c>
      <c r="F130" s="40">
        <f>D130*(($F$107)+1)+(IF(E130&lt;101,E130,IF(E130&lt;201,E130/2,IF(E130&lt;=301,E130/3,E130/4))))</f>
        <v>286.580736</v>
      </c>
      <c r="G130" s="96" t="str">
        <f>A129</f>
        <v>1st Floor for Commercial &amp; Residential</v>
      </c>
      <c r="H130" s="97"/>
      <c r="I130" s="34"/>
      <c r="L130" s="116"/>
      <c r="M130" s="116"/>
      <c r="N130" s="34"/>
    </row>
    <row r="131" spans="1:14" s="35" customFormat="1" x14ac:dyDescent="0.25">
      <c r="A131" s="85">
        <f t="shared" ref="A131:A148" si="3">A130+1</f>
        <v>22</v>
      </c>
      <c r="B131" s="87"/>
      <c r="C131" s="40" t="s">
        <v>197</v>
      </c>
      <c r="D131" s="56">
        <f>(19.2)*10.764</f>
        <v>206.66879999999998</v>
      </c>
      <c r="E131" s="40">
        <v>0</v>
      </c>
      <c r="F131" s="40">
        <f t="shared" ref="F131:F148" si="4">D131*(($F$107)+1)+(IF(E131&lt;101,E131,IF(E131&lt;201,E131/2,IF(E131&lt;=301,E131/3,E131/4))))</f>
        <v>330.67007999999998</v>
      </c>
      <c r="G131" s="98"/>
      <c r="H131" s="99"/>
      <c r="I131" s="34"/>
      <c r="L131" s="116"/>
      <c r="M131" s="116"/>
      <c r="N131" s="34"/>
    </row>
    <row r="132" spans="1:14" s="35" customFormat="1" x14ac:dyDescent="0.25">
      <c r="A132" s="85">
        <f t="shared" si="3"/>
        <v>23</v>
      </c>
      <c r="B132" s="87"/>
      <c r="C132" s="40" t="s">
        <v>197</v>
      </c>
      <c r="D132" s="56">
        <f>(19.2)*10.764</f>
        <v>206.66879999999998</v>
      </c>
      <c r="E132" s="40">
        <v>0</v>
      </c>
      <c r="F132" s="40">
        <f t="shared" si="4"/>
        <v>330.67007999999998</v>
      </c>
      <c r="G132" s="98"/>
      <c r="H132" s="99"/>
      <c r="I132" s="34"/>
      <c r="L132" s="116"/>
      <c r="M132" s="116"/>
      <c r="N132" s="34"/>
    </row>
    <row r="133" spans="1:14" s="35" customFormat="1" x14ac:dyDescent="0.25">
      <c r="A133" s="85">
        <f t="shared" si="3"/>
        <v>24</v>
      </c>
      <c r="B133" s="87"/>
      <c r="C133" s="40" t="s">
        <v>197</v>
      </c>
      <c r="D133" s="56">
        <f>(14.08)*10.764</f>
        <v>151.55712</v>
      </c>
      <c r="E133" s="40">
        <v>0</v>
      </c>
      <c r="F133" s="40">
        <f t="shared" si="4"/>
        <v>242.49139200000002</v>
      </c>
      <c r="G133" s="98"/>
      <c r="H133" s="99"/>
      <c r="I133" s="34"/>
      <c r="L133" s="116"/>
      <c r="M133" s="116"/>
      <c r="N133" s="34"/>
    </row>
    <row r="134" spans="1:14" s="35" customFormat="1" x14ac:dyDescent="0.25">
      <c r="A134" s="85">
        <f t="shared" si="3"/>
        <v>25</v>
      </c>
      <c r="B134" s="87"/>
      <c r="C134" s="40" t="s">
        <v>197</v>
      </c>
      <c r="D134" s="56">
        <f>(17.6)*10.764</f>
        <v>189.44640000000001</v>
      </c>
      <c r="E134" s="40">
        <v>0</v>
      </c>
      <c r="F134" s="40">
        <f t="shared" si="4"/>
        <v>303.11424000000005</v>
      </c>
      <c r="G134" s="98"/>
      <c r="H134" s="99"/>
      <c r="I134" s="34"/>
      <c r="L134" s="116"/>
      <c r="M134" s="116"/>
      <c r="N134" s="34"/>
    </row>
    <row r="135" spans="1:14" s="35" customFormat="1" x14ac:dyDescent="0.25">
      <c r="A135" s="85">
        <f t="shared" si="3"/>
        <v>26</v>
      </c>
      <c r="B135" s="87"/>
      <c r="C135" s="40" t="s">
        <v>197</v>
      </c>
      <c r="D135" s="56">
        <f>(17.6)*10.764</f>
        <v>189.44640000000001</v>
      </c>
      <c r="E135" s="40">
        <v>0</v>
      </c>
      <c r="F135" s="40">
        <f t="shared" si="4"/>
        <v>303.11424000000005</v>
      </c>
      <c r="G135" s="98"/>
      <c r="H135" s="99"/>
      <c r="I135" s="34"/>
      <c r="L135" s="116"/>
      <c r="M135" s="116"/>
      <c r="N135" s="34"/>
    </row>
    <row r="136" spans="1:14" s="35" customFormat="1" x14ac:dyDescent="0.25">
      <c r="A136" s="85">
        <f t="shared" si="3"/>
        <v>27</v>
      </c>
      <c r="B136" s="87"/>
      <c r="C136" s="40" t="s">
        <v>197</v>
      </c>
      <c r="D136" s="56">
        <f>(14.08)*10.764</f>
        <v>151.55712</v>
      </c>
      <c r="E136" s="40">
        <v>0</v>
      </c>
      <c r="F136" s="40">
        <f t="shared" si="4"/>
        <v>242.49139200000002</v>
      </c>
      <c r="G136" s="98"/>
      <c r="H136" s="99"/>
      <c r="I136" s="34"/>
      <c r="L136" s="116"/>
      <c r="M136" s="116"/>
      <c r="N136" s="34"/>
    </row>
    <row r="137" spans="1:14" s="35" customFormat="1" x14ac:dyDescent="0.25">
      <c r="A137" s="85">
        <f t="shared" si="3"/>
        <v>28</v>
      </c>
      <c r="B137" s="87"/>
      <c r="C137" s="40" t="s">
        <v>197</v>
      </c>
      <c r="D137" s="56">
        <f>(19.2)*10.764</f>
        <v>206.66879999999998</v>
      </c>
      <c r="E137" s="40">
        <v>0</v>
      </c>
      <c r="F137" s="40">
        <f t="shared" si="4"/>
        <v>330.67007999999998</v>
      </c>
      <c r="G137" s="98"/>
      <c r="H137" s="99"/>
      <c r="I137" s="34"/>
      <c r="L137" s="116"/>
      <c r="M137" s="116"/>
      <c r="N137" s="34"/>
    </row>
    <row r="138" spans="1:14" s="35" customFormat="1" x14ac:dyDescent="0.25">
      <c r="A138" s="85">
        <f t="shared" si="3"/>
        <v>29</v>
      </c>
      <c r="B138" s="87"/>
      <c r="C138" s="40" t="s">
        <v>197</v>
      </c>
      <c r="D138" s="56">
        <f>(19.2)*10.764</f>
        <v>206.66879999999998</v>
      </c>
      <c r="E138" s="40">
        <v>0</v>
      </c>
      <c r="F138" s="40">
        <f t="shared" si="4"/>
        <v>330.67007999999998</v>
      </c>
      <c r="G138" s="98"/>
      <c r="H138" s="99"/>
      <c r="I138" s="34"/>
      <c r="L138" s="116"/>
      <c r="M138" s="116"/>
      <c r="N138" s="34"/>
    </row>
    <row r="139" spans="1:14" s="35" customFormat="1" x14ac:dyDescent="0.25">
      <c r="A139" s="85">
        <f t="shared" si="3"/>
        <v>30</v>
      </c>
      <c r="B139" s="87"/>
      <c r="C139" s="40" t="s">
        <v>197</v>
      </c>
      <c r="D139" s="56">
        <f>(19.2)*10.764</f>
        <v>206.66879999999998</v>
      </c>
      <c r="E139" s="40">
        <v>0</v>
      </c>
      <c r="F139" s="40">
        <f t="shared" si="4"/>
        <v>330.67007999999998</v>
      </c>
      <c r="G139" s="98"/>
      <c r="H139" s="99"/>
      <c r="I139" s="34"/>
      <c r="L139" s="116"/>
      <c r="M139" s="116"/>
      <c r="N139" s="34"/>
    </row>
    <row r="140" spans="1:14" s="35" customFormat="1" x14ac:dyDescent="0.25">
      <c r="A140" s="85">
        <f t="shared" si="3"/>
        <v>31</v>
      </c>
      <c r="B140" s="87"/>
      <c r="C140" s="40" t="s">
        <v>197</v>
      </c>
      <c r="D140" s="56">
        <f>(19.2)*10.764</f>
        <v>206.66879999999998</v>
      </c>
      <c r="E140" s="40">
        <v>0</v>
      </c>
      <c r="F140" s="40">
        <f t="shared" si="4"/>
        <v>330.67007999999998</v>
      </c>
      <c r="G140" s="98"/>
      <c r="H140" s="99"/>
      <c r="I140" s="34"/>
      <c r="L140" s="116"/>
      <c r="M140" s="116"/>
      <c r="N140" s="34"/>
    </row>
    <row r="141" spans="1:14" s="35" customFormat="1" x14ac:dyDescent="0.25">
      <c r="A141" s="85">
        <f t="shared" si="3"/>
        <v>32</v>
      </c>
      <c r="B141" s="87"/>
      <c r="C141" s="40" t="s">
        <v>197</v>
      </c>
      <c r="D141" s="56">
        <f>(14.08)*10.764</f>
        <v>151.55712</v>
      </c>
      <c r="E141" s="40">
        <v>0</v>
      </c>
      <c r="F141" s="40">
        <f t="shared" si="4"/>
        <v>242.49139200000002</v>
      </c>
      <c r="G141" s="98"/>
      <c r="H141" s="99"/>
      <c r="I141" s="34"/>
      <c r="L141" s="116"/>
      <c r="M141" s="116"/>
      <c r="N141" s="34"/>
    </row>
    <row r="142" spans="1:14" s="35" customFormat="1" x14ac:dyDescent="0.25">
      <c r="A142" s="85">
        <f t="shared" si="3"/>
        <v>33</v>
      </c>
      <c r="B142" s="87"/>
      <c r="C142" s="40" t="s">
        <v>197</v>
      </c>
      <c r="D142" s="56">
        <f>(17.6)*10.764</f>
        <v>189.44640000000001</v>
      </c>
      <c r="E142" s="40">
        <v>0</v>
      </c>
      <c r="F142" s="40">
        <f t="shared" si="4"/>
        <v>303.11424000000005</v>
      </c>
      <c r="G142" s="98"/>
      <c r="H142" s="99"/>
      <c r="I142" s="34"/>
      <c r="L142" s="116"/>
      <c r="M142" s="116"/>
      <c r="N142" s="34"/>
    </row>
    <row r="143" spans="1:14" s="35" customFormat="1" x14ac:dyDescent="0.25">
      <c r="A143" s="85">
        <f t="shared" si="3"/>
        <v>34</v>
      </c>
      <c r="B143" s="87"/>
      <c r="C143" s="40" t="s">
        <v>197</v>
      </c>
      <c r="D143" s="56">
        <f>(16.5)*10.764</f>
        <v>177.60599999999999</v>
      </c>
      <c r="E143" s="40">
        <v>0</v>
      </c>
      <c r="F143" s="40">
        <f t="shared" si="4"/>
        <v>284.1696</v>
      </c>
      <c r="G143" s="98"/>
      <c r="H143" s="99"/>
      <c r="I143" s="34"/>
      <c r="L143" s="116"/>
      <c r="M143" s="116"/>
      <c r="N143" s="34"/>
    </row>
    <row r="144" spans="1:14" s="35" customFormat="1" x14ac:dyDescent="0.25">
      <c r="A144" s="85">
        <f t="shared" si="3"/>
        <v>35</v>
      </c>
      <c r="B144" s="87"/>
      <c r="C144" s="40" t="s">
        <v>197</v>
      </c>
      <c r="D144" s="56">
        <f>(14.08)*10.764</f>
        <v>151.55712</v>
      </c>
      <c r="E144" s="40">
        <v>0</v>
      </c>
      <c r="F144" s="40">
        <f t="shared" si="4"/>
        <v>242.49139200000002</v>
      </c>
      <c r="G144" s="98"/>
      <c r="H144" s="99"/>
      <c r="I144" s="34"/>
      <c r="L144" s="116"/>
      <c r="M144" s="116"/>
      <c r="N144" s="34"/>
    </row>
    <row r="145" spans="1:14" s="35" customFormat="1" x14ac:dyDescent="0.25">
      <c r="A145" s="85">
        <f t="shared" si="3"/>
        <v>36</v>
      </c>
      <c r="B145" s="87"/>
      <c r="C145" s="40" t="s">
        <v>197</v>
      </c>
      <c r="D145" s="56">
        <f>(19.2)*10.764</f>
        <v>206.66879999999998</v>
      </c>
      <c r="E145" s="40">
        <v>0</v>
      </c>
      <c r="F145" s="40">
        <f t="shared" si="4"/>
        <v>330.67007999999998</v>
      </c>
      <c r="G145" s="98"/>
      <c r="H145" s="99"/>
      <c r="I145" s="34"/>
      <c r="L145" s="116"/>
      <c r="M145" s="116"/>
      <c r="N145" s="34"/>
    </row>
    <row r="146" spans="1:14" s="35" customFormat="1" x14ac:dyDescent="0.25">
      <c r="A146" s="85">
        <f t="shared" si="3"/>
        <v>37</v>
      </c>
      <c r="B146" s="87"/>
      <c r="C146" s="40" t="s">
        <v>197</v>
      </c>
      <c r="D146" s="56">
        <f>(43.32)*10.764</f>
        <v>466.29647999999997</v>
      </c>
      <c r="E146" s="40">
        <v>0</v>
      </c>
      <c r="F146" s="40">
        <f t="shared" si="4"/>
        <v>746.07436800000005</v>
      </c>
      <c r="G146" s="98"/>
      <c r="H146" s="99"/>
      <c r="I146" s="34"/>
      <c r="L146" s="116"/>
      <c r="M146" s="116"/>
      <c r="N146" s="34"/>
    </row>
    <row r="147" spans="1:14" s="35" customFormat="1" x14ac:dyDescent="0.25">
      <c r="A147" s="85">
        <f t="shared" si="3"/>
        <v>38</v>
      </c>
      <c r="B147" s="87"/>
      <c r="C147" s="40" t="s">
        <v>198</v>
      </c>
      <c r="D147" s="56">
        <f>(14.5)*10.764</f>
        <v>156.078</v>
      </c>
      <c r="E147" s="40">
        <v>0</v>
      </c>
      <c r="F147" s="40">
        <f t="shared" si="4"/>
        <v>249.72480000000002</v>
      </c>
      <c r="G147" s="98"/>
      <c r="H147" s="99"/>
      <c r="I147" s="34"/>
      <c r="L147" s="116"/>
      <c r="M147" s="116"/>
      <c r="N147" s="34"/>
    </row>
    <row r="148" spans="1:14" s="35" customFormat="1" x14ac:dyDescent="0.25">
      <c r="A148" s="85">
        <f t="shared" si="3"/>
        <v>39</v>
      </c>
      <c r="B148" s="87"/>
      <c r="C148" s="40" t="s">
        <v>198</v>
      </c>
      <c r="D148" s="56">
        <f>(25.08)*10.764</f>
        <v>269.96111999999994</v>
      </c>
      <c r="E148" s="40">
        <v>0</v>
      </c>
      <c r="F148" s="40">
        <f t="shared" si="4"/>
        <v>431.93779199999994</v>
      </c>
      <c r="G148" s="98"/>
      <c r="H148" s="99"/>
      <c r="I148" s="34"/>
      <c r="L148" s="116"/>
      <c r="M148" s="116"/>
      <c r="N148" s="34"/>
    </row>
    <row r="149" spans="1:14" s="35" customFormat="1" x14ac:dyDescent="0.25">
      <c r="A149" s="85"/>
      <c r="B149" s="86"/>
      <c r="C149" s="86"/>
      <c r="D149" s="86"/>
      <c r="E149" s="86"/>
      <c r="F149" s="86"/>
      <c r="G149" s="86"/>
      <c r="H149" s="87"/>
      <c r="I149" s="34"/>
      <c r="N149" s="34"/>
    </row>
    <row r="150" spans="1:14" ht="47.25" customHeight="1" x14ac:dyDescent="0.25">
      <c r="A150" s="88" t="s">
        <v>124</v>
      </c>
      <c r="B150" s="88" t="s">
        <v>125</v>
      </c>
      <c r="C150" s="82" t="s">
        <v>59</v>
      </c>
      <c r="D150" s="82" t="s">
        <v>60</v>
      </c>
      <c r="E150" s="120" t="s">
        <v>61</v>
      </c>
      <c r="F150" s="41" t="s">
        <v>154</v>
      </c>
      <c r="G150" s="88" t="s">
        <v>62</v>
      </c>
      <c r="H150" s="122"/>
      <c r="I150" s="34"/>
    </row>
    <row r="151" spans="1:14" s="35" customFormat="1" x14ac:dyDescent="0.25">
      <c r="A151" s="89"/>
      <c r="B151" s="89"/>
      <c r="C151" s="83"/>
      <c r="D151" s="83"/>
      <c r="E151" s="121"/>
      <c r="F151" s="13">
        <v>0.5</v>
      </c>
      <c r="G151" s="89"/>
      <c r="H151" s="123"/>
      <c r="I151" s="34"/>
    </row>
    <row r="152" spans="1:14" s="35" customFormat="1" ht="15.75" customHeight="1" x14ac:dyDescent="0.25">
      <c r="A152" s="117" t="s">
        <v>215</v>
      </c>
      <c r="B152" s="118"/>
      <c r="C152" s="118"/>
      <c r="D152" s="118"/>
      <c r="E152" s="118"/>
      <c r="F152" s="118"/>
      <c r="G152" s="118"/>
      <c r="H152" s="119"/>
      <c r="J152" s="34"/>
    </row>
    <row r="153" spans="1:14" s="35" customFormat="1" x14ac:dyDescent="0.25">
      <c r="A153" s="117" t="s">
        <v>199</v>
      </c>
      <c r="B153" s="118"/>
      <c r="C153" s="118"/>
      <c r="D153" s="118"/>
      <c r="E153" s="118"/>
      <c r="F153" s="118"/>
      <c r="G153" s="118"/>
      <c r="H153" s="119"/>
      <c r="J153" s="34"/>
    </row>
    <row r="154" spans="1:14" s="35" customFormat="1" x14ac:dyDescent="0.25">
      <c r="A154" s="85">
        <v>1</v>
      </c>
      <c r="B154" s="87"/>
      <c r="C154" s="40" t="s">
        <v>201</v>
      </c>
      <c r="D154" s="56">
        <f>(3.7*2.75+2.09*1.58+2.6*2+3*4.03+3*3.03+1.2*1.8+0.9*2.6+1.2*1.5+0.75*(1.5+2.09+1.7)+2.6*1+3*1+0.3*2.6)*10.764</f>
        <v>608.21659080000006</v>
      </c>
      <c r="E154" s="40">
        <v>0</v>
      </c>
      <c r="F154" s="40">
        <f>D154*(($F$151)+1)+(IF(E154&lt;101,E154,IF(E154&lt;201,E154/2,IF(E154&lt;=301,E154/3,E154/4))))</f>
        <v>912.32488620000004</v>
      </c>
      <c r="G154" s="98" t="str">
        <f>A153</f>
        <v>1st Floor for Commercial &amp; Residential</v>
      </c>
      <c r="H154" s="99"/>
      <c r="I154" s="34">
        <v>715</v>
      </c>
      <c r="J154" s="55">
        <f t="shared" ref="J154" si="5">I154/F154</f>
        <v>0.78371204251383053</v>
      </c>
      <c r="L154" s="116"/>
      <c r="M154" s="116"/>
      <c r="N154" s="62">
        <f>1110/D154</f>
        <v>1.8250077633364024</v>
      </c>
    </row>
    <row r="155" spans="1:14" s="35" customFormat="1" x14ac:dyDescent="0.25">
      <c r="A155" s="85">
        <v>2</v>
      </c>
      <c r="B155" s="87"/>
      <c r="C155" s="40" t="s">
        <v>200</v>
      </c>
      <c r="D155" s="56">
        <f>(2.6*3.46+2.2*1.5+2.6*1.8+2.6*2.5+1.2*1.5+0.9*1.2+2.2*0.9+2.6*1+2.6*1+0.75*2.2+0.3*2.6)*10.764</f>
        <v>387.13802399999997</v>
      </c>
      <c r="E155" s="40">
        <v>0</v>
      </c>
      <c r="F155" s="40">
        <f>D155*(($F$151)+1)+(IF(E155&lt;101,E155,IF(E155&lt;201,E155/2,IF(E155&lt;=301,E155/3,E155/4))))</f>
        <v>580.70703600000002</v>
      </c>
      <c r="G155" s="100"/>
      <c r="H155" s="101"/>
      <c r="I155" s="34">
        <v>1110</v>
      </c>
      <c r="J155" s="55">
        <f>I155/F155</f>
        <v>1.9114629773488743</v>
      </c>
      <c r="L155" s="116"/>
      <c r="M155" s="116"/>
      <c r="N155" s="34"/>
    </row>
    <row r="156" spans="1:14" s="35" customFormat="1" x14ac:dyDescent="0.25">
      <c r="A156" s="115" t="s">
        <v>121</v>
      </c>
      <c r="B156" s="115"/>
      <c r="C156" s="115"/>
      <c r="D156" s="115"/>
      <c r="E156" s="115"/>
      <c r="F156" s="115"/>
      <c r="G156" s="115"/>
      <c r="H156" s="115"/>
      <c r="I156" s="34"/>
      <c r="J156" s="35" t="s">
        <v>207</v>
      </c>
      <c r="K156" s="35" t="s">
        <v>208</v>
      </c>
      <c r="L156" s="116"/>
      <c r="M156" s="116"/>
    </row>
    <row r="157" spans="1:14" s="35" customFormat="1" x14ac:dyDescent="0.25">
      <c r="A157" s="85">
        <v>1</v>
      </c>
      <c r="B157" s="87"/>
      <c r="C157" s="40" t="s">
        <v>202</v>
      </c>
      <c r="D157" s="56">
        <f>(3.7*2.75+2.09*1.58+2.6*2+1.5*1.2+1.2*0.9+0.9*0.6+1*1.2+2.6*1+0.75*(1.5+2.09)+0.3*2.6)*10.764</f>
        <v>316.1354508</v>
      </c>
      <c r="E157" s="56">
        <v>0</v>
      </c>
      <c r="F157" s="40">
        <f t="shared" ref="F157" si="6">D157*(($F$151)+1)+(IF(E157&lt;101,E157,IF(E157&lt;201,E157/2,IF(E157&lt;=301,E157/3,E157/4))))</f>
        <v>474.20317620000003</v>
      </c>
      <c r="G157" s="96" t="str">
        <f>A156</f>
        <v>2nd Floor</v>
      </c>
      <c r="H157" s="97"/>
      <c r="I157" s="34"/>
      <c r="J157" s="34">
        <f>2400000/F157</f>
        <v>5061.1217310526308</v>
      </c>
      <c r="N157" s="34"/>
    </row>
    <row r="158" spans="1:14" s="35" customFormat="1" x14ac:dyDescent="0.25">
      <c r="A158" s="85">
        <f>A157+1</f>
        <v>2</v>
      </c>
      <c r="B158" s="87"/>
      <c r="C158" s="40" t="s">
        <v>200</v>
      </c>
      <c r="D158" s="56">
        <f>(3*4.03+1.25*1.2+2*2.33+3*1.8+3*2.97+2*1.2+1.5*1.2+0.9*5.85+3*1+3*1+0.75*(1.7+3))*10.764</f>
        <v>554.88419999999996</v>
      </c>
      <c r="E158" s="56">
        <v>0</v>
      </c>
      <c r="F158" s="40">
        <f>D158*(($F$151)+1)+(IF(E158&lt;101,E158,IF(E158&lt;201,E158/2,IF(E158&lt;=301,E158/3,E158/4))))</f>
        <v>832.32629999999995</v>
      </c>
      <c r="G158" s="98"/>
      <c r="H158" s="99"/>
      <c r="I158" s="34"/>
      <c r="J158" s="34"/>
      <c r="N158" s="34"/>
    </row>
    <row r="159" spans="1:14" s="35" customFormat="1" x14ac:dyDescent="0.25">
      <c r="A159" s="84">
        <v>3</v>
      </c>
      <c r="B159" s="84"/>
      <c r="C159" s="40" t="s">
        <v>202</v>
      </c>
      <c r="D159" s="56">
        <f>(3*3.8+2.2*1.5+2.75*2.97+1.2*1.5+0.9*1.2+0.9*1.2+1.2*0.9+0.75*2.2)*10.764</f>
        <v>318.15692999999993</v>
      </c>
      <c r="E159" s="56">
        <f>(5.7+2.83)*10.764</f>
        <v>91.81692000000001</v>
      </c>
      <c r="F159" s="40">
        <f>D159*(($F$151)+1)+(IF(E159&lt;101,E159,IF(E159&lt;201,E159/2,IF(E159&lt;=301,E159/3,E159/4))))</f>
        <v>569.05231499999991</v>
      </c>
      <c r="G159" s="98"/>
      <c r="H159" s="99"/>
      <c r="I159" s="34"/>
      <c r="J159" s="34"/>
      <c r="N159" s="34"/>
    </row>
    <row r="160" spans="1:14" s="35" customFormat="1" x14ac:dyDescent="0.25">
      <c r="A160" s="84">
        <v>4</v>
      </c>
      <c r="B160" s="84"/>
      <c r="C160" s="40" t="s">
        <v>202</v>
      </c>
      <c r="D160" s="56">
        <f>(3*3.8+2.2*1.5+2.75*2.97+1.2*1.5+0.9*1.2+0.9*1.2+1.2*0.9+0.75*2.2)*10.764</f>
        <v>318.15692999999993</v>
      </c>
      <c r="E160" s="56">
        <f>(5.7+2.83)*10.764</f>
        <v>91.81692000000001</v>
      </c>
      <c r="F160" s="40">
        <f>D160*(($F$151)+1)+(IF(E160&lt;101,E160,IF(E160&lt;201,E160/2,IF(E160&lt;=301,E160/3,E160/4))))</f>
        <v>569.05231499999991</v>
      </c>
      <c r="G160" s="98"/>
      <c r="H160" s="99"/>
      <c r="I160" s="34"/>
      <c r="J160" s="34"/>
      <c r="N160" s="34"/>
    </row>
    <row r="161" spans="1:14" s="35" customFormat="1" x14ac:dyDescent="0.25">
      <c r="A161" s="84">
        <v>5</v>
      </c>
      <c r="B161" s="84"/>
      <c r="C161" s="40" t="s">
        <v>203</v>
      </c>
      <c r="D161" s="56">
        <f>(3*4+2*2.33+2.6*1.8+0.9*1.2+2.75*2.97+2*1.2+2*1.2+0.9*3.95+2.6*1+0.75*2.33+0.3*2.6)*10.764</f>
        <v>474.36948000000007</v>
      </c>
      <c r="E161" s="56">
        <f>(9+3.72)*10.764</f>
        <v>136.91808</v>
      </c>
      <c r="F161" s="40">
        <f>D161*(($F$151)+1)+(IF(E161&lt;101,E161,IF(E161&lt;201,E161/2,IF(E161&lt;=301,E161/3,E161/4))))</f>
        <v>780.01326000000006</v>
      </c>
      <c r="G161" s="98"/>
      <c r="H161" s="99"/>
      <c r="I161" s="34"/>
      <c r="J161" s="34"/>
      <c r="N161" s="34"/>
    </row>
    <row r="162" spans="1:14" s="35" customFormat="1" x14ac:dyDescent="0.25">
      <c r="A162" s="84">
        <v>6</v>
      </c>
      <c r="B162" s="84"/>
      <c r="C162" s="40" t="s">
        <v>202</v>
      </c>
      <c r="D162" s="56">
        <f>(2.6*3.46+2.2*1.5+2.6*1.8+1.2*1.5+0.9*1.2+0.9*2.2+2.6*1+2.6*1+0.75*2.2+0.3*(2.6+2.6))*10.764</f>
        <v>325.56794400000001</v>
      </c>
      <c r="E162" s="56">
        <v>0</v>
      </c>
      <c r="F162" s="40">
        <f t="shared" ref="F162" si="7">D162*(($F$151)+1)+(IF(E162&lt;101,E162,IF(E162&lt;201,E162/2,IF(E162&lt;=301,E162/3,E162/4))))</f>
        <v>488.35191600000002</v>
      </c>
      <c r="G162" s="100"/>
      <c r="H162" s="101"/>
      <c r="I162" s="34"/>
      <c r="J162" s="34"/>
      <c r="N162" s="34"/>
    </row>
    <row r="163" spans="1:14" s="35" customFormat="1" x14ac:dyDescent="0.25">
      <c r="A163" s="115" t="s">
        <v>204</v>
      </c>
      <c r="B163" s="115"/>
      <c r="C163" s="115"/>
      <c r="D163" s="115"/>
      <c r="E163" s="115"/>
      <c r="F163" s="115"/>
      <c r="G163" s="115"/>
      <c r="H163" s="115"/>
      <c r="I163" s="34"/>
      <c r="L163" s="116"/>
      <c r="M163" s="116"/>
    </row>
    <row r="164" spans="1:14" s="35" customFormat="1" x14ac:dyDescent="0.25">
      <c r="A164" s="84">
        <v>1</v>
      </c>
      <c r="B164" s="84"/>
      <c r="C164" s="70" t="s">
        <v>202</v>
      </c>
      <c r="D164" s="56">
        <f>(3.7*2.75+2.09*1.58+2.6*2+1.5*1.2+1.2*0.9+0.9*0.6+1*1.2+2.6*1+0.75*(1.5+2.09)+0.3*2.6)*10.764</f>
        <v>316.1354508</v>
      </c>
      <c r="E164" s="56">
        <v>0</v>
      </c>
      <c r="F164" s="70">
        <f t="shared" ref="F164" si="8">D164*(($F$151)+1)+(IF(E164&lt;101,E164,IF(E164&lt;201,E164/2,IF(E164&lt;=301,E164/3,E164/4))))</f>
        <v>474.20317620000003</v>
      </c>
      <c r="G164" s="84" t="str">
        <f>A163</f>
        <v>3rd &amp; 4th Floor</v>
      </c>
      <c r="H164" s="84"/>
      <c r="I164" s="34"/>
      <c r="J164" s="34"/>
      <c r="K164" s="35">
        <f>625/604</f>
        <v>1.0347682119205297</v>
      </c>
      <c r="N164" s="34"/>
    </row>
    <row r="165" spans="1:14" s="35" customFormat="1" x14ac:dyDescent="0.25">
      <c r="A165" s="84">
        <f>A164+1</f>
        <v>2</v>
      </c>
      <c r="B165" s="84"/>
      <c r="C165" s="70" t="s">
        <v>200</v>
      </c>
      <c r="D165" s="56">
        <f>(3*4.03+1.25*1.2+2*2.33+3*1.8+3*2.97+2*1.2+1.5*1.2+0.9*5.85+3*1+3*1+0.75*(1.7+3))*10.764</f>
        <v>554.88419999999996</v>
      </c>
      <c r="E165" s="56">
        <v>0</v>
      </c>
      <c r="F165" s="70">
        <f>D165*(($F$151)+1)+(IF(E165&lt;101,E165,IF(E165&lt;201,E165/2,IF(E165&lt;=301,E165/3,E165/4))))</f>
        <v>832.32629999999995</v>
      </c>
      <c r="G165" s="84"/>
      <c r="H165" s="84"/>
      <c r="I165" s="34"/>
      <c r="J165" s="34"/>
      <c r="N165" s="34"/>
    </row>
    <row r="166" spans="1:14" s="35" customFormat="1" x14ac:dyDescent="0.25">
      <c r="A166" s="84">
        <v>3</v>
      </c>
      <c r="B166" s="84"/>
      <c r="C166" s="70" t="s">
        <v>202</v>
      </c>
      <c r="D166" s="56">
        <f>(3*3.8+2.2*1.5+2.75*2.97+1.2*1.5+0.9*1.2+0.9*1.2+1.2*0.9+0.75*2.2+3*0.75+0.75*2.75)*10.764</f>
        <v>364.57667999999995</v>
      </c>
      <c r="E166" s="56">
        <v>0</v>
      </c>
      <c r="F166" s="70">
        <f>D166*(($F$151)+1)+(IF(E166&lt;101,E166,IF(E166&lt;201,E166/2,IF(E166&lt;=301,E166/3,E166/4))))</f>
        <v>546.86501999999996</v>
      </c>
      <c r="G166" s="84"/>
      <c r="H166" s="84"/>
      <c r="I166" s="34"/>
      <c r="J166" s="34"/>
      <c r="N166" s="34"/>
    </row>
    <row r="167" spans="1:14" s="35" customFormat="1" x14ac:dyDescent="0.25">
      <c r="A167" s="84">
        <v>4</v>
      </c>
      <c r="B167" s="84"/>
      <c r="C167" s="70" t="s">
        <v>202</v>
      </c>
      <c r="D167" s="56">
        <f>(3*3.8+2.2*1.5+2.75*2.97+1.2*1.5+0.9*1.2+0.9*1.2+1.2*0.9+0.75*2.2+3*0.75+0.75*2.75)*10.764</f>
        <v>364.57667999999995</v>
      </c>
      <c r="E167" s="56">
        <v>0</v>
      </c>
      <c r="F167" s="70">
        <f>D167*(($F$151)+1)+(IF(E167&lt;101,E167,IF(E167&lt;201,E167/2,IF(E167&lt;=301,E167/3,E167/4))))</f>
        <v>546.86501999999996</v>
      </c>
      <c r="G167" s="84"/>
      <c r="H167" s="84"/>
      <c r="I167" s="34"/>
      <c r="J167" s="34"/>
      <c r="N167" s="34"/>
    </row>
    <row r="168" spans="1:14" s="35" customFormat="1" x14ac:dyDescent="0.25">
      <c r="A168" s="84">
        <v>5</v>
      </c>
      <c r="B168" s="84"/>
      <c r="C168" s="70" t="s">
        <v>203</v>
      </c>
      <c r="D168" s="56">
        <f>(3*4+2*2.33+2.6*1.8+0.9*1.2+2.75*2.97+2*1.2+2*1.2+0.9*3.95+2.6*1+0.75*2.33+0.3*2.6)*10.764</f>
        <v>474.36948000000007</v>
      </c>
      <c r="E168" s="56">
        <v>0</v>
      </c>
      <c r="F168" s="70">
        <f>D168*(($F$151)+1)+(IF(E168&lt;101,E168,IF(E168&lt;201,E168/2,IF(E168&lt;=301,E168/3,E168/4))))</f>
        <v>711.5542200000001</v>
      </c>
      <c r="G168" s="84"/>
      <c r="H168" s="84"/>
      <c r="I168" s="34"/>
      <c r="J168" s="34"/>
      <c r="N168" s="34"/>
    </row>
    <row r="169" spans="1:14" s="35" customFormat="1" x14ac:dyDescent="0.25">
      <c r="A169" s="84">
        <v>6</v>
      </c>
      <c r="B169" s="84"/>
      <c r="C169" s="70" t="s">
        <v>202</v>
      </c>
      <c r="D169" s="56">
        <f>(2.6*3.46+2.2*1.5+2.6*1.8+1.2*1.5+0.9*1.2+0.9*2.2+2.6*1+2.6*1+0.75*2.2+0.3*(2.6+2.6))*10.764</f>
        <v>325.56794400000001</v>
      </c>
      <c r="E169" s="56">
        <v>0</v>
      </c>
      <c r="F169" s="70">
        <f t="shared" ref="F169" si="9">D169*(($F$151)+1)+(IF(E169&lt;101,E169,IF(E169&lt;201,E169/2,IF(E169&lt;=301,E169/3,E169/4))))</f>
        <v>488.35191600000002</v>
      </c>
      <c r="G169" s="84"/>
      <c r="H169" s="84"/>
      <c r="I169" s="34"/>
      <c r="J169" s="34"/>
      <c r="N169" s="34"/>
    </row>
    <row r="170" spans="1:14" s="35" customFormat="1" ht="15.75" customHeight="1" x14ac:dyDescent="0.25">
      <c r="A170" s="115" t="s">
        <v>216</v>
      </c>
      <c r="B170" s="115"/>
      <c r="C170" s="115"/>
      <c r="D170" s="115"/>
      <c r="E170" s="115"/>
      <c r="F170" s="115"/>
      <c r="G170" s="115"/>
      <c r="H170" s="115"/>
      <c r="J170" s="34"/>
    </row>
    <row r="171" spans="1:14" s="35" customFormat="1" x14ac:dyDescent="0.25">
      <c r="A171" s="117" t="s">
        <v>199</v>
      </c>
      <c r="B171" s="118"/>
      <c r="C171" s="118"/>
      <c r="D171" s="118"/>
      <c r="E171" s="118"/>
      <c r="F171" s="118"/>
      <c r="G171" s="118"/>
      <c r="H171" s="119"/>
      <c r="J171" s="34"/>
    </row>
    <row r="172" spans="1:14" s="35" customFormat="1" x14ac:dyDescent="0.25">
      <c r="A172" s="85">
        <v>1</v>
      </c>
      <c r="B172" s="87"/>
      <c r="C172" s="40" t="s">
        <v>201</v>
      </c>
      <c r="D172" s="56">
        <f>(3.7*2.75+2.09*1.58+2.6*2+3*4.03+3*3.03+1.2*1.8+0.9*2.6+1.2*1.5+0.75*(1.5+2.09+1.7)+2.6*1+3*1+0.3*2.6)*10.764</f>
        <v>608.21659080000006</v>
      </c>
      <c r="E172" s="40">
        <v>0</v>
      </c>
      <c r="F172" s="40">
        <f>D172*(($F$151)+1)+(IF(E172&lt;101,E172,IF(E172&lt;201,E172/2,IF(E172&lt;=301,E172/3,E172/4))))</f>
        <v>912.32488620000004</v>
      </c>
      <c r="G172" s="98" t="str">
        <f>A171</f>
        <v>1st Floor for Commercial &amp; Residential</v>
      </c>
      <c r="H172" s="99"/>
      <c r="I172" s="34">
        <v>1130</v>
      </c>
      <c r="J172" s="55"/>
      <c r="L172" s="116"/>
      <c r="M172" s="116"/>
      <c r="N172" s="34"/>
    </row>
    <row r="173" spans="1:14" s="35" customFormat="1" x14ac:dyDescent="0.25">
      <c r="A173" s="115" t="s">
        <v>121</v>
      </c>
      <c r="B173" s="115"/>
      <c r="C173" s="115"/>
      <c r="D173" s="115"/>
      <c r="E173" s="115"/>
      <c r="F173" s="115"/>
      <c r="G173" s="115"/>
      <c r="H173" s="115"/>
      <c r="I173" s="34"/>
      <c r="L173" s="116"/>
      <c r="M173" s="116"/>
    </row>
    <row r="174" spans="1:14" s="35" customFormat="1" x14ac:dyDescent="0.25">
      <c r="A174" s="84">
        <v>1</v>
      </c>
      <c r="B174" s="84"/>
      <c r="C174" s="40" t="s">
        <v>202</v>
      </c>
      <c r="D174" s="56">
        <f>(1.1*1.8+2.6*3.46+2.2*1.5+2.6*2.97+1.2*1.5+0.9*1.2+0.9*2.2+2.6*1+0.75*(2.6+2.2+2.6))*10.764</f>
        <v>376.82611200000002</v>
      </c>
      <c r="E174" s="56">
        <v>0</v>
      </c>
      <c r="F174" s="40">
        <f t="shared" ref="F174:F175" si="10">D174*(($F$151)+1)+(IF(E174&lt;101,E174,IF(E174&lt;201,E174/2,IF(E174&lt;=301,E174/3,E174/4))))</f>
        <v>565.23916800000006</v>
      </c>
      <c r="G174" s="96" t="str">
        <f>A173</f>
        <v>2nd Floor</v>
      </c>
      <c r="H174" s="97"/>
      <c r="I174" s="34"/>
      <c r="J174" s="34"/>
      <c r="K174" s="34"/>
      <c r="N174" s="34"/>
    </row>
    <row r="175" spans="1:14" s="35" customFormat="1" x14ac:dyDescent="0.25">
      <c r="A175" s="84">
        <v>2</v>
      </c>
      <c r="B175" s="84"/>
      <c r="C175" s="40" t="s">
        <v>203</v>
      </c>
      <c r="D175" s="56">
        <f>(3*4+2*2.33+3*2.6+2.75*2.97+2*1.2+2*1.2+0.9*5)*10.764</f>
        <v>451.3076099999999</v>
      </c>
      <c r="E175" s="56">
        <f>(9+3.72)*10.764</f>
        <v>136.91808</v>
      </c>
      <c r="F175" s="40">
        <f t="shared" si="10"/>
        <v>745.42045499999983</v>
      </c>
      <c r="G175" s="98"/>
      <c r="H175" s="99"/>
      <c r="I175" s="34"/>
      <c r="J175" s="34"/>
      <c r="N175" s="34"/>
    </row>
    <row r="176" spans="1:14" s="35" customFormat="1" x14ac:dyDescent="0.25">
      <c r="A176" s="84">
        <f t="shared" ref="A176:A177" si="11">A175+1</f>
        <v>3</v>
      </c>
      <c r="B176" s="84"/>
      <c r="C176" s="40" t="s">
        <v>202</v>
      </c>
      <c r="D176" s="56">
        <f>(3*3.8+2.2*1.5+2.75*2.97+1.2*1.5+0.9*1.2+0.9*1.2+1.2*0.9+0.75*2.2)*10.764</f>
        <v>318.15692999999993</v>
      </c>
      <c r="E176" s="56">
        <f>(5.7+2.83)*10.764</f>
        <v>91.81692000000001</v>
      </c>
      <c r="F176" s="40">
        <f>D176*(($F$151)+1)+(IF(E176&lt;101,E176,IF(E176&lt;201,E176/2,IF(E176&lt;=301,E176/3,E176/4))))</f>
        <v>569.05231499999991</v>
      </c>
      <c r="G176" s="98"/>
      <c r="H176" s="99"/>
      <c r="I176" s="34"/>
      <c r="J176" s="34"/>
      <c r="N176" s="34"/>
    </row>
    <row r="177" spans="1:14" s="35" customFormat="1" x14ac:dyDescent="0.25">
      <c r="A177" s="84">
        <f t="shared" si="11"/>
        <v>4</v>
      </c>
      <c r="B177" s="84"/>
      <c r="C177" s="40" t="s">
        <v>202</v>
      </c>
      <c r="D177" s="56">
        <f>(3*3.8+2.2*1.5+2.75*2.97+1.2*1.5+0.9*1.2+0.9*1.2+1.2*0.9+0.75*2.2)*10.764</f>
        <v>318.15692999999993</v>
      </c>
      <c r="E177" s="56">
        <f>(5.7+2.83)*10.764</f>
        <v>91.81692000000001</v>
      </c>
      <c r="F177" s="40">
        <f>D177*(($F$151)+1)+(IF(E177&lt;101,E177,IF(E177&lt;201,E177/2,IF(E177&lt;=301,E177/3,E177/4))))</f>
        <v>569.05231499999991</v>
      </c>
      <c r="G177" s="98"/>
      <c r="H177" s="99"/>
      <c r="I177" s="34"/>
      <c r="J177" s="34"/>
      <c r="N177" s="34"/>
    </row>
    <row r="178" spans="1:14" s="35" customFormat="1" x14ac:dyDescent="0.25">
      <c r="A178" s="84">
        <v>5</v>
      </c>
      <c r="B178" s="84"/>
      <c r="C178" s="40" t="s">
        <v>200</v>
      </c>
      <c r="D178" s="56">
        <f>(3*4.03+1.25*1.2+2*2.33+3*1.8+3*2.97+2*1.2+1.5*1.2+0.9*5.85+3*1+3*1+0.75*(1.7+3))*10.764</f>
        <v>554.88419999999996</v>
      </c>
      <c r="E178" s="56">
        <v>0</v>
      </c>
      <c r="F178" s="40">
        <f>D178*(($F$151)+1)+(IF(E178&lt;101,E178,IF(E178&lt;201,E178/2,IF(E178&lt;=301,E178/3,E178/4))))</f>
        <v>832.32629999999995</v>
      </c>
      <c r="G178" s="98"/>
      <c r="H178" s="99"/>
      <c r="I178" s="34"/>
      <c r="J178" s="34"/>
      <c r="N178" s="34"/>
    </row>
    <row r="179" spans="1:14" s="35" customFormat="1" x14ac:dyDescent="0.25">
      <c r="A179" s="84">
        <f>A178+1</f>
        <v>6</v>
      </c>
      <c r="B179" s="84"/>
      <c r="C179" s="40" t="s">
        <v>202</v>
      </c>
      <c r="D179" s="56">
        <f>(3.7*2.75+2.09*1.58+2.6*2+1.5*1.2+1.2*0.9+0.9*0.6+1*1.2+2.6*1+0.75*(1.5+2.09)+0.3*2.6)*10.764</f>
        <v>316.1354508</v>
      </c>
      <c r="E179" s="56">
        <v>0</v>
      </c>
      <c r="F179" s="40">
        <f>D179*(($F$151)+1)+(IF(E179&lt;101,E179,IF(E179&lt;201,E179/2,IF(E179&lt;=301,E179/3,E179/4))))</f>
        <v>474.20317620000003</v>
      </c>
      <c r="G179" s="100"/>
      <c r="H179" s="101"/>
      <c r="I179" s="34"/>
      <c r="J179" s="34"/>
      <c r="K179" s="34"/>
      <c r="N179" s="34"/>
    </row>
    <row r="180" spans="1:14" s="35" customFormat="1" x14ac:dyDescent="0.25">
      <c r="A180" s="115" t="s">
        <v>228</v>
      </c>
      <c r="B180" s="115"/>
      <c r="C180" s="115"/>
      <c r="D180" s="115"/>
      <c r="E180" s="115"/>
      <c r="F180" s="115"/>
      <c r="G180" s="115"/>
      <c r="H180" s="115"/>
      <c r="I180" s="34"/>
      <c r="L180" s="116"/>
      <c r="M180" s="116"/>
    </row>
    <row r="181" spans="1:14" s="35" customFormat="1" x14ac:dyDescent="0.25">
      <c r="A181" s="84">
        <v>1</v>
      </c>
      <c r="B181" s="84"/>
      <c r="C181" s="40" t="s">
        <v>202</v>
      </c>
      <c r="D181" s="56">
        <f>(1.1*1.8+2.6*3.46+2.2*1.5+2.6*2.97+1.2*1.5+0.9*1.2+0.9*2.2+2.6*1+0.75*(2.6+2.2+2.6))*10.764</f>
        <v>376.82611200000002</v>
      </c>
      <c r="E181" s="56">
        <v>0</v>
      </c>
      <c r="F181" s="40">
        <f t="shared" ref="F181:F182" si="12">D181*(($F$151)+1)+(IF(E181&lt;101,E181,IF(E181&lt;201,E181/2,IF(E181&lt;=301,E181/3,E181/4))))</f>
        <v>565.23916800000006</v>
      </c>
      <c r="G181" s="96" t="str">
        <f>A180</f>
        <v>3rd Floor</v>
      </c>
      <c r="H181" s="97"/>
      <c r="I181" s="34"/>
      <c r="J181" s="34"/>
      <c r="K181" s="34"/>
      <c r="N181" s="34"/>
    </row>
    <row r="182" spans="1:14" s="35" customFormat="1" x14ac:dyDescent="0.25">
      <c r="A182" s="84">
        <v>2</v>
      </c>
      <c r="B182" s="84"/>
      <c r="C182" s="40" t="s">
        <v>203</v>
      </c>
      <c r="D182" s="56">
        <f>(3*4+2*2.33+3*2.6+2.75*2.97+2*1.2+2*1.2+0.9*5)*10.764</f>
        <v>451.3076099999999</v>
      </c>
      <c r="E182" s="56">
        <v>0</v>
      </c>
      <c r="F182" s="40">
        <f t="shared" si="12"/>
        <v>676.96141499999987</v>
      </c>
      <c r="G182" s="98"/>
      <c r="H182" s="99"/>
      <c r="I182" s="34"/>
      <c r="J182" s="34"/>
      <c r="N182" s="34"/>
    </row>
    <row r="183" spans="1:14" s="35" customFormat="1" x14ac:dyDescent="0.25">
      <c r="A183" s="84">
        <f t="shared" ref="A183:A184" si="13">A182+1</f>
        <v>3</v>
      </c>
      <c r="B183" s="84"/>
      <c r="C183" s="40" t="s">
        <v>202</v>
      </c>
      <c r="D183" s="56">
        <f>(3*3.8+2.2*1.5+2.75*2.97+1.2*1.5+0.9*1.2+0.9*1.2+1.2*0.9+0.75*2.2+3*0.75+0.75*2.75)*10.764</f>
        <v>364.57667999999995</v>
      </c>
      <c r="E183" s="56">
        <v>0</v>
      </c>
      <c r="F183" s="40">
        <f>D183*(($F$151)+1)+(IF(E183&lt;101,E183,IF(E183&lt;201,E183/2,IF(E183&lt;=301,E183/3,E183/4))))</f>
        <v>546.86501999999996</v>
      </c>
      <c r="G183" s="98"/>
      <c r="H183" s="99"/>
      <c r="I183" s="34">
        <f>F183*F80</f>
        <v>1996057.3229999999</v>
      </c>
      <c r="J183" s="34">
        <f>I183+200000</f>
        <v>2196057.3229999999</v>
      </c>
      <c r="K183" s="35">
        <f>I183/0.85</f>
        <v>2348302.7329411763</v>
      </c>
      <c r="N183" s="34"/>
    </row>
    <row r="184" spans="1:14" s="35" customFormat="1" x14ac:dyDescent="0.25">
      <c r="A184" s="84">
        <f t="shared" si="13"/>
        <v>4</v>
      </c>
      <c r="B184" s="84"/>
      <c r="C184" s="40" t="s">
        <v>202</v>
      </c>
      <c r="D184" s="56">
        <f>(3*3.8+2.2*1.5+2.75*2.97+1.2*1.5+0.9*1.2+0.9*1.2+1.2*0.9+0.75*2.2+3*0.75+0.75*2.75)*10.764</f>
        <v>364.57667999999995</v>
      </c>
      <c r="E184" s="56">
        <v>0</v>
      </c>
      <c r="F184" s="40">
        <v>576</v>
      </c>
      <c r="G184" s="98"/>
      <c r="H184" s="99"/>
      <c r="I184" s="34">
        <f>F184*F80</f>
        <v>2102400</v>
      </c>
      <c r="J184" s="34">
        <f>I184+200000</f>
        <v>2302400</v>
      </c>
      <c r="N184" s="34"/>
    </row>
    <row r="185" spans="1:14" s="35" customFormat="1" x14ac:dyDescent="0.25">
      <c r="A185" s="84">
        <v>5</v>
      </c>
      <c r="B185" s="84"/>
      <c r="C185" s="40" t="s">
        <v>200</v>
      </c>
      <c r="D185" s="56">
        <f>(3*4.03+1.25*1.2+2*2.33+3*1.8+3*2.97+2*1.2+1.5*1.2+0.9*5.85+3*1+3*1+0.75*(1.7+3))*10.764</f>
        <v>554.88419999999996</v>
      </c>
      <c r="E185" s="56">
        <v>0</v>
      </c>
      <c r="F185" s="40">
        <f>D185*(($F$151)+1)+(IF(E185&lt;101,E185,IF(E185&lt;201,E185/2,IF(E185&lt;=301,E185/3,E185/4))))</f>
        <v>832.32629999999995</v>
      </c>
      <c r="G185" s="98"/>
      <c r="H185" s="99"/>
      <c r="I185" s="34"/>
      <c r="J185" s="34"/>
      <c r="N185" s="34"/>
    </row>
    <row r="186" spans="1:14" s="35" customFormat="1" x14ac:dyDescent="0.25">
      <c r="A186" s="84">
        <f>A185+1</f>
        <v>6</v>
      </c>
      <c r="B186" s="84"/>
      <c r="C186" s="40" t="s">
        <v>202</v>
      </c>
      <c r="D186" s="56">
        <f>(3.7*2.75+2.09*1.58+2.6*2+1.5*1.2+1.2*0.9+0.9*0.6+1*1.2+2.6*1+0.75*(1.5+2.09)+0.3*2.6)*10.764</f>
        <v>316.1354508</v>
      </c>
      <c r="E186" s="56">
        <v>0</v>
      </c>
      <c r="F186" s="40">
        <f>D186*(($F$151)+1)+(IF(E186&lt;101,E186,IF(E186&lt;201,E186/2,IF(E186&lt;=301,E186/3,E186/4))))</f>
        <v>474.20317620000003</v>
      </c>
      <c r="G186" s="100"/>
      <c r="H186" s="101"/>
      <c r="I186" s="34"/>
      <c r="J186" s="34"/>
      <c r="K186" s="34"/>
      <c r="N186" s="34"/>
    </row>
    <row r="187" spans="1:14" s="67" customFormat="1" x14ac:dyDescent="0.25">
      <c r="A187" s="115" t="s">
        <v>229</v>
      </c>
      <c r="B187" s="115"/>
      <c r="C187" s="115"/>
      <c r="D187" s="115"/>
      <c r="E187" s="115"/>
      <c r="F187" s="115"/>
      <c r="G187" s="115"/>
      <c r="H187" s="115"/>
      <c r="I187" s="34"/>
      <c r="L187" s="116"/>
      <c r="M187" s="116"/>
    </row>
    <row r="188" spans="1:14" s="67" customFormat="1" x14ac:dyDescent="0.25">
      <c r="A188" s="84">
        <v>1</v>
      </c>
      <c r="B188" s="84"/>
      <c r="C188" s="68" t="s">
        <v>202</v>
      </c>
      <c r="D188" s="56">
        <f>(1.1*1.8+2.6*3.46+2.2*1.5+2.6*2.97+1.2*1.5+0.9*1.2+0.9*2.2+2.6*1+0.75*(2.6+2.2+2.6))*10.764</f>
        <v>376.82611200000002</v>
      </c>
      <c r="E188" s="56">
        <v>0</v>
      </c>
      <c r="F188" s="68">
        <f t="shared" ref="F188:F189" si="14">D188*(($F$151)+1)+(IF(E188&lt;101,E188,IF(E188&lt;201,E188/2,IF(E188&lt;=301,E188/3,E188/4))))</f>
        <v>565.23916800000006</v>
      </c>
      <c r="G188" s="96" t="str">
        <f>A187</f>
        <v>4th Floor</v>
      </c>
      <c r="H188" s="97"/>
      <c r="I188" s="34"/>
      <c r="J188" s="34"/>
      <c r="K188" s="34"/>
      <c r="N188" s="34"/>
    </row>
    <row r="189" spans="1:14" s="67" customFormat="1" x14ac:dyDescent="0.25">
      <c r="A189" s="84">
        <v>2</v>
      </c>
      <c r="B189" s="84"/>
      <c r="C189" s="68" t="s">
        <v>203</v>
      </c>
      <c r="D189" s="56">
        <f>(3*4+2*2.33+3*2.6+2.75*2.97+2*1.2+2*1.2+0.9*5)*10.764</f>
        <v>451.3076099999999</v>
      </c>
      <c r="E189" s="56">
        <v>0</v>
      </c>
      <c r="F189" s="68">
        <f t="shared" si="14"/>
        <v>676.96141499999987</v>
      </c>
      <c r="G189" s="98"/>
      <c r="H189" s="99"/>
      <c r="I189" s="34"/>
      <c r="J189" s="34"/>
      <c r="N189" s="34"/>
    </row>
    <row r="190" spans="1:14" s="67" customFormat="1" x14ac:dyDescent="0.25">
      <c r="A190" s="84">
        <f t="shared" ref="A190:A191" si="15">A189+1</f>
        <v>3</v>
      </c>
      <c r="B190" s="84"/>
      <c r="C190" s="68" t="s">
        <v>202</v>
      </c>
      <c r="D190" s="56">
        <f>(3*3.8+2.2*1.5+2.75*2.97+1.2*1.5+0.9*1.2+0.9*1.2+1.2*0.9+0.75*2.2+3*0.75+0.75*2.75)*10.764</f>
        <v>364.57667999999995</v>
      </c>
      <c r="E190" s="56">
        <v>0</v>
      </c>
      <c r="F190" s="68">
        <f>D190*(($F$151)+1)+(IF(E190&lt;101,E190,IF(E190&lt;201,E190/2,IF(E190&lt;=301,E190/3,E190/4))))</f>
        <v>546.86501999999996</v>
      </c>
      <c r="G190" s="98"/>
      <c r="H190" s="99"/>
      <c r="I190" s="34"/>
      <c r="J190" s="34"/>
      <c r="N190" s="34"/>
    </row>
    <row r="191" spans="1:14" s="67" customFormat="1" x14ac:dyDescent="0.25">
      <c r="A191" s="84">
        <f t="shared" si="15"/>
        <v>4</v>
      </c>
      <c r="B191" s="84"/>
      <c r="C191" s="68" t="s">
        <v>202</v>
      </c>
      <c r="D191" s="56">
        <f>(3*3.8+2.2*1.5+2.75*2.97+1.2*1.5+0.9*1.2+0.9*1.2+1.2*0.9+0.75*2.2+3*0.75+0.75*2.75)*10.764</f>
        <v>364.57667999999995</v>
      </c>
      <c r="E191" s="56">
        <v>0</v>
      </c>
      <c r="F191" s="68">
        <f>D191*(($F$151)+1)+(IF(E191&lt;101,E191,IF(E191&lt;201,E191/2,IF(E191&lt;=301,E191/3,E191/4))))</f>
        <v>546.86501999999996</v>
      </c>
      <c r="G191" s="98"/>
      <c r="H191" s="99"/>
      <c r="I191" s="34"/>
      <c r="J191" s="34"/>
      <c r="N191" s="34"/>
    </row>
    <row r="192" spans="1:14" s="67" customFormat="1" x14ac:dyDescent="0.25">
      <c r="A192" s="84">
        <v>5</v>
      </c>
      <c r="B192" s="84"/>
      <c r="C192" s="68" t="s">
        <v>200</v>
      </c>
      <c r="D192" s="56">
        <f>(3*4.03+1.25*1.2+2*2.33+3*1.8+3*2.97+2*1.2+1.5*1.2+0.9*5.85+3*1+3*1+0.75*(1.7+3))*10.764</f>
        <v>554.88419999999996</v>
      </c>
      <c r="E192" s="56">
        <v>0</v>
      </c>
      <c r="F192" s="68">
        <f>D192*(($F$151)+1)+(IF(E192&lt;101,E192,IF(E192&lt;201,E192/2,IF(E192&lt;=301,E192/3,E192/4))))</f>
        <v>832.32629999999995</v>
      </c>
      <c r="G192" s="98"/>
      <c r="H192" s="99"/>
      <c r="I192" s="34"/>
      <c r="J192" s="34"/>
      <c r="N192" s="34"/>
    </row>
    <row r="193" spans="1:14" s="67" customFormat="1" x14ac:dyDescent="0.25">
      <c r="A193" s="84">
        <f>A192+1</f>
        <v>6</v>
      </c>
      <c r="B193" s="84"/>
      <c r="C193" s="68" t="s">
        <v>202</v>
      </c>
      <c r="D193" s="56">
        <f>(3.7*2.75+2.09*1.58+2.6*2+1.5*1.2+1.2*0.9+0.9*0.6+1*1.2+2.6*1+0.75*(1.5+2.09)+0.3*2.6)*10.764</f>
        <v>316.1354508</v>
      </c>
      <c r="E193" s="56">
        <v>0</v>
      </c>
      <c r="F193" s="68">
        <f>D193*(($F$151)+1)+(IF(E193&lt;101,E193,IF(E193&lt;201,E193/2,IF(E193&lt;=301,E193/3,E193/4))))</f>
        <v>474.20317620000003</v>
      </c>
      <c r="G193" s="100"/>
      <c r="H193" s="101"/>
      <c r="I193" s="34"/>
      <c r="J193" s="34"/>
      <c r="K193" s="34"/>
      <c r="N193" s="34"/>
    </row>
    <row r="194" spans="1:14" s="33" customFormat="1" x14ac:dyDescent="0.25">
      <c r="A194" s="113" t="s">
        <v>70</v>
      </c>
      <c r="B194" s="113"/>
      <c r="C194" s="113"/>
      <c r="D194" s="113"/>
      <c r="E194" s="113"/>
      <c r="F194" s="113"/>
      <c r="G194" s="113"/>
      <c r="H194" s="113"/>
    </row>
    <row r="195" spans="1:14" s="53" customFormat="1" x14ac:dyDescent="0.25">
      <c r="A195" s="52" t="s">
        <v>158</v>
      </c>
      <c r="B195" s="103" t="s">
        <v>237</v>
      </c>
      <c r="C195" s="104"/>
      <c r="D195" s="104"/>
      <c r="E195" s="104"/>
      <c r="F195" s="104"/>
      <c r="G195" s="104"/>
      <c r="H195" s="105"/>
    </row>
    <row r="196" spans="1:14" s="33" customFormat="1" x14ac:dyDescent="0.25">
      <c r="A196" s="43" t="s">
        <v>158</v>
      </c>
      <c r="B196" s="103" t="str">
        <f>(IF(F150="Saleable area Loading :","We have considered Saleable area of Flats as per our Calculation.","We considered Saleable area of Flat as per Builder area Sheet."))</f>
        <v>We have considered Saleable area of Flats as per our Calculation.</v>
      </c>
      <c r="C196" s="104"/>
      <c r="D196" s="104"/>
      <c r="E196" s="104"/>
      <c r="F196" s="104"/>
      <c r="G196" s="104"/>
      <c r="H196" s="105"/>
    </row>
    <row r="197" spans="1:14" s="33" customFormat="1" x14ac:dyDescent="0.25">
      <c r="A197" s="43" t="s">
        <v>158</v>
      </c>
      <c r="B197" s="103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7" s="104"/>
      <c r="D197" s="104"/>
      <c r="E197" s="104"/>
      <c r="F197" s="104"/>
      <c r="G197" s="104"/>
      <c r="H197" s="105"/>
    </row>
    <row r="198" spans="1:14" s="33" customFormat="1" x14ac:dyDescent="0.25">
      <c r="A198" s="43" t="s">
        <v>158</v>
      </c>
      <c r="B198" s="77" t="s">
        <v>128</v>
      </c>
      <c r="C198" s="78"/>
      <c r="D198" s="78"/>
      <c r="E198" s="78"/>
      <c r="F198" s="78"/>
      <c r="G198" s="78"/>
      <c r="H198" s="79"/>
    </row>
    <row r="199" spans="1:14" s="33" customFormat="1" x14ac:dyDescent="0.25">
      <c r="A199" s="43" t="s">
        <v>158</v>
      </c>
      <c r="B199" s="77" t="s">
        <v>205</v>
      </c>
      <c r="C199" s="78"/>
      <c r="D199" s="78"/>
      <c r="E199" s="78"/>
      <c r="F199" s="78"/>
      <c r="G199" s="78"/>
      <c r="H199" s="79"/>
    </row>
    <row r="200" spans="1:14" s="33" customFormat="1" x14ac:dyDescent="0.25">
      <c r="A200" s="43" t="s">
        <v>158</v>
      </c>
      <c r="B200" s="77" t="s">
        <v>157</v>
      </c>
      <c r="C200" s="78"/>
      <c r="D200" s="78"/>
      <c r="E200" s="78"/>
      <c r="F200" s="78"/>
      <c r="G200" s="78"/>
      <c r="H200" s="79"/>
    </row>
    <row r="201" spans="1:14" s="33" customFormat="1" x14ac:dyDescent="0.25">
      <c r="A201" s="43" t="s">
        <v>158</v>
      </c>
      <c r="B201" s="77" t="s">
        <v>129</v>
      </c>
      <c r="C201" s="78"/>
      <c r="D201" s="78"/>
      <c r="E201" s="78"/>
      <c r="F201" s="78"/>
      <c r="G201" s="78"/>
      <c r="H201" s="79"/>
    </row>
    <row r="202" spans="1:14" s="33" customFormat="1" ht="34.5" customHeight="1" x14ac:dyDescent="0.25">
      <c r="A202" s="43" t="s">
        <v>158</v>
      </c>
      <c r="B202" s="77" t="s">
        <v>159</v>
      </c>
      <c r="C202" s="78"/>
      <c r="D202" s="78"/>
      <c r="E202" s="78"/>
      <c r="F202" s="78"/>
      <c r="G202" s="78"/>
      <c r="H202" s="79"/>
    </row>
    <row r="203" spans="1:14" s="33" customFormat="1" x14ac:dyDescent="0.25">
      <c r="A203" s="43" t="s">
        <v>158</v>
      </c>
      <c r="B203" s="77" t="s">
        <v>130</v>
      </c>
      <c r="C203" s="78"/>
      <c r="D203" s="78"/>
      <c r="E203" s="78"/>
      <c r="F203" s="78"/>
      <c r="G203" s="78"/>
      <c r="H203" s="79"/>
    </row>
    <row r="204" spans="1:14" s="33" customFormat="1" ht="48" customHeight="1" x14ac:dyDescent="0.25">
      <c r="A204" s="43" t="s">
        <v>158</v>
      </c>
      <c r="B204" s="103" t="s">
        <v>217</v>
      </c>
      <c r="C204" s="104"/>
      <c r="D204" s="104"/>
      <c r="E204" s="104"/>
      <c r="F204" s="104"/>
      <c r="G204" s="104"/>
      <c r="H204" s="105"/>
    </row>
    <row r="205" spans="1:14" s="33" customFormat="1" x14ac:dyDescent="0.25">
      <c r="A205" s="69" t="s">
        <v>158</v>
      </c>
      <c r="B205" s="77" t="s">
        <v>226</v>
      </c>
      <c r="C205" s="78"/>
      <c r="D205" s="78"/>
      <c r="E205" s="78"/>
      <c r="F205" s="78"/>
      <c r="G205" s="78"/>
      <c r="H205" s="79"/>
    </row>
    <row r="206" spans="1:14" s="33" customFormat="1" x14ac:dyDescent="0.25">
      <c r="A206" s="63" t="s">
        <v>158</v>
      </c>
      <c r="B206" s="77" t="s">
        <v>230</v>
      </c>
      <c r="C206" s="78"/>
      <c r="D206" s="78"/>
      <c r="E206" s="78"/>
      <c r="F206" s="78"/>
      <c r="G206" s="78"/>
      <c r="H206" s="79"/>
    </row>
    <row r="207" spans="1:14" x14ac:dyDescent="0.25">
      <c r="A207" s="174" t="s">
        <v>63</v>
      </c>
      <c r="B207" s="174"/>
      <c r="C207" s="174"/>
      <c r="D207" s="174"/>
      <c r="E207" s="174"/>
      <c r="F207" s="174"/>
      <c r="G207" s="174"/>
      <c r="H207" s="174"/>
    </row>
    <row r="208" spans="1:14" x14ac:dyDescent="0.25">
      <c r="A208" s="81" t="s">
        <v>64</v>
      </c>
      <c r="B208" s="81"/>
      <c r="C208" s="81"/>
      <c r="D208" s="81"/>
      <c r="E208" s="81"/>
      <c r="F208" s="81"/>
      <c r="G208" s="81"/>
      <c r="H208" s="81"/>
    </row>
    <row r="209" spans="1:8" ht="15.75" customHeight="1" x14ac:dyDescent="0.25">
      <c r="A209" s="180" t="s">
        <v>65</v>
      </c>
      <c r="B209" s="180"/>
      <c r="C209" s="180"/>
      <c r="D209" s="180"/>
      <c r="E209" s="180"/>
      <c r="F209" s="180"/>
      <c r="G209" s="180"/>
      <c r="H209" s="180"/>
    </row>
    <row r="210" spans="1:8" x14ac:dyDescent="0.25">
      <c r="A210" s="81" t="s">
        <v>66</v>
      </c>
      <c r="B210" s="81"/>
      <c r="C210" s="81"/>
      <c r="D210" s="81"/>
      <c r="E210" s="81"/>
      <c r="F210" s="81"/>
      <c r="G210" s="81"/>
      <c r="H210" s="81"/>
    </row>
    <row r="211" spans="1:8" x14ac:dyDescent="0.25">
      <c r="A211" s="81" t="s">
        <v>67</v>
      </c>
      <c r="B211" s="81"/>
      <c r="C211" s="81"/>
      <c r="D211" s="81"/>
      <c r="E211" s="81"/>
      <c r="F211" s="81"/>
      <c r="G211" s="81"/>
      <c r="H211" s="81"/>
    </row>
    <row r="212" spans="1:8" x14ac:dyDescent="0.25">
      <c r="A212" s="81" t="s">
        <v>131</v>
      </c>
      <c r="B212" s="81"/>
      <c r="C212" s="81"/>
      <c r="D212" s="81"/>
      <c r="E212" s="81"/>
      <c r="F212" s="81"/>
      <c r="G212" s="81"/>
      <c r="H212" s="81"/>
    </row>
    <row r="213" spans="1:8" x14ac:dyDescent="0.25">
      <c r="A213" s="127" t="s">
        <v>132</v>
      </c>
      <c r="B213" s="127"/>
      <c r="C213" s="127"/>
      <c r="D213" s="127"/>
      <c r="E213" s="127"/>
      <c r="F213" s="127"/>
      <c r="G213" s="127"/>
      <c r="H213" s="127"/>
    </row>
    <row r="214" spans="1:8" x14ac:dyDescent="0.25">
      <c r="A214" s="173" t="s">
        <v>80</v>
      </c>
      <c r="B214" s="173"/>
      <c r="C214" s="173" t="s">
        <v>236</v>
      </c>
      <c r="D214" s="173"/>
      <c r="E214" s="173" t="s">
        <v>108</v>
      </c>
      <c r="F214" s="173"/>
      <c r="G214" s="173" t="s">
        <v>235</v>
      </c>
      <c r="H214" s="173"/>
    </row>
    <row r="215" spans="1:8" x14ac:dyDescent="0.25">
      <c r="A215" s="172" t="s">
        <v>82</v>
      </c>
      <c r="B215" s="172"/>
      <c r="C215" s="172"/>
      <c r="D215" s="172"/>
      <c r="E215" s="172"/>
      <c r="F215" s="172"/>
      <c r="G215" s="172"/>
      <c r="H215" s="172"/>
    </row>
    <row r="216" spans="1:8" x14ac:dyDescent="0.25">
      <c r="A216" s="172"/>
      <c r="B216" s="172"/>
      <c r="C216" s="172"/>
      <c r="D216" s="172"/>
      <c r="E216" s="172"/>
      <c r="F216" s="172"/>
      <c r="G216" s="172"/>
      <c r="H216" s="172"/>
    </row>
    <row r="217" spans="1:8" x14ac:dyDescent="0.25">
      <c r="A217" s="172"/>
      <c r="B217" s="172"/>
      <c r="C217" s="172"/>
      <c r="D217" s="172"/>
      <c r="E217" s="172"/>
      <c r="F217" s="172"/>
      <c r="G217" s="172"/>
      <c r="H217" s="172"/>
    </row>
    <row r="218" spans="1:8" x14ac:dyDescent="0.25">
      <c r="A218" s="172"/>
      <c r="B218" s="172"/>
      <c r="C218" s="172"/>
      <c r="D218" s="172"/>
      <c r="E218" s="172"/>
      <c r="F218" s="172"/>
      <c r="G218" s="172"/>
      <c r="H218" s="172"/>
    </row>
    <row r="219" spans="1:8" x14ac:dyDescent="0.25">
      <c r="A219" s="36" t="s">
        <v>68</v>
      </c>
      <c r="B219" s="37"/>
      <c r="C219" s="37"/>
      <c r="D219" s="36" t="str">
        <f>E8</f>
        <v>Balaji Krupa</v>
      </c>
      <c r="F219" s="37"/>
      <c r="G219" s="37"/>
      <c r="H219" s="37"/>
    </row>
    <row r="220" spans="1:8" x14ac:dyDescent="0.25">
      <c r="A220" s="37"/>
      <c r="B220" s="37"/>
      <c r="C220" s="37"/>
      <c r="D220" s="37"/>
      <c r="E220" s="37"/>
      <c r="F220" s="37"/>
      <c r="G220" s="37"/>
      <c r="H220" s="37"/>
    </row>
    <row r="221" spans="1:8" x14ac:dyDescent="0.25">
      <c r="A221" s="37"/>
      <c r="B221" s="37"/>
      <c r="C221" s="37"/>
      <c r="D221" s="37"/>
      <c r="E221" s="37"/>
      <c r="F221" s="37"/>
      <c r="G221" s="37"/>
      <c r="H221" s="37"/>
    </row>
    <row r="222" spans="1:8" ht="15" customHeight="1" x14ac:dyDescent="0.25"/>
    <row r="263" spans="1:1" x14ac:dyDescent="0.25">
      <c r="A263" s="39" t="s">
        <v>170</v>
      </c>
    </row>
    <row r="305" spans="1:1" x14ac:dyDescent="0.25">
      <c r="A305" s="39"/>
    </row>
    <row r="348" spans="1:1" x14ac:dyDescent="0.25">
      <c r="A348" s="39" t="s">
        <v>69</v>
      </c>
    </row>
  </sheetData>
  <mergeCells count="401">
    <mergeCell ref="B205:H205"/>
    <mergeCell ref="I81:M81"/>
    <mergeCell ref="A187:H187"/>
    <mergeCell ref="L187:M187"/>
    <mergeCell ref="A188:B188"/>
    <mergeCell ref="G188:H193"/>
    <mergeCell ref="A189:B189"/>
    <mergeCell ref="A190:B190"/>
    <mergeCell ref="A191:B191"/>
    <mergeCell ref="A192:B192"/>
    <mergeCell ref="A193:B193"/>
    <mergeCell ref="A142:B142"/>
    <mergeCell ref="L142:M142"/>
    <mergeCell ref="A143:B143"/>
    <mergeCell ref="L143:M143"/>
    <mergeCell ref="A144:B144"/>
    <mergeCell ref="L144:M144"/>
    <mergeCell ref="L163:M163"/>
    <mergeCell ref="A164:B164"/>
    <mergeCell ref="G164:H169"/>
    <mergeCell ref="A165:B165"/>
    <mergeCell ref="A166:B166"/>
    <mergeCell ref="L155:M155"/>
    <mergeCell ref="L145:M145"/>
    <mergeCell ref="A146:B146"/>
    <mergeCell ref="L146:M146"/>
    <mergeCell ref="A147:B147"/>
    <mergeCell ref="L147:M147"/>
    <mergeCell ref="A148:B148"/>
    <mergeCell ref="L148:M148"/>
    <mergeCell ref="L154:M154"/>
    <mergeCell ref="C150:C151"/>
    <mergeCell ref="A153:H153"/>
    <mergeCell ref="A137:B137"/>
    <mergeCell ref="L137:M137"/>
    <mergeCell ref="A138:B138"/>
    <mergeCell ref="L138:M138"/>
    <mergeCell ref="A139:B139"/>
    <mergeCell ref="L139:M139"/>
    <mergeCell ref="A140:B140"/>
    <mergeCell ref="L140:M140"/>
    <mergeCell ref="A141:B141"/>
    <mergeCell ref="L141:M141"/>
    <mergeCell ref="A132:B132"/>
    <mergeCell ref="L132:M132"/>
    <mergeCell ref="A133:B133"/>
    <mergeCell ref="L133:M133"/>
    <mergeCell ref="A134:B134"/>
    <mergeCell ref="L134:M134"/>
    <mergeCell ref="L135:M135"/>
    <mergeCell ref="A136:B136"/>
    <mergeCell ref="L136:M136"/>
    <mergeCell ref="L113:M113"/>
    <mergeCell ref="A114:B114"/>
    <mergeCell ref="L114:M114"/>
    <mergeCell ref="A115:B115"/>
    <mergeCell ref="L121:M121"/>
    <mergeCell ref="A122:B122"/>
    <mergeCell ref="L122:M122"/>
    <mergeCell ref="L130:M130"/>
    <mergeCell ref="A131:B131"/>
    <mergeCell ref="L131:M131"/>
    <mergeCell ref="A57:C57"/>
    <mergeCell ref="A174:B174"/>
    <mergeCell ref="A94:B94"/>
    <mergeCell ref="A96:B96"/>
    <mergeCell ref="G100:H100"/>
    <mergeCell ref="D57:H57"/>
    <mergeCell ref="A116:B116"/>
    <mergeCell ref="L116:M116"/>
    <mergeCell ref="A117:B117"/>
    <mergeCell ref="L117:M117"/>
    <mergeCell ref="A103:B103"/>
    <mergeCell ref="C103:D103"/>
    <mergeCell ref="E103:F103"/>
    <mergeCell ref="G103:H103"/>
    <mergeCell ref="A119:B119"/>
    <mergeCell ref="L119:M119"/>
    <mergeCell ref="L112:M112"/>
    <mergeCell ref="L111:M111"/>
    <mergeCell ref="L110:M110"/>
    <mergeCell ref="L109:M109"/>
    <mergeCell ref="A118:B118"/>
    <mergeCell ref="L118:M118"/>
    <mergeCell ref="A126:B126"/>
    <mergeCell ref="L126:M126"/>
    <mergeCell ref="A212:H212"/>
    <mergeCell ref="A209:H209"/>
    <mergeCell ref="A162:B162"/>
    <mergeCell ref="A99:B99"/>
    <mergeCell ref="D150:D151"/>
    <mergeCell ref="E150:E151"/>
    <mergeCell ref="G150:H151"/>
    <mergeCell ref="A74:B74"/>
    <mergeCell ref="F80:H80"/>
    <mergeCell ref="G95:H95"/>
    <mergeCell ref="A127:B127"/>
    <mergeCell ref="A129:H129"/>
    <mergeCell ref="A130:B130"/>
    <mergeCell ref="G130:H148"/>
    <mergeCell ref="A135:B135"/>
    <mergeCell ref="A145:B145"/>
    <mergeCell ref="A184:B184"/>
    <mergeCell ref="A185:B185"/>
    <mergeCell ref="A186:B186"/>
    <mergeCell ref="A152:H152"/>
    <mergeCell ref="A171:H171"/>
    <mergeCell ref="G172:H172"/>
    <mergeCell ref="A172:B172"/>
    <mergeCell ref="A128:B128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G50:H50"/>
    <mergeCell ref="D54:H54"/>
    <mergeCell ref="C50:E50"/>
    <mergeCell ref="C49:E49"/>
    <mergeCell ref="A69:B69"/>
    <mergeCell ref="G68:H68"/>
    <mergeCell ref="A215:H218"/>
    <mergeCell ref="A214:B214"/>
    <mergeCell ref="E214:F214"/>
    <mergeCell ref="C214:D214"/>
    <mergeCell ref="G214:H214"/>
    <mergeCell ref="A93:H93"/>
    <mergeCell ref="A91:E91"/>
    <mergeCell ref="F91:H91"/>
    <mergeCell ref="A92:E92"/>
    <mergeCell ref="F92:H92"/>
    <mergeCell ref="A156:H156"/>
    <mergeCell ref="A100:B100"/>
    <mergeCell ref="A95:B95"/>
    <mergeCell ref="A210:H210"/>
    <mergeCell ref="A98:H98"/>
    <mergeCell ref="A213:H213"/>
    <mergeCell ref="A211:H211"/>
    <mergeCell ref="A207:H207"/>
    <mergeCell ref="A208:H208"/>
    <mergeCell ref="E99:F99"/>
    <mergeCell ref="B203:H203"/>
    <mergeCell ref="B201:H201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E41:H41"/>
    <mergeCell ref="A41:D41"/>
    <mergeCell ref="A48:B48"/>
    <mergeCell ref="C48:E48"/>
    <mergeCell ref="G48:H48"/>
    <mergeCell ref="C67:H67"/>
    <mergeCell ref="A36:H36"/>
    <mergeCell ref="A35:B35"/>
    <mergeCell ref="C35:E35"/>
    <mergeCell ref="A40:D40"/>
    <mergeCell ref="E40:H40"/>
    <mergeCell ref="A39:H39"/>
    <mergeCell ref="A58:C58"/>
    <mergeCell ref="A37:B37"/>
    <mergeCell ref="C37:H37"/>
    <mergeCell ref="A43:D43"/>
    <mergeCell ref="F35:H35"/>
    <mergeCell ref="A45:D45"/>
    <mergeCell ref="A46:H46"/>
    <mergeCell ref="D56:H56"/>
    <mergeCell ref="A56:C56"/>
    <mergeCell ref="G49:H49"/>
    <mergeCell ref="A50:B51"/>
    <mergeCell ref="A38:B38"/>
    <mergeCell ref="C38:H38"/>
    <mergeCell ref="A34:B34"/>
    <mergeCell ref="C34:E34"/>
    <mergeCell ref="E97:F97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4:D44"/>
    <mergeCell ref="A76:B76"/>
    <mergeCell ref="A75:B75"/>
    <mergeCell ref="A68:B68"/>
    <mergeCell ref="A71:B71"/>
    <mergeCell ref="A67:B67"/>
    <mergeCell ref="A65:B65"/>
    <mergeCell ref="C65:H65"/>
    <mergeCell ref="D60:H60"/>
    <mergeCell ref="L115:M115"/>
    <mergeCell ref="F79:H79"/>
    <mergeCell ref="F84:H84"/>
    <mergeCell ref="C106:C107"/>
    <mergeCell ref="B150:B151"/>
    <mergeCell ref="A112:B112"/>
    <mergeCell ref="A111:B111"/>
    <mergeCell ref="A85:E85"/>
    <mergeCell ref="F85:H85"/>
    <mergeCell ref="A86:E86"/>
    <mergeCell ref="A88:E88"/>
    <mergeCell ref="F82:H82"/>
    <mergeCell ref="A87:E87"/>
    <mergeCell ref="A82:E82"/>
    <mergeCell ref="A79:E79"/>
    <mergeCell ref="F83:H83"/>
    <mergeCell ref="A84:E84"/>
    <mergeCell ref="C99:D99"/>
    <mergeCell ref="G99:H99"/>
    <mergeCell ref="C100:D100"/>
    <mergeCell ref="E100:F100"/>
    <mergeCell ref="A70:B70"/>
    <mergeCell ref="A72:B72"/>
    <mergeCell ref="F86:H86"/>
    <mergeCell ref="A80:E80"/>
    <mergeCell ref="A108:H108"/>
    <mergeCell ref="E106:E107"/>
    <mergeCell ref="G106:H107"/>
    <mergeCell ref="F88:H88"/>
    <mergeCell ref="A105:H105"/>
    <mergeCell ref="G94:H94"/>
    <mergeCell ref="A89:E89"/>
    <mergeCell ref="C95:D95"/>
    <mergeCell ref="E95:F95"/>
    <mergeCell ref="B106:B107"/>
    <mergeCell ref="A106:A107"/>
    <mergeCell ref="C102:D102"/>
    <mergeCell ref="F89:H89"/>
    <mergeCell ref="A104:H104"/>
    <mergeCell ref="A183:B183"/>
    <mergeCell ref="L172:M172"/>
    <mergeCell ref="A170:H170"/>
    <mergeCell ref="L127:M127"/>
    <mergeCell ref="L128:M128"/>
    <mergeCell ref="G109:H128"/>
    <mergeCell ref="A123:B123"/>
    <mergeCell ref="L123:M123"/>
    <mergeCell ref="L156:M156"/>
    <mergeCell ref="A179:B179"/>
    <mergeCell ref="A160:B160"/>
    <mergeCell ref="A161:B161"/>
    <mergeCell ref="A157:B157"/>
    <mergeCell ref="A158:B158"/>
    <mergeCell ref="A159:B159"/>
    <mergeCell ref="G157:H162"/>
    <mergeCell ref="A163:H163"/>
    <mergeCell ref="L124:M124"/>
    <mergeCell ref="A125:B125"/>
    <mergeCell ref="L125:M125"/>
    <mergeCell ref="A120:B120"/>
    <mergeCell ref="L120:M120"/>
    <mergeCell ref="A121:B121"/>
    <mergeCell ref="A113:B113"/>
    <mergeCell ref="A175:B175"/>
    <mergeCell ref="A176:B176"/>
    <mergeCell ref="A177:B177"/>
    <mergeCell ref="A173:H173"/>
    <mergeCell ref="L173:M173"/>
    <mergeCell ref="G174:H179"/>
    <mergeCell ref="A167:B167"/>
    <mergeCell ref="A169:B169"/>
    <mergeCell ref="A180:H180"/>
    <mergeCell ref="L180:M180"/>
    <mergeCell ref="A168:B168"/>
    <mergeCell ref="B206:H206"/>
    <mergeCell ref="B204:H204"/>
    <mergeCell ref="A101:B101"/>
    <mergeCell ref="C101:D101"/>
    <mergeCell ref="E101:F101"/>
    <mergeCell ref="G101:H101"/>
    <mergeCell ref="B202:H202"/>
    <mergeCell ref="E94:F94"/>
    <mergeCell ref="A102:B102"/>
    <mergeCell ref="E102:F102"/>
    <mergeCell ref="C97:D97"/>
    <mergeCell ref="B198:H198"/>
    <mergeCell ref="B199:H199"/>
    <mergeCell ref="A194:H194"/>
    <mergeCell ref="A178:B178"/>
    <mergeCell ref="C94:D94"/>
    <mergeCell ref="G97:H97"/>
    <mergeCell ref="A154:B154"/>
    <mergeCell ref="B197:H197"/>
    <mergeCell ref="A124:B124"/>
    <mergeCell ref="A155:B155"/>
    <mergeCell ref="G154:H155"/>
    <mergeCell ref="B195:H195"/>
    <mergeCell ref="B196:H196"/>
    <mergeCell ref="A47:B47"/>
    <mergeCell ref="C47:H47"/>
    <mergeCell ref="B200:H200"/>
    <mergeCell ref="F81:H81"/>
    <mergeCell ref="A81:E81"/>
    <mergeCell ref="D106:D107"/>
    <mergeCell ref="A83:E83"/>
    <mergeCell ref="A109:B109"/>
    <mergeCell ref="A110:B110"/>
    <mergeCell ref="A149:H149"/>
    <mergeCell ref="A150:A151"/>
    <mergeCell ref="A90:E90"/>
    <mergeCell ref="G102:H102"/>
    <mergeCell ref="C96:D96"/>
    <mergeCell ref="E96:F96"/>
    <mergeCell ref="G96:H96"/>
    <mergeCell ref="A97:B97"/>
    <mergeCell ref="A181:B181"/>
    <mergeCell ref="G181:H186"/>
    <mergeCell ref="A182:B182"/>
    <mergeCell ref="F87:H87"/>
    <mergeCell ref="F90:H90"/>
    <mergeCell ref="A73:B73"/>
    <mergeCell ref="A60:C6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8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78" max="7" man="1"/>
    <brk id="218" max="16383" man="1"/>
    <brk id="262" max="7" man="1"/>
    <brk id="304" max="16383" man="1"/>
    <brk id="347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H16" sqref="H16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0" t="s">
        <v>109</v>
      </c>
      <c r="C3" s="190"/>
      <c r="D3" s="190"/>
      <c r="E3" s="190"/>
      <c r="F3" s="190"/>
      <c r="G3" s="190"/>
      <c r="H3" s="190"/>
    </row>
    <row r="4" spans="1:9" x14ac:dyDescent="0.2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2025-09-15T10:28:48Z</cp:lastPrinted>
  <dcterms:created xsi:type="dcterms:W3CDTF">2019-07-16T09:29:46Z</dcterms:created>
  <dcterms:modified xsi:type="dcterms:W3CDTF">2025-09-15T10:34:59Z</dcterms:modified>
</cp:coreProperties>
</file>