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Update\20227 - Bhaveshwar Callista 3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F168" i="1"/>
  <c r="F163" i="1"/>
  <c r="L150" i="1"/>
  <c r="L151" i="1"/>
  <c r="L152" i="1"/>
  <c r="L149" i="1"/>
  <c r="J163" i="1"/>
  <c r="D144" i="1"/>
  <c r="G98" i="1"/>
  <c r="E98" i="1"/>
  <c r="C98" i="1"/>
  <c r="E168" i="1"/>
  <c r="E163" i="1"/>
  <c r="J164" i="1"/>
  <c r="D168" i="1"/>
  <c r="D163" i="1"/>
  <c r="D171" i="1"/>
  <c r="D170" i="1"/>
  <c r="D169" i="1"/>
  <c r="D167" i="1"/>
  <c r="D166" i="1"/>
  <c r="D165" i="1"/>
  <c r="D164" i="1"/>
  <c r="D162" i="1"/>
  <c r="D161" i="1"/>
  <c r="A161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G160" i="1"/>
  <c r="D160" i="1"/>
  <c r="D153" i="1"/>
  <c r="D145" i="1"/>
  <c r="D143" i="1"/>
  <c r="D142" i="1"/>
  <c r="D141" i="1"/>
  <c r="D140" i="1"/>
  <c r="D139" i="1"/>
  <c r="D138" i="1"/>
  <c r="D137" i="1"/>
  <c r="D136" i="1"/>
  <c r="D135" i="1"/>
  <c r="D134" i="1"/>
  <c r="D152" i="1"/>
  <c r="D127" i="1"/>
  <c r="F127" i="1" s="1"/>
  <c r="D126" i="1"/>
  <c r="F126" i="1" s="1"/>
  <c r="D125" i="1"/>
  <c r="D124" i="1"/>
  <c r="D123" i="1"/>
  <c r="F123" i="1" s="1"/>
  <c r="D122" i="1"/>
  <c r="F122" i="1" s="1"/>
  <c r="D121" i="1"/>
  <c r="D120" i="1"/>
  <c r="D119" i="1"/>
  <c r="D117" i="1"/>
  <c r="D116" i="1"/>
  <c r="D115" i="1"/>
  <c r="D114" i="1"/>
  <c r="D113" i="1"/>
  <c r="D112" i="1"/>
  <c r="D111" i="1"/>
  <c r="D110" i="1"/>
  <c r="F125" i="1"/>
  <c r="I124" i="1"/>
  <c r="F124" i="1"/>
  <c r="I123" i="1"/>
  <c r="E42" i="1"/>
  <c r="L135" i="1" l="1"/>
  <c r="L136" i="1"/>
  <c r="L137" i="1"/>
  <c r="L138" i="1"/>
  <c r="L139" i="1"/>
  <c r="L140" i="1"/>
  <c r="L141" i="1"/>
  <c r="L142" i="1"/>
  <c r="L143" i="1"/>
  <c r="L144" i="1"/>
  <c r="L145" i="1"/>
  <c r="L134" i="1"/>
  <c r="O134" i="1"/>
  <c r="N136" i="1"/>
  <c r="N135" i="1"/>
  <c r="K147" i="1"/>
  <c r="K150" i="1"/>
  <c r="N134" i="1" l="1"/>
  <c r="D158" i="1" l="1"/>
  <c r="D157" i="1"/>
  <c r="D156" i="1"/>
  <c r="D155" i="1"/>
  <c r="D154" i="1"/>
  <c r="D151" i="1"/>
  <c r="D150" i="1"/>
  <c r="J150" i="1" s="1"/>
  <c r="D149" i="1"/>
  <c r="D148" i="1"/>
  <c r="D147" i="1"/>
  <c r="J143" i="1"/>
  <c r="J142" i="1"/>
  <c r="J140" i="1"/>
  <c r="J141" i="1"/>
  <c r="J138" i="1"/>
  <c r="J137" i="1"/>
  <c r="J136" i="1"/>
  <c r="J135" i="1"/>
  <c r="J134" i="1"/>
  <c r="J148" i="1"/>
  <c r="I150" i="1"/>
  <c r="A148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I147" i="1"/>
  <c r="G147" i="1"/>
  <c r="I137" i="1"/>
  <c r="I134" i="1"/>
  <c r="D118" i="1"/>
  <c r="C99" i="1" s="1"/>
  <c r="E102" i="1" l="1"/>
  <c r="C102" i="1"/>
  <c r="E99" i="1"/>
  <c r="J147" i="1"/>
  <c r="J144" i="1"/>
  <c r="J145" i="1"/>
  <c r="J139" i="1"/>
  <c r="J149" i="1"/>
  <c r="C103" i="1"/>
  <c r="J151" i="1"/>
  <c r="E103" i="1"/>
  <c r="I119" i="1"/>
  <c r="I118" i="1"/>
  <c r="F121" i="1"/>
  <c r="F120" i="1"/>
  <c r="F119" i="1"/>
  <c r="F118" i="1"/>
  <c r="F117" i="1"/>
  <c r="F116" i="1"/>
  <c r="F115" i="1"/>
  <c r="F114" i="1"/>
  <c r="I42" i="1"/>
  <c r="Z12" i="1" l="1"/>
  <c r="I14" i="1"/>
  <c r="F110" i="1" l="1"/>
  <c r="E104" i="1" l="1"/>
  <c r="C104" i="1"/>
  <c r="E43" i="1" l="1"/>
  <c r="E44" i="1" s="1"/>
  <c r="C15" i="1" l="1"/>
  <c r="E30" i="1" l="1"/>
  <c r="A135" i="1" l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G134" i="1"/>
  <c r="G103" i="1" l="1"/>
  <c r="F95" i="1"/>
  <c r="F111" i="1" l="1"/>
  <c r="F112" i="1"/>
  <c r="F113" i="1"/>
  <c r="G99" i="1" l="1"/>
  <c r="G104" i="1" s="1"/>
  <c r="B174" i="1"/>
  <c r="B17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0" i="1"/>
  <c r="A111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G110" i="1"/>
  <c r="C68" i="1"/>
  <c r="B69" i="1" s="1"/>
  <c r="D57" i="1"/>
  <c r="G50" i="1"/>
  <c r="C50" i="1"/>
  <c r="E27" i="1"/>
  <c r="E25" i="1"/>
  <c r="E7" i="1"/>
  <c r="E3" i="1"/>
  <c r="D62" i="1" l="1"/>
  <c r="H69" i="1"/>
  <c r="D81" i="1" l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J71" i="1"/>
  <c r="J76" i="1"/>
  <c r="J77" i="1" s="1"/>
  <c r="J78" i="1" s="1"/>
  <c r="J79" i="1" s="1"/>
  <c r="D74" i="1"/>
  <c r="D72" i="1" l="1"/>
  <c r="J81" i="1"/>
  <c r="C73" i="1" l="1"/>
  <c r="G72" i="1" s="1"/>
  <c r="D66" i="1" s="1"/>
  <c r="D67" i="1" l="1"/>
  <c r="F67" i="1"/>
  <c r="E72" i="1"/>
  <c r="D73" i="1"/>
  <c r="I69" i="1" s="1"/>
  <c r="I70" i="1" s="1"/>
  <c r="J69" i="1"/>
  <c r="I68" i="1" l="1"/>
  <c r="C70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<sst xmlns="http://schemas.openxmlformats.org/spreadsheetml/2006/main" count="446" uniqueCount="290">
  <si>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</si>
  <si>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</si>
  <si>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</si>
  <si>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</si>
  <si>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</si>
  <si>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</si>
  <si>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</si>
  <si>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</si>
  <si>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</si>
  <si>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</si>
  <si>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</si>
  <si>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</si>
  <si>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</si>
  <si>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</si>
  <si>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</si>
  <si>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</si>
  <si>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</si>
  <si>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</si>
  <si>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</si>
  <si>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</si>
  <si>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</si>
  <si>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</si>
  <si>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</si>
  <si>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</si>
  <si>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</si>
  <si>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</si>
  <si>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</si>
  <si>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</si>
  <si>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</si>
  <si>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</si>
  <si>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</si>
  <si>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</si>
  <si>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</si>
  <si>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</si>
  <si>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</si>
  <si>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</si>
  <si>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</si>
  <si>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</si>
  <si>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</si>
  <si>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</si>
  <si>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</si>
  <si>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</si>
  <si>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</si>
  <si>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</si>
  <si>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</si>
  <si>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</si>
  <si>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</si>
  <si>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</si>
  <si>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</si>
  <si>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</si>
  <si>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</si>
  <si>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</si>
  <si>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</si>
  <si>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</si>
  <si>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</si>
  <si>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</si>
  <si>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</si>
  <si>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</si>
  <si>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</si>
  <si>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</si>
  <si>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</si>
  <si>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</si>
  <si>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</si>
  <si>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</si>
  <si>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</si>
  <si>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</si>
  <si>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</si>
  <si>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</si>
  <si>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</si>
  <si>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</si>
  <si>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</si>
  <si>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</si>
  <si>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</si>
  <si>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</si>
  <si>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</si>
  <si>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</si>
  <si>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</si>
  <si>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</si>
  <si>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</si>
  <si>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</si>
  <si>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</si>
  <si>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</si>
  <si>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</si>
  <si>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</si>
  <si>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</si>
  <si>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</si>
  <si>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</si>
  <si>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</si>
  <si>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</si>
  <si>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</si>
  <si>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</si>
  <si>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</si>
  <si>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</si>
  <si>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</si>
  <si>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</si>
  <si>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</si>
  <si>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</si>
  <si>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</si>
  <si>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</si>
  <si>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</si>
  <si>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</si>
  <si>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</si>
  <si>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</si>
  <si>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</si>
  <si>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</si>
  <si>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</si>
  <si>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</si>
  <si>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</si>
  <si>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</si>
  <si>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</si>
  <si>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</si>
  <si>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</si>
  <si>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</si>
  <si>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</si>
  <si>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</si>
  <si>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</si>
  <si>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</si>
  <si>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</si>
  <si>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</si>
  <si>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</si>
  <si>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</si>
  <si>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</si>
  <si>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</si>
  <si>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</si>
  <si>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</si>
  <si>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</si>
  <si>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</si>
  <si>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</si>
  <si>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</si>
  <si>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</si>
  <si>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</si>
  <si>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</si>
  <si>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</si>
  <si>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</si>
  <si>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</si>
  <si>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</si>
  <si>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</si>
  <si>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</si>
  <si>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</si>
  <si>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</si>
  <si>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</si>
  <si>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</si>
  <si>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</si>
  <si>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</si>
  <si>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</si>
  <si>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</si>
  <si>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</si>
  <si>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</si>
  <si>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</si>
  <si>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</si>
  <si>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</si>
  <si>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</si>
  <si>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</si>
  <si>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</si>
  <si>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</si>
  <si>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</si>
  <si>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</si>
  <si>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</si>
  <si>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</si>
  <si>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</si>
  <si>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</si>
  <si>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</si>
  <si>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</si>
  <si>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</si>
  <si>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</si>
  <si>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</si>
  <si>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</si>
  <si>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</si>
  <si>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</si>
  <si>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</si>
  <si>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</si>
  <si>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</si>
  <si>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</si>
  <si>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</si>
  <si>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</si>
  <si>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</si>
  <si>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</si>
  <si>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</si>
  <si>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</si>
  <si>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</si>
  <si>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</si>
  <si>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</si>
  <si>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</si>
  <si>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</si>
  <si>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</si>
  <si>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</si>
  <si>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</si>
  <si>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</si>
  <si>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</si>
  <si>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</si>
  <si>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</si>
  <si>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</si>
  <si>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</si>
  <si>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</si>
  <si>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</si>
  <si>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</si>
  <si>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</si>
  <si>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</si>
  <si>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</si>
  <si>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</si>
  <si>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</si>
  <si>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</si>
  <si>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</si>
  <si>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</si>
  <si>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</si>
  <si>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</si>
  <si>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</si>
  <si>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</si>
  <si>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</si>
  <si>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</si>
  <si>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</si>
  <si>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</si>
  <si>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</si>
  <si>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</si>
  <si>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</si>
  <si>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</si>
  <si>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</si>
  <si>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</si>
  <si>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</si>
  <si>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</si>
  <si>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</si>
  <si>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</si>
  <si>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</si>
  <si>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</si>
  <si>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</si>
  <si>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</si>
  <si>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</si>
  <si>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</si>
  <si>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</si>
  <si>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</si>
  <si>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</si>
  <si>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</si>
  <si>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Mansh Builder And Developer</t>
  </si>
  <si>
    <t>Bhaveshwar Callista 3</t>
  </si>
  <si>
    <t xml:space="preserve">Jayesh Patel 8767579747/
Umesh Rathod 7021678073
</t>
  </si>
  <si>
    <t>P52000051002</t>
  </si>
  <si>
    <t>Plot No</t>
  </si>
  <si>
    <t>10C, Sector 16E</t>
  </si>
  <si>
    <t>Kalamboli</t>
  </si>
  <si>
    <t>Roadpali</t>
  </si>
  <si>
    <t>Roadpali Lake Rd/Kalamboli Link Rd</t>
  </si>
  <si>
    <t>Springdale Apartment</t>
  </si>
  <si>
    <t>4.9KM from Mansarovar Railway Station</t>
  </si>
  <si>
    <t>Open Plot</t>
  </si>
  <si>
    <t>Kalamboli Link Rd</t>
  </si>
  <si>
    <t>30M Wide Rd</t>
  </si>
  <si>
    <t>15M Wide Rd</t>
  </si>
  <si>
    <t>Panvel Municipal Corporation (PMC)</t>
  </si>
  <si>
    <t>As per RERA - 31/12/2027</t>
  </si>
  <si>
    <t>Shop</t>
  </si>
  <si>
    <t>1BHK</t>
  </si>
  <si>
    <t>2BHK</t>
  </si>
  <si>
    <t>Flats</t>
  </si>
  <si>
    <t>Shops</t>
  </si>
  <si>
    <t>Builder Saleable area</t>
  </si>
  <si>
    <t>Bhaveshwar Callista 1 &amp; 2/Roadpali Lake Rd</t>
  </si>
  <si>
    <t>Internal Rd/Haware Elinor/Springdale Apartment</t>
  </si>
  <si>
    <t>We considered Gross carpet area = Net carpet Area + Chajja Area.</t>
  </si>
  <si>
    <t>Society Formation + Infrastructure + Maintainence Charges</t>
  </si>
  <si>
    <t>Water, MSEB, Development Charges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</si>
  <si>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</si>
  <si>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https://goo.gl/maps/p637A5ixnLeD5GtL9</t>
  </si>
  <si>
    <t>CRZ2021/CR210/TC4
Total Plot Area : 1949.96 Sqm
Plot Area In CRZ : 293.08Sqm
Plot Area Outside CRZ : 1656.88Sqm</t>
  </si>
  <si>
    <t>The project is 21 meters away from the CRZ area.</t>
  </si>
  <si>
    <t>CRZ  Noc No.: 
Plot No.10C, 
Sector 16E</t>
  </si>
  <si>
    <t>Hindu Crementory is 113m from the east side of the project.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</si>
  <si>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</si>
  <si>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19.044048,73.098911</t>
  </si>
  <si>
    <t>Shruti Tathare</t>
  </si>
  <si>
    <t>Mr. Jayesh Patel 8767579747</t>
  </si>
  <si>
    <t>Construction work is in process at the time of Visit. Internal visit was not allowed.</t>
  </si>
  <si>
    <t>Mayur Ranvare</t>
  </si>
  <si>
    <t>CARPC/RB/2025/APL/00209</t>
  </si>
  <si>
    <t>Gr + 1st to 20th Floor</t>
  </si>
  <si>
    <t xml:space="preserve">Fire Noc No.: 
Valid Up to: 
</t>
  </si>
  <si>
    <t>Pmc/Fire/2121/Ref. No. 1175/3228
Gr + 1st to 20th Floor (Total Height = 65.30 Mtr.)</t>
  </si>
  <si>
    <t>Ground Floor For Commercial, Telecom Room, Entrance Lobby, Fire Control Room, 
Fire Pump Room, Meter Room &amp; Parking</t>
  </si>
  <si>
    <t>1st to 4th Floor For Parking</t>
  </si>
  <si>
    <t>Swimming pool, Children Play Area, Fitness Center, Society office, Clubhouse, Mutipurpose Hall, Library Indoor Games, Biggest Jogging Track, Yoga Meditation Center.</t>
  </si>
  <si>
    <t>5th Floor For Amenity, Society Office, Mutipurpose Hall, Library, 
Driver Room &amp; Parking</t>
  </si>
  <si>
    <t>7th, 12th &amp; 17th Floor (Fire Rescue Balcony at Mid Landing)</t>
  </si>
  <si>
    <t>6th, 8th to 11th, 13th to 16th, 18th &amp; 19th Floor For Residential</t>
  </si>
  <si>
    <t>20th Floor</t>
  </si>
  <si>
    <t>Flats - 180, Shops - 18</t>
  </si>
  <si>
    <t>Plot No. 10C/1</t>
  </si>
  <si>
    <t>Plot No. 10B</t>
  </si>
  <si>
    <t>We have updated Approved plans, CC &amp; Fire NOC on 30/09/2025.</t>
  </si>
  <si>
    <t>Approved Plans, CC, Cost Sheet, Fire NOC</t>
  </si>
  <si>
    <t>Construction stage is reduced due to revision in proposed structure of project.</t>
  </si>
  <si>
    <t>Please check for Airport NOC.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</si>
</sst>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2" borderId="0" xfId="1" applyFont="1" applyFill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 readingOrder="1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 applyAlignment="1">
      <alignment horizontal="center" vertical="center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27" fillId="0" borderId="1" xfId="10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229524</xdr:colOff>
      <xdr:row>289</xdr:row>
      <xdr:rowOff>0</xdr:rowOff>
    </xdr:from>
    <xdr:to>
      <xdr:col>6</xdr:col>
      <xdr:colOff>574508</xdr:colOff>
      <xdr:row>303</xdr:row>
      <xdr:rowOff>56118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553" y="59682529"/>
          <a:ext cx="481613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291356</xdr:colOff>
      <xdr:row>303</xdr:row>
      <xdr:rowOff>168088</xdr:rowOff>
    </xdr:from>
    <xdr:to>
      <xdr:col>7</xdr:col>
      <xdr:colOff>465002</xdr:colOff>
      <xdr:row>321</xdr:row>
      <xdr:rowOff>137381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1356" y="63055500"/>
          <a:ext cx="628085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425824</xdr:colOff>
      <xdr:row>309</xdr:row>
      <xdr:rowOff>67235</xdr:rowOff>
    </xdr:from>
    <xdr:to>
      <xdr:col>4</xdr:col>
      <xdr:colOff>369794</xdr:colOff>
      <xdr:row>315</xdr:row>
      <xdr:rowOff>168088</xdr:rowOff>
    </xdr:to>
    <xdr:sp macro="" textlink="">
      <xdr:nvSpPr>
        <xdr:cNvPr id="34" name="Freeform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1243853" y="64164882"/>
          <a:ext cx="2734235" cy="1311088"/>
        </a:xfrm>
        <a:custGeom>
          <a:avLst/>
          <a:gdLst>
            <a:gd name="connsiteX0" fmla="*/ 0 w 2734235"/>
            <a:gd name="connsiteY0" fmla="*/ 806824 h 1311088"/>
            <a:gd name="connsiteX1" fmla="*/ 481853 w 2734235"/>
            <a:gd name="connsiteY1" fmla="*/ 593912 h 1311088"/>
            <a:gd name="connsiteX2" fmla="*/ 829235 w 2734235"/>
            <a:gd name="connsiteY2" fmla="*/ 459441 h 1311088"/>
            <a:gd name="connsiteX3" fmla="*/ 1232647 w 2734235"/>
            <a:gd name="connsiteY3" fmla="*/ 313765 h 1311088"/>
            <a:gd name="connsiteX4" fmla="*/ 1781735 w 2734235"/>
            <a:gd name="connsiteY4" fmla="*/ 145676 h 1311088"/>
            <a:gd name="connsiteX5" fmla="*/ 2106706 w 2734235"/>
            <a:gd name="connsiteY5" fmla="*/ 56029 h 1311088"/>
            <a:gd name="connsiteX6" fmla="*/ 2734235 w 2734235"/>
            <a:gd name="connsiteY6" fmla="*/ 0 h 1311088"/>
            <a:gd name="connsiteX7" fmla="*/ 2667000 w 2734235"/>
            <a:gd name="connsiteY7" fmla="*/ 605118 h 1311088"/>
            <a:gd name="connsiteX8" fmla="*/ 1938618 w 2734235"/>
            <a:gd name="connsiteY8" fmla="*/ 549088 h 1311088"/>
            <a:gd name="connsiteX9" fmla="*/ 1165412 w 2734235"/>
            <a:gd name="connsiteY9" fmla="*/ 918882 h 1311088"/>
            <a:gd name="connsiteX10" fmla="*/ 582706 w 2734235"/>
            <a:gd name="connsiteY10" fmla="*/ 1154206 h 1311088"/>
            <a:gd name="connsiteX11" fmla="*/ 190500 w 2734235"/>
            <a:gd name="connsiteY11" fmla="*/ 1311088 h 1311088"/>
            <a:gd name="connsiteX12" fmla="*/ 78441 w 2734235"/>
            <a:gd name="connsiteY12" fmla="*/ 1176618 h 1311088"/>
            <a:gd name="connsiteX13" fmla="*/ 0 w 2734235"/>
            <a:gd name="connsiteY13" fmla="*/ 806824 h 13110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734235" h="1311088">
              <a:moveTo>
                <a:pt x="0" y="806824"/>
              </a:moveTo>
              <a:lnTo>
                <a:pt x="481853" y="593912"/>
              </a:lnTo>
              <a:lnTo>
                <a:pt x="829235" y="459441"/>
              </a:lnTo>
              <a:lnTo>
                <a:pt x="1232647" y="313765"/>
              </a:lnTo>
              <a:lnTo>
                <a:pt x="1781735" y="145676"/>
              </a:lnTo>
              <a:lnTo>
                <a:pt x="2106706" y="56029"/>
              </a:lnTo>
              <a:lnTo>
                <a:pt x="2734235" y="0"/>
              </a:lnTo>
              <a:lnTo>
                <a:pt x="2667000" y="605118"/>
              </a:lnTo>
              <a:lnTo>
                <a:pt x="1938618" y="549088"/>
              </a:lnTo>
              <a:lnTo>
                <a:pt x="1165412" y="918882"/>
              </a:lnTo>
              <a:lnTo>
                <a:pt x="582706" y="1154206"/>
              </a:lnTo>
              <a:lnTo>
                <a:pt x="190500" y="1311088"/>
              </a:lnTo>
              <a:lnTo>
                <a:pt x="78441" y="1176618"/>
              </a:lnTo>
              <a:lnTo>
                <a:pt x="0" y="806824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578229</xdr:colOff>
      <xdr:row>310</xdr:row>
      <xdr:rowOff>11205</xdr:rowOff>
    </xdr:from>
    <xdr:to>
      <xdr:col>4</xdr:col>
      <xdr:colOff>280147</xdr:colOff>
      <xdr:row>311</xdr:row>
      <xdr:rowOff>164788</xdr:rowOff>
    </xdr:to>
    <xdr:sp macro="" textlink="">
      <xdr:nvSpPr>
        <xdr:cNvPr id="35" name="Rectangle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177994" y="64310558"/>
          <a:ext cx="710447" cy="355289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791141</xdr:colOff>
      <xdr:row>305</xdr:row>
      <xdr:rowOff>108758</xdr:rowOff>
    </xdr:from>
    <xdr:to>
      <xdr:col>3</xdr:col>
      <xdr:colOff>847170</xdr:colOff>
      <xdr:row>311</xdr:row>
      <xdr:rowOff>7905</xdr:rowOff>
    </xdr:to>
    <xdr:cxnSp macro="">
      <xdr:nvCxnSpPr>
        <xdr:cNvPr id="37" name="Straight Arrow Connector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3390906" y="63399582"/>
          <a:ext cx="56029" cy="1109382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784412</xdr:colOff>
      <xdr:row>309</xdr:row>
      <xdr:rowOff>179294</xdr:rowOff>
    </xdr:from>
    <xdr:to>
      <xdr:col>7</xdr:col>
      <xdr:colOff>324970</xdr:colOff>
      <xdr:row>313</xdr:row>
      <xdr:rowOff>89647</xdr:rowOff>
    </xdr:to>
    <xdr:sp macro="" textlink="">
      <xdr:nvSpPr>
        <xdr:cNvPr id="38" name="Rectangle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5233147" y="64276941"/>
          <a:ext cx="1199029" cy="717177"/>
        </a:xfrm>
        <a:prstGeom prst="rect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58277</xdr:colOff>
      <xdr:row>305</xdr:row>
      <xdr:rowOff>25834</xdr:rowOff>
    </xdr:from>
    <xdr:to>
      <xdr:col>6</xdr:col>
      <xdr:colOff>114306</xdr:colOff>
      <xdr:row>310</xdr:row>
      <xdr:rowOff>126687</xdr:rowOff>
    </xdr:to>
    <xdr:cxnSp macro="">
      <xdr:nvCxnSpPr>
        <xdr:cNvPr id="41" name="Straight Arrow Connector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5347453" y="63316658"/>
          <a:ext cx="56029" cy="1109382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268941</xdr:colOff>
      <xdr:row>303</xdr:row>
      <xdr:rowOff>189569</xdr:rowOff>
    </xdr:from>
    <xdr:to>
      <xdr:col>7</xdr:col>
      <xdr:colOff>58676</xdr:colOff>
      <xdr:row>314</xdr:row>
      <xdr:rowOff>134471</xdr:rowOff>
    </xdr:to>
    <xdr:sp macro="" textlink="">
      <xdr:nvSpPr>
        <xdr:cNvPr id="9" name="Freeform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268941" y="62270157"/>
          <a:ext cx="5896941" cy="2163667"/>
        </a:xfrm>
        <a:custGeom>
          <a:avLst/>
          <a:gdLst>
            <a:gd name="connsiteX0" fmla="*/ 0 w 5896941"/>
            <a:gd name="connsiteY0" fmla="*/ 2163667 h 2163667"/>
            <a:gd name="connsiteX1" fmla="*/ 1277471 w 5896941"/>
            <a:gd name="connsiteY1" fmla="*/ 1435284 h 2163667"/>
            <a:gd name="connsiteX2" fmla="*/ 2543735 w 5896941"/>
            <a:gd name="connsiteY2" fmla="*/ 1009461 h 2163667"/>
            <a:gd name="connsiteX3" fmla="*/ 3406588 w 5896941"/>
            <a:gd name="connsiteY3" fmla="*/ 818961 h 2163667"/>
            <a:gd name="connsiteX4" fmla="*/ 3989294 w 5896941"/>
            <a:gd name="connsiteY4" fmla="*/ 785343 h 2163667"/>
            <a:gd name="connsiteX5" fmla="*/ 5020235 w 5896941"/>
            <a:gd name="connsiteY5" fmla="*/ 561225 h 2163667"/>
            <a:gd name="connsiteX6" fmla="*/ 5748618 w 5896941"/>
            <a:gd name="connsiteY6" fmla="*/ 527608 h 2163667"/>
            <a:gd name="connsiteX7" fmla="*/ 5804647 w 5896941"/>
            <a:gd name="connsiteY7" fmla="*/ 931 h 2163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5896941" h="2163667">
              <a:moveTo>
                <a:pt x="0" y="2163667"/>
              </a:moveTo>
              <a:cubicBezTo>
                <a:pt x="426757" y="1895659"/>
                <a:pt x="853515" y="1627652"/>
                <a:pt x="1277471" y="1435284"/>
              </a:cubicBezTo>
              <a:cubicBezTo>
                <a:pt x="1701427" y="1242916"/>
                <a:pt x="2188882" y="1112181"/>
                <a:pt x="2543735" y="1009461"/>
              </a:cubicBezTo>
              <a:cubicBezTo>
                <a:pt x="2898588" y="906741"/>
                <a:pt x="3165662" y="856314"/>
                <a:pt x="3406588" y="818961"/>
              </a:cubicBezTo>
              <a:cubicBezTo>
                <a:pt x="3647514" y="781608"/>
                <a:pt x="3720353" y="828299"/>
                <a:pt x="3989294" y="785343"/>
              </a:cubicBezTo>
              <a:cubicBezTo>
                <a:pt x="4258235" y="742387"/>
                <a:pt x="4727014" y="604181"/>
                <a:pt x="5020235" y="561225"/>
              </a:cubicBezTo>
              <a:cubicBezTo>
                <a:pt x="5313456" y="518269"/>
                <a:pt x="5617883" y="620990"/>
                <a:pt x="5748618" y="527608"/>
              </a:cubicBezTo>
              <a:cubicBezTo>
                <a:pt x="5879353" y="434226"/>
                <a:pt x="5976471" y="-23348"/>
                <a:pt x="5804647" y="931"/>
              </a:cubicBezTo>
            </a:path>
          </a:pathLst>
        </a:cu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291356</xdr:colOff>
      <xdr:row>312</xdr:row>
      <xdr:rowOff>152735</xdr:rowOff>
    </xdr:from>
    <xdr:to>
      <xdr:col>0</xdr:col>
      <xdr:colOff>549088</xdr:colOff>
      <xdr:row>313</xdr:row>
      <xdr:rowOff>156882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>
          <a:stCxn id="28" idx="1"/>
        </xdr:cNvCxnSpPr>
      </xdr:nvCxnSpPr>
      <xdr:spPr>
        <a:xfrm>
          <a:off x="291356" y="64048676"/>
          <a:ext cx="257732" cy="205853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298080</xdr:colOff>
      <xdr:row>311</xdr:row>
      <xdr:rowOff>69812</xdr:rowOff>
    </xdr:from>
    <xdr:to>
      <xdr:col>0</xdr:col>
      <xdr:colOff>728382</xdr:colOff>
      <xdr:row>313</xdr:row>
      <xdr:rowOff>33618</xdr:rowOff>
    </xdr:to>
    <xdr:cxnSp macro="">
      <xdr:nvCxnSpPr>
        <xdr:cNvPr id="24" name="Straight Connector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98080" y="63764047"/>
          <a:ext cx="430302" cy="367218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313765</xdr:colOff>
      <xdr:row>308</xdr:row>
      <xdr:rowOff>22411</xdr:rowOff>
    </xdr:from>
    <xdr:to>
      <xdr:col>1</xdr:col>
      <xdr:colOff>313765</xdr:colOff>
      <xdr:row>311</xdr:row>
      <xdr:rowOff>190500</xdr:rowOff>
    </xdr:to>
    <xdr:cxnSp macro="">
      <xdr:nvCxnSpPr>
        <xdr:cNvPr id="27" name="Straight Connector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313765" y="63111529"/>
          <a:ext cx="818029" cy="773206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268941</xdr:colOff>
      <xdr:row>305</xdr:row>
      <xdr:rowOff>44824</xdr:rowOff>
    </xdr:from>
    <xdr:to>
      <xdr:col>1</xdr:col>
      <xdr:colOff>649942</xdr:colOff>
      <xdr:row>311</xdr:row>
      <xdr:rowOff>11206</xdr:rowOff>
    </xdr:to>
    <xdr:cxnSp macro="">
      <xdr:nvCxnSpPr>
        <xdr:cNvPr id="43" name="Straight Connector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268941" y="62528824"/>
          <a:ext cx="1199030" cy="1176617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533400</xdr:colOff>
      <xdr:row>303</xdr:row>
      <xdr:rowOff>163606</xdr:rowOff>
    </xdr:from>
    <xdr:to>
      <xdr:col>2</xdr:col>
      <xdr:colOff>134471</xdr:colOff>
      <xdr:row>310</xdr:row>
      <xdr:rowOff>78442</xdr:rowOff>
    </xdr:to>
    <xdr:cxnSp macro="">
      <xdr:nvCxnSpPr>
        <xdr:cNvPr id="70" name="Straight Connector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533400" y="62244194"/>
          <a:ext cx="1281953" cy="1326777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219636</xdr:colOff>
      <xdr:row>303</xdr:row>
      <xdr:rowOff>163606</xdr:rowOff>
    </xdr:from>
    <xdr:to>
      <xdr:col>2</xdr:col>
      <xdr:colOff>499783</xdr:colOff>
      <xdr:row>309</xdr:row>
      <xdr:rowOff>163606</xdr:rowOff>
    </xdr:to>
    <xdr:cxnSp macro="">
      <xdr:nvCxnSpPr>
        <xdr:cNvPr id="74" name="Straight Connector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1037665" y="62244194"/>
          <a:ext cx="1143000" cy="1210236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775447</xdr:colOff>
      <xdr:row>303</xdr:row>
      <xdr:rowOff>159124</xdr:rowOff>
    </xdr:from>
    <xdr:to>
      <xdr:col>2</xdr:col>
      <xdr:colOff>818030</xdr:colOff>
      <xdr:row>309</xdr:row>
      <xdr:rowOff>11205</xdr:rowOff>
    </xdr:to>
    <xdr:cxnSp macro="">
      <xdr:nvCxnSpPr>
        <xdr:cNvPr id="75" name="Straight Connector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1593476" y="62239712"/>
          <a:ext cx="905436" cy="1062317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356347</xdr:colOff>
      <xdr:row>303</xdr:row>
      <xdr:rowOff>154642</xdr:rowOff>
    </xdr:from>
    <xdr:to>
      <xdr:col>3</xdr:col>
      <xdr:colOff>212911</xdr:colOff>
      <xdr:row>308</xdr:row>
      <xdr:rowOff>190500</xdr:rowOff>
    </xdr:to>
    <xdr:cxnSp macro="">
      <xdr:nvCxnSpPr>
        <xdr:cNvPr id="77" name="Straight Connector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CxnSpPr>
          <a:endCxn id="9" idx="2"/>
        </xdr:cNvCxnSpPr>
      </xdr:nvCxnSpPr>
      <xdr:spPr>
        <a:xfrm>
          <a:off x="2037229" y="62235230"/>
          <a:ext cx="775447" cy="1044388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878541</xdr:colOff>
      <xdr:row>303</xdr:row>
      <xdr:rowOff>172571</xdr:rowOff>
    </xdr:from>
    <xdr:to>
      <xdr:col>3</xdr:col>
      <xdr:colOff>582706</xdr:colOff>
      <xdr:row>308</xdr:row>
      <xdr:rowOff>44823</xdr:rowOff>
    </xdr:to>
    <xdr:cxnSp macro="">
      <xdr:nvCxnSpPr>
        <xdr:cNvPr id="79" name="Straight Connector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2559423" y="62253159"/>
          <a:ext cx="623048" cy="880782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336176</xdr:colOff>
      <xdr:row>303</xdr:row>
      <xdr:rowOff>168089</xdr:rowOff>
    </xdr:from>
    <xdr:to>
      <xdr:col>3</xdr:col>
      <xdr:colOff>959224</xdr:colOff>
      <xdr:row>308</xdr:row>
      <xdr:rowOff>40341</xdr:rowOff>
    </xdr:to>
    <xdr:cxnSp macro="">
      <xdr:nvCxnSpPr>
        <xdr:cNvPr id="81" name="Straight Connector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2935941" y="62248677"/>
          <a:ext cx="623048" cy="880782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712693</xdr:colOff>
      <xdr:row>303</xdr:row>
      <xdr:rowOff>152400</xdr:rowOff>
    </xdr:from>
    <xdr:to>
      <xdr:col>4</xdr:col>
      <xdr:colOff>327212</xdr:colOff>
      <xdr:row>308</xdr:row>
      <xdr:rowOff>24652</xdr:rowOff>
    </xdr:to>
    <xdr:cxnSp macro="">
      <xdr:nvCxnSpPr>
        <xdr:cNvPr id="82" name="Straight Connector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3312458" y="62232988"/>
          <a:ext cx="623048" cy="880782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91887</xdr:colOff>
      <xdr:row>303</xdr:row>
      <xdr:rowOff>159123</xdr:rowOff>
    </xdr:from>
    <xdr:to>
      <xdr:col>4</xdr:col>
      <xdr:colOff>649941</xdr:colOff>
      <xdr:row>307</xdr:row>
      <xdr:rowOff>168088</xdr:rowOff>
    </xdr:to>
    <xdr:cxnSp macro="">
      <xdr:nvCxnSpPr>
        <xdr:cNvPr id="83" name="Straight Connector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CxnSpPr>
          <a:endCxn id="9" idx="4"/>
        </xdr:cNvCxnSpPr>
      </xdr:nvCxnSpPr>
      <xdr:spPr>
        <a:xfrm>
          <a:off x="3700181" y="62239711"/>
          <a:ext cx="558054" cy="815789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468405</xdr:colOff>
      <xdr:row>303</xdr:row>
      <xdr:rowOff>154641</xdr:rowOff>
    </xdr:from>
    <xdr:to>
      <xdr:col>5</xdr:col>
      <xdr:colOff>89647</xdr:colOff>
      <xdr:row>307</xdr:row>
      <xdr:rowOff>44823</xdr:rowOff>
    </xdr:to>
    <xdr:cxnSp macro="">
      <xdr:nvCxnSpPr>
        <xdr:cNvPr id="84" name="Straight Connector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4076699" y="62235229"/>
          <a:ext cx="461683" cy="697006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822511</xdr:colOff>
      <xdr:row>303</xdr:row>
      <xdr:rowOff>172570</xdr:rowOff>
    </xdr:from>
    <xdr:to>
      <xdr:col>5</xdr:col>
      <xdr:colOff>443753</xdr:colOff>
      <xdr:row>307</xdr:row>
      <xdr:rowOff>62752</xdr:rowOff>
    </xdr:to>
    <xdr:cxnSp macro="">
      <xdr:nvCxnSpPr>
        <xdr:cNvPr id="88" name="Straight Connector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CxnSpPr/>
      </xdr:nvCxnSpPr>
      <xdr:spPr>
        <a:xfrm>
          <a:off x="4430805" y="62253158"/>
          <a:ext cx="461683" cy="697006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336175</xdr:colOff>
      <xdr:row>303</xdr:row>
      <xdr:rowOff>168088</xdr:rowOff>
    </xdr:from>
    <xdr:to>
      <xdr:col>5</xdr:col>
      <xdr:colOff>683559</xdr:colOff>
      <xdr:row>306</xdr:row>
      <xdr:rowOff>123265</xdr:rowOff>
    </xdr:to>
    <xdr:cxnSp macro="">
      <xdr:nvCxnSpPr>
        <xdr:cNvPr id="89" name="Straight Connector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CxnSpPr/>
      </xdr:nvCxnSpPr>
      <xdr:spPr>
        <a:xfrm>
          <a:off x="4784910" y="62248676"/>
          <a:ext cx="347384" cy="56029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656664</xdr:colOff>
      <xdr:row>303</xdr:row>
      <xdr:rowOff>174812</xdr:rowOff>
    </xdr:from>
    <xdr:to>
      <xdr:col>6</xdr:col>
      <xdr:colOff>163607</xdr:colOff>
      <xdr:row>306</xdr:row>
      <xdr:rowOff>129989</xdr:rowOff>
    </xdr:to>
    <xdr:cxnSp macro="">
      <xdr:nvCxnSpPr>
        <xdr:cNvPr id="91" name="Straight Connector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5105399" y="62255400"/>
          <a:ext cx="347384" cy="56029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638736</xdr:colOff>
      <xdr:row>304</xdr:row>
      <xdr:rowOff>49305</xdr:rowOff>
    </xdr:from>
    <xdr:to>
      <xdr:col>4</xdr:col>
      <xdr:colOff>744066</xdr:colOff>
      <xdr:row>305</xdr:row>
      <xdr:rowOff>175870</xdr:rowOff>
    </xdr:to>
    <xdr:sp macro="" textlink="">
      <xdr:nvSpPr>
        <xdr:cNvPr id="92" name="Rectangle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/>
      </xdr:nvSpPr>
      <xdr:spPr>
        <a:xfrm>
          <a:off x="2319618" y="62331599"/>
          <a:ext cx="2032742" cy="328271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solidFill>
                <a:srgbClr val="FFFF00"/>
              </a:solidFill>
            </a:rPr>
            <a:t>Bhaveshwar Callista 3</a:t>
          </a:r>
        </a:p>
      </xdr:txBody>
    </xdr:sp>
    <xdr:clientData/>
  </xdr:twoCellAnchor>
  <xdr:twoCellAnchor>
    <xdr:from>
      <xdr:col>5</xdr:col>
      <xdr:colOff>40341</xdr:colOff>
      <xdr:row>303</xdr:row>
      <xdr:rowOff>168088</xdr:rowOff>
    </xdr:from>
    <xdr:to>
      <xdr:col>7</xdr:col>
      <xdr:colOff>112568</xdr:colOff>
      <xdr:row>305</xdr:row>
      <xdr:rowOff>142253</xdr:rowOff>
    </xdr:to>
    <xdr:sp macro="" textlink="">
      <xdr:nvSpPr>
        <xdr:cNvPr id="93" name="Rectangle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/>
      </xdr:nvSpPr>
      <xdr:spPr>
        <a:xfrm>
          <a:off x="4170727" y="62409633"/>
          <a:ext cx="1613546" cy="372484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solidFill>
                <a:srgbClr val="FFFF00"/>
              </a:solidFill>
            </a:rPr>
            <a:t>Hindu crematory</a:t>
          </a:r>
          <a:r>
            <a:rPr lang="en-IN" sz="1600" b="1" baseline="0">
              <a:solidFill>
                <a:srgbClr val="FFFF00"/>
              </a:solidFill>
            </a:rPr>
            <a:t> </a:t>
          </a:r>
          <a:endParaRPr lang="en-IN" sz="16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22412</xdr:colOff>
      <xdr:row>305</xdr:row>
      <xdr:rowOff>168089</xdr:rowOff>
    </xdr:from>
    <xdr:to>
      <xdr:col>2</xdr:col>
      <xdr:colOff>437030</xdr:colOff>
      <xdr:row>307</xdr:row>
      <xdr:rowOff>190500</xdr:rowOff>
    </xdr:to>
    <xdr:sp macro="" textlink="">
      <xdr:nvSpPr>
        <xdr:cNvPr id="94" name="Rectangle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/>
      </xdr:nvSpPr>
      <xdr:spPr>
        <a:xfrm>
          <a:off x="840441" y="62652089"/>
          <a:ext cx="1277471" cy="425823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CRZ Zone</a:t>
          </a:r>
        </a:p>
      </xdr:txBody>
    </xdr:sp>
    <xdr:clientData/>
  </xdr:twoCellAnchor>
  <xdr:twoCellAnchor>
    <xdr:from>
      <xdr:col>0</xdr:col>
      <xdr:colOff>266700</xdr:colOff>
      <xdr:row>200</xdr:row>
      <xdr:rowOff>47625</xdr:rowOff>
    </xdr:from>
    <xdr:to>
      <xdr:col>7</xdr:col>
      <xdr:colOff>558264</xdr:colOff>
      <xdr:row>242</xdr:row>
      <xdr:rowOff>102600</xdr:rowOff>
    </xdr:to>
    <xdr:grpSp>
      <xdr:nvGrpSpPr>
        <xdr:cNvPr id="2" name="Group 1"/>
        <xdr:cNvGrpSpPr/>
      </xdr:nvGrpSpPr>
      <xdr:grpSpPr>
        <a:xfrm>
          <a:off x="266700" y="43643550"/>
          <a:ext cx="5968464" cy="8446500"/>
          <a:chOff x="266700" y="42510075"/>
          <a:chExt cx="5968464" cy="8446500"/>
        </a:xfrm>
      </xdr:grpSpPr>
      <xdr:pic>
        <xdr:nvPicPr>
          <xdr:cNvPr id="39" name="Picture 38" descr="https://vsjcllp.vsjadon.com/upload/insp-24658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57450" y="49146133"/>
            <a:ext cx="1362075" cy="18104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658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14575" y="46567725"/>
            <a:ext cx="1877512" cy="2495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4658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9744" y="42510075"/>
            <a:ext cx="2995420" cy="3981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46580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0" y="42510075"/>
            <a:ext cx="2872839" cy="3981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46580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0" y="46577250"/>
            <a:ext cx="1869713" cy="2495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46580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0" y="46567725"/>
            <a:ext cx="1877512" cy="2495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1064559</xdr:colOff>
      <xdr:row>99</xdr:row>
      <xdr:rowOff>33617</xdr:rowOff>
    </xdr:from>
    <xdr:to>
      <xdr:col>14</xdr:col>
      <xdr:colOff>651052</xdr:colOff>
      <xdr:row>101</xdr:row>
      <xdr:rowOff>1634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51912" y="22714323"/>
          <a:ext cx="4561905" cy="371429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244</xdr:row>
      <xdr:rowOff>85725</xdr:rowOff>
    </xdr:from>
    <xdr:to>
      <xdr:col>6</xdr:col>
      <xdr:colOff>729244</xdr:colOff>
      <xdr:row>284</xdr:row>
      <xdr:rowOff>114299</xdr:rowOff>
    </xdr:to>
    <xdr:grpSp>
      <xdr:nvGrpSpPr>
        <xdr:cNvPr id="16" name="Group 15"/>
        <xdr:cNvGrpSpPr/>
      </xdr:nvGrpSpPr>
      <xdr:grpSpPr>
        <a:xfrm>
          <a:off x="819150" y="52473225"/>
          <a:ext cx="4824994" cy="6029324"/>
          <a:chOff x="819150" y="53011107"/>
          <a:chExt cx="4829476" cy="6079751"/>
        </a:xfrm>
      </xdr:grpSpPr>
      <xdr:grpSp>
        <xdr:nvGrpSpPr>
          <xdr:cNvPr id="4" name="Group 3"/>
          <xdr:cNvGrpSpPr/>
        </xdr:nvGrpSpPr>
        <xdr:grpSpPr>
          <a:xfrm>
            <a:off x="819150" y="53011107"/>
            <a:ext cx="4829476" cy="6079751"/>
            <a:chOff x="819150" y="52673250"/>
            <a:chExt cx="4824994" cy="6029324"/>
          </a:xfrm>
        </xdr:grpSpPr>
        <xdr:pic>
          <xdr:nvPicPr>
            <xdr:cNvPr id="45" name="Picture 44"/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38200" y="52673250"/>
              <a:ext cx="4805649" cy="33147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/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819150" y="56062891"/>
              <a:ext cx="4824994" cy="263968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cxnSp macro="">
        <xdr:nvCxnSpPr>
          <xdr:cNvPr id="50" name="Straight Arrow Connector 49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289177" y="57945618"/>
            <a:ext cx="0" cy="392205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" name="Rectangle 50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122209" y="58303086"/>
            <a:ext cx="447115" cy="49418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000" b="1">
                <a:solidFill>
                  <a:schemeClr val="tx1"/>
                </a:solidFill>
              </a:rPr>
              <a:t>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637A5ixnLeD5GtL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88"/>
  <sheetViews>
    <sheetView tabSelected="1" view="pageBreakPreview" zoomScaleNormal="100" zoomScaleSheetLayoutView="100" zoomScalePageLayoutView="85" workbookViewId="0">
      <selection activeCell="I7" sqref="I7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6" width="11.7109375" style="39" customWidth="1"/>
    <col min="7" max="7" width="11.42578125" style="39" customWidth="1"/>
    <col min="8" max="8" width="10.5703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26" ht="46.5" customHeight="1" x14ac:dyDescent="0.25">
      <c r="A1" s="152" t="s">
        <v>266</v>
      </c>
      <c r="B1" s="152"/>
      <c r="C1" s="152"/>
      <c r="D1" s="152"/>
      <c r="E1" s="152"/>
      <c r="F1" s="152"/>
      <c r="G1" s="152"/>
      <c r="H1" s="152"/>
    </row>
    <row r="2" spans="1:26" ht="16.5" customHeight="1" x14ac:dyDescent="0.25">
      <c r="A2" s="153" t="s">
        <v>0</v>
      </c>
      <c r="B2" s="153"/>
      <c r="C2" s="153"/>
      <c r="D2" s="153"/>
      <c r="E2" s="153"/>
      <c r="F2" s="153"/>
      <c r="G2" s="153"/>
      <c r="H2" s="153"/>
    </row>
    <row r="3" spans="1:26" x14ac:dyDescent="0.25">
      <c r="A3" s="154" t="s">
        <v>1</v>
      </c>
      <c r="B3" s="154"/>
      <c r="C3" s="154"/>
      <c r="D3" s="154"/>
      <c r="E3" s="154" t="str">
        <f ca="1">TEXT(TODAY(),"DD/MM/YYYY")</f>
        <v>30/09/2025</v>
      </c>
      <c r="F3" s="154"/>
      <c r="G3" s="154"/>
      <c r="H3" s="154"/>
    </row>
    <row r="4" spans="1:26" ht="15" customHeight="1" x14ac:dyDescent="0.25">
      <c r="A4" s="109" t="s">
        <v>2</v>
      </c>
      <c r="B4" s="109"/>
      <c r="C4" s="109"/>
      <c r="D4" s="109"/>
      <c r="E4" s="109" t="s">
        <v>231</v>
      </c>
      <c r="F4" s="109"/>
      <c r="G4" s="109"/>
      <c r="H4" s="109"/>
    </row>
    <row r="5" spans="1:26" x14ac:dyDescent="0.25">
      <c r="A5" s="109" t="s">
        <v>3</v>
      </c>
      <c r="B5" s="109"/>
      <c r="C5" s="109"/>
      <c r="D5" s="109"/>
      <c r="E5" s="155">
        <v>45908</v>
      </c>
      <c r="F5" s="109"/>
      <c r="G5" s="109"/>
      <c r="H5" s="109"/>
    </row>
    <row r="6" spans="1:26" ht="16.5" customHeight="1" x14ac:dyDescent="0.25">
      <c r="A6" s="109" t="s">
        <v>4</v>
      </c>
      <c r="B6" s="109"/>
      <c r="C6" s="109"/>
      <c r="D6" s="109"/>
      <c r="E6" s="109" t="s">
        <v>232</v>
      </c>
      <c r="F6" s="109"/>
      <c r="G6" s="109"/>
      <c r="H6" s="109"/>
    </row>
    <row r="7" spans="1:26" ht="15" customHeight="1" x14ac:dyDescent="0.25">
      <c r="A7" s="109" t="s">
        <v>5</v>
      </c>
      <c r="B7" s="109"/>
      <c r="C7" s="109"/>
      <c r="D7" s="109"/>
      <c r="E7" s="109" t="str">
        <f>E6</f>
        <v>Mansh Builder And Developer</v>
      </c>
      <c r="F7" s="109"/>
      <c r="G7" s="109"/>
      <c r="H7" s="109"/>
    </row>
    <row r="8" spans="1:26" x14ac:dyDescent="0.25">
      <c r="A8" s="109" t="s">
        <v>6</v>
      </c>
      <c r="B8" s="109"/>
      <c r="C8" s="109"/>
      <c r="D8" s="109"/>
      <c r="E8" s="130" t="s">
        <v>233</v>
      </c>
      <c r="F8" s="130"/>
      <c r="G8" s="130"/>
      <c r="H8" s="130"/>
    </row>
    <row r="9" spans="1:26" ht="32.25" customHeight="1" x14ac:dyDescent="0.25">
      <c r="A9" s="109" t="s">
        <v>167</v>
      </c>
      <c r="B9" s="109"/>
      <c r="C9" s="109"/>
      <c r="D9" s="109"/>
      <c r="E9" s="117" t="s">
        <v>234</v>
      </c>
      <c r="F9" s="109"/>
      <c r="G9" s="109"/>
      <c r="H9" s="109"/>
    </row>
    <row r="10" spans="1:26" x14ac:dyDescent="0.25">
      <c r="A10" s="109" t="s">
        <v>168</v>
      </c>
      <c r="B10" s="109"/>
      <c r="C10" s="109"/>
      <c r="D10" s="109"/>
      <c r="E10" s="109" t="s">
        <v>269</v>
      </c>
      <c r="F10" s="109"/>
      <c r="G10" s="109"/>
      <c r="H10" s="109"/>
    </row>
    <row r="11" spans="1:26" x14ac:dyDescent="0.25">
      <c r="A11" s="109" t="s">
        <v>7</v>
      </c>
      <c r="B11" s="109"/>
      <c r="C11" s="109"/>
      <c r="D11" s="109"/>
      <c r="E11" s="109" t="s">
        <v>120</v>
      </c>
      <c r="F11" s="109"/>
      <c r="G11" s="109"/>
      <c r="H11" s="109"/>
    </row>
    <row r="12" spans="1:26" x14ac:dyDescent="0.25">
      <c r="A12" s="109" t="s">
        <v>170</v>
      </c>
      <c r="B12" s="109"/>
      <c r="C12" s="109"/>
      <c r="D12" s="109"/>
      <c r="E12" s="109" t="s">
        <v>29</v>
      </c>
      <c r="F12" s="109"/>
      <c r="G12" s="109"/>
      <c r="H12" s="109"/>
      <c r="S12" s="56" t="s">
        <v>178</v>
      </c>
      <c r="T12" s="56" t="s">
        <v>188</v>
      </c>
      <c r="U12" s="56" t="s">
        <v>171</v>
      </c>
      <c r="V12" s="56" t="s">
        <v>193</v>
      </c>
      <c r="W12" s="56" t="s">
        <v>211</v>
      </c>
      <c r="X12"/>
      <c r="Y12" t="s">
        <v>193</v>
      </c>
      <c r="Z12" t="e">
        <f ca="1">OFFSET($S$12,1,MATCH($G19,$S$12:$W$12,0)-1,15,1)</f>
        <v>#VALUE!</v>
      </c>
    </row>
    <row r="13" spans="1:26" x14ac:dyDescent="0.25">
      <c r="A13" s="109" t="s">
        <v>8</v>
      </c>
      <c r="B13" s="109"/>
      <c r="C13" s="109"/>
      <c r="D13" s="109"/>
      <c r="E13" s="117" t="s">
        <v>287</v>
      </c>
      <c r="F13" s="117"/>
      <c r="G13" s="117"/>
      <c r="H13" s="117"/>
      <c r="S13" s="56" t="s">
        <v>179</v>
      </c>
      <c r="T13" s="56" t="s">
        <v>186</v>
      </c>
      <c r="U13" s="56" t="s">
        <v>208</v>
      </c>
      <c r="V13" s="56" t="s">
        <v>194</v>
      </c>
      <c r="W13" s="56" t="s">
        <v>212</v>
      </c>
      <c r="X13"/>
      <c r="Y13"/>
      <c r="Z13"/>
    </row>
    <row r="14" spans="1:26" x14ac:dyDescent="0.25">
      <c r="A14" s="109" t="s">
        <v>9</v>
      </c>
      <c r="B14" s="109"/>
      <c r="C14" s="109"/>
      <c r="D14" s="109"/>
      <c r="E14" s="117" t="s">
        <v>235</v>
      </c>
      <c r="F14" s="109"/>
      <c r="G14" s="109"/>
      <c r="H14" s="109"/>
      <c r="I14" s="210" t="e">
        <f ca="1">OFFSET($D$4,1,MATCH($J12,$D$4:$H$4,0)-1,15,1)</f>
        <v>#N/A</v>
      </c>
      <c r="J14" s="211"/>
      <c r="K14" s="211"/>
      <c r="L14" s="211"/>
      <c r="M14" s="211"/>
      <c r="N14" s="211"/>
      <c r="O14" s="211"/>
      <c r="P14" s="211"/>
      <c r="S14" s="56" t="s">
        <v>180</v>
      </c>
      <c r="T14" s="56" t="s">
        <v>187</v>
      </c>
      <c r="U14" s="56" t="s">
        <v>209</v>
      </c>
      <c r="V14" s="56" t="s">
        <v>195</v>
      </c>
      <c r="W14" s="56" t="s">
        <v>225</v>
      </c>
      <c r="X14"/>
      <c r="Y14"/>
      <c r="Z14"/>
    </row>
    <row r="15" spans="1:26" ht="48.75" customHeight="1" x14ac:dyDescent="0.25">
      <c r="A15" s="117" t="s">
        <v>10</v>
      </c>
      <c r="B15" s="117"/>
      <c r="C15" s="11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Bhaveshwar Callista 3, Plot No.10C, Sector 16E, near Springdale Apartment, Roadpali Lake Rd/Kalamboli Link Rd, Roadpali, Kalamboli, Kalamboli, Panvel, Raigad - 410218.</v>
      </c>
      <c r="D15" s="117"/>
      <c r="E15" s="117"/>
      <c r="F15" s="117"/>
      <c r="G15" s="117"/>
      <c r="H15" s="117"/>
      <c r="S15" s="56" t="s">
        <v>181</v>
      </c>
      <c r="T15" s="56" t="s">
        <v>189</v>
      </c>
      <c r="U15" s="56" t="s">
        <v>210</v>
      </c>
      <c r="V15" s="56" t="s">
        <v>196</v>
      </c>
      <c r="W15" s="56" t="s">
        <v>213</v>
      </c>
      <c r="X15"/>
      <c r="Y15"/>
      <c r="Z15"/>
    </row>
    <row r="16" spans="1:26" x14ac:dyDescent="0.25">
      <c r="A16" s="117" t="s">
        <v>236</v>
      </c>
      <c r="B16" s="117"/>
      <c r="C16" s="117" t="s">
        <v>237</v>
      </c>
      <c r="D16" s="117"/>
      <c r="E16" s="117"/>
      <c r="F16" s="117"/>
      <c r="G16" s="117"/>
      <c r="H16" s="117"/>
      <c r="S16" s="56" t="s">
        <v>182</v>
      </c>
      <c r="T16" s="56" t="s">
        <v>190</v>
      </c>
      <c r="U16" s="56"/>
      <c r="V16" s="56" t="s">
        <v>197</v>
      </c>
      <c r="W16" s="56" t="s">
        <v>214</v>
      </c>
      <c r="X16"/>
      <c r="Y16"/>
      <c r="Z16"/>
    </row>
    <row r="17" spans="1:26" ht="15.75" customHeight="1" x14ac:dyDescent="0.25">
      <c r="A17" s="141" t="s">
        <v>163</v>
      </c>
      <c r="B17" s="141"/>
      <c r="C17" s="141" t="s">
        <v>239</v>
      </c>
      <c r="D17" s="141"/>
      <c r="E17" s="141"/>
      <c r="F17" s="141"/>
      <c r="G17" s="141"/>
      <c r="H17" s="141"/>
      <c r="S17" s="56" t="s">
        <v>183</v>
      </c>
      <c r="T17" s="56" t="s">
        <v>188</v>
      </c>
      <c r="U17" s="56"/>
      <c r="V17" s="56" t="s">
        <v>198</v>
      </c>
      <c r="W17" s="56" t="s">
        <v>215</v>
      </c>
      <c r="X17"/>
      <c r="Y17"/>
      <c r="Z17"/>
    </row>
    <row r="18" spans="1:26" ht="30.75" customHeight="1" x14ac:dyDescent="0.25">
      <c r="A18" s="117" t="s">
        <v>11</v>
      </c>
      <c r="B18" s="117"/>
      <c r="C18" s="117" t="s">
        <v>240</v>
      </c>
      <c r="D18" s="117"/>
      <c r="E18" s="117" t="s">
        <v>73</v>
      </c>
      <c r="F18" s="117"/>
      <c r="G18" s="117" t="s">
        <v>238</v>
      </c>
      <c r="H18" s="117"/>
      <c r="S18" s="56" t="s">
        <v>184</v>
      </c>
      <c r="T18" s="56" t="s">
        <v>191</v>
      </c>
      <c r="U18" s="56"/>
      <c r="V18" s="56" t="s">
        <v>199</v>
      </c>
      <c r="W18" s="56" t="s">
        <v>216</v>
      </c>
      <c r="X18"/>
      <c r="Y18"/>
      <c r="Z18"/>
    </row>
    <row r="19" spans="1:26" x14ac:dyDescent="0.25">
      <c r="A19" s="109" t="s">
        <v>13</v>
      </c>
      <c r="B19" s="109"/>
      <c r="C19" s="117" t="s">
        <v>238</v>
      </c>
      <c r="D19" s="117"/>
      <c r="E19" s="117" t="s">
        <v>12</v>
      </c>
      <c r="F19" s="117"/>
      <c r="G19" s="151" t="s">
        <v>193</v>
      </c>
      <c r="H19" s="151"/>
      <c r="S19" s="56" t="s">
        <v>185</v>
      </c>
      <c r="T19" s="56" t="s">
        <v>192</v>
      </c>
      <c r="U19" s="56"/>
      <c r="V19" s="56" t="s">
        <v>200</v>
      </c>
      <c r="W19" s="56" t="s">
        <v>217</v>
      </c>
      <c r="X19"/>
      <c r="Y19"/>
      <c r="Z19"/>
    </row>
    <row r="20" spans="1:26" x14ac:dyDescent="0.25">
      <c r="A20" s="109" t="s">
        <v>74</v>
      </c>
      <c r="B20" s="109"/>
      <c r="C20" s="117" t="s">
        <v>195</v>
      </c>
      <c r="D20" s="117"/>
      <c r="E20" s="117" t="s">
        <v>14</v>
      </c>
      <c r="F20" s="117"/>
      <c r="G20" s="117">
        <v>410218</v>
      </c>
      <c r="H20" s="117"/>
      <c r="S20" s="56"/>
      <c r="T20" s="56"/>
      <c r="U20" s="56"/>
      <c r="V20" s="56" t="s">
        <v>201</v>
      </c>
      <c r="W20" s="56" t="s">
        <v>218</v>
      </c>
      <c r="X20"/>
      <c r="Y20"/>
      <c r="Z20"/>
    </row>
    <row r="21" spans="1:26" ht="48" customHeight="1" x14ac:dyDescent="0.25">
      <c r="A21" s="109" t="s">
        <v>121</v>
      </c>
      <c r="B21" s="109"/>
      <c r="C21" s="117" t="s">
        <v>241</v>
      </c>
      <c r="D21" s="117"/>
      <c r="E21" s="117" t="s">
        <v>15</v>
      </c>
      <c r="F21" s="117"/>
      <c r="G21" s="117" t="s">
        <v>242</v>
      </c>
      <c r="H21" s="117"/>
      <c r="S21" s="56"/>
      <c r="T21" s="56"/>
      <c r="U21" s="56"/>
      <c r="V21" s="56" t="s">
        <v>202</v>
      </c>
      <c r="W21" s="56" t="s">
        <v>219</v>
      </c>
      <c r="X21"/>
      <c r="Y21"/>
      <c r="Z21"/>
    </row>
    <row r="22" spans="1:26" ht="15" customHeight="1" x14ac:dyDescent="0.25">
      <c r="A22" s="117" t="s">
        <v>76</v>
      </c>
      <c r="B22" s="117"/>
      <c r="C22" s="117"/>
      <c r="D22" s="117"/>
      <c r="E22" s="109" t="s">
        <v>16</v>
      </c>
      <c r="F22" s="109"/>
      <c r="G22" s="109"/>
      <c r="H22" s="109"/>
      <c r="S22" s="56"/>
      <c r="T22" s="56"/>
      <c r="U22" s="56"/>
      <c r="V22" s="56" t="s">
        <v>203</v>
      </c>
      <c r="W22" s="56" t="s">
        <v>220</v>
      </c>
      <c r="X22"/>
      <c r="Y22"/>
      <c r="Z22"/>
    </row>
    <row r="23" spans="1:26" ht="18.75" customHeight="1" x14ac:dyDescent="0.25">
      <c r="A23" s="117"/>
      <c r="B23" s="117"/>
      <c r="C23" s="117"/>
      <c r="D23" s="117"/>
      <c r="E23" s="109"/>
      <c r="F23" s="109"/>
      <c r="G23" s="109"/>
      <c r="H23" s="109"/>
      <c r="S23" s="56"/>
      <c r="T23" s="56"/>
      <c r="U23" s="56"/>
      <c r="V23" s="56" t="s">
        <v>204</v>
      </c>
      <c r="W23" s="56" t="s">
        <v>221</v>
      </c>
      <c r="X23"/>
      <c r="Y23"/>
      <c r="Z23"/>
    </row>
    <row r="24" spans="1:26" ht="15" customHeight="1" x14ac:dyDescent="0.25">
      <c r="A24" s="150" t="s">
        <v>17</v>
      </c>
      <c r="B24" s="150"/>
      <c r="C24" s="150"/>
      <c r="D24" s="150"/>
      <c r="E24" s="141" t="s">
        <v>18</v>
      </c>
      <c r="F24" s="141"/>
      <c r="G24" s="141"/>
      <c r="H24" s="141"/>
      <c r="S24" s="56"/>
      <c r="T24" s="56"/>
      <c r="U24" s="56"/>
      <c r="V24" s="56" t="s">
        <v>205</v>
      </c>
      <c r="W24" s="56" t="s">
        <v>222</v>
      </c>
      <c r="X24"/>
      <c r="Y24"/>
      <c r="Z24"/>
    </row>
    <row r="25" spans="1:26" ht="15" customHeight="1" x14ac:dyDescent="0.25">
      <c r="A25" s="95" t="s">
        <v>19</v>
      </c>
      <c r="B25" s="95"/>
      <c r="C25" s="95"/>
      <c r="D25" s="95"/>
      <c r="E25" s="141" t="str">
        <f>IF(AND(G19="Mumbai"),"Upper Class","Middle Class")</f>
        <v>Middle Class</v>
      </c>
      <c r="F25" s="141"/>
      <c r="G25" s="141"/>
      <c r="H25" s="141"/>
      <c r="S25" s="56"/>
      <c r="T25" s="56"/>
      <c r="U25" s="56"/>
      <c r="V25" s="56" t="s">
        <v>206</v>
      </c>
      <c r="W25" s="56" t="s">
        <v>223</v>
      </c>
      <c r="X25"/>
      <c r="Y25"/>
      <c r="Z25"/>
    </row>
    <row r="26" spans="1:26" x14ac:dyDescent="0.25">
      <c r="A26" s="95" t="s">
        <v>20</v>
      </c>
      <c r="B26" s="95"/>
      <c r="C26" s="95"/>
      <c r="D26" s="95"/>
      <c r="E26" s="141" t="s">
        <v>21</v>
      </c>
      <c r="F26" s="141"/>
      <c r="G26" s="141"/>
      <c r="H26" s="141"/>
      <c r="S26" s="56"/>
      <c r="T26" s="56"/>
      <c r="U26" s="56"/>
      <c r="V26" s="56" t="s">
        <v>207</v>
      </c>
      <c r="W26" s="56" t="s">
        <v>224</v>
      </c>
      <c r="X26"/>
      <c r="Y26"/>
      <c r="Z26"/>
    </row>
    <row r="27" spans="1:26" ht="15.75" customHeight="1" x14ac:dyDescent="0.25">
      <c r="A27" s="95" t="s">
        <v>22</v>
      </c>
      <c r="B27" s="95"/>
      <c r="C27" s="95"/>
      <c r="D27" s="95"/>
      <c r="E27" s="141" t="str">
        <f>IF(AND(G19="Mumbai"),"Developed","Developing")</f>
        <v>Developing</v>
      </c>
      <c r="F27" s="141"/>
      <c r="G27" s="141"/>
      <c r="H27" s="141"/>
    </row>
    <row r="28" spans="1:26" x14ac:dyDescent="0.25">
      <c r="A28" s="95" t="s">
        <v>23</v>
      </c>
      <c r="B28" s="95"/>
      <c r="C28" s="95"/>
      <c r="D28" s="95"/>
      <c r="E28" s="141" t="s">
        <v>24</v>
      </c>
      <c r="F28" s="141"/>
      <c r="G28" s="141"/>
      <c r="H28" s="141"/>
    </row>
    <row r="29" spans="1:26" ht="15.75" customHeight="1" x14ac:dyDescent="0.25">
      <c r="A29" s="95" t="s">
        <v>81</v>
      </c>
      <c r="B29" s="95"/>
      <c r="C29" s="95"/>
      <c r="D29" s="95"/>
      <c r="E29" s="141" t="s">
        <v>82</v>
      </c>
      <c r="F29" s="141"/>
      <c r="G29" s="141"/>
      <c r="H29" s="141"/>
    </row>
    <row r="30" spans="1:26" ht="15" customHeight="1" x14ac:dyDescent="0.25">
      <c r="A30" s="95" t="s">
        <v>32</v>
      </c>
      <c r="B30" s="95"/>
      <c r="C30" s="95"/>
      <c r="D30" s="95"/>
      <c r="E30" s="141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141"/>
      <c r="G30" s="141"/>
      <c r="H30" s="141"/>
    </row>
    <row r="31" spans="1:26" ht="15.75" customHeight="1" x14ac:dyDescent="0.25">
      <c r="A31" s="95" t="s">
        <v>93</v>
      </c>
      <c r="B31" s="95"/>
      <c r="C31" s="95"/>
      <c r="D31" s="95"/>
      <c r="E31" s="141" t="s">
        <v>33</v>
      </c>
      <c r="F31" s="141"/>
      <c r="G31" s="141"/>
      <c r="H31" s="141"/>
    </row>
    <row r="32" spans="1:26" s="21" customFormat="1" x14ac:dyDescent="0.25">
      <c r="A32" s="149" t="s">
        <v>94</v>
      </c>
      <c r="B32" s="149"/>
      <c r="C32" s="146" t="s">
        <v>172</v>
      </c>
      <c r="D32" s="147"/>
      <c r="E32" s="148"/>
      <c r="F32" s="146" t="s">
        <v>30</v>
      </c>
      <c r="G32" s="147"/>
      <c r="H32" s="148"/>
    </row>
    <row r="33" spans="1:9" s="21" customFormat="1" x14ac:dyDescent="0.25">
      <c r="A33" s="142" t="s">
        <v>25</v>
      </c>
      <c r="B33" s="142" t="s">
        <v>29</v>
      </c>
      <c r="C33" s="143" t="s">
        <v>284</v>
      </c>
      <c r="D33" s="144"/>
      <c r="E33" s="145"/>
      <c r="F33" s="143" t="s">
        <v>243</v>
      </c>
      <c r="G33" s="144"/>
      <c r="H33" s="145"/>
    </row>
    <row r="34" spans="1:9" ht="30.75" customHeight="1" x14ac:dyDescent="0.25">
      <c r="A34" s="120" t="s">
        <v>26</v>
      </c>
      <c r="B34" s="120" t="s">
        <v>29</v>
      </c>
      <c r="C34" s="121" t="s">
        <v>285</v>
      </c>
      <c r="D34" s="122"/>
      <c r="E34" s="123"/>
      <c r="F34" s="127" t="s">
        <v>255</v>
      </c>
      <c r="G34" s="128"/>
      <c r="H34" s="129"/>
    </row>
    <row r="35" spans="1:9" s="21" customFormat="1" x14ac:dyDescent="0.25">
      <c r="A35" s="142" t="s">
        <v>28</v>
      </c>
      <c r="B35" s="142" t="s">
        <v>29</v>
      </c>
      <c r="C35" s="143" t="s">
        <v>245</v>
      </c>
      <c r="D35" s="144"/>
      <c r="E35" s="145"/>
      <c r="F35" s="143" t="s">
        <v>244</v>
      </c>
      <c r="G35" s="144"/>
      <c r="H35" s="145"/>
    </row>
    <row r="36" spans="1:9" ht="30.75" customHeight="1" x14ac:dyDescent="0.25">
      <c r="A36" s="120" t="s">
        <v>27</v>
      </c>
      <c r="B36" s="120" t="s">
        <v>29</v>
      </c>
      <c r="C36" s="121" t="s">
        <v>246</v>
      </c>
      <c r="D36" s="122"/>
      <c r="E36" s="123"/>
      <c r="F36" s="127" t="s">
        <v>256</v>
      </c>
      <c r="G36" s="128"/>
      <c r="H36" s="129"/>
    </row>
    <row r="37" spans="1:9" x14ac:dyDescent="0.25">
      <c r="A37" s="95" t="s">
        <v>31</v>
      </c>
      <c r="B37" s="95"/>
      <c r="C37" s="95"/>
      <c r="D37" s="95"/>
      <c r="E37" s="95"/>
      <c r="F37" s="95"/>
      <c r="G37" s="95"/>
      <c r="H37" s="95"/>
    </row>
    <row r="38" spans="1:9" ht="15.75" customHeight="1" x14ac:dyDescent="0.25">
      <c r="A38" s="95" t="s">
        <v>165</v>
      </c>
      <c r="B38" s="95"/>
      <c r="C38" s="140" t="s">
        <v>261</v>
      </c>
      <c r="D38" s="125"/>
      <c r="E38" s="125"/>
      <c r="F38" s="125"/>
      <c r="G38" s="125"/>
      <c r="H38" s="125"/>
    </row>
    <row r="39" spans="1:9" x14ac:dyDescent="0.25">
      <c r="A39" s="95" t="s">
        <v>162</v>
      </c>
      <c r="B39" s="95"/>
      <c r="C39" s="126" t="s">
        <v>267</v>
      </c>
      <c r="D39" s="117"/>
      <c r="E39" s="117"/>
      <c r="F39" s="117"/>
      <c r="G39" s="117"/>
      <c r="H39" s="117"/>
    </row>
    <row r="40" spans="1:9" x14ac:dyDescent="0.25">
      <c r="A40" s="125" t="s">
        <v>34</v>
      </c>
      <c r="B40" s="125"/>
      <c r="C40" s="125"/>
      <c r="D40" s="125"/>
      <c r="E40" s="125"/>
      <c r="F40" s="125"/>
      <c r="G40" s="125"/>
      <c r="H40" s="125"/>
    </row>
    <row r="41" spans="1:9" x14ac:dyDescent="0.25">
      <c r="A41" s="95" t="s">
        <v>35</v>
      </c>
      <c r="B41" s="95"/>
      <c r="C41" s="95"/>
      <c r="D41" s="95"/>
      <c r="E41" s="124">
        <v>1949.96</v>
      </c>
      <c r="F41" s="124"/>
      <c r="G41" s="124"/>
      <c r="H41" s="124"/>
    </row>
    <row r="42" spans="1:9" x14ac:dyDescent="0.25">
      <c r="A42" s="95" t="s">
        <v>36</v>
      </c>
      <c r="B42" s="95"/>
      <c r="C42" s="95"/>
      <c r="D42" s="95"/>
      <c r="E42" s="107">
        <f>2144.956/E41</f>
        <v>1.1000000000000001</v>
      </c>
      <c r="F42" s="107"/>
      <c r="G42" s="107"/>
      <c r="H42" s="107"/>
      <c r="I42" s="20">
        <f>2924.94/E41</f>
        <v>1.5</v>
      </c>
    </row>
    <row r="43" spans="1:9" x14ac:dyDescent="0.25">
      <c r="A43" s="95" t="s">
        <v>37</v>
      </c>
      <c r="B43" s="95"/>
      <c r="C43" s="95"/>
      <c r="D43" s="95"/>
      <c r="E43" s="107">
        <f>E45/E41-E42</f>
        <v>4.5231481671418905</v>
      </c>
      <c r="F43" s="107"/>
      <c r="G43" s="107"/>
      <c r="H43" s="107"/>
    </row>
    <row r="44" spans="1:9" x14ac:dyDescent="0.25">
      <c r="A44" s="95" t="s">
        <v>38</v>
      </c>
      <c r="B44" s="95"/>
      <c r="C44" s="95"/>
      <c r="D44" s="95"/>
      <c r="E44" s="107">
        <f>E42+E43</f>
        <v>5.6231481671418901</v>
      </c>
      <c r="F44" s="107"/>
      <c r="G44" s="107"/>
      <c r="H44" s="107"/>
    </row>
    <row r="45" spans="1:9" x14ac:dyDescent="0.25">
      <c r="A45" s="95" t="s">
        <v>92</v>
      </c>
      <c r="B45" s="95"/>
      <c r="C45" s="95"/>
      <c r="D45" s="95"/>
      <c r="E45" s="108">
        <v>10964.914000000001</v>
      </c>
      <c r="F45" s="108"/>
      <c r="G45" s="108"/>
      <c r="H45" s="108"/>
    </row>
    <row r="46" spans="1:9" x14ac:dyDescent="0.25">
      <c r="A46" s="109" t="s">
        <v>39</v>
      </c>
      <c r="B46" s="109"/>
      <c r="C46" s="109"/>
      <c r="D46" s="109"/>
      <c r="E46" s="109" t="s">
        <v>120</v>
      </c>
      <c r="F46" s="109"/>
      <c r="G46" s="109"/>
      <c r="H46" s="109"/>
    </row>
    <row r="47" spans="1:9" x14ac:dyDescent="0.25">
      <c r="A47" s="130" t="s">
        <v>40</v>
      </c>
      <c r="B47" s="130"/>
      <c r="C47" s="130"/>
      <c r="D47" s="130"/>
      <c r="E47" s="130"/>
      <c r="F47" s="130"/>
      <c r="G47" s="130"/>
      <c r="H47" s="130"/>
    </row>
    <row r="48" spans="1:9" ht="33.75" customHeight="1" x14ac:dyDescent="0.25">
      <c r="A48" s="90" t="s">
        <v>150</v>
      </c>
      <c r="B48" s="91"/>
      <c r="C48" s="92" t="s">
        <v>247</v>
      </c>
      <c r="D48" s="93"/>
      <c r="E48" s="93"/>
      <c r="F48" s="93"/>
      <c r="G48" s="93"/>
      <c r="H48" s="94"/>
    </row>
    <row r="49" spans="1:14" ht="15.75" customHeight="1" x14ac:dyDescent="0.25">
      <c r="A49" s="90" t="s">
        <v>41</v>
      </c>
      <c r="B49" s="91"/>
      <c r="C49" s="90" t="s">
        <v>272</v>
      </c>
      <c r="D49" s="97"/>
      <c r="E49" s="91"/>
      <c r="F49" s="64" t="s">
        <v>42</v>
      </c>
      <c r="G49" s="136">
        <v>45925</v>
      </c>
      <c r="H49" s="91"/>
    </row>
    <row r="50" spans="1:14" x14ac:dyDescent="0.25">
      <c r="A50" s="90" t="s">
        <v>43</v>
      </c>
      <c r="B50" s="91"/>
      <c r="C50" s="90" t="str">
        <f>C49</f>
        <v>CARPC/RB/2025/APL/00209</v>
      </c>
      <c r="D50" s="97"/>
      <c r="E50" s="91"/>
      <c r="F50" s="64" t="s">
        <v>42</v>
      </c>
      <c r="G50" s="136">
        <f>G49</f>
        <v>45925</v>
      </c>
      <c r="H50" s="137"/>
    </row>
    <row r="51" spans="1:14" s="22" customFormat="1" ht="17.25" customHeight="1" x14ac:dyDescent="0.25">
      <c r="A51" s="133" t="s">
        <v>154</v>
      </c>
      <c r="B51" s="135"/>
      <c r="C51" s="90" t="s">
        <v>272</v>
      </c>
      <c r="D51" s="97"/>
      <c r="E51" s="91"/>
      <c r="F51" s="64" t="s">
        <v>42</v>
      </c>
      <c r="G51" s="136">
        <v>45925</v>
      </c>
      <c r="H51" s="137"/>
    </row>
    <row r="52" spans="1:14" s="22" customFormat="1" x14ac:dyDescent="0.25">
      <c r="A52" s="138"/>
      <c r="B52" s="139"/>
      <c r="C52" s="90" t="s">
        <v>273</v>
      </c>
      <c r="D52" s="97"/>
      <c r="E52" s="97"/>
      <c r="F52" s="97"/>
      <c r="G52" s="97"/>
      <c r="H52" s="91"/>
    </row>
    <row r="53" spans="1:14" ht="48" customHeight="1" x14ac:dyDescent="0.25">
      <c r="A53" s="90" t="s">
        <v>274</v>
      </c>
      <c r="B53" s="91"/>
      <c r="C53" s="90" t="s">
        <v>275</v>
      </c>
      <c r="D53" s="97"/>
      <c r="E53" s="91"/>
      <c r="F53" s="69" t="s">
        <v>42</v>
      </c>
      <c r="G53" s="215">
        <v>45566</v>
      </c>
      <c r="H53" s="216"/>
    </row>
    <row r="54" spans="1:14" ht="66" customHeight="1" x14ac:dyDescent="0.25">
      <c r="A54" s="90" t="s">
        <v>264</v>
      </c>
      <c r="B54" s="91"/>
      <c r="C54" s="90" t="s">
        <v>262</v>
      </c>
      <c r="D54" s="97"/>
      <c r="E54" s="91"/>
      <c r="F54" s="69" t="s">
        <v>42</v>
      </c>
      <c r="G54" s="215">
        <v>44734</v>
      </c>
      <c r="H54" s="216"/>
    </row>
    <row r="55" spans="1:14" x14ac:dyDescent="0.25">
      <c r="A55" s="212" t="s">
        <v>44</v>
      </c>
      <c r="B55" s="213"/>
      <c r="C55" s="212" t="s">
        <v>104</v>
      </c>
      <c r="D55" s="214"/>
      <c r="E55" s="213"/>
      <c r="F55" s="65" t="s">
        <v>42</v>
      </c>
      <c r="G55" s="92" t="s">
        <v>29</v>
      </c>
      <c r="H55" s="94"/>
    </row>
    <row r="56" spans="1:14" x14ac:dyDescent="0.25">
      <c r="A56" s="217" t="s">
        <v>46</v>
      </c>
      <c r="B56" s="217"/>
      <c r="C56" s="217"/>
      <c r="D56" s="217"/>
      <c r="E56" s="217"/>
      <c r="F56" s="217"/>
      <c r="G56" s="217"/>
      <c r="H56" s="217"/>
    </row>
    <row r="57" spans="1:14" x14ac:dyDescent="0.25">
      <c r="A57" s="117" t="s">
        <v>91</v>
      </c>
      <c r="B57" s="117"/>
      <c r="C57" s="117"/>
      <c r="D57" s="109">
        <f>E45</f>
        <v>10964.914000000001</v>
      </c>
      <c r="E57" s="109"/>
      <c r="F57" s="109"/>
      <c r="G57" s="109"/>
      <c r="H57" s="109"/>
    </row>
    <row r="58" spans="1:14" x14ac:dyDescent="0.25">
      <c r="A58" s="218" t="s">
        <v>47</v>
      </c>
      <c r="B58" s="219"/>
      <c r="C58" s="219"/>
      <c r="D58" s="109" t="s">
        <v>283</v>
      </c>
      <c r="E58" s="109"/>
      <c r="F58" s="109"/>
      <c r="G58" s="109"/>
      <c r="H58" s="109"/>
      <c r="I58" s="23"/>
    </row>
    <row r="59" spans="1:14" x14ac:dyDescent="0.25">
      <c r="A59" s="133" t="s">
        <v>48</v>
      </c>
      <c r="B59" s="134"/>
      <c r="C59" s="135"/>
      <c r="D59" s="131" t="s">
        <v>273</v>
      </c>
      <c r="E59" s="132"/>
      <c r="F59" s="132"/>
      <c r="G59" s="132"/>
      <c r="H59" s="132"/>
    </row>
    <row r="60" spans="1:14" ht="15.75" customHeight="1" x14ac:dyDescent="0.25">
      <c r="A60" s="133" t="s">
        <v>89</v>
      </c>
      <c r="B60" s="134"/>
      <c r="C60" s="134"/>
      <c r="D60" s="109" t="s">
        <v>273</v>
      </c>
      <c r="E60" s="109"/>
      <c r="F60" s="109"/>
      <c r="G60" s="109"/>
      <c r="H60" s="109"/>
    </row>
    <row r="61" spans="1:14" ht="15.75" customHeight="1" x14ac:dyDescent="0.25">
      <c r="A61" s="109" t="s">
        <v>45</v>
      </c>
      <c r="B61" s="109"/>
      <c r="C61" s="109"/>
      <c r="D61" s="117" t="s">
        <v>248</v>
      </c>
      <c r="E61" s="117"/>
      <c r="F61" s="117"/>
      <c r="G61" s="117"/>
      <c r="H61" s="117"/>
      <c r="J61" s="24"/>
      <c r="K61" s="23"/>
      <c r="N61" s="23"/>
    </row>
    <row r="62" spans="1:14" ht="15.75" customHeight="1" x14ac:dyDescent="0.25">
      <c r="A62" s="109" t="s">
        <v>87</v>
      </c>
      <c r="B62" s="109"/>
      <c r="C62" s="109"/>
      <c r="D62" s="221" t="str">
        <f>(IF(G55="NA","60 Years After Completion",IF(G55&lt;&gt;"NA",""&amp;60-ROUNDDOWN((E3-G55)/360,0)&amp;" Years"," ")))</f>
        <v>60 Years After Completion</v>
      </c>
      <c r="E62" s="221"/>
      <c r="F62" s="221"/>
      <c r="G62" s="221"/>
      <c r="H62" s="221"/>
      <c r="N62" s="23"/>
    </row>
    <row r="63" spans="1:14" ht="15.75" customHeight="1" x14ac:dyDescent="0.25">
      <c r="A63" s="109" t="s">
        <v>88</v>
      </c>
      <c r="B63" s="109"/>
      <c r="C63" s="109"/>
      <c r="D63" s="117" t="s">
        <v>24</v>
      </c>
      <c r="E63" s="117"/>
      <c r="F63" s="117"/>
      <c r="G63" s="117"/>
      <c r="H63" s="117"/>
      <c r="J63" s="25"/>
      <c r="K63" s="25"/>
    </row>
    <row r="64" spans="1:14" ht="48.75" customHeight="1" x14ac:dyDescent="0.25">
      <c r="A64" s="109" t="s">
        <v>260</v>
      </c>
      <c r="B64" s="109"/>
      <c r="C64" s="109"/>
      <c r="D64" s="117" t="s">
        <v>278</v>
      </c>
      <c r="E64" s="117"/>
      <c r="F64" s="117"/>
      <c r="G64" s="117"/>
      <c r="H64" s="117"/>
    </row>
    <row r="65" spans="1:14" x14ac:dyDescent="0.25">
      <c r="A65" s="150" t="s">
        <v>147</v>
      </c>
      <c r="B65" s="150"/>
      <c r="C65" s="150"/>
      <c r="D65" s="150" t="s">
        <v>29</v>
      </c>
      <c r="E65" s="150"/>
      <c r="F65" s="150"/>
      <c r="G65" s="150"/>
      <c r="H65" s="150"/>
      <c r="I65" s="26"/>
      <c r="J65" s="26"/>
      <c r="K65" s="26"/>
      <c r="L65" s="26"/>
      <c r="M65" s="26"/>
      <c r="N65" s="26"/>
    </row>
    <row r="66" spans="1:14" ht="15.75" customHeight="1" x14ac:dyDescent="0.25">
      <c r="A66" s="220" t="s">
        <v>86</v>
      </c>
      <c r="B66" s="220"/>
      <c r="C66" s="220"/>
      <c r="D66" s="76" t="str">
        <f ca="1">(IF(G72&gt;95%,"Nothing",IF(G72&gt;0%,"Cement, Aggregate, Steel, etc",IF(G72=0%,"Work not yet Started"))))</f>
        <v>Cement, Aggregate, Steel, etc</v>
      </c>
      <c r="E66" s="76"/>
      <c r="F66" s="76"/>
      <c r="G66" s="76"/>
      <c r="H66" s="76"/>
      <c r="J66" s="25"/>
    </row>
    <row r="67" spans="1:14" ht="33.75" customHeight="1" thickBot="1" x14ac:dyDescent="0.3">
      <c r="A67" s="209" t="s">
        <v>117</v>
      </c>
      <c r="B67" s="209"/>
      <c r="C67" s="209"/>
      <c r="D67" s="76" t="str">
        <f ca="1">(IF(D66="Nothing","Yes",IF(D66="Cement, Aggregate, Steel, etc","Under Construction",IF(D66="Work not yet Started","Work not yet Started"))))</f>
        <v>Under Construction</v>
      </c>
      <c r="E67" s="76"/>
      <c r="F67" s="76" t="str">
        <f ca="1">(IF(D66="Nothing","Yes",IF(D66="Cement, Aggregate, Steel, etc","Under Construction",IF(D66="Work not yet Started","Work not yet Started"))))</f>
        <v>Under Construction</v>
      </c>
      <c r="G67" s="76"/>
      <c r="H67" s="76"/>
    </row>
    <row r="68" spans="1:14" ht="15.75" customHeight="1" x14ac:dyDescent="0.25">
      <c r="A68" s="112" t="s">
        <v>139</v>
      </c>
      <c r="B68" s="113"/>
      <c r="C68" s="114" t="str">
        <f>D60</f>
        <v>Gr + 1st to 20th Floor</v>
      </c>
      <c r="D68" s="115"/>
      <c r="E68" s="115"/>
      <c r="F68" s="115"/>
      <c r="G68" s="115"/>
      <c r="H68" s="116"/>
      <c r="I68" s="48" t="str">
        <f ca="1">IF(D81=100%,"All work Completed. Possession granted to the Building.",IF(D80=100%,"All work Completed, Waiting for OC",I69&amp;""&amp;I70&amp;""&amp;J69&amp;""&amp;J68&amp;" "&amp;J70))</f>
        <v>Excavation, Plinth Completed, RCC upto 16 Slab, Brickwork upto 7 Floor, Internal Plaster upto 4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16 Slab, Brickwork upto 7 Floor, Internal Plaster upto 4 Floor</v>
      </c>
    </row>
    <row r="69" spans="1:14" x14ac:dyDescent="0.25">
      <c r="A69" s="16" t="s">
        <v>141</v>
      </c>
      <c r="B69" s="52">
        <f>IF(AND(ISNUMBER(SEARCH("1B",C68))),1,IF(AND(ISNUMBER(SEARCH("2B",C68))),2,IF(AND(ISNUMBER(SEARCH("3B",C68))),3,IF(AND(ISNUMBER(SEARCH("4B",C68))),4,IF(ISNUMBER(SEARCH("5B",C68)),5,0)))))</f>
        <v>0</v>
      </c>
      <c r="C69" s="46" t="s">
        <v>72</v>
      </c>
      <c r="D69" s="46">
        <v>1</v>
      </c>
      <c r="E69" s="46" t="s">
        <v>71</v>
      </c>
      <c r="F69" s="66">
        <v>0</v>
      </c>
      <c r="G69" s="47" t="s">
        <v>80</v>
      </c>
      <c r="H69" s="17">
        <f ca="1">--TRIM(RIGHT(SUBSTITUTE(LEFT(C68,_xlfn.AGGREGATE(16,6,FIND({0,1,2,3,4,5,6,7,8,9},C68,ROW(INDIRECT("1:"&amp;LEN(C68)))),1))," ",REPT(" ",LEN(C68))),LEN(C68)))</f>
        <v>20</v>
      </c>
      <c r="I69" s="50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" customHeight="1" x14ac:dyDescent="0.25">
      <c r="A70" s="110" t="s">
        <v>90</v>
      </c>
      <c r="B70" s="111"/>
      <c r="C70" s="118" t="str">
        <f ca="1">I68</f>
        <v>Excavation, Plinth Completed, RCC upto 16 Slab, Brickwork upto 7 Floor, Internal Plaster upto 4 Floor Completed</v>
      </c>
      <c r="D70" s="118"/>
      <c r="E70" s="118"/>
      <c r="F70" s="118"/>
      <c r="G70" s="118"/>
      <c r="H70" s="119"/>
      <c r="I70" s="50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25">
      <c r="A71" s="77" t="s">
        <v>49</v>
      </c>
      <c r="B71" s="78"/>
      <c r="C71" s="43" t="s">
        <v>138</v>
      </c>
      <c r="D71" s="43" t="s">
        <v>83</v>
      </c>
      <c r="E71" s="78" t="s">
        <v>85</v>
      </c>
      <c r="F71" s="78"/>
      <c r="G71" s="78" t="s">
        <v>84</v>
      </c>
      <c r="H71" s="79"/>
      <c r="I71" s="14" t="s">
        <v>140</v>
      </c>
      <c r="J71" s="27">
        <f ca="1">H69*25%</f>
        <v>5</v>
      </c>
    </row>
    <row r="72" spans="1:14" x14ac:dyDescent="0.25">
      <c r="A72" s="77" t="s">
        <v>127</v>
      </c>
      <c r="B72" s="78"/>
      <c r="C72" s="43">
        <f ca="1">J73</f>
        <v>20</v>
      </c>
      <c r="D72" s="18">
        <f ca="1">((100/H69)*C72)/100</f>
        <v>1</v>
      </c>
      <c r="E72" s="184">
        <f ca="1">(((C73/H69*10)+(40/(D69+F69+H69)*C74)+(7.5/(H69)*C75)+(7.5/(H69)*C76)+(10/H69*C77)+(10/H69*C78)+(5/H69*C79)+(5/H69*C80)+(5/H69*C81))/100)</f>
        <v>0.44601190476190472</v>
      </c>
      <c r="F72" s="185"/>
      <c r="G72" s="184">
        <f ca="1">((((C72/H69)*20)+((C73/H69)*25)+(30/(H69+F69+D69)*C74)+(5/H69*C75)+(5/H69*C76)+(5/H69*C77)+(5/H69*C78)+(0/H69*C79)+(0/H69*C80)+(5/H69*C81))/100)</f>
        <v>0.70607142857142857</v>
      </c>
      <c r="H72" s="190"/>
      <c r="I72" s="14" t="s">
        <v>99</v>
      </c>
      <c r="J72" s="28">
        <f ca="1">H69*50%</f>
        <v>10</v>
      </c>
    </row>
    <row r="73" spans="1:14" x14ac:dyDescent="0.25">
      <c r="A73" s="77" t="s">
        <v>50</v>
      </c>
      <c r="B73" s="78"/>
      <c r="C73" s="70">
        <f ca="1">J81</f>
        <v>20</v>
      </c>
      <c r="D73" s="18">
        <f ca="1">((100/H69)*C73)/100</f>
        <v>1</v>
      </c>
      <c r="E73" s="186"/>
      <c r="F73" s="187"/>
      <c r="G73" s="186"/>
      <c r="H73" s="191"/>
      <c r="I73" s="14" t="s">
        <v>100</v>
      </c>
      <c r="J73" s="28">
        <f ca="1">H69</f>
        <v>20</v>
      </c>
    </row>
    <row r="74" spans="1:14" ht="15.75" customHeight="1" x14ac:dyDescent="0.25">
      <c r="A74" s="77" t="s">
        <v>128</v>
      </c>
      <c r="B74" s="78"/>
      <c r="C74" s="43">
        <v>16</v>
      </c>
      <c r="D74" s="18">
        <f ca="1">((100/(D69+F69+H69))*C74)/100</f>
        <v>0.76190476190476186</v>
      </c>
      <c r="E74" s="186"/>
      <c r="F74" s="187"/>
      <c r="G74" s="186"/>
      <c r="H74" s="191"/>
      <c r="I74" s="14" t="s">
        <v>101</v>
      </c>
      <c r="J74" s="29">
        <f ca="1">(IF(B69&gt;1,(H69/(B69+2)),H69/4))</f>
        <v>5</v>
      </c>
    </row>
    <row r="75" spans="1:14" ht="15.75" customHeight="1" x14ac:dyDescent="0.25">
      <c r="A75" s="77" t="s">
        <v>135</v>
      </c>
      <c r="B75" s="78" t="s">
        <v>129</v>
      </c>
      <c r="C75" s="43">
        <v>7</v>
      </c>
      <c r="D75" s="18">
        <f ca="1">((100/H69)*C75)/100</f>
        <v>0.35</v>
      </c>
      <c r="E75" s="186"/>
      <c r="F75" s="187"/>
      <c r="G75" s="186"/>
      <c r="H75" s="191"/>
      <c r="I75" s="14" t="s">
        <v>102</v>
      </c>
      <c r="J75" s="29">
        <f ca="1">(IF(B69&gt;1,(H69/(B69+2)+J74),H69/4+J74))</f>
        <v>10</v>
      </c>
    </row>
    <row r="76" spans="1:14" ht="15.75" customHeight="1" x14ac:dyDescent="0.25">
      <c r="A76" s="77" t="s">
        <v>136</v>
      </c>
      <c r="B76" s="78" t="s">
        <v>129</v>
      </c>
      <c r="C76" s="43">
        <v>4</v>
      </c>
      <c r="D76" s="18">
        <f ca="1">((100/H69)*C76)/100</f>
        <v>0.2</v>
      </c>
      <c r="E76" s="186"/>
      <c r="F76" s="187"/>
      <c r="G76" s="186"/>
      <c r="H76" s="191"/>
      <c r="I76" s="14" t="s">
        <v>145</v>
      </c>
      <c r="J76" s="29">
        <f>(IF(B69&gt;1,(H69/(B69+2)+J75),0))</f>
        <v>0</v>
      </c>
    </row>
    <row r="77" spans="1:14" ht="15" customHeight="1" x14ac:dyDescent="0.25">
      <c r="A77" s="77" t="s">
        <v>134</v>
      </c>
      <c r="B77" s="78" t="s">
        <v>131</v>
      </c>
      <c r="C77" s="43">
        <v>0</v>
      </c>
      <c r="D77" s="18">
        <f ca="1">((100/(H69))*C77)/100</f>
        <v>0</v>
      </c>
      <c r="E77" s="186"/>
      <c r="F77" s="187"/>
      <c r="G77" s="186"/>
      <c r="H77" s="191"/>
      <c r="I77" s="14" t="s">
        <v>142</v>
      </c>
      <c r="J77" s="29">
        <f>(IF(B69&gt;2,(H69/(B69+2)+J76),0))</f>
        <v>0</v>
      </c>
    </row>
    <row r="78" spans="1:14" ht="15.75" customHeight="1" x14ac:dyDescent="0.25">
      <c r="A78" s="77" t="s">
        <v>130</v>
      </c>
      <c r="B78" s="78" t="s">
        <v>130</v>
      </c>
      <c r="C78" s="43">
        <v>0</v>
      </c>
      <c r="D78" s="18">
        <f ca="1">((100/H69)*C78)/100</f>
        <v>0</v>
      </c>
      <c r="E78" s="186"/>
      <c r="F78" s="187"/>
      <c r="G78" s="186"/>
      <c r="H78" s="191"/>
      <c r="I78" s="14" t="s">
        <v>143</v>
      </c>
      <c r="J78" s="30">
        <f>(IF(B69&gt;3,(H69/(B69+2)+J77),0))</f>
        <v>0</v>
      </c>
    </row>
    <row r="79" spans="1:14" ht="15.75" customHeight="1" x14ac:dyDescent="0.25">
      <c r="A79" s="77" t="s">
        <v>137</v>
      </c>
      <c r="B79" s="78"/>
      <c r="C79" s="43">
        <v>0</v>
      </c>
      <c r="D79" s="18">
        <f ca="1">((100/H69)*C79)/100</f>
        <v>0</v>
      </c>
      <c r="E79" s="186"/>
      <c r="F79" s="187"/>
      <c r="G79" s="186"/>
      <c r="H79" s="191"/>
      <c r="I79" s="14" t="s">
        <v>144</v>
      </c>
      <c r="J79" s="29">
        <f>(IF(B69&gt;4,(H69/(B69+2)+J78),0))</f>
        <v>0</v>
      </c>
    </row>
    <row r="80" spans="1:14" ht="15.75" customHeight="1" x14ac:dyDescent="0.25">
      <c r="A80" s="77" t="s">
        <v>132</v>
      </c>
      <c r="B80" s="78" t="s">
        <v>132</v>
      </c>
      <c r="C80" s="43">
        <v>0</v>
      </c>
      <c r="D80" s="18">
        <f ca="1">((100/(H69))*C80)/100</f>
        <v>0</v>
      </c>
      <c r="E80" s="186"/>
      <c r="F80" s="187"/>
      <c r="G80" s="186"/>
      <c r="H80" s="191"/>
      <c r="I80" s="14" t="s">
        <v>146</v>
      </c>
      <c r="J80" s="29">
        <f ca="1">(IF(B69=1,(H69/(B69+3)+J75),IF(B69=0,(H69/4+J75),IF(B69&gt;1,0))))</f>
        <v>15</v>
      </c>
    </row>
    <row r="81" spans="1:10" ht="16.5" thickBot="1" x14ac:dyDescent="0.3">
      <c r="A81" s="222" t="s">
        <v>133</v>
      </c>
      <c r="B81" s="223"/>
      <c r="C81" s="44">
        <v>0</v>
      </c>
      <c r="D81" s="19">
        <f ca="1">((100/(H69))*C81)/100</f>
        <v>0</v>
      </c>
      <c r="E81" s="188"/>
      <c r="F81" s="189"/>
      <c r="G81" s="188"/>
      <c r="H81" s="192"/>
      <c r="I81" s="15" t="s">
        <v>103</v>
      </c>
      <c r="J81" s="31">
        <f ca="1">(IF(B69&gt;1.5,(H69/(B69+2)+J75+MAX(0,J76-J75)+MAX(0,J77-J76)+MAX(0,J78-J77)+MAX(0,J79-J78)+MAX(0,J80-J79)),IF(B69=1,(H69/(B69+3)+J80),IF(B69=0,H69/4+J80))))</f>
        <v>20</v>
      </c>
    </row>
    <row r="82" spans="1:10" x14ac:dyDescent="0.25">
      <c r="A82" s="96" t="s">
        <v>156</v>
      </c>
      <c r="B82" s="96"/>
      <c r="C82" s="96"/>
      <c r="D82" s="96"/>
      <c r="E82" s="96"/>
      <c r="F82" s="196" t="s">
        <v>160</v>
      </c>
      <c r="G82" s="196"/>
      <c r="H82" s="196"/>
    </row>
    <row r="83" spans="1:10" x14ac:dyDescent="0.25">
      <c r="A83" s="95" t="s">
        <v>158</v>
      </c>
      <c r="B83" s="95"/>
      <c r="C83" s="95"/>
      <c r="D83" s="95"/>
      <c r="E83" s="95"/>
      <c r="F83" s="75">
        <v>7100</v>
      </c>
      <c r="G83" s="75"/>
      <c r="H83" s="75"/>
    </row>
    <row r="84" spans="1:10" x14ac:dyDescent="0.25">
      <c r="A84" s="95" t="s">
        <v>157</v>
      </c>
      <c r="B84" s="95"/>
      <c r="C84" s="95"/>
      <c r="D84" s="95"/>
      <c r="E84" s="95"/>
      <c r="F84" s="75">
        <v>15000</v>
      </c>
      <c r="G84" s="75"/>
      <c r="H84" s="75"/>
    </row>
    <row r="85" spans="1:10" hidden="1" x14ac:dyDescent="0.25">
      <c r="A85" s="95" t="s">
        <v>159</v>
      </c>
      <c r="B85" s="95"/>
      <c r="C85" s="95"/>
      <c r="D85" s="95"/>
      <c r="E85" s="95"/>
      <c r="F85" s="75"/>
      <c r="G85" s="75"/>
      <c r="H85" s="75"/>
    </row>
    <row r="86" spans="1:10" s="32" customFormat="1" hidden="1" x14ac:dyDescent="0.25">
      <c r="A86" s="95" t="s">
        <v>174</v>
      </c>
      <c r="B86" s="95"/>
      <c r="C86" s="95"/>
      <c r="D86" s="95"/>
      <c r="E86" s="95"/>
      <c r="F86" s="75"/>
      <c r="G86" s="75"/>
      <c r="H86" s="75"/>
    </row>
    <row r="87" spans="1:10" s="32" customFormat="1" hidden="1" x14ac:dyDescent="0.25">
      <c r="A87" s="95" t="s">
        <v>95</v>
      </c>
      <c r="B87" s="95"/>
      <c r="C87" s="95"/>
      <c r="D87" s="95"/>
      <c r="E87" s="95"/>
      <c r="F87" s="75"/>
      <c r="G87" s="75"/>
      <c r="H87" s="75"/>
    </row>
    <row r="88" spans="1:10" s="32" customFormat="1" x14ac:dyDescent="0.25">
      <c r="A88" s="95" t="s">
        <v>96</v>
      </c>
      <c r="B88" s="95"/>
      <c r="C88" s="95"/>
      <c r="D88" s="95"/>
      <c r="E88" s="95"/>
      <c r="F88" s="75">
        <v>150000</v>
      </c>
      <c r="G88" s="75"/>
      <c r="H88" s="75"/>
    </row>
    <row r="89" spans="1:10" s="32" customFormat="1" hidden="1" x14ac:dyDescent="0.25">
      <c r="A89" s="95" t="s">
        <v>161</v>
      </c>
      <c r="B89" s="95"/>
      <c r="C89" s="95"/>
      <c r="D89" s="95"/>
      <c r="E89" s="95"/>
      <c r="F89" s="75"/>
      <c r="G89" s="75"/>
      <c r="H89" s="75"/>
    </row>
    <row r="90" spans="1:10" s="32" customFormat="1" hidden="1" x14ac:dyDescent="0.25">
      <c r="A90" s="95" t="s">
        <v>97</v>
      </c>
      <c r="B90" s="95"/>
      <c r="C90" s="95"/>
      <c r="D90" s="95"/>
      <c r="E90" s="95"/>
      <c r="F90" s="75"/>
      <c r="G90" s="75"/>
      <c r="H90" s="75"/>
    </row>
    <row r="91" spans="1:10" s="32" customFormat="1" x14ac:dyDescent="0.25">
      <c r="A91" s="95" t="s">
        <v>259</v>
      </c>
      <c r="B91" s="95"/>
      <c r="C91" s="95"/>
      <c r="D91" s="95"/>
      <c r="E91" s="95"/>
      <c r="F91" s="75">
        <v>250000</v>
      </c>
      <c r="G91" s="75"/>
      <c r="H91" s="75"/>
    </row>
    <row r="92" spans="1:10" s="32" customFormat="1" x14ac:dyDescent="0.25">
      <c r="A92" s="95" t="s">
        <v>258</v>
      </c>
      <c r="B92" s="95"/>
      <c r="C92" s="95"/>
      <c r="D92" s="95"/>
      <c r="E92" s="95"/>
      <c r="F92" s="75">
        <v>100000</v>
      </c>
      <c r="G92" s="75"/>
      <c r="H92" s="75"/>
    </row>
    <row r="93" spans="1:10" s="32" customFormat="1" hidden="1" x14ac:dyDescent="0.25">
      <c r="A93" s="95" t="s">
        <v>98</v>
      </c>
      <c r="B93" s="95"/>
      <c r="C93" s="95"/>
      <c r="D93" s="95"/>
      <c r="E93" s="95"/>
      <c r="F93" s="75"/>
      <c r="G93" s="75"/>
      <c r="H93" s="75"/>
    </row>
    <row r="94" spans="1:10" x14ac:dyDescent="0.25">
      <c r="A94" s="95" t="s">
        <v>51</v>
      </c>
      <c r="B94" s="95"/>
      <c r="C94" s="95"/>
      <c r="D94" s="95"/>
      <c r="E94" s="95"/>
      <c r="F94" s="158">
        <v>500000</v>
      </c>
      <c r="G94" s="158"/>
      <c r="H94" s="158"/>
    </row>
    <row r="95" spans="1:10" s="33" customFormat="1" x14ac:dyDescent="0.25">
      <c r="A95" s="125" t="s">
        <v>52</v>
      </c>
      <c r="B95" s="125"/>
      <c r="C95" s="125"/>
      <c r="D95" s="125"/>
      <c r="E95" s="125"/>
      <c r="F95" s="75">
        <f>F83*0.8</f>
        <v>5680</v>
      </c>
      <c r="G95" s="75"/>
      <c r="H95" s="75"/>
    </row>
    <row r="96" spans="1:10" s="34" customFormat="1" ht="15.75" customHeight="1" x14ac:dyDescent="0.25">
      <c r="A96" s="102" t="s">
        <v>75</v>
      </c>
      <c r="B96" s="102"/>
      <c r="C96" s="102"/>
      <c r="D96" s="102"/>
      <c r="E96" s="102"/>
      <c r="F96" s="102"/>
      <c r="G96" s="102"/>
      <c r="H96" s="102"/>
    </row>
    <row r="97" spans="1:14" s="34" customFormat="1" ht="15.75" customHeight="1" x14ac:dyDescent="0.25">
      <c r="A97" s="162" t="s">
        <v>53</v>
      </c>
      <c r="B97" s="162"/>
      <c r="C97" s="104" t="s">
        <v>78</v>
      </c>
      <c r="D97" s="104"/>
      <c r="E97" s="106" t="s">
        <v>54</v>
      </c>
      <c r="F97" s="106"/>
      <c r="G97" s="162" t="s">
        <v>55</v>
      </c>
      <c r="H97" s="162"/>
    </row>
    <row r="98" spans="1:14" s="34" customFormat="1" x14ac:dyDescent="0.25">
      <c r="A98" s="160" t="s">
        <v>253</v>
      </c>
      <c r="B98" s="160"/>
      <c r="C98" s="207">
        <f>COUNT(D110:D127)</f>
        <v>18</v>
      </c>
      <c r="D98" s="224"/>
      <c r="E98" s="208">
        <f>SUM(D110:D127)</f>
        <v>5013.4406399999989</v>
      </c>
      <c r="F98" s="225"/>
      <c r="G98" s="208">
        <f>SUM(F110:F127)</f>
        <v>7770.8329920000006</v>
      </c>
      <c r="H98" s="225"/>
    </row>
    <row r="99" spans="1:14" s="34" customFormat="1" hidden="1" x14ac:dyDescent="0.25">
      <c r="A99" s="102" t="s">
        <v>149</v>
      </c>
      <c r="B99" s="102"/>
      <c r="C99" s="103">
        <f>SUM(C98)</f>
        <v>18</v>
      </c>
      <c r="D99" s="104"/>
      <c r="E99" s="105">
        <f>SUM(E98)</f>
        <v>5013.4406399999989</v>
      </c>
      <c r="F99" s="106"/>
      <c r="G99" s="162">
        <f>SUM(G98)</f>
        <v>7770.8329920000006</v>
      </c>
      <c r="H99" s="162"/>
    </row>
    <row r="100" spans="1:14" s="34" customFormat="1" x14ac:dyDescent="0.25">
      <c r="A100" s="102" t="s">
        <v>70</v>
      </c>
      <c r="B100" s="102"/>
      <c r="C100" s="102"/>
      <c r="D100" s="102"/>
      <c r="E100" s="102"/>
      <c r="F100" s="102"/>
      <c r="G100" s="102"/>
      <c r="H100" s="102"/>
    </row>
    <row r="101" spans="1:14" s="34" customFormat="1" ht="15.75" customHeight="1" x14ac:dyDescent="0.25">
      <c r="A101" s="162" t="s">
        <v>53</v>
      </c>
      <c r="B101" s="162"/>
      <c r="C101" s="104" t="s">
        <v>78</v>
      </c>
      <c r="D101" s="104"/>
      <c r="E101" s="106" t="s">
        <v>54</v>
      </c>
      <c r="F101" s="106"/>
      <c r="G101" s="162" t="s">
        <v>55</v>
      </c>
      <c r="H101" s="162"/>
    </row>
    <row r="102" spans="1:14" s="34" customFormat="1" ht="16.5" thickBot="1" x14ac:dyDescent="0.3">
      <c r="A102" s="159" t="s">
        <v>252</v>
      </c>
      <c r="B102" s="159"/>
      <c r="C102" s="207">
        <f>COUNT(D134:D145)*11+COUNT(D147:D158)*3+COUNT(D160:D171)</f>
        <v>180</v>
      </c>
      <c r="D102" s="207"/>
      <c r="E102" s="208">
        <f>SUM(D134:D145)*11+SUM(D147:D158)*3+SUM(D160:D171)</f>
        <v>88007.163659999977</v>
      </c>
      <c r="F102" s="208"/>
      <c r="G102" s="208">
        <f>SUM(F134:F145)*11+SUM(F147:F158)*3+SUM(F160:F171)</f>
        <v>162001.14266040002</v>
      </c>
      <c r="H102" s="208"/>
    </row>
    <row r="103" spans="1:14" s="34" customFormat="1" ht="16.5" hidden="1" thickBot="1" x14ac:dyDescent="0.3">
      <c r="A103" s="98" t="s">
        <v>149</v>
      </c>
      <c r="B103" s="98"/>
      <c r="C103" s="181">
        <f>SUM(C102)</f>
        <v>180</v>
      </c>
      <c r="D103" s="182"/>
      <c r="E103" s="99">
        <f>SUM(E102)</f>
        <v>88007.163659999977</v>
      </c>
      <c r="F103" s="100"/>
      <c r="G103" s="101">
        <f>SUM(G102)</f>
        <v>162001.14266040002</v>
      </c>
      <c r="H103" s="101"/>
    </row>
    <row r="104" spans="1:14" s="34" customFormat="1" ht="16.5" thickBot="1" x14ac:dyDescent="0.3">
      <c r="A104" s="204" t="s">
        <v>166</v>
      </c>
      <c r="B104" s="205"/>
      <c r="C104" s="206">
        <f>C99+C103</f>
        <v>198</v>
      </c>
      <c r="D104" s="206"/>
      <c r="E104" s="203">
        <f>E99+E103</f>
        <v>93020.604299999977</v>
      </c>
      <c r="F104" s="203"/>
      <c r="G104" s="170">
        <f>G99+G103</f>
        <v>169771.97565240003</v>
      </c>
      <c r="H104" s="171"/>
    </row>
    <row r="105" spans="1:14" s="33" customFormat="1" x14ac:dyDescent="0.25">
      <c r="A105" s="196" t="s">
        <v>56</v>
      </c>
      <c r="B105" s="196"/>
      <c r="C105" s="196"/>
      <c r="D105" s="196"/>
      <c r="E105" s="196"/>
      <c r="F105" s="196"/>
      <c r="G105" s="196"/>
      <c r="H105" s="196"/>
    </row>
    <row r="106" spans="1:14" x14ac:dyDescent="0.25">
      <c r="A106" s="153" t="s">
        <v>173</v>
      </c>
      <c r="B106" s="153"/>
      <c r="C106" s="153"/>
      <c r="D106" s="153"/>
      <c r="E106" s="153"/>
      <c r="F106" s="153"/>
      <c r="G106" s="153"/>
      <c r="H106" s="153"/>
    </row>
    <row r="107" spans="1:14" ht="47.25" customHeight="1" x14ac:dyDescent="0.25">
      <c r="A107" s="84" t="s">
        <v>118</v>
      </c>
      <c r="B107" s="84" t="s">
        <v>175</v>
      </c>
      <c r="C107" s="84" t="s">
        <v>57</v>
      </c>
      <c r="D107" s="84" t="s">
        <v>58</v>
      </c>
      <c r="E107" s="164" t="s">
        <v>155</v>
      </c>
      <c r="F107" s="42" t="s">
        <v>148</v>
      </c>
      <c r="G107" s="166" t="s">
        <v>60</v>
      </c>
      <c r="H107" s="167"/>
    </row>
    <row r="108" spans="1:14" s="36" customFormat="1" x14ac:dyDescent="0.25">
      <c r="A108" s="85"/>
      <c r="B108" s="85"/>
      <c r="C108" s="85"/>
      <c r="D108" s="85"/>
      <c r="E108" s="165"/>
      <c r="F108" s="13">
        <v>0.55000000000000004</v>
      </c>
      <c r="G108" s="168"/>
      <c r="H108" s="169"/>
    </row>
    <row r="109" spans="1:14" s="36" customFormat="1" ht="33.75" customHeight="1" x14ac:dyDescent="0.25">
      <c r="A109" s="178" t="s">
        <v>276</v>
      </c>
      <c r="B109" s="179"/>
      <c r="C109" s="179"/>
      <c r="D109" s="179"/>
      <c r="E109" s="179"/>
      <c r="F109" s="179"/>
      <c r="G109" s="179"/>
      <c r="H109" s="180"/>
      <c r="J109" s="62">
        <v>10.763999999999999</v>
      </c>
    </row>
    <row r="110" spans="1:14" s="36" customFormat="1" ht="15.75" customHeight="1" x14ac:dyDescent="0.25">
      <c r="A110" s="80">
        <v>1</v>
      </c>
      <c r="B110" s="81"/>
      <c r="C110" s="41" t="s">
        <v>249</v>
      </c>
      <c r="D110" s="62">
        <f>(24.34)*10.764</f>
        <v>261.99575999999996</v>
      </c>
      <c r="E110" s="41">
        <v>0</v>
      </c>
      <c r="F110" s="41">
        <f>(D110+E110)*(($F$108)+1)</f>
        <v>406.09342799999996</v>
      </c>
      <c r="G110" s="172" t="str">
        <f>A109</f>
        <v>Ground Floor For Commercial, Telecom Room, Entrance Lobby, Fire Control Room, 
Fire Pump Room, Meter Room &amp; Parking</v>
      </c>
      <c r="H110" s="173"/>
      <c r="I110" s="35"/>
      <c r="K110" s="36">
        <v>633</v>
      </c>
      <c r="L110" s="82"/>
      <c r="M110" s="82"/>
      <c r="N110" s="35"/>
    </row>
    <row r="111" spans="1:14" s="36" customFormat="1" ht="15.75" customHeight="1" x14ac:dyDescent="0.25">
      <c r="A111" s="80">
        <f t="shared" ref="A111:A127" si="0">A110+1</f>
        <v>2</v>
      </c>
      <c r="B111" s="81"/>
      <c r="C111" s="60" t="s">
        <v>249</v>
      </c>
      <c r="D111" s="62">
        <f>(16.03)*10.764</f>
        <v>172.54692</v>
      </c>
      <c r="E111" s="41">
        <v>0</v>
      </c>
      <c r="F111" s="41">
        <f t="shared" ref="F111:F113" si="1">(D111+E111)*(($F$108)+1)</f>
        <v>267.44772599999999</v>
      </c>
      <c r="G111" s="174"/>
      <c r="H111" s="175"/>
      <c r="I111" s="35"/>
      <c r="K111" s="36">
        <v>619</v>
      </c>
      <c r="L111" s="82"/>
      <c r="M111" s="82"/>
      <c r="N111" s="35"/>
    </row>
    <row r="112" spans="1:14" s="36" customFormat="1" ht="15.75" customHeight="1" x14ac:dyDescent="0.25">
      <c r="A112" s="80">
        <f t="shared" si="0"/>
        <v>3</v>
      </c>
      <c r="B112" s="81"/>
      <c r="C112" s="60" t="s">
        <v>249</v>
      </c>
      <c r="D112" s="62">
        <f>(23.86)*10.764</f>
        <v>256.82903999999996</v>
      </c>
      <c r="E112" s="41">
        <v>0</v>
      </c>
      <c r="F112" s="41">
        <f t="shared" si="1"/>
        <v>398.08501199999995</v>
      </c>
      <c r="G112" s="174"/>
      <c r="H112" s="175"/>
      <c r="I112" s="35"/>
      <c r="K112" s="36">
        <v>606</v>
      </c>
      <c r="L112" s="82"/>
      <c r="M112" s="82"/>
      <c r="N112" s="35"/>
    </row>
    <row r="113" spans="1:14" s="36" customFormat="1" ht="15.75" customHeight="1" x14ac:dyDescent="0.25">
      <c r="A113" s="80">
        <f t="shared" si="0"/>
        <v>4</v>
      </c>
      <c r="B113" s="81"/>
      <c r="C113" s="60" t="s">
        <v>249</v>
      </c>
      <c r="D113" s="62">
        <f>(25.78)*10.764</f>
        <v>277.49592000000001</v>
      </c>
      <c r="E113" s="41">
        <v>0</v>
      </c>
      <c r="F113" s="41">
        <f t="shared" si="1"/>
        <v>430.11867600000005</v>
      </c>
      <c r="G113" s="174"/>
      <c r="H113" s="175"/>
      <c r="I113" s="35"/>
      <c r="K113" s="36">
        <v>624</v>
      </c>
      <c r="L113" s="82"/>
      <c r="M113" s="82"/>
      <c r="N113" s="35"/>
    </row>
    <row r="114" spans="1:14" s="58" customFormat="1" ht="15.75" customHeight="1" x14ac:dyDescent="0.25">
      <c r="A114" s="80">
        <f t="shared" si="0"/>
        <v>5</v>
      </c>
      <c r="B114" s="81"/>
      <c r="C114" s="60" t="s">
        <v>249</v>
      </c>
      <c r="D114" s="62">
        <f>(34.22)*10.764</f>
        <v>368.34407999999996</v>
      </c>
      <c r="E114" s="57">
        <v>0</v>
      </c>
      <c r="F114" s="57">
        <f t="shared" ref="F114:F119" si="2">(D114+E114)*(($F$108)+1)</f>
        <v>570.93332399999997</v>
      </c>
      <c r="G114" s="174"/>
      <c r="H114" s="175"/>
      <c r="I114" s="35"/>
      <c r="K114" s="58">
        <v>695</v>
      </c>
      <c r="L114" s="82"/>
      <c r="M114" s="82"/>
      <c r="N114" s="35"/>
    </row>
    <row r="115" spans="1:14" s="58" customFormat="1" ht="15.75" customHeight="1" x14ac:dyDescent="0.25">
      <c r="A115" s="80">
        <f t="shared" si="0"/>
        <v>6</v>
      </c>
      <c r="B115" s="81"/>
      <c r="C115" s="60" t="s">
        <v>249</v>
      </c>
      <c r="D115" s="62">
        <f>(26.77)*10.764</f>
        <v>288.15227999999996</v>
      </c>
      <c r="E115" s="57">
        <v>0</v>
      </c>
      <c r="F115" s="57">
        <f t="shared" si="2"/>
        <v>446.63603399999994</v>
      </c>
      <c r="G115" s="174"/>
      <c r="H115" s="175"/>
      <c r="I115" s="35"/>
      <c r="K115" s="58">
        <v>667</v>
      </c>
      <c r="L115" s="82"/>
      <c r="M115" s="82"/>
      <c r="N115" s="35"/>
    </row>
    <row r="116" spans="1:14" s="58" customFormat="1" ht="15.75" customHeight="1" x14ac:dyDescent="0.25">
      <c r="A116" s="80">
        <f t="shared" si="0"/>
        <v>7</v>
      </c>
      <c r="B116" s="81"/>
      <c r="C116" s="60" t="s">
        <v>249</v>
      </c>
      <c r="D116" s="62">
        <f>(32.28)*10.764</f>
        <v>347.46191999999996</v>
      </c>
      <c r="E116" s="57">
        <v>0</v>
      </c>
      <c r="F116" s="57">
        <f t="shared" si="2"/>
        <v>538.56597599999998</v>
      </c>
      <c r="G116" s="174"/>
      <c r="H116" s="175"/>
      <c r="I116" s="35"/>
      <c r="K116" s="58">
        <v>640</v>
      </c>
      <c r="L116" s="82"/>
      <c r="M116" s="82"/>
      <c r="N116" s="35"/>
    </row>
    <row r="117" spans="1:14" s="58" customFormat="1" ht="15.75" customHeight="1" x14ac:dyDescent="0.25">
      <c r="A117" s="80">
        <f t="shared" si="0"/>
        <v>8</v>
      </c>
      <c r="B117" s="81"/>
      <c r="C117" s="60" t="s">
        <v>249</v>
      </c>
      <c r="D117" s="62">
        <f>(20.73)*10.764</f>
        <v>223.13772</v>
      </c>
      <c r="E117" s="57">
        <v>0</v>
      </c>
      <c r="F117" s="57">
        <f t="shared" si="2"/>
        <v>345.86346600000002</v>
      </c>
      <c r="G117" s="174"/>
      <c r="H117" s="175"/>
      <c r="I117" s="35"/>
      <c r="K117" s="58">
        <v>614</v>
      </c>
      <c r="L117" s="82"/>
      <c r="M117" s="82"/>
      <c r="N117" s="35"/>
    </row>
    <row r="118" spans="1:14" s="58" customFormat="1" ht="15.75" customHeight="1" x14ac:dyDescent="0.25">
      <c r="A118" s="80">
        <f t="shared" si="0"/>
        <v>9</v>
      </c>
      <c r="B118" s="81"/>
      <c r="C118" s="60" t="s">
        <v>249</v>
      </c>
      <c r="D118" s="62">
        <f>(21.1)*10.764</f>
        <v>227.12039999999999</v>
      </c>
      <c r="E118" s="57">
        <v>0</v>
      </c>
      <c r="F118" s="57">
        <f t="shared" si="2"/>
        <v>352.03661999999997</v>
      </c>
      <c r="G118" s="174"/>
      <c r="H118" s="175"/>
      <c r="I118" s="35">
        <f>2.75*7.27</f>
        <v>19.9925</v>
      </c>
      <c r="K118" s="58">
        <v>528</v>
      </c>
      <c r="L118" s="82"/>
      <c r="M118" s="82"/>
      <c r="N118" s="35"/>
    </row>
    <row r="119" spans="1:14" s="58" customFormat="1" ht="15.75" customHeight="1" x14ac:dyDescent="0.25">
      <c r="A119" s="80">
        <f t="shared" si="0"/>
        <v>10</v>
      </c>
      <c r="B119" s="81"/>
      <c r="C119" s="60" t="s">
        <v>249</v>
      </c>
      <c r="D119" s="62">
        <f>(21.2)*10.764</f>
        <v>228.19679999999997</v>
      </c>
      <c r="E119" s="57">
        <v>0</v>
      </c>
      <c r="F119" s="57">
        <f t="shared" si="2"/>
        <v>353.70503999999994</v>
      </c>
      <c r="G119" s="174"/>
      <c r="H119" s="175"/>
      <c r="I119" s="35">
        <f>2.75*7.71</f>
        <v>21.202500000000001</v>
      </c>
      <c r="K119" s="58">
        <v>526</v>
      </c>
      <c r="L119" s="82"/>
      <c r="M119" s="82"/>
      <c r="N119" s="35"/>
    </row>
    <row r="120" spans="1:14" s="58" customFormat="1" ht="15.75" customHeight="1" x14ac:dyDescent="0.25">
      <c r="A120" s="80">
        <f t="shared" si="0"/>
        <v>11</v>
      </c>
      <c r="B120" s="81"/>
      <c r="C120" s="60" t="s">
        <v>249</v>
      </c>
      <c r="D120" s="62">
        <f>(26.55)*10.764</f>
        <v>285.7842</v>
      </c>
      <c r="E120" s="57">
        <v>0</v>
      </c>
      <c r="F120" s="57">
        <f t="shared" ref="F120:F124" si="3">(D120+E120)*(($F$108)+1)</f>
        <v>442.96550999999999</v>
      </c>
      <c r="G120" s="174"/>
      <c r="H120" s="175"/>
      <c r="I120" s="35"/>
      <c r="K120" s="58">
        <v>569</v>
      </c>
      <c r="L120" s="82"/>
      <c r="M120" s="82"/>
      <c r="N120" s="35"/>
    </row>
    <row r="121" spans="1:14" s="58" customFormat="1" ht="15.75" customHeight="1" x14ac:dyDescent="0.25">
      <c r="A121" s="80">
        <f t="shared" si="0"/>
        <v>12</v>
      </c>
      <c r="B121" s="81"/>
      <c r="C121" s="60" t="s">
        <v>249</v>
      </c>
      <c r="D121" s="62">
        <f>(27.81)*10.764</f>
        <v>299.34683999999999</v>
      </c>
      <c r="E121" s="57">
        <v>0</v>
      </c>
      <c r="F121" s="57">
        <f t="shared" si="3"/>
        <v>463.98760199999998</v>
      </c>
      <c r="G121" s="174"/>
      <c r="H121" s="175"/>
      <c r="I121" s="35"/>
      <c r="K121" s="58">
        <v>522</v>
      </c>
      <c r="L121" s="82"/>
      <c r="M121" s="82"/>
      <c r="N121" s="35"/>
    </row>
    <row r="122" spans="1:14" s="72" customFormat="1" ht="15.75" customHeight="1" x14ac:dyDescent="0.25">
      <c r="A122" s="80">
        <f t="shared" si="0"/>
        <v>13</v>
      </c>
      <c r="B122" s="81"/>
      <c r="C122" s="60" t="s">
        <v>249</v>
      </c>
      <c r="D122" s="62">
        <f>(29.13)*10.764</f>
        <v>313.55531999999999</v>
      </c>
      <c r="E122" s="60">
        <v>0</v>
      </c>
      <c r="F122" s="60">
        <f t="shared" si="3"/>
        <v>486.01074599999998</v>
      </c>
      <c r="G122" s="174"/>
      <c r="H122" s="175"/>
      <c r="I122" s="35"/>
      <c r="K122" s="72">
        <v>614</v>
      </c>
      <c r="L122" s="82"/>
      <c r="M122" s="82"/>
      <c r="N122" s="35"/>
    </row>
    <row r="123" spans="1:14" s="72" customFormat="1" ht="15.75" customHeight="1" x14ac:dyDescent="0.25">
      <c r="A123" s="80">
        <f t="shared" si="0"/>
        <v>14</v>
      </c>
      <c r="B123" s="81"/>
      <c r="C123" s="60" t="s">
        <v>249</v>
      </c>
      <c r="D123" s="62">
        <f>(30.46)*10.764</f>
        <v>327.87144000000001</v>
      </c>
      <c r="E123" s="60">
        <v>0</v>
      </c>
      <c r="F123" s="60">
        <f t="shared" si="3"/>
        <v>508.20073200000002</v>
      </c>
      <c r="G123" s="174"/>
      <c r="H123" s="175"/>
      <c r="I123" s="35">
        <f>2.75*7.27</f>
        <v>19.9925</v>
      </c>
      <c r="K123" s="72">
        <v>528</v>
      </c>
      <c r="L123" s="82"/>
      <c r="M123" s="82"/>
      <c r="N123" s="35"/>
    </row>
    <row r="124" spans="1:14" s="72" customFormat="1" ht="15.75" customHeight="1" x14ac:dyDescent="0.25">
      <c r="A124" s="80">
        <f t="shared" si="0"/>
        <v>15</v>
      </c>
      <c r="B124" s="81"/>
      <c r="C124" s="60" t="s">
        <v>249</v>
      </c>
      <c r="D124" s="62">
        <f>(25.44)*10.764</f>
        <v>273.83616000000001</v>
      </c>
      <c r="E124" s="60">
        <v>0</v>
      </c>
      <c r="F124" s="60">
        <f t="shared" si="3"/>
        <v>424.44604800000002</v>
      </c>
      <c r="G124" s="174"/>
      <c r="H124" s="175"/>
      <c r="I124" s="35">
        <f>2.75*7.71</f>
        <v>21.202500000000001</v>
      </c>
      <c r="K124" s="72">
        <v>526</v>
      </c>
      <c r="L124" s="82"/>
      <c r="M124" s="82"/>
      <c r="N124" s="35"/>
    </row>
    <row r="125" spans="1:14" s="72" customFormat="1" ht="15.75" customHeight="1" x14ac:dyDescent="0.25">
      <c r="A125" s="80">
        <f t="shared" si="0"/>
        <v>16</v>
      </c>
      <c r="B125" s="81"/>
      <c r="C125" s="60" t="s">
        <v>249</v>
      </c>
      <c r="D125" s="62">
        <f>(26.06)*10.764</f>
        <v>280.50984</v>
      </c>
      <c r="E125" s="60">
        <v>0</v>
      </c>
      <c r="F125" s="60">
        <f t="shared" ref="F125:F126" si="4">(D125+E125)*(($F$108)+1)</f>
        <v>434.79025200000001</v>
      </c>
      <c r="G125" s="174"/>
      <c r="H125" s="175"/>
      <c r="I125" s="35"/>
      <c r="K125" s="72">
        <v>569</v>
      </c>
      <c r="L125" s="82"/>
      <c r="M125" s="82"/>
      <c r="N125" s="35"/>
    </row>
    <row r="126" spans="1:14" s="72" customFormat="1" ht="15.75" customHeight="1" x14ac:dyDescent="0.25">
      <c r="A126" s="80">
        <f t="shared" si="0"/>
        <v>17</v>
      </c>
      <c r="B126" s="81"/>
      <c r="C126" s="60" t="s">
        <v>249</v>
      </c>
      <c r="D126" s="62">
        <f>(26.69)*10.764</f>
        <v>287.29115999999999</v>
      </c>
      <c r="E126" s="60">
        <v>0</v>
      </c>
      <c r="F126" s="60">
        <f t="shared" si="4"/>
        <v>445.30129799999997</v>
      </c>
      <c r="G126" s="174"/>
      <c r="H126" s="175"/>
      <c r="I126" s="35"/>
      <c r="K126" s="72">
        <v>522</v>
      </c>
      <c r="L126" s="82"/>
      <c r="M126" s="82"/>
      <c r="N126" s="35"/>
    </row>
    <row r="127" spans="1:14" s="72" customFormat="1" ht="15.75" customHeight="1" x14ac:dyDescent="0.25">
      <c r="A127" s="80">
        <f t="shared" si="0"/>
        <v>18</v>
      </c>
      <c r="B127" s="81"/>
      <c r="C127" s="60" t="s">
        <v>249</v>
      </c>
      <c r="D127" s="62">
        <f>(27.31)*10.764</f>
        <v>293.96483999999998</v>
      </c>
      <c r="E127" s="60">
        <v>0</v>
      </c>
      <c r="F127" s="60">
        <f t="shared" ref="F127" si="5">(D127+E127)*(($F$108)+1)</f>
        <v>455.64550199999996</v>
      </c>
      <c r="G127" s="176"/>
      <c r="H127" s="177"/>
      <c r="I127" s="35"/>
      <c r="K127" s="72">
        <v>522</v>
      </c>
      <c r="L127" s="82"/>
      <c r="M127" s="82"/>
      <c r="N127" s="35"/>
    </row>
    <row r="128" spans="1:14" s="36" customFormat="1" x14ac:dyDescent="0.25">
      <c r="A128" s="80"/>
      <c r="B128" s="183"/>
      <c r="C128" s="183"/>
      <c r="D128" s="183"/>
      <c r="E128" s="183"/>
      <c r="F128" s="183"/>
      <c r="G128" s="183"/>
      <c r="H128" s="81"/>
      <c r="I128" s="35"/>
      <c r="K128" s="36">
        <v>475</v>
      </c>
      <c r="N128" s="35"/>
    </row>
    <row r="129" spans="1:15" ht="47.25" customHeight="1" x14ac:dyDescent="0.25">
      <c r="A129" s="166" t="s">
        <v>119</v>
      </c>
      <c r="B129" s="84" t="s">
        <v>176</v>
      </c>
      <c r="C129" s="84" t="s">
        <v>57</v>
      </c>
      <c r="D129" s="84" t="s">
        <v>58</v>
      </c>
      <c r="E129" s="164" t="s">
        <v>59</v>
      </c>
      <c r="F129" s="53" t="s">
        <v>254</v>
      </c>
      <c r="G129" s="166" t="s">
        <v>60</v>
      </c>
      <c r="H129" s="167"/>
      <c r="I129" s="35"/>
    </row>
    <row r="130" spans="1:15" s="36" customFormat="1" hidden="1" x14ac:dyDescent="0.25">
      <c r="A130" s="168"/>
      <c r="B130" s="85"/>
      <c r="C130" s="85"/>
      <c r="D130" s="85"/>
      <c r="E130" s="165"/>
      <c r="F130" s="13">
        <v>0.5</v>
      </c>
      <c r="G130" s="168"/>
      <c r="H130" s="169"/>
      <c r="I130" s="35"/>
    </row>
    <row r="131" spans="1:15" s="61" customFormat="1" x14ac:dyDescent="0.25">
      <c r="A131" s="178" t="s">
        <v>277</v>
      </c>
      <c r="B131" s="179"/>
      <c r="C131" s="179"/>
      <c r="D131" s="179"/>
      <c r="E131" s="179"/>
      <c r="F131" s="179"/>
      <c r="G131" s="179"/>
      <c r="H131" s="180"/>
      <c r="J131" s="35"/>
    </row>
    <row r="132" spans="1:15" s="61" customFormat="1" ht="33.75" customHeight="1" x14ac:dyDescent="0.25">
      <c r="A132" s="178" t="s">
        <v>279</v>
      </c>
      <c r="B132" s="179"/>
      <c r="C132" s="179"/>
      <c r="D132" s="179"/>
      <c r="E132" s="179"/>
      <c r="F132" s="179"/>
      <c r="G132" s="179"/>
      <c r="H132" s="180"/>
      <c r="J132" s="35"/>
    </row>
    <row r="133" spans="1:15" s="36" customFormat="1" x14ac:dyDescent="0.25">
      <c r="A133" s="178" t="s">
        <v>281</v>
      </c>
      <c r="B133" s="179"/>
      <c r="C133" s="179"/>
      <c r="D133" s="179"/>
      <c r="E133" s="179"/>
      <c r="F133" s="179"/>
      <c r="G133" s="179"/>
      <c r="H133" s="180"/>
      <c r="J133" s="35"/>
      <c r="L133" s="67">
        <v>7200</v>
      </c>
      <c r="M133" s="67"/>
    </row>
    <row r="134" spans="1:15" s="36" customFormat="1" ht="15.75" customHeight="1" x14ac:dyDescent="0.25">
      <c r="A134" s="80">
        <v>1</v>
      </c>
      <c r="B134" s="81"/>
      <c r="C134" s="41" t="s">
        <v>250</v>
      </c>
      <c r="D134" s="62">
        <f>(29.499+0.75*(1.65+2.41+2.75))*10.764</f>
        <v>372.50436599999995</v>
      </c>
      <c r="E134" s="41">
        <v>0</v>
      </c>
      <c r="F134" s="63">
        <v>695</v>
      </c>
      <c r="G134" s="172" t="str">
        <f>A133</f>
        <v>6th, 8th to 11th, 13th to 16th, 18th &amp; 19th Floor For Residential</v>
      </c>
      <c r="H134" s="173"/>
      <c r="I134" s="35">
        <f>2.75*4+2.14*2+2.75*3+1.2*2+1.05*1.2+1.2*1</f>
        <v>28.39</v>
      </c>
      <c r="J134" s="36">
        <f>K134/D134</f>
        <v>1.8657499439885763</v>
      </c>
      <c r="K134" s="61">
        <v>695</v>
      </c>
      <c r="L134" s="86">
        <f>L$133*F134+500000</f>
        <v>5504000</v>
      </c>
      <c r="M134" s="86"/>
      <c r="N134" s="35">
        <f>5520000/F134</f>
        <v>7942.4460431654679</v>
      </c>
      <c r="O134" s="36">
        <f>5100000/F134</f>
        <v>7338.1294964028775</v>
      </c>
    </row>
    <row r="135" spans="1:15" s="36" customFormat="1" ht="15.75" customHeight="1" x14ac:dyDescent="0.25">
      <c r="A135" s="80">
        <f t="shared" ref="A135:A145" si="6">A134+1</f>
        <v>2</v>
      </c>
      <c r="B135" s="81"/>
      <c r="C135" s="60" t="s">
        <v>250</v>
      </c>
      <c r="D135" s="62">
        <f>(29.499+0.75*(1.65+2.41+2.75))*10.764</f>
        <v>372.50436599999995</v>
      </c>
      <c r="E135" s="41">
        <v>0</v>
      </c>
      <c r="F135" s="63">
        <v>695</v>
      </c>
      <c r="G135" s="174"/>
      <c r="H135" s="175"/>
      <c r="I135" s="35"/>
      <c r="J135" s="61">
        <f t="shared" ref="J135:J145" si="7">K135/D135</f>
        <v>1.8657499439885763</v>
      </c>
      <c r="K135" s="61">
        <v>695</v>
      </c>
      <c r="L135" s="86">
        <f t="shared" ref="L135:L145" si="8">L$133*F135+500000</f>
        <v>5504000</v>
      </c>
      <c r="M135" s="86"/>
      <c r="N135" s="35">
        <f>(29.499)*10.764</f>
        <v>317.52723599999996</v>
      </c>
    </row>
    <row r="136" spans="1:15" s="36" customFormat="1" ht="15.75" customHeight="1" x14ac:dyDescent="0.25">
      <c r="A136" s="80">
        <f t="shared" si="6"/>
        <v>3</v>
      </c>
      <c r="B136" s="81"/>
      <c r="C136" s="60" t="s">
        <v>250</v>
      </c>
      <c r="D136" s="62">
        <f>(29.724+0.75*(2.75+2.14+1.86))*10.764</f>
        <v>374.44188600000001</v>
      </c>
      <c r="E136" s="41">
        <v>0</v>
      </c>
      <c r="F136" s="63">
        <v>690</v>
      </c>
      <c r="G136" s="174"/>
      <c r="H136" s="175"/>
      <c r="I136" s="35"/>
      <c r="J136" s="61">
        <f t="shared" si="7"/>
        <v>1.8427425611246921</v>
      </c>
      <c r="K136" s="61">
        <v>690</v>
      </c>
      <c r="L136" s="86">
        <f t="shared" si="8"/>
        <v>5468000</v>
      </c>
      <c r="M136" s="86"/>
      <c r="N136" s="35">
        <f>(49.833)*10.764</f>
        <v>536.40241199999991</v>
      </c>
    </row>
    <row r="137" spans="1:15" s="36" customFormat="1" ht="15.75" customHeight="1" x14ac:dyDescent="0.25">
      <c r="A137" s="80">
        <f t="shared" si="6"/>
        <v>4</v>
      </c>
      <c r="B137" s="81"/>
      <c r="C137" s="41" t="s">
        <v>251</v>
      </c>
      <c r="D137" s="62">
        <f>(48.011+0.75*(2.75+2.75+2.75+2.14))*10.764</f>
        <v>600.66887399999996</v>
      </c>
      <c r="E137" s="41">
        <v>0</v>
      </c>
      <c r="F137" s="63">
        <v>1095</v>
      </c>
      <c r="G137" s="174"/>
      <c r="H137" s="175"/>
      <c r="I137" s="35">
        <f>2.75*4.58+1.57*2.22+2.45*2.14+2.75*3.05+2.75*3.36+2.1*1.22+1.83*1.22+1*1+0.9*1.4</f>
        <v>46.005499999999991</v>
      </c>
      <c r="J137" s="61">
        <f t="shared" si="7"/>
        <v>1.8229677737554952</v>
      </c>
      <c r="K137" s="61">
        <v>1095</v>
      </c>
      <c r="L137" s="86">
        <f t="shared" si="8"/>
        <v>8384000</v>
      </c>
      <c r="M137" s="86"/>
      <c r="N137" s="35"/>
    </row>
    <row r="138" spans="1:15" s="61" customFormat="1" ht="15.75" customHeight="1" x14ac:dyDescent="0.25">
      <c r="A138" s="80">
        <f t="shared" si="6"/>
        <v>5</v>
      </c>
      <c r="B138" s="81"/>
      <c r="C138" s="60" t="s">
        <v>251</v>
      </c>
      <c r="D138" s="62">
        <f>(49.833+0.75*(2.75+2.14+2.75+1.73))*10.764</f>
        <v>612.04642200000001</v>
      </c>
      <c r="E138" s="60">
        <v>0</v>
      </c>
      <c r="F138" s="63">
        <v>1120</v>
      </c>
      <c r="G138" s="174"/>
      <c r="H138" s="175"/>
      <c r="I138" s="35"/>
      <c r="J138" s="61">
        <f t="shared" si="7"/>
        <v>1.8299265541658538</v>
      </c>
      <c r="K138" s="61">
        <v>1120</v>
      </c>
      <c r="L138" s="86">
        <f t="shared" si="8"/>
        <v>8564000</v>
      </c>
      <c r="M138" s="86"/>
      <c r="N138" s="35"/>
    </row>
    <row r="139" spans="1:15" s="61" customFormat="1" ht="15.75" customHeight="1" x14ac:dyDescent="0.25">
      <c r="A139" s="80">
        <f t="shared" si="6"/>
        <v>6</v>
      </c>
      <c r="B139" s="81"/>
      <c r="C139" s="60" t="s">
        <v>251</v>
      </c>
      <c r="D139" s="62">
        <f>(49.783+0.75*(2.75+2.14+2.75+1.73))*10.764</f>
        <v>611.50822200000005</v>
      </c>
      <c r="E139" s="60">
        <v>0</v>
      </c>
      <c r="F139" s="63">
        <v>1120</v>
      </c>
      <c r="G139" s="174"/>
      <c r="H139" s="175"/>
      <c r="I139" s="35"/>
      <c r="J139" s="61">
        <f t="shared" si="7"/>
        <v>1.8315371072803006</v>
      </c>
      <c r="K139" s="61">
        <v>1120</v>
      </c>
      <c r="L139" s="86">
        <f t="shared" si="8"/>
        <v>8564000</v>
      </c>
      <c r="M139" s="86"/>
      <c r="N139" s="35"/>
    </row>
    <row r="140" spans="1:15" s="61" customFormat="1" ht="15.75" customHeight="1" x14ac:dyDescent="0.25">
      <c r="A140" s="80">
        <f t="shared" si="6"/>
        <v>7</v>
      </c>
      <c r="B140" s="81"/>
      <c r="C140" s="60" t="s">
        <v>251</v>
      </c>
      <c r="D140" s="62">
        <f>(49.783+0.75*(2.75+2.14+2.75+1.73))*10.764</f>
        <v>611.50822200000005</v>
      </c>
      <c r="E140" s="60">
        <v>0</v>
      </c>
      <c r="F140" s="63">
        <v>1120</v>
      </c>
      <c r="G140" s="174"/>
      <c r="H140" s="175"/>
      <c r="I140" s="35"/>
      <c r="J140" s="61">
        <f t="shared" si="7"/>
        <v>1.8315371072803006</v>
      </c>
      <c r="K140" s="61">
        <v>1120</v>
      </c>
      <c r="L140" s="86">
        <f t="shared" si="8"/>
        <v>8564000</v>
      </c>
      <c r="M140" s="86"/>
      <c r="N140" s="35"/>
    </row>
    <row r="141" spans="1:15" s="61" customFormat="1" ht="15.75" customHeight="1" x14ac:dyDescent="0.25">
      <c r="A141" s="80">
        <f t="shared" si="6"/>
        <v>8</v>
      </c>
      <c r="B141" s="81"/>
      <c r="C141" s="60" t="s">
        <v>251</v>
      </c>
      <c r="D141" s="62">
        <f t="shared" ref="D141" si="9">(49.833+0.75*(2.75+2.14+2.75+1.73))*10.764</f>
        <v>612.04642200000001</v>
      </c>
      <c r="E141" s="60">
        <v>0</v>
      </c>
      <c r="F141" s="63">
        <v>1120</v>
      </c>
      <c r="G141" s="174"/>
      <c r="H141" s="175"/>
      <c r="I141" s="35"/>
      <c r="J141" s="61">
        <f t="shared" si="7"/>
        <v>1.8299265541658538</v>
      </c>
      <c r="K141" s="61">
        <v>1120</v>
      </c>
      <c r="L141" s="86">
        <f t="shared" si="8"/>
        <v>8564000</v>
      </c>
      <c r="M141" s="86"/>
      <c r="N141" s="35"/>
    </row>
    <row r="142" spans="1:15" s="61" customFormat="1" ht="15.75" customHeight="1" x14ac:dyDescent="0.25">
      <c r="A142" s="80">
        <f t="shared" si="6"/>
        <v>9</v>
      </c>
      <c r="B142" s="81"/>
      <c r="C142" s="60" t="s">
        <v>251</v>
      </c>
      <c r="D142" s="62">
        <f>(48.011+0.75*(2.75+2.75+2.75+2.14))*10.764</f>
        <v>600.66887399999996</v>
      </c>
      <c r="E142" s="60">
        <v>0</v>
      </c>
      <c r="F142" s="63">
        <v>1095</v>
      </c>
      <c r="G142" s="174"/>
      <c r="H142" s="175"/>
      <c r="I142" s="35"/>
      <c r="J142" s="61">
        <f t="shared" si="7"/>
        <v>1.8229677737554952</v>
      </c>
      <c r="K142" s="61">
        <v>1095</v>
      </c>
      <c r="L142" s="86">
        <f t="shared" si="8"/>
        <v>8384000</v>
      </c>
      <c r="M142" s="86"/>
      <c r="N142" s="35"/>
    </row>
    <row r="143" spans="1:15" s="61" customFormat="1" ht="15.75" customHeight="1" x14ac:dyDescent="0.25">
      <c r="A143" s="80">
        <f t="shared" si="6"/>
        <v>10</v>
      </c>
      <c r="B143" s="81"/>
      <c r="C143" s="60" t="s">
        <v>250</v>
      </c>
      <c r="D143" s="62">
        <f>(29.724+0.75*(2.75+2.14+1.86))*10.764</f>
        <v>374.44188600000001</v>
      </c>
      <c r="E143" s="60">
        <v>0</v>
      </c>
      <c r="F143" s="63">
        <v>690</v>
      </c>
      <c r="G143" s="174"/>
      <c r="H143" s="175"/>
      <c r="I143" s="35"/>
      <c r="J143" s="61">
        <f t="shared" si="7"/>
        <v>1.8427425611246921</v>
      </c>
      <c r="K143" s="61">
        <v>690</v>
      </c>
      <c r="L143" s="86">
        <f t="shared" si="8"/>
        <v>5468000</v>
      </c>
      <c r="M143" s="86"/>
      <c r="N143" s="35"/>
    </row>
    <row r="144" spans="1:15" s="61" customFormat="1" ht="15.75" customHeight="1" x14ac:dyDescent="0.25">
      <c r="A144" s="80">
        <f t="shared" si="6"/>
        <v>11</v>
      </c>
      <c r="B144" s="81"/>
      <c r="C144" s="60" t="s">
        <v>250</v>
      </c>
      <c r="D144" s="62">
        <f t="shared" ref="D144:D145" si="10">(29.499+0.75*(1.65+2.41+2.75))*10.764</f>
        <v>372.50436599999995</v>
      </c>
      <c r="E144" s="60">
        <v>0</v>
      </c>
      <c r="F144" s="63">
        <v>695</v>
      </c>
      <c r="G144" s="174"/>
      <c r="H144" s="175"/>
      <c r="I144" s="35"/>
      <c r="J144" s="61">
        <f t="shared" si="7"/>
        <v>1.8657499439885763</v>
      </c>
      <c r="K144" s="61">
        <v>695</v>
      </c>
      <c r="L144" s="86">
        <f t="shared" si="8"/>
        <v>5504000</v>
      </c>
      <c r="M144" s="86"/>
      <c r="N144" s="35"/>
    </row>
    <row r="145" spans="1:14" s="61" customFormat="1" ht="15.75" customHeight="1" x14ac:dyDescent="0.25">
      <c r="A145" s="80">
        <f t="shared" si="6"/>
        <v>12</v>
      </c>
      <c r="B145" s="81"/>
      <c r="C145" s="60" t="s">
        <v>250</v>
      </c>
      <c r="D145" s="62">
        <f t="shared" si="10"/>
        <v>372.50436599999995</v>
      </c>
      <c r="E145" s="60">
        <v>0</v>
      </c>
      <c r="F145" s="63">
        <v>695</v>
      </c>
      <c r="G145" s="176"/>
      <c r="H145" s="177"/>
      <c r="I145" s="35"/>
      <c r="J145" s="61">
        <f t="shared" si="7"/>
        <v>1.8657499439885763</v>
      </c>
      <c r="K145" s="61">
        <v>695</v>
      </c>
      <c r="L145" s="86">
        <f t="shared" si="8"/>
        <v>5504000</v>
      </c>
      <c r="M145" s="86"/>
      <c r="N145" s="35"/>
    </row>
    <row r="146" spans="1:14" s="61" customFormat="1" x14ac:dyDescent="0.25">
      <c r="A146" s="178" t="s">
        <v>280</v>
      </c>
      <c r="B146" s="179"/>
      <c r="C146" s="179"/>
      <c r="D146" s="179"/>
      <c r="E146" s="179"/>
      <c r="F146" s="179"/>
      <c r="G146" s="179"/>
      <c r="H146" s="180"/>
      <c r="J146" s="35"/>
    </row>
    <row r="147" spans="1:14" s="61" customFormat="1" ht="15.75" customHeight="1" x14ac:dyDescent="0.25">
      <c r="A147" s="80">
        <v>1</v>
      </c>
      <c r="B147" s="81"/>
      <c r="C147" s="60" t="s">
        <v>250</v>
      </c>
      <c r="D147" s="62">
        <f>(29.499+0.75*(1.65+2.41+2.75))*10.764</f>
        <v>372.50436599999995</v>
      </c>
      <c r="E147" s="60">
        <v>0</v>
      </c>
      <c r="F147" s="63">
        <v>695</v>
      </c>
      <c r="G147" s="172" t="str">
        <f>A146</f>
        <v>7th, 12th &amp; 17th Floor (Fire Rescue Balcony at Mid Landing)</v>
      </c>
      <c r="H147" s="173"/>
      <c r="I147" s="35">
        <f>2.75*4+2.14*2+2.75*3+1.2*2+1.05*1.2+1.2*1</f>
        <v>28.39</v>
      </c>
      <c r="J147" s="61">
        <f>695/D147</f>
        <v>1.8657499439885763</v>
      </c>
      <c r="K147" s="61">
        <f>4449000/F147</f>
        <v>6401.4388489208632</v>
      </c>
      <c r="L147" s="82"/>
      <c r="M147" s="82"/>
      <c r="N147" s="35"/>
    </row>
    <row r="148" spans="1:14" s="61" customFormat="1" ht="15.75" customHeight="1" x14ac:dyDescent="0.25">
      <c r="A148" s="80">
        <f t="shared" ref="A148:A158" si="11">A147+1</f>
        <v>2</v>
      </c>
      <c r="B148" s="81"/>
      <c r="C148" s="60" t="s">
        <v>250</v>
      </c>
      <c r="D148" s="62">
        <f>(29.499+0.75*(1.65+2.41+2.75))*10.764</f>
        <v>372.50436599999995</v>
      </c>
      <c r="E148" s="60">
        <v>0</v>
      </c>
      <c r="F148" s="63">
        <v>695</v>
      </c>
      <c r="G148" s="174"/>
      <c r="H148" s="175"/>
      <c r="I148" s="35"/>
      <c r="J148" s="61">
        <f>695/D148</f>
        <v>1.8657499439885763</v>
      </c>
      <c r="L148" s="82"/>
      <c r="M148" s="82"/>
      <c r="N148" s="35"/>
    </row>
    <row r="149" spans="1:14" s="61" customFormat="1" ht="15.75" customHeight="1" x14ac:dyDescent="0.25">
      <c r="A149" s="80">
        <f t="shared" si="11"/>
        <v>3</v>
      </c>
      <c r="B149" s="81"/>
      <c r="C149" s="60" t="s">
        <v>250</v>
      </c>
      <c r="D149" s="62">
        <f>(29.724+0.75*(2.75+2.14+1.86))*10.764</f>
        <v>374.44188600000001</v>
      </c>
      <c r="E149" s="60">
        <v>0</v>
      </c>
      <c r="F149" s="63">
        <v>690</v>
      </c>
      <c r="G149" s="174"/>
      <c r="H149" s="175"/>
      <c r="I149" s="35"/>
      <c r="J149" s="61">
        <f>690/D149</f>
        <v>1.8427425611246921</v>
      </c>
      <c r="L149" s="82">
        <f>F150/D150</f>
        <v>1.8229677737554952</v>
      </c>
      <c r="M149" s="82"/>
      <c r="N149" s="35"/>
    </row>
    <row r="150" spans="1:14" s="61" customFormat="1" ht="15.75" customHeight="1" x14ac:dyDescent="0.25">
      <c r="A150" s="80">
        <f t="shared" si="11"/>
        <v>4</v>
      </c>
      <c r="B150" s="81"/>
      <c r="C150" s="60" t="s">
        <v>251</v>
      </c>
      <c r="D150" s="62">
        <f>(48.011+0.75*(2.75+2.75+2.75+2.14))*10.764</f>
        <v>600.66887399999996</v>
      </c>
      <c r="E150" s="60">
        <v>0</v>
      </c>
      <c r="F150" s="63">
        <v>1095</v>
      </c>
      <c r="G150" s="174"/>
      <c r="H150" s="175"/>
      <c r="I150" s="35">
        <f>2.75*4.58+1.57*2.22+2.45*2.14+2.75*3.05+2.75*3.36+2.1*1.22+1.83*1.22+1*1+0.9*1.4</f>
        <v>46.005499999999991</v>
      </c>
      <c r="J150" s="61">
        <f>1095/D150</f>
        <v>1.8229677737554952</v>
      </c>
      <c r="K150" s="61">
        <f>6638000/F150</f>
        <v>6062.1004566210049</v>
      </c>
      <c r="L150" s="82">
        <f t="shared" ref="L150:L152" si="12">F151/D151</f>
        <v>1.8299265541658538</v>
      </c>
      <c r="M150" s="82"/>
      <c r="N150" s="35"/>
    </row>
    <row r="151" spans="1:14" s="61" customFormat="1" ht="15.75" customHeight="1" x14ac:dyDescent="0.25">
      <c r="A151" s="80">
        <f t="shared" si="11"/>
        <v>5</v>
      </c>
      <c r="B151" s="81"/>
      <c r="C151" s="60" t="s">
        <v>251</v>
      </c>
      <c r="D151" s="62">
        <f>(49.833+0.75*(2.75+2.14+2.75+1.73))*10.764</f>
        <v>612.04642200000001</v>
      </c>
      <c r="E151" s="60">
        <v>0</v>
      </c>
      <c r="F151" s="63">
        <v>1120</v>
      </c>
      <c r="G151" s="174"/>
      <c r="H151" s="175"/>
      <c r="I151" s="35"/>
      <c r="J151" s="61">
        <f>1120/D151</f>
        <v>1.8299265541658538</v>
      </c>
      <c r="L151" s="82">
        <f t="shared" si="12"/>
        <v>1.8315371072803006</v>
      </c>
      <c r="M151" s="82"/>
      <c r="N151" s="35"/>
    </row>
    <row r="152" spans="1:14" s="61" customFormat="1" ht="15.75" customHeight="1" x14ac:dyDescent="0.25">
      <c r="A152" s="80">
        <f t="shared" si="11"/>
        <v>6</v>
      </c>
      <c r="B152" s="81"/>
      <c r="C152" s="60" t="s">
        <v>251</v>
      </c>
      <c r="D152" s="62">
        <f>(49.783+0.75*(2.75+2.14+2.75+1.73))*10.764</f>
        <v>611.50822200000005</v>
      </c>
      <c r="E152" s="60">
        <v>0</v>
      </c>
      <c r="F152" s="63">
        <v>1120</v>
      </c>
      <c r="G152" s="174"/>
      <c r="H152" s="175"/>
      <c r="I152" s="35"/>
      <c r="L152" s="82">
        <f t="shared" si="12"/>
        <v>1.8315371072803006</v>
      </c>
      <c r="M152" s="82"/>
      <c r="N152" s="35"/>
    </row>
    <row r="153" spans="1:14" s="61" customFormat="1" ht="15.75" customHeight="1" x14ac:dyDescent="0.25">
      <c r="A153" s="80">
        <f t="shared" si="11"/>
        <v>7</v>
      </c>
      <c r="B153" s="81"/>
      <c r="C153" s="60" t="s">
        <v>251</v>
      </c>
      <c r="D153" s="62">
        <f>(49.783+0.75*(2.75+2.14+2.75+1.73))*10.764</f>
        <v>611.50822200000005</v>
      </c>
      <c r="E153" s="60">
        <v>0</v>
      </c>
      <c r="F153" s="63">
        <v>1120</v>
      </c>
      <c r="G153" s="174"/>
      <c r="H153" s="175"/>
      <c r="I153" s="35"/>
      <c r="L153" s="82"/>
      <c r="M153" s="82"/>
      <c r="N153" s="35"/>
    </row>
    <row r="154" spans="1:14" s="61" customFormat="1" ht="15.75" customHeight="1" x14ac:dyDescent="0.25">
      <c r="A154" s="80">
        <f t="shared" si="11"/>
        <v>8</v>
      </c>
      <c r="B154" s="81"/>
      <c r="C154" s="60" t="s">
        <v>251</v>
      </c>
      <c r="D154" s="62">
        <f t="shared" ref="D154" si="13">(49.833+0.75*(2.75+2.14+2.75+1.73))*10.764</f>
        <v>612.04642200000001</v>
      </c>
      <c r="E154" s="60">
        <v>0</v>
      </c>
      <c r="F154" s="63">
        <v>1120</v>
      </c>
      <c r="G154" s="174"/>
      <c r="H154" s="175"/>
      <c r="I154" s="35"/>
      <c r="L154" s="82"/>
      <c r="M154" s="82"/>
      <c r="N154" s="35"/>
    </row>
    <row r="155" spans="1:14" s="61" customFormat="1" ht="15.75" customHeight="1" x14ac:dyDescent="0.25">
      <c r="A155" s="80">
        <f t="shared" si="11"/>
        <v>9</v>
      </c>
      <c r="B155" s="81"/>
      <c r="C155" s="60" t="s">
        <v>251</v>
      </c>
      <c r="D155" s="62">
        <f>(48.011+0.75*(2.75+2.75+2.75+2.14))*10.764</f>
        <v>600.66887399999996</v>
      </c>
      <c r="E155" s="60">
        <v>0</v>
      </c>
      <c r="F155" s="63">
        <v>1095</v>
      </c>
      <c r="G155" s="174"/>
      <c r="H155" s="175"/>
      <c r="I155" s="35"/>
      <c r="L155" s="82"/>
      <c r="M155" s="82"/>
      <c r="N155" s="35"/>
    </row>
    <row r="156" spans="1:14" s="61" customFormat="1" ht="15.75" customHeight="1" x14ac:dyDescent="0.25">
      <c r="A156" s="80">
        <f t="shared" si="11"/>
        <v>10</v>
      </c>
      <c r="B156" s="81"/>
      <c r="C156" s="60" t="s">
        <v>250</v>
      </c>
      <c r="D156" s="62">
        <f>(29.724+0.75*(2.75+2.14+1.86))*10.764</f>
        <v>374.44188600000001</v>
      </c>
      <c r="E156" s="60">
        <v>0</v>
      </c>
      <c r="F156" s="63">
        <v>690</v>
      </c>
      <c r="G156" s="174"/>
      <c r="H156" s="175"/>
      <c r="I156" s="35"/>
      <c r="L156" s="82"/>
      <c r="M156" s="82"/>
      <c r="N156" s="35"/>
    </row>
    <row r="157" spans="1:14" s="61" customFormat="1" ht="15.75" customHeight="1" x14ac:dyDescent="0.25">
      <c r="A157" s="80">
        <f t="shared" si="11"/>
        <v>11</v>
      </c>
      <c r="B157" s="81"/>
      <c r="C157" s="60" t="s">
        <v>250</v>
      </c>
      <c r="D157" s="62">
        <f t="shared" ref="D157:D158" si="14">(29.499+0.75*(1.65+2.41+2.75))*10.764</f>
        <v>372.50436599999995</v>
      </c>
      <c r="E157" s="60">
        <v>0</v>
      </c>
      <c r="F157" s="63">
        <v>695</v>
      </c>
      <c r="G157" s="174"/>
      <c r="H157" s="175"/>
      <c r="I157" s="35"/>
      <c r="L157" s="82"/>
      <c r="M157" s="82"/>
      <c r="N157" s="35"/>
    </row>
    <row r="158" spans="1:14" s="61" customFormat="1" ht="15.75" customHeight="1" x14ac:dyDescent="0.25">
      <c r="A158" s="80">
        <f t="shared" si="11"/>
        <v>12</v>
      </c>
      <c r="B158" s="81"/>
      <c r="C158" s="60" t="s">
        <v>250</v>
      </c>
      <c r="D158" s="62">
        <f t="shared" si="14"/>
        <v>372.50436599999995</v>
      </c>
      <c r="E158" s="60">
        <v>0</v>
      </c>
      <c r="F158" s="63">
        <v>695</v>
      </c>
      <c r="G158" s="176"/>
      <c r="H158" s="177"/>
      <c r="I158" s="35"/>
      <c r="L158" s="82"/>
      <c r="M158" s="82"/>
      <c r="N158" s="35"/>
    </row>
    <row r="159" spans="1:14" s="72" customFormat="1" x14ac:dyDescent="0.25">
      <c r="A159" s="178" t="s">
        <v>282</v>
      </c>
      <c r="B159" s="179"/>
      <c r="C159" s="179"/>
      <c r="D159" s="179"/>
      <c r="E159" s="179"/>
      <c r="F159" s="179"/>
      <c r="G159" s="179"/>
      <c r="H159" s="180"/>
      <c r="J159" s="35"/>
    </row>
    <row r="160" spans="1:14" s="72" customFormat="1" ht="15.75" customHeight="1" x14ac:dyDescent="0.25">
      <c r="A160" s="80">
        <v>1</v>
      </c>
      <c r="B160" s="81"/>
      <c r="C160" s="60" t="s">
        <v>250</v>
      </c>
      <c r="D160" s="62">
        <f>(29.499+0.75*(1.65+2.41+2.75))*10.764</f>
        <v>372.50436599999995</v>
      </c>
      <c r="E160" s="60">
        <v>0</v>
      </c>
      <c r="F160" s="63">
        <v>695</v>
      </c>
      <c r="G160" s="172" t="str">
        <f>A159</f>
        <v>20th Floor</v>
      </c>
      <c r="H160" s="173"/>
      <c r="I160" s="35"/>
      <c r="L160" s="82"/>
      <c r="M160" s="82"/>
      <c r="N160" s="35"/>
    </row>
    <row r="161" spans="1:14" s="72" customFormat="1" ht="15.75" customHeight="1" x14ac:dyDescent="0.25">
      <c r="A161" s="80">
        <f t="shared" ref="A161:A171" si="15">A160+1</f>
        <v>2</v>
      </c>
      <c r="B161" s="81"/>
      <c r="C161" s="60" t="s">
        <v>250</v>
      </c>
      <c r="D161" s="62">
        <f>(29.499+0.75*(1.65+2.41+2.75))*10.764</f>
        <v>372.50436599999995</v>
      </c>
      <c r="E161" s="60">
        <v>0</v>
      </c>
      <c r="F161" s="63">
        <v>695</v>
      </c>
      <c r="G161" s="174"/>
      <c r="H161" s="175"/>
      <c r="I161" s="35"/>
      <c r="L161" s="82"/>
      <c r="M161" s="82"/>
      <c r="N161" s="35"/>
    </row>
    <row r="162" spans="1:14" s="72" customFormat="1" ht="15.75" customHeight="1" x14ac:dyDescent="0.25">
      <c r="A162" s="80">
        <f t="shared" si="15"/>
        <v>3</v>
      </c>
      <c r="B162" s="81"/>
      <c r="C162" s="60" t="s">
        <v>250</v>
      </c>
      <c r="D162" s="62">
        <f>(29.724+0.75*(2.75+2.14+1.86))*10.764</f>
        <v>374.44188600000001</v>
      </c>
      <c r="E162" s="60">
        <v>0</v>
      </c>
      <c r="F162" s="63">
        <v>690</v>
      </c>
      <c r="G162" s="174"/>
      <c r="H162" s="175"/>
      <c r="I162" s="35"/>
      <c r="L162" s="82"/>
      <c r="M162" s="82"/>
      <c r="N162" s="35"/>
    </row>
    <row r="163" spans="1:14" s="72" customFormat="1" ht="15.75" customHeight="1" x14ac:dyDescent="0.25">
      <c r="A163" s="80">
        <f t="shared" si="15"/>
        <v>4</v>
      </c>
      <c r="B163" s="81"/>
      <c r="C163" s="60" t="s">
        <v>250</v>
      </c>
      <c r="D163" s="62">
        <f>(35.996+0.75*(2.75+2.75+2.14))*10.764</f>
        <v>449.13866399999995</v>
      </c>
      <c r="E163" s="62">
        <f>(2.7*3.35+1.85*1.35)*(10.764)</f>
        <v>124.24347000000002</v>
      </c>
      <c r="F163" s="62">
        <f>(D163)*1.8+E163/2</f>
        <v>870.57133020000003</v>
      </c>
      <c r="G163" s="174"/>
      <c r="H163" s="175"/>
      <c r="I163" s="35"/>
      <c r="J163" s="72">
        <f>F163/D163</f>
        <v>1.9383130422278678</v>
      </c>
      <c r="L163" s="82"/>
      <c r="M163" s="82"/>
      <c r="N163" s="35"/>
    </row>
    <row r="164" spans="1:14" s="72" customFormat="1" ht="15.75" customHeight="1" x14ac:dyDescent="0.25">
      <c r="A164" s="80">
        <f t="shared" si="15"/>
        <v>5</v>
      </c>
      <c r="B164" s="81"/>
      <c r="C164" s="60" t="s">
        <v>251</v>
      </c>
      <c r="D164" s="62">
        <f>(49.833+0.75*(2.75+2.14+2.75+1.73))*10.764</f>
        <v>612.04642200000001</v>
      </c>
      <c r="E164" s="60">
        <v>0</v>
      </c>
      <c r="F164" s="63">
        <v>1120</v>
      </c>
      <c r="G164" s="174"/>
      <c r="H164" s="175"/>
      <c r="I164" s="35"/>
      <c r="J164" s="62">
        <f>10.764</f>
        <v>10.763999999999999</v>
      </c>
      <c r="L164" s="82"/>
      <c r="M164" s="82"/>
      <c r="N164" s="35"/>
    </row>
    <row r="165" spans="1:14" s="72" customFormat="1" ht="15.75" customHeight="1" x14ac:dyDescent="0.25">
      <c r="A165" s="80">
        <f t="shared" si="15"/>
        <v>6</v>
      </c>
      <c r="B165" s="81"/>
      <c r="C165" s="60" t="s">
        <v>251</v>
      </c>
      <c r="D165" s="62">
        <f>(49.783+0.75*(2.75+2.14+2.75+1.73))*10.764</f>
        <v>611.50822200000005</v>
      </c>
      <c r="E165" s="60">
        <v>0</v>
      </c>
      <c r="F165" s="63">
        <v>1120</v>
      </c>
      <c r="G165" s="174"/>
      <c r="H165" s="175"/>
      <c r="I165" s="35"/>
      <c r="L165" s="82"/>
      <c r="M165" s="82"/>
      <c r="N165" s="35"/>
    </row>
    <row r="166" spans="1:14" s="72" customFormat="1" ht="15.75" customHeight="1" x14ac:dyDescent="0.25">
      <c r="A166" s="80">
        <f t="shared" si="15"/>
        <v>7</v>
      </c>
      <c r="B166" s="81"/>
      <c r="C166" s="60" t="s">
        <v>251</v>
      </c>
      <c r="D166" s="62">
        <f>(49.783+0.75*(2.75+2.14+2.75+1.73))*10.764</f>
        <v>611.50822200000005</v>
      </c>
      <c r="E166" s="60">
        <v>0</v>
      </c>
      <c r="F166" s="63">
        <v>1120</v>
      </c>
      <c r="G166" s="174"/>
      <c r="H166" s="175"/>
      <c r="I166" s="35"/>
      <c r="L166" s="82"/>
      <c r="M166" s="82"/>
      <c r="N166" s="35"/>
    </row>
    <row r="167" spans="1:14" s="72" customFormat="1" ht="15.75" customHeight="1" x14ac:dyDescent="0.25">
      <c r="A167" s="80">
        <f t="shared" si="15"/>
        <v>8</v>
      </c>
      <c r="B167" s="81"/>
      <c r="C167" s="60" t="s">
        <v>251</v>
      </c>
      <c r="D167" s="62">
        <f t="shared" ref="D167" si="16">(49.833+0.75*(2.75+2.14+2.75+1.73))*10.764</f>
        <v>612.04642200000001</v>
      </c>
      <c r="E167" s="60">
        <v>0</v>
      </c>
      <c r="F167" s="63">
        <v>1120</v>
      </c>
      <c r="G167" s="174"/>
      <c r="H167" s="175"/>
      <c r="I167" s="35"/>
      <c r="L167" s="82"/>
      <c r="M167" s="82"/>
      <c r="N167" s="35"/>
    </row>
    <row r="168" spans="1:14" s="72" customFormat="1" ht="15.75" customHeight="1" x14ac:dyDescent="0.25">
      <c r="A168" s="80">
        <f t="shared" si="15"/>
        <v>9</v>
      </c>
      <c r="B168" s="81"/>
      <c r="C168" s="60" t="s">
        <v>250</v>
      </c>
      <c r="D168" s="62">
        <f>(35.996+0.75*(2.75+2.75+2.14))*10.764</f>
        <v>449.13866399999995</v>
      </c>
      <c r="E168" s="62">
        <f>(2.7*3.35+1.85*1.35)*(10.764)</f>
        <v>124.24347000000002</v>
      </c>
      <c r="F168" s="62">
        <f>(D168)*1.8+E168/2</f>
        <v>870.57133020000003</v>
      </c>
      <c r="G168" s="174"/>
      <c r="H168" s="175"/>
      <c r="I168" s="35"/>
      <c r="L168" s="82"/>
      <c r="M168" s="82"/>
      <c r="N168" s="35"/>
    </row>
    <row r="169" spans="1:14" s="72" customFormat="1" ht="15.75" customHeight="1" x14ac:dyDescent="0.25">
      <c r="A169" s="80">
        <f t="shared" si="15"/>
        <v>10</v>
      </c>
      <c r="B169" s="81"/>
      <c r="C169" s="60" t="s">
        <v>250</v>
      </c>
      <c r="D169" s="62">
        <f>(29.724+0.75*(2.75+2.14+1.86))*10.764</f>
        <v>374.44188600000001</v>
      </c>
      <c r="E169" s="60">
        <v>0</v>
      </c>
      <c r="F169" s="63">
        <v>690</v>
      </c>
      <c r="G169" s="174"/>
      <c r="H169" s="175"/>
      <c r="I169" s="35"/>
      <c r="L169" s="82"/>
      <c r="M169" s="82"/>
      <c r="N169" s="35"/>
    </row>
    <row r="170" spans="1:14" s="72" customFormat="1" ht="15.75" customHeight="1" x14ac:dyDescent="0.25">
      <c r="A170" s="80">
        <f t="shared" si="15"/>
        <v>11</v>
      </c>
      <c r="B170" s="81"/>
      <c r="C170" s="60" t="s">
        <v>250</v>
      </c>
      <c r="D170" s="62">
        <f t="shared" ref="D170:D171" si="17">(29.499+0.75*(1.65+2.41+2.75))*10.764</f>
        <v>372.50436599999995</v>
      </c>
      <c r="E170" s="60">
        <v>0</v>
      </c>
      <c r="F170" s="63">
        <v>695</v>
      </c>
      <c r="G170" s="174"/>
      <c r="H170" s="175"/>
      <c r="I170" s="35"/>
      <c r="L170" s="82"/>
      <c r="M170" s="82"/>
      <c r="N170" s="35"/>
    </row>
    <row r="171" spans="1:14" s="72" customFormat="1" ht="15.75" customHeight="1" x14ac:dyDescent="0.25">
      <c r="A171" s="80">
        <f t="shared" si="15"/>
        <v>12</v>
      </c>
      <c r="B171" s="81"/>
      <c r="C171" s="60" t="s">
        <v>250</v>
      </c>
      <c r="D171" s="62">
        <f t="shared" si="17"/>
        <v>372.50436599999995</v>
      </c>
      <c r="E171" s="60">
        <v>0</v>
      </c>
      <c r="F171" s="63">
        <v>695</v>
      </c>
      <c r="G171" s="176"/>
      <c r="H171" s="177"/>
      <c r="I171" s="35"/>
      <c r="L171" s="82"/>
      <c r="M171" s="82"/>
      <c r="N171" s="35"/>
    </row>
    <row r="172" spans="1:14" s="34" customFormat="1" x14ac:dyDescent="0.25">
      <c r="A172" s="83" t="s">
        <v>68</v>
      </c>
      <c r="B172" s="83"/>
      <c r="C172" s="83"/>
      <c r="D172" s="83"/>
      <c r="E172" s="83"/>
      <c r="F172" s="83"/>
      <c r="G172" s="83"/>
      <c r="H172" s="83"/>
    </row>
    <row r="173" spans="1:14" s="34" customFormat="1" x14ac:dyDescent="0.25">
      <c r="A173" s="45" t="s">
        <v>152</v>
      </c>
      <c r="B173" s="197" t="s">
        <v>270</v>
      </c>
      <c r="C173" s="198"/>
      <c r="D173" s="198"/>
      <c r="E173" s="198"/>
      <c r="F173" s="198"/>
      <c r="G173" s="198"/>
      <c r="H173" s="199"/>
    </row>
    <row r="174" spans="1:14" s="34" customFormat="1" x14ac:dyDescent="0.25">
      <c r="A174" s="45" t="s">
        <v>152</v>
      </c>
      <c r="B174" s="193" t="str">
        <f>(IF(F129="Saleable area Loading :","We have considered Saleable area of Flats as per our Calculation.","We considered Saleable area of Flat as per Builder area Sheet."))</f>
        <v>We considered Saleable area of Flat as per Builder area Sheet.</v>
      </c>
      <c r="C174" s="194"/>
      <c r="D174" s="194"/>
      <c r="E174" s="194"/>
      <c r="F174" s="194"/>
      <c r="G174" s="194"/>
      <c r="H174" s="195"/>
    </row>
    <row r="175" spans="1:14" s="34" customFormat="1" x14ac:dyDescent="0.25">
      <c r="A175" s="45" t="s">
        <v>152</v>
      </c>
      <c r="B175" s="193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5" s="194"/>
      <c r="D175" s="194"/>
      <c r="E175" s="194"/>
      <c r="F175" s="194"/>
      <c r="G175" s="194"/>
      <c r="H175" s="195"/>
    </row>
    <row r="176" spans="1:14" s="34" customFormat="1" x14ac:dyDescent="0.25">
      <c r="A176" s="45" t="s">
        <v>152</v>
      </c>
      <c r="B176" s="87" t="s">
        <v>122</v>
      </c>
      <c r="C176" s="88"/>
      <c r="D176" s="88"/>
      <c r="E176" s="88"/>
      <c r="F176" s="88"/>
      <c r="G176" s="88"/>
      <c r="H176" s="89"/>
    </row>
    <row r="177" spans="1:8" s="34" customFormat="1" x14ac:dyDescent="0.25">
      <c r="A177" s="45" t="s">
        <v>152</v>
      </c>
      <c r="B177" s="87" t="s">
        <v>257</v>
      </c>
      <c r="C177" s="88"/>
      <c r="D177" s="88"/>
      <c r="E177" s="88"/>
      <c r="F177" s="88"/>
      <c r="G177" s="88"/>
      <c r="H177" s="89"/>
    </row>
    <row r="178" spans="1:8" s="34" customFormat="1" x14ac:dyDescent="0.25">
      <c r="A178" s="45" t="s">
        <v>152</v>
      </c>
      <c r="B178" s="87" t="s">
        <v>151</v>
      </c>
      <c r="C178" s="88"/>
      <c r="D178" s="88"/>
      <c r="E178" s="88"/>
      <c r="F178" s="88"/>
      <c r="G178" s="88"/>
      <c r="H178" s="89"/>
    </row>
    <row r="179" spans="1:8" s="34" customFormat="1" x14ac:dyDescent="0.25">
      <c r="A179" s="45" t="s">
        <v>152</v>
      </c>
      <c r="B179" s="87" t="s">
        <v>123</v>
      </c>
      <c r="C179" s="88"/>
      <c r="D179" s="88"/>
      <c r="E179" s="88"/>
      <c r="F179" s="88"/>
      <c r="G179" s="88"/>
      <c r="H179" s="89"/>
    </row>
    <row r="180" spans="1:8" s="34" customFormat="1" ht="34.5" customHeight="1" x14ac:dyDescent="0.25">
      <c r="A180" s="59" t="s">
        <v>152</v>
      </c>
      <c r="B180" s="87" t="s">
        <v>153</v>
      </c>
      <c r="C180" s="88"/>
      <c r="D180" s="88"/>
      <c r="E180" s="88"/>
      <c r="F180" s="88"/>
      <c r="G180" s="88"/>
      <c r="H180" s="89"/>
    </row>
    <row r="181" spans="1:8" s="34" customFormat="1" x14ac:dyDescent="0.25">
      <c r="A181" s="45" t="s">
        <v>152</v>
      </c>
      <c r="B181" s="87" t="s">
        <v>124</v>
      </c>
      <c r="C181" s="88"/>
      <c r="D181" s="88"/>
      <c r="E181" s="88"/>
      <c r="F181" s="88"/>
      <c r="G181" s="88"/>
      <c r="H181" s="89"/>
    </row>
    <row r="182" spans="1:8" s="34" customFormat="1" x14ac:dyDescent="0.25">
      <c r="A182" s="71" t="s">
        <v>152</v>
      </c>
      <c r="B182" s="87" t="s">
        <v>265</v>
      </c>
      <c r="C182" s="88"/>
      <c r="D182" s="88"/>
      <c r="E182" s="88"/>
      <c r="F182" s="88"/>
      <c r="G182" s="88"/>
      <c r="H182" s="89"/>
    </row>
    <row r="183" spans="1:8" s="34" customFormat="1" x14ac:dyDescent="0.25">
      <c r="A183" s="71" t="s">
        <v>152</v>
      </c>
      <c r="B183" s="87" t="s">
        <v>286</v>
      </c>
      <c r="C183" s="88"/>
      <c r="D183" s="88"/>
      <c r="E183" s="88"/>
      <c r="F183" s="88"/>
      <c r="G183" s="88"/>
      <c r="H183" s="89"/>
    </row>
    <row r="184" spans="1:8" s="34" customFormat="1" x14ac:dyDescent="0.25">
      <c r="A184" s="73" t="s">
        <v>152</v>
      </c>
      <c r="B184" s="87" t="s">
        <v>288</v>
      </c>
      <c r="C184" s="88"/>
      <c r="D184" s="88"/>
      <c r="E184" s="88"/>
      <c r="F184" s="88"/>
      <c r="G184" s="88"/>
      <c r="H184" s="89"/>
    </row>
    <row r="185" spans="1:8" s="34" customFormat="1" x14ac:dyDescent="0.25">
      <c r="A185" s="68" t="s">
        <v>152</v>
      </c>
      <c r="B185" s="87" t="s">
        <v>289</v>
      </c>
      <c r="C185" s="88"/>
      <c r="D185" s="88"/>
      <c r="E185" s="88"/>
      <c r="F185" s="88"/>
      <c r="G185" s="88"/>
      <c r="H185" s="89"/>
    </row>
    <row r="186" spans="1:8" s="34" customFormat="1" hidden="1" x14ac:dyDescent="0.25">
      <c r="A186" s="45" t="s">
        <v>152</v>
      </c>
      <c r="B186" s="87" t="s">
        <v>263</v>
      </c>
      <c r="C186" s="88"/>
      <c r="D186" s="88"/>
      <c r="E186" s="88"/>
      <c r="F186" s="88"/>
      <c r="G186" s="88"/>
      <c r="H186" s="89"/>
    </row>
    <row r="187" spans="1:8" s="34" customFormat="1" ht="32.25" hidden="1" customHeight="1" x14ac:dyDescent="0.25">
      <c r="A187" s="54" t="s">
        <v>152</v>
      </c>
      <c r="B187" s="200" t="s">
        <v>177</v>
      </c>
      <c r="C187" s="201"/>
      <c r="D187" s="201"/>
      <c r="E187" s="201"/>
      <c r="F187" s="201"/>
      <c r="G187" s="201"/>
      <c r="H187" s="202"/>
    </row>
    <row r="188" spans="1:8" x14ac:dyDescent="0.25">
      <c r="A188" s="161" t="s">
        <v>61</v>
      </c>
      <c r="B188" s="161"/>
      <c r="C188" s="161"/>
      <c r="D188" s="161"/>
      <c r="E188" s="161"/>
      <c r="F188" s="161"/>
      <c r="G188" s="161"/>
      <c r="H188" s="161"/>
    </row>
    <row r="189" spans="1:8" x14ac:dyDescent="0.25">
      <c r="A189" s="95" t="s">
        <v>62</v>
      </c>
      <c r="B189" s="95"/>
      <c r="C189" s="95"/>
      <c r="D189" s="95"/>
      <c r="E189" s="95"/>
      <c r="F189" s="95"/>
      <c r="G189" s="95"/>
      <c r="H189" s="95"/>
    </row>
    <row r="190" spans="1:8" ht="15.75" customHeight="1" x14ac:dyDescent="0.25">
      <c r="A190" s="163" t="s">
        <v>63</v>
      </c>
      <c r="B190" s="163"/>
      <c r="C190" s="163"/>
      <c r="D190" s="163"/>
      <c r="E190" s="163"/>
      <c r="F190" s="163"/>
      <c r="G190" s="163"/>
      <c r="H190" s="163"/>
    </row>
    <row r="191" spans="1:8" x14ac:dyDescent="0.25">
      <c r="A191" s="95" t="s">
        <v>64</v>
      </c>
      <c r="B191" s="95"/>
      <c r="C191" s="95"/>
      <c r="D191" s="95"/>
      <c r="E191" s="95"/>
      <c r="F191" s="95"/>
      <c r="G191" s="95"/>
      <c r="H191" s="95"/>
    </row>
    <row r="192" spans="1:8" x14ac:dyDescent="0.25">
      <c r="A192" s="95" t="s">
        <v>65</v>
      </c>
      <c r="B192" s="95"/>
      <c r="C192" s="95"/>
      <c r="D192" s="95"/>
      <c r="E192" s="95"/>
      <c r="F192" s="95"/>
      <c r="G192" s="95"/>
      <c r="H192" s="95"/>
    </row>
    <row r="193" spans="1:13" x14ac:dyDescent="0.25">
      <c r="A193" s="95" t="s">
        <v>125</v>
      </c>
      <c r="B193" s="95"/>
      <c r="C193" s="95"/>
      <c r="D193" s="95"/>
      <c r="E193" s="95"/>
      <c r="F193" s="95"/>
      <c r="G193" s="95"/>
      <c r="H193" s="95"/>
    </row>
    <row r="194" spans="1:13" ht="33.950000000000003" customHeight="1" x14ac:dyDescent="0.25">
      <c r="A194" s="150" t="s">
        <v>126</v>
      </c>
      <c r="B194" s="150"/>
      <c r="C194" s="150"/>
      <c r="D194" s="150"/>
      <c r="E194" s="150"/>
      <c r="F194" s="150"/>
      <c r="G194" s="150"/>
      <c r="H194" s="150"/>
      <c r="M194" s="74"/>
    </row>
    <row r="195" spans="1:13" x14ac:dyDescent="0.25">
      <c r="A195" s="157" t="s">
        <v>77</v>
      </c>
      <c r="B195" s="157"/>
      <c r="C195" s="157" t="s">
        <v>271</v>
      </c>
      <c r="D195" s="157"/>
      <c r="E195" s="157" t="s">
        <v>105</v>
      </c>
      <c r="F195" s="157"/>
      <c r="G195" s="157" t="s">
        <v>268</v>
      </c>
      <c r="H195" s="157"/>
    </row>
    <row r="196" spans="1:13" x14ac:dyDescent="0.25">
      <c r="A196" s="156" t="s">
        <v>79</v>
      </c>
      <c r="B196" s="156"/>
      <c r="C196" s="156"/>
      <c r="D196" s="156"/>
      <c r="E196" s="156"/>
      <c r="F196" s="156"/>
      <c r="G196" s="156"/>
      <c r="H196" s="156"/>
    </row>
    <row r="197" spans="1:13" ht="12.75" customHeight="1" x14ac:dyDescent="0.25">
      <c r="A197" s="156"/>
      <c r="B197" s="156"/>
      <c r="C197" s="156"/>
      <c r="D197" s="156"/>
      <c r="E197" s="156"/>
      <c r="F197" s="156"/>
      <c r="G197" s="156"/>
      <c r="H197" s="156"/>
    </row>
    <row r="198" spans="1:13" x14ac:dyDescent="0.25">
      <c r="A198" s="156"/>
      <c r="B198" s="156"/>
      <c r="C198" s="156"/>
      <c r="D198" s="156"/>
      <c r="E198" s="156"/>
      <c r="F198" s="156"/>
      <c r="G198" s="156"/>
      <c r="H198" s="156"/>
    </row>
    <row r="199" spans="1:13" ht="9.75" customHeight="1" x14ac:dyDescent="0.25">
      <c r="A199" s="156"/>
      <c r="B199" s="156"/>
      <c r="C199" s="156"/>
      <c r="D199" s="156"/>
      <c r="E199" s="156"/>
      <c r="F199" s="156"/>
      <c r="G199" s="156"/>
      <c r="H199" s="156"/>
    </row>
    <row r="200" spans="1:13" x14ac:dyDescent="0.25">
      <c r="A200" s="37" t="s">
        <v>66</v>
      </c>
      <c r="B200" s="38"/>
      <c r="C200" s="38"/>
      <c r="D200" s="37" t="str">
        <f>E8</f>
        <v>Bhaveshwar Callista 3</v>
      </c>
      <c r="F200" s="38"/>
      <c r="G200" s="38"/>
      <c r="H200" s="38"/>
    </row>
    <row r="201" spans="1:13" x14ac:dyDescent="0.25">
      <c r="A201" s="38"/>
      <c r="B201" s="38"/>
      <c r="C201" s="38"/>
      <c r="D201" s="38"/>
      <c r="E201" s="38"/>
      <c r="F201" s="38"/>
      <c r="G201" s="38"/>
      <c r="H201" s="38"/>
    </row>
    <row r="202" spans="1:13" x14ac:dyDescent="0.25">
      <c r="A202" s="38"/>
      <c r="B202" s="38"/>
      <c r="C202" s="38"/>
      <c r="D202" s="38"/>
      <c r="E202" s="38"/>
      <c r="F202" s="38"/>
      <c r="G202" s="38"/>
      <c r="H202" s="38"/>
    </row>
    <row r="203" spans="1:13" ht="15" customHeight="1" x14ac:dyDescent="0.25"/>
    <row r="244" spans="1:1" x14ac:dyDescent="0.25">
      <c r="A244" s="40" t="s">
        <v>164</v>
      </c>
    </row>
    <row r="272" hidden="1" x14ac:dyDescent="0.25"/>
    <row r="273" spans="1:1" hidden="1" x14ac:dyDescent="0.25"/>
    <row r="274" spans="1:1" hidden="1" x14ac:dyDescent="0.25"/>
    <row r="275" spans="1:1" hidden="1" x14ac:dyDescent="0.25"/>
    <row r="276" spans="1:1" hidden="1" x14ac:dyDescent="0.25"/>
    <row r="277" spans="1:1" hidden="1" x14ac:dyDescent="0.25"/>
    <row r="278" spans="1:1" hidden="1" x14ac:dyDescent="0.25"/>
    <row r="279" spans="1:1" hidden="1" x14ac:dyDescent="0.25"/>
    <row r="280" spans="1:1" hidden="1" x14ac:dyDescent="0.25"/>
    <row r="281" spans="1:1" hidden="1" x14ac:dyDescent="0.25"/>
    <row r="288" spans="1:1" x14ac:dyDescent="0.25">
      <c r="A288" s="40" t="s">
        <v>67</v>
      </c>
    </row>
  </sheetData>
  <mergeCells count="383">
    <mergeCell ref="L126:M126"/>
    <mergeCell ref="A127:B127"/>
    <mergeCell ref="L127:M127"/>
    <mergeCell ref="G110:H127"/>
    <mergeCell ref="A159:H159"/>
    <mergeCell ref="A160:B160"/>
    <mergeCell ref="G160:H171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C53:E53"/>
    <mergeCell ref="G53:H53"/>
    <mergeCell ref="A122:B122"/>
    <mergeCell ref="L122:M122"/>
    <mergeCell ref="A123:B123"/>
    <mergeCell ref="L123:M123"/>
    <mergeCell ref="A124:B124"/>
    <mergeCell ref="L124:M124"/>
    <mergeCell ref="A125:B125"/>
    <mergeCell ref="L125:M125"/>
    <mergeCell ref="G55:H55"/>
    <mergeCell ref="D62:H62"/>
    <mergeCell ref="A81:B81"/>
    <mergeCell ref="C98:D98"/>
    <mergeCell ref="E98:F98"/>
    <mergeCell ref="F83:H83"/>
    <mergeCell ref="G98:H98"/>
    <mergeCell ref="G97:H97"/>
    <mergeCell ref="E97:F97"/>
    <mergeCell ref="A97:B97"/>
    <mergeCell ref="F87:H87"/>
    <mergeCell ref="F82:H82"/>
    <mergeCell ref="L115:M115"/>
    <mergeCell ref="L116:M116"/>
    <mergeCell ref="B180:H180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69:B169"/>
    <mergeCell ref="L169:M169"/>
    <mergeCell ref="A170:B170"/>
    <mergeCell ref="L170:M170"/>
    <mergeCell ref="A171:B171"/>
    <mergeCell ref="L171:M171"/>
    <mergeCell ref="C50:E50"/>
    <mergeCell ref="A67:C67"/>
    <mergeCell ref="D67:H67"/>
    <mergeCell ref="A65:C65"/>
    <mergeCell ref="I14:P14"/>
    <mergeCell ref="F93:H93"/>
    <mergeCell ref="F91:H91"/>
    <mergeCell ref="A92:E92"/>
    <mergeCell ref="A55:B55"/>
    <mergeCell ref="C55:E55"/>
    <mergeCell ref="D57:H57"/>
    <mergeCell ref="F92:H92"/>
    <mergeCell ref="A54:B54"/>
    <mergeCell ref="C54:E54"/>
    <mergeCell ref="G54:H54"/>
    <mergeCell ref="G49:H49"/>
    <mergeCell ref="G51:H51"/>
    <mergeCell ref="A50:B50"/>
    <mergeCell ref="A56:H56"/>
    <mergeCell ref="A57:C57"/>
    <mergeCell ref="A58:C58"/>
    <mergeCell ref="D58:H58"/>
    <mergeCell ref="D65:H65"/>
    <mergeCell ref="A66:C66"/>
    <mergeCell ref="A53:B53"/>
    <mergeCell ref="B129:B130"/>
    <mergeCell ref="G99:H99"/>
    <mergeCell ref="A189:H189"/>
    <mergeCell ref="E101:F101"/>
    <mergeCell ref="B186:H186"/>
    <mergeCell ref="B179:H179"/>
    <mergeCell ref="B175:H175"/>
    <mergeCell ref="A105:H105"/>
    <mergeCell ref="B173:H173"/>
    <mergeCell ref="B174:H174"/>
    <mergeCell ref="A129:A130"/>
    <mergeCell ref="B187:H187"/>
    <mergeCell ref="A131:H131"/>
    <mergeCell ref="A132:H132"/>
    <mergeCell ref="E104:F104"/>
    <mergeCell ref="A104:B104"/>
    <mergeCell ref="C104:D104"/>
    <mergeCell ref="C102:D102"/>
    <mergeCell ref="E102:F102"/>
    <mergeCell ref="G102:H102"/>
    <mergeCell ref="A126:B126"/>
    <mergeCell ref="B184:H184"/>
    <mergeCell ref="B177:H177"/>
    <mergeCell ref="F90:H90"/>
    <mergeCell ref="C97:D97"/>
    <mergeCell ref="C103:D103"/>
    <mergeCell ref="A133:H133"/>
    <mergeCell ref="A110:B110"/>
    <mergeCell ref="A128:H128"/>
    <mergeCell ref="A60:C60"/>
    <mergeCell ref="D60:H60"/>
    <mergeCell ref="A88:E88"/>
    <mergeCell ref="F88:H88"/>
    <mergeCell ref="A89:E89"/>
    <mergeCell ref="A91:E91"/>
    <mergeCell ref="F85:H85"/>
    <mergeCell ref="A90:E90"/>
    <mergeCell ref="A79:B79"/>
    <mergeCell ref="F89:H89"/>
    <mergeCell ref="A83:E83"/>
    <mergeCell ref="E72:F81"/>
    <mergeCell ref="G72:H81"/>
    <mergeCell ref="A80:B80"/>
    <mergeCell ref="C101:D101"/>
    <mergeCell ref="A109:H109"/>
    <mergeCell ref="E107:E108"/>
    <mergeCell ref="G107:H108"/>
    <mergeCell ref="A193:H193"/>
    <mergeCell ref="A190:H190"/>
    <mergeCell ref="A101:B101"/>
    <mergeCell ref="D129:D130"/>
    <mergeCell ref="E129:E130"/>
    <mergeCell ref="G129:H130"/>
    <mergeCell ref="G104:H104"/>
    <mergeCell ref="A142:B142"/>
    <mergeCell ref="A143:B143"/>
    <mergeCell ref="A138:B138"/>
    <mergeCell ref="A139:B139"/>
    <mergeCell ref="A140:B140"/>
    <mergeCell ref="A144:B144"/>
    <mergeCell ref="A145:B145"/>
    <mergeCell ref="G134:H145"/>
    <mergeCell ref="A146:H146"/>
    <mergeCell ref="A147:B147"/>
    <mergeCell ref="G147:H158"/>
    <mergeCell ref="A148:B148"/>
    <mergeCell ref="A149:B149"/>
    <mergeCell ref="A150:B150"/>
    <mergeCell ref="B107:B108"/>
    <mergeCell ref="A106:H106"/>
    <mergeCell ref="C107:C108"/>
    <mergeCell ref="A10:D10"/>
    <mergeCell ref="E10:H10"/>
    <mergeCell ref="A22:D23"/>
    <mergeCell ref="E22:H23"/>
    <mergeCell ref="B185:H185"/>
    <mergeCell ref="A196:H199"/>
    <mergeCell ref="A195:B195"/>
    <mergeCell ref="E195:F195"/>
    <mergeCell ref="C195:D195"/>
    <mergeCell ref="G195:H195"/>
    <mergeCell ref="A96:H96"/>
    <mergeCell ref="A94:E94"/>
    <mergeCell ref="F94:H94"/>
    <mergeCell ref="A95:E95"/>
    <mergeCell ref="F95:H95"/>
    <mergeCell ref="A102:B102"/>
    <mergeCell ref="A98:B98"/>
    <mergeCell ref="A191:H191"/>
    <mergeCell ref="A100:H100"/>
    <mergeCell ref="A194:H194"/>
    <mergeCell ref="A192:H192"/>
    <mergeCell ref="A188:H188"/>
    <mergeCell ref="G101:H101"/>
    <mergeCell ref="E14:H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E13:H13"/>
    <mergeCell ref="A14:D1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6:B36"/>
    <mergeCell ref="C36:E36"/>
    <mergeCell ref="A41:D41"/>
    <mergeCell ref="E41:H41"/>
    <mergeCell ref="A40:H40"/>
    <mergeCell ref="A61:C61"/>
    <mergeCell ref="A62:C62"/>
    <mergeCell ref="D61:H61"/>
    <mergeCell ref="A39:B39"/>
    <mergeCell ref="C39:H39"/>
    <mergeCell ref="F36:H36"/>
    <mergeCell ref="A46:D46"/>
    <mergeCell ref="A47:H47"/>
    <mergeCell ref="D59:H59"/>
    <mergeCell ref="A59:C59"/>
    <mergeCell ref="G50:H50"/>
    <mergeCell ref="A51:B52"/>
    <mergeCell ref="E42:H42"/>
    <mergeCell ref="A42:D42"/>
    <mergeCell ref="A38:B38"/>
    <mergeCell ref="C38:H38"/>
    <mergeCell ref="A45:D45"/>
    <mergeCell ref="A49:B49"/>
    <mergeCell ref="C49:E49"/>
    <mergeCell ref="A43:D43"/>
    <mergeCell ref="E43:H43"/>
    <mergeCell ref="E44:H44"/>
    <mergeCell ref="E45:H45"/>
    <mergeCell ref="E46:H46"/>
    <mergeCell ref="A44:D44"/>
    <mergeCell ref="A37:H37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77:B77"/>
    <mergeCell ref="C51:E51"/>
    <mergeCell ref="A93:E93"/>
    <mergeCell ref="G103:H103"/>
    <mergeCell ref="A99:B99"/>
    <mergeCell ref="C99:D99"/>
    <mergeCell ref="E99:F99"/>
    <mergeCell ref="A107:A108"/>
    <mergeCell ref="A111:B111"/>
    <mergeCell ref="A117:B117"/>
    <mergeCell ref="L120:M120"/>
    <mergeCell ref="A112:B112"/>
    <mergeCell ref="L112:M112"/>
    <mergeCell ref="A121:B121"/>
    <mergeCell ref="L121:M121"/>
    <mergeCell ref="L117:M117"/>
    <mergeCell ref="A118:B118"/>
    <mergeCell ref="L118:M118"/>
    <mergeCell ref="A119:B119"/>
    <mergeCell ref="L119:M119"/>
    <mergeCell ref="A120:B120"/>
    <mergeCell ref="L113:M113"/>
    <mergeCell ref="L149:M149"/>
    <mergeCell ref="L150:M150"/>
    <mergeCell ref="A151:B151"/>
    <mergeCell ref="L151:M151"/>
    <mergeCell ref="A134:B134"/>
    <mergeCell ref="L135:M135"/>
    <mergeCell ref="A136:B136"/>
    <mergeCell ref="L136:M136"/>
    <mergeCell ref="A141:B141"/>
    <mergeCell ref="L141:M141"/>
    <mergeCell ref="B182:H182"/>
    <mergeCell ref="B183:H183"/>
    <mergeCell ref="B181:H181"/>
    <mergeCell ref="A48:B48"/>
    <mergeCell ref="C48:H48"/>
    <mergeCell ref="B178:H178"/>
    <mergeCell ref="F84:H84"/>
    <mergeCell ref="A84:E84"/>
    <mergeCell ref="D107:D108"/>
    <mergeCell ref="A86:E86"/>
    <mergeCell ref="A85:E85"/>
    <mergeCell ref="A82:E82"/>
    <mergeCell ref="C52:H52"/>
    <mergeCell ref="A114:B114"/>
    <mergeCell ref="A115:B115"/>
    <mergeCell ref="A116:B116"/>
    <mergeCell ref="A87:E87"/>
    <mergeCell ref="A103:B103"/>
    <mergeCell ref="E103:F103"/>
    <mergeCell ref="A113:B113"/>
    <mergeCell ref="B176:H176"/>
    <mergeCell ref="A153:B153"/>
    <mergeCell ref="A154:B154"/>
    <mergeCell ref="A135:B135"/>
    <mergeCell ref="F86:H86"/>
    <mergeCell ref="D66:H66"/>
    <mergeCell ref="A72:B72"/>
    <mergeCell ref="G71:H71"/>
    <mergeCell ref="A152:B152"/>
    <mergeCell ref="L152:M152"/>
    <mergeCell ref="A172:H172"/>
    <mergeCell ref="A137:B137"/>
    <mergeCell ref="C129:C130"/>
    <mergeCell ref="L111:M111"/>
    <mergeCell ref="L110:M110"/>
    <mergeCell ref="L114:M114"/>
    <mergeCell ref="L153:M153"/>
    <mergeCell ref="L137:M137"/>
    <mergeCell ref="L134:M134"/>
    <mergeCell ref="L142:M142"/>
    <mergeCell ref="L143:M143"/>
    <mergeCell ref="L138:M138"/>
    <mergeCell ref="L139:M139"/>
    <mergeCell ref="L140:M140"/>
    <mergeCell ref="L144:M144"/>
    <mergeCell ref="L145:M145"/>
    <mergeCell ref="L147:M147"/>
    <mergeCell ref="L148:M148"/>
  </mergeCells>
  <dataValidations disablePrompts="1" count="12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7:E108">
      <formula1>"Attached Loft area,Attached Terrace area,Attached Mezzanine area"</formula1>
    </dataValidation>
    <dataValidation type="list" allowBlank="1" showInputMessage="1" showErrorMessage="1" sqref="F108 F130">
      <formula1>"45%,50%,55%,60%"</formula1>
    </dataValidation>
    <dataValidation type="list" allowBlank="1" showInputMessage="1" showErrorMessage="1" sqref="F82:H82">
      <formula1>"On Saleable Area,On Builtup Area,On Carpet Area,On Plot Area"</formula1>
    </dataValidation>
    <dataValidation type="list" allowBlank="1" showInputMessage="1" showErrorMessage="1" sqref="F94:H94">
      <formula1>"100000,150000,200000,250000,300000,350000,400000,500000,600000,700000,800000,900000,1000000,1200000,1400000,1500000"</formula1>
    </dataValidation>
    <dataValidation type="list" allowBlank="1" showInputMessage="1" showErrorMessage="1" sqref="F107 F129">
      <formula1>"Saleable area Loading :,Builder Saleable area"</formula1>
    </dataValidation>
    <dataValidation type="list" allowBlank="1" showInputMessage="1" showErrorMessage="1" sqref="B107:B108">
      <formula1>"Shop No. (Sale Plan),Sale / Rehab,Sale / Mhada"</formula1>
    </dataValidation>
    <dataValidation type="list" allowBlank="1" showInputMessage="1" showErrorMessage="1" sqref="B129:B130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7" man="1"/>
    <brk id="199" max="16383" man="1"/>
    <brk id="243" max="16383" man="1"/>
    <brk id="28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6" t="s">
        <v>106</v>
      </c>
      <c r="C3" s="226"/>
      <c r="D3" s="226"/>
      <c r="E3" s="226"/>
      <c r="F3" s="226"/>
      <c r="G3" s="226"/>
      <c r="H3" s="226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5"/>
      <c r="C4" s="55" t="s">
        <v>12</v>
      </c>
      <c r="D4" s="56" t="s">
        <v>178</v>
      </c>
      <c r="E4" s="56" t="s">
        <v>188</v>
      </c>
      <c r="F4" s="56" t="s">
        <v>171</v>
      </c>
      <c r="G4" s="56" t="s">
        <v>193</v>
      </c>
      <c r="H4" s="56" t="s">
        <v>211</v>
      </c>
      <c r="J4" t="s">
        <v>193</v>
      </c>
      <c r="K4" t="s">
        <v>209</v>
      </c>
    </row>
    <row r="5" spans="2:11" x14ac:dyDescent="0.25">
      <c r="B5" s="55"/>
      <c r="C5" s="55"/>
      <c r="D5" s="56" t="s">
        <v>179</v>
      </c>
      <c r="E5" s="56" t="s">
        <v>186</v>
      </c>
      <c r="F5" s="56" t="s">
        <v>208</v>
      </c>
      <c r="G5" s="56" t="s">
        <v>194</v>
      </c>
      <c r="H5" s="56" t="s">
        <v>212</v>
      </c>
    </row>
    <row r="6" spans="2:11" x14ac:dyDescent="0.25">
      <c r="B6" s="55"/>
      <c r="C6" s="55"/>
      <c r="D6" s="56" t="s">
        <v>180</v>
      </c>
      <c r="E6" s="56" t="s">
        <v>187</v>
      </c>
      <c r="F6" s="56" t="s">
        <v>209</v>
      </c>
      <c r="G6" s="56" t="s">
        <v>195</v>
      </c>
      <c r="H6" s="56" t="s">
        <v>225</v>
      </c>
    </row>
    <row r="7" spans="2:11" x14ac:dyDescent="0.25">
      <c r="B7" s="55"/>
      <c r="C7" s="55"/>
      <c r="D7" s="56" t="s">
        <v>181</v>
      </c>
      <c r="E7" s="56" t="s">
        <v>189</v>
      </c>
      <c r="F7" s="56" t="s">
        <v>210</v>
      </c>
      <c r="G7" s="56" t="s">
        <v>196</v>
      </c>
      <c r="H7" s="56" t="s">
        <v>213</v>
      </c>
    </row>
    <row r="8" spans="2:11" x14ac:dyDescent="0.25">
      <c r="B8" s="55"/>
      <c r="C8" s="55"/>
      <c r="D8" s="56" t="s">
        <v>182</v>
      </c>
      <c r="E8" s="56" t="s">
        <v>190</v>
      </c>
      <c r="F8" s="56"/>
      <c r="G8" s="56" t="s">
        <v>197</v>
      </c>
      <c r="H8" s="56" t="s">
        <v>214</v>
      </c>
    </row>
    <row r="9" spans="2:11" x14ac:dyDescent="0.25">
      <c r="B9" s="55"/>
      <c r="C9" s="55"/>
      <c r="D9" s="56" t="s">
        <v>183</v>
      </c>
      <c r="E9" s="56" t="s">
        <v>188</v>
      </c>
      <c r="F9" s="56"/>
      <c r="G9" s="56" t="s">
        <v>198</v>
      </c>
      <c r="H9" s="56" t="s">
        <v>215</v>
      </c>
    </row>
    <row r="10" spans="2:11" x14ac:dyDescent="0.25">
      <c r="B10" s="55"/>
      <c r="C10" s="55"/>
      <c r="D10" s="56" t="s">
        <v>184</v>
      </c>
      <c r="E10" s="56" t="s">
        <v>191</v>
      </c>
      <c r="F10" s="56"/>
      <c r="G10" s="56" t="s">
        <v>199</v>
      </c>
      <c r="H10" s="56" t="s">
        <v>216</v>
      </c>
    </row>
    <row r="11" spans="2:11" x14ac:dyDescent="0.25">
      <c r="B11" s="55"/>
      <c r="C11" s="55"/>
      <c r="D11" s="56" t="s">
        <v>185</v>
      </c>
      <c r="E11" s="56" t="s">
        <v>192</v>
      </c>
      <c r="F11" s="56"/>
      <c r="G11" s="56" t="s">
        <v>200</v>
      </c>
      <c r="H11" s="56" t="s">
        <v>217</v>
      </c>
    </row>
    <row r="12" spans="2:11" x14ac:dyDescent="0.25">
      <c r="B12" s="55"/>
      <c r="C12" s="55"/>
      <c r="D12" s="56"/>
      <c r="E12" s="56"/>
      <c r="F12" s="56"/>
      <c r="G12" s="56" t="s">
        <v>201</v>
      </c>
      <c r="H12" s="56" t="s">
        <v>218</v>
      </c>
    </row>
    <row r="13" spans="2:11" x14ac:dyDescent="0.25">
      <c r="B13" s="55"/>
      <c r="C13" s="55"/>
      <c r="D13" s="56"/>
      <c r="E13" s="56"/>
      <c r="F13" s="56"/>
      <c r="G13" s="56" t="s">
        <v>202</v>
      </c>
      <c r="H13" s="56" t="s">
        <v>219</v>
      </c>
    </row>
    <row r="14" spans="2:11" x14ac:dyDescent="0.25">
      <c r="B14" s="55"/>
      <c r="C14" s="55"/>
      <c r="D14" s="56"/>
      <c r="E14" s="56"/>
      <c r="F14" s="56"/>
      <c r="G14" s="56" t="s">
        <v>203</v>
      </c>
      <c r="H14" s="56" t="s">
        <v>220</v>
      </c>
    </row>
    <row r="15" spans="2:11" x14ac:dyDescent="0.25">
      <c r="B15" s="55"/>
      <c r="C15" s="55"/>
      <c r="D15" s="56"/>
      <c r="E15" s="56"/>
      <c r="F15" s="56"/>
      <c r="G15" s="56" t="s">
        <v>204</v>
      </c>
      <c r="H15" s="56" t="s">
        <v>221</v>
      </c>
    </row>
    <row r="16" spans="2:11" x14ac:dyDescent="0.25">
      <c r="B16" s="55"/>
      <c r="C16" s="55"/>
      <c r="D16" s="56"/>
      <c r="E16" s="56"/>
      <c r="F16" s="56"/>
      <c r="G16" s="56" t="s">
        <v>205</v>
      </c>
      <c r="H16" s="56" t="s">
        <v>222</v>
      </c>
    </row>
    <row r="17" spans="2:8" x14ac:dyDescent="0.25">
      <c r="B17" s="55"/>
      <c r="C17" s="55"/>
      <c r="D17" s="56"/>
      <c r="E17" s="56"/>
      <c r="F17" s="56"/>
      <c r="G17" s="56" t="s">
        <v>206</v>
      </c>
      <c r="H17" s="56" t="s">
        <v>223</v>
      </c>
    </row>
    <row r="18" spans="2:8" x14ac:dyDescent="0.25">
      <c r="B18" s="55"/>
      <c r="C18" s="55"/>
      <c r="D18" s="56"/>
      <c r="E18" s="56"/>
      <c r="F18" s="56"/>
      <c r="G18" s="56" t="s">
        <v>207</v>
      </c>
      <c r="H18" s="56" t="s">
        <v>224</v>
      </c>
    </row>
    <row r="24" spans="2:8" x14ac:dyDescent="0.25">
      <c r="C24" t="s">
        <v>169</v>
      </c>
    </row>
    <row r="25" spans="2:8" x14ac:dyDescent="0.25">
      <c r="C25" t="s">
        <v>226</v>
      </c>
    </row>
    <row r="26" spans="2:8" x14ac:dyDescent="0.25">
      <c r="C26" t="s">
        <v>227</v>
      </c>
    </row>
    <row r="27" spans="2:8" x14ac:dyDescent="0.25">
      <c r="C27" t="s">
        <v>228</v>
      </c>
    </row>
    <row r="28" spans="2:8" x14ac:dyDescent="0.25">
      <c r="C28" t="s">
        <v>229</v>
      </c>
    </row>
    <row r="29" spans="2:8" x14ac:dyDescent="0.25">
      <c r="C29" t="s">
        <v>230</v>
      </c>
    </row>
    <row r="30" spans="2:8" x14ac:dyDescent="0.25">
      <c r="C30" t="s">
        <v>169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2025-09-30T07:28:37Z</cp:lastPrinted>
  <dcterms:created xsi:type="dcterms:W3CDTF">2019-07-16T09:29:46Z</dcterms:created>
  <dcterms:modified xsi:type="dcterms:W3CDTF">2025-09-30T07:32:23Z</dcterms:modified>
</cp:coreProperties>
</file>