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G116" i="1"/>
  <c r="G117" i="1"/>
  <c r="D259" i="1"/>
  <c r="D258" i="1"/>
  <c r="D257" i="1"/>
  <c r="D256" i="1"/>
  <c r="D255" i="1"/>
  <c r="D254" i="1"/>
  <c r="D253" i="1"/>
  <c r="D252" i="1"/>
  <c r="I251" i="1"/>
  <c r="D251" i="1"/>
  <c r="D250" i="1"/>
  <c r="D249" i="1"/>
  <c r="D248" i="1"/>
  <c r="D247" i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I246" i="1"/>
  <c r="G246" i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D246" i="1"/>
  <c r="D244" i="1"/>
  <c r="D243" i="1"/>
  <c r="D242" i="1"/>
  <c r="D240" i="1"/>
  <c r="D239" i="1"/>
  <c r="D238" i="1"/>
  <c r="D237" i="1"/>
  <c r="I236" i="1"/>
  <c r="D236" i="1"/>
  <c r="D235" i="1"/>
  <c r="D234" i="1"/>
  <c r="D233" i="1"/>
  <c r="D232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I231" i="1"/>
  <c r="G231" i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D231" i="1"/>
  <c r="D229" i="1"/>
  <c r="D228" i="1"/>
  <c r="D227" i="1"/>
  <c r="D226" i="1"/>
  <c r="D225" i="1"/>
  <c r="D224" i="1"/>
  <c r="D223" i="1"/>
  <c r="D222" i="1"/>
  <c r="I221" i="1"/>
  <c r="D221" i="1"/>
  <c r="D220" i="1"/>
  <c r="D219" i="1"/>
  <c r="D218" i="1"/>
  <c r="D217" i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I216" i="1"/>
  <c r="G216" i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D216" i="1"/>
  <c r="D214" i="1"/>
  <c r="D213" i="1"/>
  <c r="D212" i="1"/>
  <c r="D211" i="1"/>
  <c r="D210" i="1"/>
  <c r="D209" i="1"/>
  <c r="D208" i="1"/>
  <c r="D207" i="1"/>
  <c r="I206" i="1"/>
  <c r="D206" i="1"/>
  <c r="D205" i="1"/>
  <c r="D204" i="1"/>
  <c r="D203" i="1"/>
  <c r="D202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I201" i="1"/>
  <c r="G201" i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D201" i="1"/>
  <c r="D199" i="1"/>
  <c r="D198" i="1"/>
  <c r="D197" i="1"/>
  <c r="D196" i="1"/>
  <c r="D195" i="1"/>
  <c r="D194" i="1"/>
  <c r="D193" i="1"/>
  <c r="D192" i="1"/>
  <c r="D187" i="1"/>
  <c r="D191" i="1"/>
  <c r="D190" i="1"/>
  <c r="D189" i="1"/>
  <c r="D188" i="1"/>
  <c r="D186" i="1"/>
  <c r="J174" i="1"/>
  <c r="D174" i="1"/>
  <c r="I173" i="1"/>
  <c r="D173" i="1"/>
  <c r="D172" i="1"/>
  <c r="D171" i="1"/>
  <c r="D170" i="1"/>
  <c r="D169" i="1"/>
  <c r="A169" i="1"/>
  <c r="A170" i="1" s="1"/>
  <c r="A171" i="1" s="1"/>
  <c r="A172" i="1" s="1"/>
  <c r="A173" i="1" s="1"/>
  <c r="A174" i="1" s="1"/>
  <c r="J168" i="1"/>
  <c r="I168" i="1"/>
  <c r="G168" i="1"/>
  <c r="G169" i="1" s="1"/>
  <c r="G170" i="1" s="1"/>
  <c r="G171" i="1" s="1"/>
  <c r="G172" i="1" s="1"/>
  <c r="G173" i="1" s="1"/>
  <c r="G174" i="1" s="1"/>
  <c r="D168" i="1"/>
  <c r="J182" i="1"/>
  <c r="I181" i="1"/>
  <c r="D181" i="1"/>
  <c r="D180" i="1"/>
  <c r="D179" i="1"/>
  <c r="D178" i="1"/>
  <c r="D177" i="1"/>
  <c r="A177" i="1"/>
  <c r="A178" i="1" s="1"/>
  <c r="A179" i="1" s="1"/>
  <c r="A180" i="1" s="1"/>
  <c r="A181" i="1" s="1"/>
  <c r="A182" i="1" s="1"/>
  <c r="J176" i="1"/>
  <c r="I176" i="1"/>
  <c r="G176" i="1"/>
  <c r="G177" i="1" s="1"/>
  <c r="G178" i="1" s="1"/>
  <c r="G179" i="1" s="1"/>
  <c r="G180" i="1" s="1"/>
  <c r="G181" i="1" s="1"/>
  <c r="G182" i="1" s="1"/>
  <c r="J166" i="1"/>
  <c r="D166" i="1"/>
  <c r="I165" i="1"/>
  <c r="D165" i="1"/>
  <c r="D164" i="1"/>
  <c r="D163" i="1"/>
  <c r="D162" i="1"/>
  <c r="D161" i="1"/>
  <c r="A161" i="1"/>
  <c r="A162" i="1" s="1"/>
  <c r="A163" i="1" s="1"/>
  <c r="A164" i="1" s="1"/>
  <c r="A165" i="1" s="1"/>
  <c r="A166" i="1" s="1"/>
  <c r="J160" i="1"/>
  <c r="I160" i="1"/>
  <c r="G160" i="1"/>
  <c r="G161" i="1" s="1"/>
  <c r="G162" i="1" s="1"/>
  <c r="G163" i="1" s="1"/>
  <c r="G164" i="1" s="1"/>
  <c r="G165" i="1" s="1"/>
  <c r="G166" i="1" s="1"/>
  <c r="D158" i="1"/>
  <c r="D157" i="1"/>
  <c r="D156" i="1"/>
  <c r="D155" i="1"/>
  <c r="D154" i="1"/>
  <c r="D153" i="1"/>
  <c r="C117" i="1" l="1"/>
  <c r="E117" i="1"/>
  <c r="C81" i="1"/>
  <c r="J92" i="1"/>
  <c r="J91" i="1"/>
  <c r="J90" i="1"/>
  <c r="J89" i="1"/>
  <c r="C67" i="1" l="1"/>
  <c r="I96" i="1"/>
  <c r="D152" i="1" l="1"/>
  <c r="J152" i="1" s="1"/>
  <c r="J158" i="1"/>
  <c r="I157" i="1"/>
  <c r="A153" i="1"/>
  <c r="A154" i="1" s="1"/>
  <c r="A155" i="1" s="1"/>
  <c r="A156" i="1" s="1"/>
  <c r="A157" i="1" s="1"/>
  <c r="A158" i="1" s="1"/>
  <c r="I152" i="1"/>
  <c r="G152" i="1"/>
  <c r="G153" i="1" s="1"/>
  <c r="G154" i="1" s="1"/>
  <c r="G155" i="1" s="1"/>
  <c r="G156" i="1" s="1"/>
  <c r="G157" i="1" s="1"/>
  <c r="G158" i="1" s="1"/>
  <c r="E150" i="1"/>
  <c r="D150" i="1"/>
  <c r="E149" i="1"/>
  <c r="D149" i="1"/>
  <c r="D148" i="1"/>
  <c r="D147" i="1"/>
  <c r="D146" i="1"/>
  <c r="D145" i="1"/>
  <c r="D144" i="1"/>
  <c r="E148" i="1"/>
  <c r="E147" i="1"/>
  <c r="E146" i="1"/>
  <c r="E145" i="1"/>
  <c r="E144" i="1"/>
  <c r="I149" i="1"/>
  <c r="A145" i="1"/>
  <c r="A146" i="1" s="1"/>
  <c r="A147" i="1" s="1"/>
  <c r="A148" i="1" s="1"/>
  <c r="A149" i="1" s="1"/>
  <c r="A150" i="1" s="1"/>
  <c r="I144" i="1"/>
  <c r="G144" i="1"/>
  <c r="G145" i="1" s="1"/>
  <c r="G146" i="1" s="1"/>
  <c r="G147" i="1" s="1"/>
  <c r="G148" i="1" s="1"/>
  <c r="G149" i="1" s="1"/>
  <c r="G150" i="1" s="1"/>
  <c r="I191" i="1"/>
  <c r="I186" i="1"/>
  <c r="D139" i="1"/>
  <c r="F139" i="1" s="1"/>
  <c r="D138" i="1"/>
  <c r="F138" i="1" s="1"/>
  <c r="A139" i="1"/>
  <c r="G138" i="1"/>
  <c r="G139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I125" i="1"/>
  <c r="C116" i="1" l="1"/>
  <c r="E116" i="1"/>
  <c r="E111" i="1"/>
  <c r="E112" i="1"/>
  <c r="G112" i="1"/>
  <c r="C112" i="1"/>
  <c r="C111" i="1"/>
  <c r="F125" i="1"/>
  <c r="G111" i="1" s="1"/>
  <c r="J144" i="1"/>
  <c r="E7" i="1"/>
  <c r="C113" i="1" l="1"/>
  <c r="C118" i="1"/>
  <c r="G113" i="1"/>
  <c r="E113" i="1"/>
  <c r="E118" i="1"/>
  <c r="B263" i="1" l="1"/>
  <c r="C14" i="1" l="1"/>
  <c r="E29" i="1" l="1"/>
  <c r="A187" i="1" l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G186" i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118" i="1" l="1"/>
  <c r="F108" i="1"/>
  <c r="B26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7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G125" i="1"/>
  <c r="J78" i="1"/>
  <c r="J77" i="1"/>
  <c r="J76" i="1"/>
  <c r="J75" i="1"/>
  <c r="D55" i="1"/>
  <c r="C49" i="1"/>
  <c r="E42" i="1"/>
  <c r="E43" i="1" s="1"/>
  <c r="E26" i="1"/>
  <c r="E24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D73" i="1" l="1"/>
  <c r="J69" i="1"/>
  <c r="D71" i="1"/>
  <c r="J80" i="1" l="1"/>
  <c r="C72" i="1" s="1"/>
  <c r="G71" i="1" s="1"/>
  <c r="D65" i="1" s="1"/>
  <c r="D66" i="1" s="1"/>
  <c r="F66" i="1" l="1"/>
  <c r="D72" i="1"/>
  <c r="J68" i="1"/>
  <c r="E71" i="1"/>
  <c r="I68" i="1" l="1"/>
  <c r="I69" i="1" s="1"/>
  <c r="H82" i="1"/>
  <c r="I67" i="1" l="1"/>
  <c r="C69" i="1" s="1"/>
  <c r="D94" i="1"/>
  <c r="D90" i="1"/>
  <c r="D88" i="1"/>
  <c r="D93" i="1"/>
  <c r="D89" i="1"/>
  <c r="J85" i="1"/>
  <c r="D92" i="1"/>
  <c r="J87" i="1"/>
  <c r="J88" i="1" s="1"/>
  <c r="J93" i="1" s="1"/>
  <c r="J94" i="1" s="1"/>
  <c r="C86" i="1" s="1"/>
  <c r="D91" i="1"/>
  <c r="D87" i="1"/>
  <c r="J81" i="1"/>
  <c r="J83" i="1" s="1"/>
  <c r="J86" i="1"/>
  <c r="C85" i="1" s="1"/>
  <c r="D85" i="1" s="1"/>
  <c r="J84" i="1"/>
  <c r="E85" i="1" l="1"/>
  <c r="D86" i="1"/>
  <c r="I82" i="1" s="1"/>
  <c r="I83" i="1" s="1"/>
  <c r="G85" i="1"/>
  <c r="J82" i="1"/>
  <c r="I81" i="1" l="1"/>
  <c r="C83" i="1" s="1"/>
</calcChain>
</file>

<file path=xl/sharedStrings.xml><?xml version="1.0" encoding="utf-8"?>
<sst xmlns="http://schemas.openxmlformats.org/spreadsheetml/2006/main" count="440" uniqueCount="237">
  <si>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</si>
  <si>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</si>
  <si>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</si>
  <si>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</si>
  <si>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</si>
  <si>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</si>
  <si>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</si>
  <si>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</si>
  <si>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</si>
  <si>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</si>
  <si>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</si>
  <si>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</si>
  <si>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</si>
  <si>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</si>
  <si>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</si>
  <si>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</si>
  <si>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</si>
  <si>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</si>
  <si>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</si>
  <si>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</si>
  <si>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</si>
  <si>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</si>
  <si>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</si>
  <si>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</si>
  <si>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</si>
  <si>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</si>
  <si>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</si>
  <si>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</si>
  <si>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</si>
  <si>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</si>
  <si>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</si>
  <si>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</si>
  <si>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</si>
  <si>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</si>
  <si>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</si>
  <si>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</si>
  <si>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</si>
  <si>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</si>
  <si>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</si>
  <si>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</si>
  <si>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</si>
  <si>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</si>
  <si>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</si>
  <si>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</si>
  <si>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</si>
  <si>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</si>
  <si>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</si>
  <si>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</si>
  <si>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</si>
  <si>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</si>
  <si>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</si>
  <si>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</si>
  <si>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</si>
  <si>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</si>
  <si>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</si>
  <si>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</si>
  <si>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</si>
  <si>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</si>
  <si>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</si>
  <si>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</si>
  <si>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</si>
  <si>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</si>
  <si>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</si>
  <si>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</si>
  <si>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</si>
  <si>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</si>
  <si>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</si>
  <si>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</si>
  <si>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</si>
  <si>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</si>
  <si>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</si>
  <si>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</si>
  <si>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</si>
  <si>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</si>
  <si>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</si>
  <si>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</si>
  <si>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</si>
  <si>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</si>
  <si>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</si>
  <si>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</si>
  <si>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</si>
  <si>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</si>
  <si>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</si>
  <si>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</si>
  <si>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</si>
  <si>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</si>
  <si>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</si>
  <si>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</si>
  <si>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</si>
  <si>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</si>
  <si>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</si>
  <si>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</si>
  <si>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</si>
  <si>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</si>
  <si>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</si>
  <si>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</si>
  <si>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</si>
  <si>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</si>
  <si>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</si>
  <si>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</si>
  <si>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</si>
  <si>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</si>
  <si>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</si>
  <si>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</si>
  <si>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</si>
  <si>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</si>
  <si>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</si>
  <si>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</si>
  <si>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</si>
  <si>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</si>
  <si>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</si>
  <si>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</si>
  <si>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</si>
  <si>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</si>
  <si>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</si>
  <si>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</si>
  <si>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</si>
  <si>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</si>
  <si>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</si>
  <si>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</si>
  <si>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</si>
  <si>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</si>
  <si>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</si>
  <si>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</si>
  <si>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</si>
  <si>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</si>
  <si>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</si>
  <si>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</si>
  <si>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</si>
  <si>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</si>
  <si>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</si>
  <si>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</si>
  <si>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</si>
  <si>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</si>
  <si>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</si>
  <si>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</si>
  <si>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</si>
  <si>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</si>
  <si>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</si>
  <si>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</si>
  <si>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</si>
  <si>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</si>
  <si>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</si>
  <si>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</si>
  <si>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</si>
  <si>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</si>
  <si>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</si>
  <si>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</si>
  <si>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</si>
  <si>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</si>
  <si>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</si>
  <si>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</si>
  <si>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</si>
  <si>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</si>
  <si>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</si>
  <si>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</si>
  <si>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</si>
  <si>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</si>
  <si>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</si>
  <si>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</si>
  <si>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</si>
  <si>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</si>
  <si>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</si>
  <si>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</si>
  <si>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</si>
  <si>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</si>
  <si>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</si>
  <si>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</si>
  <si>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</si>
  <si>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</si>
  <si>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</si>
  <si>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</si>
  <si>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 xml:space="preserve">M/s. Bhaveshwar Infratech
</t>
  </si>
  <si>
    <t>Bhaveshwar Aqua 2</t>
  </si>
  <si>
    <t>Plot No.</t>
  </si>
  <si>
    <t>Kalamboli</t>
  </si>
  <si>
    <t>Raigad</t>
  </si>
  <si>
    <t>Navi Mumbai</t>
  </si>
  <si>
    <t>Panvel</t>
  </si>
  <si>
    <t>Kalamboli Pond (Visharjan Talav)</t>
  </si>
  <si>
    <t>Shiv Mandir Rd</t>
  </si>
  <si>
    <t>3.6KM from Mansarovar Railway Station</t>
  </si>
  <si>
    <t>Sewage Treatment Plant</t>
  </si>
  <si>
    <t xml:space="preserve">Open Plot </t>
  </si>
  <si>
    <t>https://goo.gl/maps/Cp1pegjsj7VJh8iv9</t>
  </si>
  <si>
    <t>Panvel Muncipal Corporation</t>
  </si>
  <si>
    <t>As per RERA - 31/12/2026</t>
  </si>
  <si>
    <t>Shop</t>
  </si>
  <si>
    <t xml:space="preserve">1st Floor For Commercial </t>
  </si>
  <si>
    <t>Office</t>
  </si>
  <si>
    <t>2BHK</t>
  </si>
  <si>
    <t>1BHK</t>
  </si>
  <si>
    <t>B Wing</t>
  </si>
  <si>
    <t>A Wing</t>
  </si>
  <si>
    <t>Ground Floor For Parking</t>
  </si>
  <si>
    <t xml:space="preserve">2nd Floor </t>
  </si>
  <si>
    <t>We considered Gross carpet area = Net carpet + Chajja Area.</t>
  </si>
  <si>
    <t>P52000045696</t>
  </si>
  <si>
    <t>Wing A</t>
  </si>
  <si>
    <t>Wing B</t>
  </si>
  <si>
    <t xml:space="preserve">Wing A &amp; B
</t>
  </si>
  <si>
    <t>C - 7/2, Sector - 12</t>
  </si>
  <si>
    <t>Ground Floor For Commercial</t>
  </si>
  <si>
    <t>Water, Electricity, Development Charges</t>
  </si>
  <si>
    <t>Approved Plans, CC, Cost Sheet</t>
  </si>
  <si>
    <t>Cementry of Hindu, Muslim, &amp; Christian Religion is located in 150 to 200m from project.</t>
  </si>
  <si>
    <t>1st Floor for Residential</t>
  </si>
  <si>
    <t>2nd Floor for Residential</t>
  </si>
  <si>
    <t>On East side there is sewage tratment plant
There is a road on the west side of the project, and a creek is next to the other side of the road.
On north side there is kalamboli pond 
On south side there is Nala</t>
  </si>
  <si>
    <t>Builder Saleable area</t>
  </si>
  <si>
    <t>22/09/2022 - flat rate change - 6500 to 6650 - by palas sir</t>
  </si>
  <si>
    <t>Wing A = G + 1st to 15th Floor</t>
  </si>
  <si>
    <t>Wing B = G + 1st to 15th Floor</t>
  </si>
  <si>
    <t>Shiv Mandir Road</t>
  </si>
  <si>
    <t>On Site, we meet Miss. Bhavna (9892638736)</t>
  </si>
  <si>
    <t>PMP/NRV/16351/JK2847/2022</t>
  </si>
  <si>
    <t>PMC/TP/Kalamboli/12/C-7/2/21-22/16351/2847/2022</t>
  </si>
  <si>
    <t xml:space="preserve">3rd to 6th Floor </t>
  </si>
  <si>
    <t>7th &amp; 9th Floor (Part Refuge Area)</t>
  </si>
  <si>
    <t>Refuge Area</t>
  </si>
  <si>
    <t>11th Floor (Part Refuge Area &amp; Terrace Area)</t>
  </si>
  <si>
    <t>Terrace Area</t>
  </si>
  <si>
    <t xml:space="preserve">8th &amp; 10th Floor </t>
  </si>
  <si>
    <t>Wing - A = G + 1st to 11th Floor
Wing - B = G + 1st to 10th Floor</t>
  </si>
  <si>
    <t>Wing A = G + 1st to 11th Floor
Wing B = G + 1st to 10th Floor</t>
  </si>
  <si>
    <t>We have updated revised approved plans &amp; CC (on 15/12/2022).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</si>
  <si>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</si>
  <si>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Site Person - Contact Details (Name &amp; Contact No.)</t>
  </si>
  <si>
    <t>Mr. Vinod 9137971199</t>
  </si>
  <si>
    <t>Latitude &amp; Longitude</t>
  </si>
  <si>
    <t>19.0347433,73.0951646</t>
  </si>
  <si>
    <t>Shruti Tathare</t>
  </si>
  <si>
    <t>Please provide revised approved plans &amp; CC.</t>
  </si>
  <si>
    <t>2 Buildings</t>
  </si>
  <si>
    <t>Mayur Ranvare</t>
  </si>
  <si>
    <t>Flats - 204, Shops -12, Offices -2</t>
  </si>
  <si>
    <t xml:space="preserve">Wing A = Construction work is the same as last visit. (dtd.06/06/2025) (Waiting for revised
CC)
Wing B = Construction work is the same as last visit (dtd.08/03/2025), but work is in process at the time of the visit. (Slow 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</si>
</sst>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" fontId="7" fillId="0" borderId="0" xfId="0" applyNumberFormat="1" applyFont="1" applyAlignment="1">
      <alignment horizontal="center" vertical="center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297516</xdr:colOff>
      <xdr:row>353</xdr:row>
      <xdr:rowOff>132415</xdr:rowOff>
    </xdr:from>
    <xdr:to>
      <xdr:col>6</xdr:col>
      <xdr:colOff>403412</xdr:colOff>
      <xdr:row>370</xdr:row>
      <xdr:rowOff>100804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9516" y="75346297"/>
          <a:ext cx="4263278" cy="339738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9</xdr:col>
      <xdr:colOff>157175</xdr:colOff>
      <xdr:row>288</xdr:row>
      <xdr:rowOff>143728</xdr:rowOff>
    </xdr:from>
    <xdr:to>
      <xdr:col>16</xdr:col>
      <xdr:colOff>528650</xdr:colOff>
      <xdr:row>326</xdr:row>
      <xdr:rowOff>1520</xdr:rowOff>
    </xdr:to>
    <xdr:grpSp>
      <xdr:nvGrpSpPr>
        <xdr:cNvPr id="6" name="Group 5"/>
        <xdr:cNvGrpSpPr/>
      </xdr:nvGrpSpPr>
      <xdr:grpSpPr>
        <a:xfrm>
          <a:off x="7843850" y="61589503"/>
          <a:ext cx="5610225" cy="7449217"/>
          <a:chOff x="400050" y="61218832"/>
          <a:chExt cx="5604427" cy="7404491"/>
        </a:xfrm>
      </xdr:grpSpPr>
      <xdr:grpSp>
        <xdr:nvGrpSpPr>
          <xdr:cNvPr id="5" name="Group 4"/>
          <xdr:cNvGrpSpPr/>
        </xdr:nvGrpSpPr>
        <xdr:grpSpPr>
          <a:xfrm>
            <a:off x="400050" y="61229184"/>
            <a:ext cx="5604427" cy="7394139"/>
            <a:chOff x="400050" y="60940949"/>
            <a:chExt cx="5610225" cy="7438865"/>
          </a:xfrm>
        </xdr:grpSpPr>
        <xdr:pic>
          <xdr:nvPicPr>
            <xdr:cNvPr id="37" name="Picture 36" descr="https://vsjcllp.vsjadon.com/upload/insp-23635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99588" y="65964299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36357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05050" y="60950474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36357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00525" y="60940949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36357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" y="63455549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3635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0050" y="65960624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36357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" y="60950474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0" name="Picture 69" descr="https://vsjcllp.vsjadon.com/upload/insp-236357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05050" y="63455549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" name="Picture 70" descr="https://vsjcllp.vsjadon.com/upload/insp-236357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00525" y="63455549"/>
              <a:ext cx="1809750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https://vsjcllp.vsjadon.com/upload/insp-236357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86000" y="65960624"/>
              <a:ext cx="1842753" cy="241551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3" name="TextBox 110">
            <a:extLst>
              <a:ext uri="{FF2B5EF4-FFF2-40B4-BE49-F238E27FC236}">
                <a16:creationId xmlns:a16="http://schemas.microsoft.com/office/drawing/2014/main" xmlns="" id="{CA49D363-A842-477F-A3C4-3F85F127D4E4}"/>
              </a:ext>
            </a:extLst>
          </xdr:cNvPr>
          <xdr:cNvSpPr txBox="1"/>
        </xdr:nvSpPr>
        <xdr:spPr>
          <a:xfrm>
            <a:off x="1667289" y="61245336"/>
            <a:ext cx="401934" cy="4348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A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4" name="TextBox 110">
            <a:extLst>
              <a:ext uri="{FF2B5EF4-FFF2-40B4-BE49-F238E27FC236}">
                <a16:creationId xmlns:a16="http://schemas.microsoft.com/office/drawing/2014/main" xmlns="" id="{CA49D363-A842-477F-A3C4-3F85F127D4E4}"/>
              </a:ext>
            </a:extLst>
          </xdr:cNvPr>
          <xdr:cNvSpPr txBox="1"/>
        </xdr:nvSpPr>
        <xdr:spPr>
          <a:xfrm>
            <a:off x="5058189" y="61223801"/>
            <a:ext cx="401934" cy="4348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B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5" name="TextBox 110">
            <a:extLst>
              <a:ext uri="{FF2B5EF4-FFF2-40B4-BE49-F238E27FC236}">
                <a16:creationId xmlns:a16="http://schemas.microsoft.com/office/drawing/2014/main" xmlns="" id="{CA49D363-A842-477F-A3C4-3F85F127D4E4}"/>
              </a:ext>
            </a:extLst>
          </xdr:cNvPr>
          <xdr:cNvSpPr txBox="1"/>
        </xdr:nvSpPr>
        <xdr:spPr>
          <a:xfrm>
            <a:off x="2585002" y="61218832"/>
            <a:ext cx="401934" cy="4348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A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6" name="TextBox 110">
            <a:extLst>
              <a:ext uri="{FF2B5EF4-FFF2-40B4-BE49-F238E27FC236}">
                <a16:creationId xmlns:a16="http://schemas.microsoft.com/office/drawing/2014/main" xmlns="" id="{CA49D363-A842-477F-A3C4-3F85F127D4E4}"/>
              </a:ext>
            </a:extLst>
          </xdr:cNvPr>
          <xdr:cNvSpPr txBox="1"/>
        </xdr:nvSpPr>
        <xdr:spPr>
          <a:xfrm>
            <a:off x="433181" y="63791409"/>
            <a:ext cx="401934" cy="43480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B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568578</xdr:colOff>
      <xdr:row>331</xdr:row>
      <xdr:rowOff>116444</xdr:rowOff>
    </xdr:from>
    <xdr:to>
      <xdr:col>7</xdr:col>
      <xdr:colOff>212426</xdr:colOff>
      <xdr:row>353</xdr:row>
      <xdr:rowOff>50184</xdr:rowOff>
    </xdr:to>
    <xdr:grpSp>
      <xdr:nvGrpSpPr>
        <xdr:cNvPr id="19" name="Group 18"/>
        <xdr:cNvGrpSpPr/>
      </xdr:nvGrpSpPr>
      <xdr:grpSpPr>
        <a:xfrm>
          <a:off x="568578" y="70153769"/>
          <a:ext cx="5339798" cy="4334290"/>
          <a:chOff x="400050" y="69140294"/>
          <a:chExt cx="5819396" cy="4900955"/>
        </a:xfrm>
      </xdr:grpSpPr>
      <xdr:grpSp>
        <xdr:nvGrpSpPr>
          <xdr:cNvPr id="20" name="Group 19"/>
          <xdr:cNvGrpSpPr/>
        </xdr:nvGrpSpPr>
        <xdr:grpSpPr>
          <a:xfrm>
            <a:off x="400050" y="69140294"/>
            <a:ext cx="5819396" cy="4900955"/>
            <a:chOff x="400050" y="69140294"/>
            <a:chExt cx="5819396" cy="4900955"/>
          </a:xfrm>
        </xdr:grpSpPr>
        <xdr:pic>
          <xdr:nvPicPr>
            <xdr:cNvPr id="23" name="Picture 22"/>
            <xdr:cNvPicPr>
              <a:picLocks noChangeAspect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00050" y="69140294"/>
              <a:ext cx="5819396" cy="4900955"/>
            </a:xfrm>
            <a:prstGeom prst="rect">
              <a:avLst/>
            </a:prstGeom>
          </xdr:spPr>
        </xdr:pic>
        <xdr:sp macro="" textlink="">
          <xdr:nvSpPr>
            <xdr:cNvPr id="24" name="Rectangle 23"/>
            <xdr:cNvSpPr/>
          </xdr:nvSpPr>
          <xdr:spPr>
            <a:xfrm>
              <a:off x="2281518" y="72732900"/>
              <a:ext cx="1051526" cy="399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2000">
                  <a:solidFill>
                    <a:srgbClr val="FFFF00"/>
                  </a:solidFill>
                </a:rPr>
                <a:t>Nala</a:t>
              </a:r>
            </a:p>
          </xdr:txBody>
        </xdr:sp>
        <xdr:sp macro="" textlink="">
          <xdr:nvSpPr>
            <xdr:cNvPr id="25" name="Rectangle 24"/>
            <xdr:cNvSpPr/>
          </xdr:nvSpPr>
          <xdr:spPr>
            <a:xfrm>
              <a:off x="4406871" y="71597177"/>
              <a:ext cx="1739936" cy="628881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400">
                  <a:solidFill>
                    <a:srgbClr val="FFFF00"/>
                  </a:solidFill>
                </a:rPr>
                <a:t>Sewage treatment plant</a:t>
              </a:r>
            </a:p>
          </xdr:txBody>
        </xdr:sp>
        <xdr:cxnSp macro="">
          <xdr:nvCxnSpPr>
            <xdr:cNvPr id="26" name="Straight Arrow Connector 25"/>
            <xdr:cNvCxnSpPr/>
          </xdr:nvCxnSpPr>
          <xdr:spPr>
            <a:xfrm flipV="1">
              <a:off x="942975" y="72329488"/>
              <a:ext cx="257175" cy="614644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cxnSp macro="">
          <xdr:nvCxnSpPr>
            <xdr:cNvPr id="27" name="Straight Arrow Connector 26"/>
            <xdr:cNvCxnSpPr/>
          </xdr:nvCxnSpPr>
          <xdr:spPr>
            <a:xfrm>
              <a:off x="2666440" y="73126787"/>
              <a:ext cx="180975" cy="547967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cxnSp macro="">
          <xdr:nvCxnSpPr>
            <xdr:cNvPr id="28" name="Straight Arrow Connector 27"/>
            <xdr:cNvCxnSpPr/>
          </xdr:nvCxnSpPr>
          <xdr:spPr>
            <a:xfrm flipH="1">
              <a:off x="4134973" y="72319963"/>
              <a:ext cx="747713" cy="239806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sp macro="" textlink="">
          <xdr:nvSpPr>
            <xdr:cNvPr id="29" name="Rectangle 28"/>
            <xdr:cNvSpPr/>
          </xdr:nvSpPr>
          <xdr:spPr>
            <a:xfrm>
              <a:off x="3228414" y="70620591"/>
              <a:ext cx="1894062" cy="361452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1400">
                  <a:solidFill>
                    <a:srgbClr val="FFFF00"/>
                  </a:solidFill>
                </a:rPr>
                <a:t>All</a:t>
              </a:r>
              <a:r>
                <a:rPr lang="en-IN" sz="1400" baseline="0">
                  <a:solidFill>
                    <a:srgbClr val="FFFF00"/>
                  </a:solidFill>
                </a:rPr>
                <a:t> Religion Cementry </a:t>
              </a:r>
              <a:endParaRPr lang="en-IN" sz="1400">
                <a:solidFill>
                  <a:srgbClr val="FFFF00"/>
                </a:solidFill>
              </a:endParaRPr>
            </a:p>
          </xdr:txBody>
        </xdr:sp>
        <xdr:cxnSp macro="">
          <xdr:nvCxnSpPr>
            <xdr:cNvPr id="30" name="Straight Arrow Connector 29"/>
            <xdr:cNvCxnSpPr/>
          </xdr:nvCxnSpPr>
          <xdr:spPr>
            <a:xfrm flipH="1" flipV="1">
              <a:off x="3549393" y="70102785"/>
              <a:ext cx="231308" cy="490049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cxnSp macro="">
          <xdr:nvCxnSpPr>
            <xdr:cNvPr id="31" name="Straight Arrow Connector 30"/>
            <xdr:cNvCxnSpPr/>
          </xdr:nvCxnSpPr>
          <xdr:spPr>
            <a:xfrm flipV="1">
              <a:off x="3957490" y="70165605"/>
              <a:ext cx="79681" cy="430679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cxnSp macro="">
          <xdr:nvCxnSpPr>
            <xdr:cNvPr id="32" name="Straight Arrow Connector 31"/>
            <xdr:cNvCxnSpPr/>
          </xdr:nvCxnSpPr>
          <xdr:spPr>
            <a:xfrm flipV="1">
              <a:off x="4276330" y="70002276"/>
              <a:ext cx="199841" cy="587517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3">
              <a:schemeClr val="accent4"/>
            </a:lnRef>
            <a:fillRef idx="0">
              <a:schemeClr val="accent4"/>
            </a:fillRef>
            <a:effectRef idx="2">
              <a:schemeClr val="accent4"/>
            </a:effectRef>
            <a:fontRef idx="minor">
              <a:schemeClr val="tx1"/>
            </a:fontRef>
          </xdr:style>
        </xdr:cxnSp>
        <xdr:sp macro="" textlink="">
          <xdr:nvSpPr>
            <xdr:cNvPr id="33" name="Rectangle 32"/>
            <xdr:cNvSpPr/>
          </xdr:nvSpPr>
          <xdr:spPr>
            <a:xfrm>
              <a:off x="762001" y="72934606"/>
              <a:ext cx="1015210" cy="399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2000">
                  <a:solidFill>
                    <a:srgbClr val="FFFF00"/>
                  </a:solidFill>
                </a:rPr>
                <a:t>Creek</a:t>
              </a:r>
            </a:p>
          </xdr:txBody>
        </xdr:sp>
      </xdr:grpSp>
      <xdr:sp macro="" textlink="">
        <xdr:nvSpPr>
          <xdr:cNvPr id="21" name="Rectangle 20"/>
          <xdr:cNvSpPr/>
        </xdr:nvSpPr>
        <xdr:spPr>
          <a:xfrm>
            <a:off x="1961029" y="72063672"/>
            <a:ext cx="851647" cy="70597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Rectangle 21"/>
          <xdr:cNvSpPr/>
        </xdr:nvSpPr>
        <xdr:spPr>
          <a:xfrm>
            <a:off x="1669675" y="71616795"/>
            <a:ext cx="1782162" cy="347382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>
                <a:solidFill>
                  <a:srgbClr val="FFFF00"/>
                </a:solidFill>
              </a:rPr>
              <a:t>Bhaveshwar Aqua 2</a:t>
            </a:r>
          </a:p>
        </xdr:txBody>
      </xdr:sp>
    </xdr:grpSp>
    <xdr:clientData/>
  </xdr:twoCellAnchor>
  <xdr:twoCellAnchor>
    <xdr:from>
      <xdr:col>0</xdr:col>
      <xdr:colOff>295275</xdr:colOff>
      <xdr:row>287</xdr:row>
      <xdr:rowOff>57150</xdr:rowOff>
    </xdr:from>
    <xdr:to>
      <xdr:col>7</xdr:col>
      <xdr:colOff>482144</xdr:colOff>
      <xdr:row>329</xdr:row>
      <xdr:rowOff>83550</xdr:rowOff>
    </xdr:to>
    <xdr:grpSp>
      <xdr:nvGrpSpPr>
        <xdr:cNvPr id="2" name="Group 1"/>
        <xdr:cNvGrpSpPr/>
      </xdr:nvGrpSpPr>
      <xdr:grpSpPr>
        <a:xfrm>
          <a:off x="295275" y="61302900"/>
          <a:ext cx="5882819" cy="8417925"/>
          <a:chOff x="295275" y="61521975"/>
          <a:chExt cx="5882819" cy="8417925"/>
        </a:xfrm>
      </xdr:grpSpPr>
      <xdr:pic>
        <xdr:nvPicPr>
          <xdr:cNvPr id="34" name="Picture 33" descr="https://vsjcllp.vsjadon.com/upload/insp-24658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14800" y="67779900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58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299" y="61521975"/>
            <a:ext cx="2680113" cy="3562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58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57225" y="67779900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581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0" y="677799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581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5275" y="65179575"/>
            <a:ext cx="1891844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6581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0" y="65179575"/>
            <a:ext cx="1891844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6581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074" y="61521975"/>
            <a:ext cx="2680113" cy="3562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6581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0" y="65179575"/>
            <a:ext cx="1891844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523874</xdr:colOff>
      <xdr:row>287</xdr:row>
      <xdr:rowOff>95250</xdr:rowOff>
    </xdr:from>
    <xdr:to>
      <xdr:col>3</xdr:col>
      <xdr:colOff>600074</xdr:colOff>
      <xdr:row>289</xdr:row>
      <xdr:rowOff>132635</xdr:rowOff>
    </xdr:to>
    <xdr:sp macro="" textlink="">
      <xdr:nvSpPr>
        <xdr:cNvPr id="46" name="TextBox 110">
          <a:extLst>
            <a:ext uri="{FF2B5EF4-FFF2-40B4-BE49-F238E27FC236}">
              <a16:creationId xmlns:a16="http://schemas.microsoft.com/office/drawing/2014/main" xmlns="" id="{CA49D363-A842-477F-A3C4-3F85F127D4E4}"/>
            </a:ext>
          </a:extLst>
        </xdr:cNvPr>
        <xdr:cNvSpPr txBox="1"/>
      </xdr:nvSpPr>
      <xdr:spPr>
        <a:xfrm>
          <a:off x="2085974" y="61560075"/>
          <a:ext cx="923925" cy="43743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Wing</a:t>
          </a:r>
          <a:r>
            <a:rPr lang="en-US" sz="1800" b="1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ysClr val="windowText" lastClr="000000"/>
              </a:solidFill>
            </a:rPr>
            <a:t>A</a:t>
          </a:r>
          <a:endParaRPr lang="en-IN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47625</xdr:colOff>
      <xdr:row>287</xdr:row>
      <xdr:rowOff>95250</xdr:rowOff>
    </xdr:from>
    <xdr:to>
      <xdr:col>6</xdr:col>
      <xdr:colOff>257175</xdr:colOff>
      <xdr:row>289</xdr:row>
      <xdr:rowOff>132635</xdr:rowOff>
    </xdr:to>
    <xdr:sp macro="" textlink="">
      <xdr:nvSpPr>
        <xdr:cNvPr id="47" name="TextBox 110">
          <a:extLst>
            <a:ext uri="{FF2B5EF4-FFF2-40B4-BE49-F238E27FC236}">
              <a16:creationId xmlns:a16="http://schemas.microsoft.com/office/drawing/2014/main" xmlns="" id="{CA49D363-A842-477F-A3C4-3F85F127D4E4}"/>
            </a:ext>
          </a:extLst>
        </xdr:cNvPr>
        <xdr:cNvSpPr txBox="1"/>
      </xdr:nvSpPr>
      <xdr:spPr>
        <a:xfrm>
          <a:off x="4181475" y="61560075"/>
          <a:ext cx="990600" cy="43743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>
              <a:solidFill>
                <a:sysClr val="windowText" lastClr="000000"/>
              </a:solidFill>
            </a:rPr>
            <a:t>Wing</a:t>
          </a:r>
          <a:r>
            <a:rPr lang="en-US" sz="1800" b="1" baseline="0">
              <a:solidFill>
                <a:sysClr val="windowText" lastClr="000000"/>
              </a:solidFill>
            </a:rPr>
            <a:t> B</a:t>
          </a:r>
          <a:endParaRPr lang="en-IN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191747</xdr:colOff>
      <xdr:row>42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9604688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42</xdr:row>
      <xdr:rowOff>66000</xdr:rowOff>
    </xdr:from>
    <xdr:to>
      <xdr:col>9</xdr:col>
      <xdr:colOff>191747</xdr:colOff>
      <xdr:row>70</xdr:row>
      <xdr:rowOff>132000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8078206"/>
          <a:ext cx="9604688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p1pegjsj7VJh8iv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31"/>
  <sheetViews>
    <sheetView tabSelected="1" view="pageBreakPreview" topLeftCell="A270" zoomScaleNormal="100" zoomScaleSheetLayoutView="100" zoomScalePageLayoutView="85" workbookViewId="0">
      <selection activeCell="K276" sqref="K276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43" t="s">
        <v>226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121" t="s">
        <v>1</v>
      </c>
      <c r="B3" s="121"/>
      <c r="C3" s="121"/>
      <c r="D3" s="121"/>
      <c r="E3" s="144" t="str">
        <f ca="1">TEXT(TODAY(),"DD/MM/YYYY")</f>
        <v>09/09/2025</v>
      </c>
      <c r="F3" s="121"/>
      <c r="G3" s="121"/>
      <c r="H3" s="121"/>
    </row>
    <row r="4" spans="1:8" ht="15" customHeight="1" x14ac:dyDescent="0.25">
      <c r="A4" s="121" t="s">
        <v>2</v>
      </c>
      <c r="B4" s="121"/>
      <c r="C4" s="121"/>
      <c r="D4" s="121"/>
      <c r="E4" s="121" t="s">
        <v>171</v>
      </c>
      <c r="F4" s="121"/>
      <c r="G4" s="121"/>
      <c r="H4" s="121"/>
    </row>
    <row r="5" spans="1:8" x14ac:dyDescent="0.25">
      <c r="A5" s="121" t="s">
        <v>3</v>
      </c>
      <c r="B5" s="121"/>
      <c r="C5" s="121"/>
      <c r="D5" s="121"/>
      <c r="E5" s="144">
        <v>45908</v>
      </c>
      <c r="F5" s="121"/>
      <c r="G5" s="121"/>
      <c r="H5" s="121"/>
    </row>
    <row r="6" spans="1:8" ht="16.5" customHeight="1" x14ac:dyDescent="0.25">
      <c r="A6" s="121" t="s">
        <v>4</v>
      </c>
      <c r="B6" s="121"/>
      <c r="C6" s="121"/>
      <c r="D6" s="121"/>
      <c r="E6" s="92" t="s">
        <v>172</v>
      </c>
      <c r="F6" s="121"/>
      <c r="G6" s="121"/>
      <c r="H6" s="121"/>
    </row>
    <row r="7" spans="1:8" ht="15" customHeight="1" x14ac:dyDescent="0.25">
      <c r="A7" s="121" t="s">
        <v>5</v>
      </c>
      <c r="B7" s="121"/>
      <c r="C7" s="121"/>
      <c r="D7" s="121"/>
      <c r="E7" s="121" t="str">
        <f>E6</f>
        <v xml:space="preserve">M/s. Bhaveshwar Infratech
</v>
      </c>
      <c r="F7" s="121"/>
      <c r="G7" s="121"/>
      <c r="H7" s="121"/>
    </row>
    <row r="8" spans="1:8" x14ac:dyDescent="0.25">
      <c r="A8" s="121" t="s">
        <v>6</v>
      </c>
      <c r="B8" s="121"/>
      <c r="C8" s="121"/>
      <c r="D8" s="121"/>
      <c r="E8" s="99" t="s">
        <v>173</v>
      </c>
      <c r="F8" s="99"/>
      <c r="G8" s="99"/>
      <c r="H8" s="99"/>
    </row>
    <row r="9" spans="1:8" x14ac:dyDescent="0.25">
      <c r="A9" s="121" t="s">
        <v>123</v>
      </c>
      <c r="B9" s="121"/>
      <c r="C9" s="121"/>
      <c r="D9" s="121"/>
      <c r="E9" s="121">
        <v>9867061436</v>
      </c>
      <c r="F9" s="121"/>
      <c r="G9" s="121"/>
      <c r="H9" s="121"/>
    </row>
    <row r="10" spans="1:8" hidden="1" x14ac:dyDescent="0.25">
      <c r="A10" s="121" t="s">
        <v>227</v>
      </c>
      <c r="B10" s="121"/>
      <c r="C10" s="121"/>
      <c r="D10" s="121"/>
      <c r="E10" s="121" t="s">
        <v>228</v>
      </c>
      <c r="F10" s="121"/>
      <c r="G10" s="121"/>
      <c r="H10" s="121"/>
    </row>
    <row r="11" spans="1:8" x14ac:dyDescent="0.25">
      <c r="A11" s="121" t="s">
        <v>7</v>
      </c>
      <c r="B11" s="121"/>
      <c r="C11" s="121"/>
      <c r="D11" s="121"/>
      <c r="E11" s="92" t="s">
        <v>200</v>
      </c>
      <c r="F11" s="121"/>
      <c r="G11" s="121"/>
      <c r="H11" s="121"/>
    </row>
    <row r="12" spans="1:8" x14ac:dyDescent="0.25">
      <c r="A12" s="69" t="s">
        <v>8</v>
      </c>
      <c r="B12" s="69"/>
      <c r="C12" s="69"/>
      <c r="D12" s="69"/>
      <c r="E12" s="92" t="s">
        <v>204</v>
      </c>
      <c r="F12" s="92"/>
      <c r="G12" s="92"/>
      <c r="H12" s="92"/>
    </row>
    <row r="13" spans="1:8" x14ac:dyDescent="0.25">
      <c r="A13" s="121" t="s">
        <v>9</v>
      </c>
      <c r="B13" s="121"/>
      <c r="C13" s="121"/>
      <c r="D13" s="121"/>
      <c r="E13" s="92" t="s">
        <v>197</v>
      </c>
      <c r="F13" s="121"/>
      <c r="G13" s="121"/>
      <c r="H13" s="121"/>
    </row>
    <row r="14" spans="1:8" ht="48.6" customHeight="1" x14ac:dyDescent="0.25">
      <c r="A14" s="92" t="s">
        <v>10</v>
      </c>
      <c r="B14" s="92"/>
      <c r="C14" s="9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Bhaveshwar Aqua 2, Plot No..C - 7/2, Sector - 12, near Kalamboli Pond (Visharjan Talav), Shiv Mandir Road, Kalamboli, Kalamboli, Navi Mumbai, Panvel, Raigad - 410206.</v>
      </c>
      <c r="D14" s="92"/>
      <c r="E14" s="92"/>
      <c r="F14" s="92"/>
      <c r="G14" s="92"/>
      <c r="H14" s="92"/>
    </row>
    <row r="15" spans="1:8" x14ac:dyDescent="0.25">
      <c r="A15" s="92" t="s">
        <v>174</v>
      </c>
      <c r="B15" s="92"/>
      <c r="C15" s="92" t="s">
        <v>201</v>
      </c>
      <c r="D15" s="92"/>
      <c r="E15" s="92"/>
      <c r="F15" s="92"/>
      <c r="G15" s="92"/>
      <c r="H15" s="92"/>
    </row>
    <row r="16" spans="1:8" ht="15.75" customHeight="1" x14ac:dyDescent="0.25">
      <c r="A16" s="177" t="s">
        <v>168</v>
      </c>
      <c r="B16" s="178"/>
      <c r="C16" s="177" t="s">
        <v>175</v>
      </c>
      <c r="D16" s="179"/>
      <c r="E16" s="179"/>
      <c r="F16" s="179"/>
      <c r="G16" s="179"/>
      <c r="H16" s="178"/>
    </row>
    <row r="17" spans="1:8" ht="15.75" customHeight="1" x14ac:dyDescent="0.25">
      <c r="A17" s="92" t="s">
        <v>11</v>
      </c>
      <c r="B17" s="92"/>
      <c r="C17" s="121" t="s">
        <v>213</v>
      </c>
      <c r="D17" s="121"/>
      <c r="E17" s="92" t="s">
        <v>169</v>
      </c>
      <c r="F17" s="92"/>
      <c r="G17" s="92" t="s">
        <v>175</v>
      </c>
      <c r="H17" s="92"/>
    </row>
    <row r="18" spans="1:8" x14ac:dyDescent="0.25">
      <c r="A18" s="121" t="s">
        <v>13</v>
      </c>
      <c r="B18" s="121"/>
      <c r="C18" s="92" t="s">
        <v>177</v>
      </c>
      <c r="D18" s="92"/>
      <c r="E18" s="92" t="s">
        <v>12</v>
      </c>
      <c r="F18" s="92"/>
      <c r="G18" s="145" t="s">
        <v>176</v>
      </c>
      <c r="H18" s="145"/>
    </row>
    <row r="19" spans="1:8" x14ac:dyDescent="0.25">
      <c r="A19" s="121" t="s">
        <v>74</v>
      </c>
      <c r="B19" s="121"/>
      <c r="C19" s="92" t="s">
        <v>178</v>
      </c>
      <c r="D19" s="92"/>
      <c r="E19" s="92" t="s">
        <v>14</v>
      </c>
      <c r="F19" s="92"/>
      <c r="G19" s="92">
        <v>410206</v>
      </c>
      <c r="H19" s="92"/>
    </row>
    <row r="20" spans="1:8" ht="32.25" customHeight="1" x14ac:dyDescent="0.25">
      <c r="A20" s="121" t="s">
        <v>124</v>
      </c>
      <c r="B20" s="121"/>
      <c r="C20" s="92" t="s">
        <v>179</v>
      </c>
      <c r="D20" s="92"/>
      <c r="E20" s="92" t="s">
        <v>15</v>
      </c>
      <c r="F20" s="92"/>
      <c r="G20" s="92" t="s">
        <v>181</v>
      </c>
      <c r="H20" s="92"/>
    </row>
    <row r="21" spans="1:8" ht="15" customHeight="1" x14ac:dyDescent="0.25">
      <c r="A21" s="92" t="s">
        <v>77</v>
      </c>
      <c r="B21" s="92"/>
      <c r="C21" s="92"/>
      <c r="D21" s="92"/>
      <c r="E21" s="121" t="s">
        <v>16</v>
      </c>
      <c r="F21" s="121"/>
      <c r="G21" s="121"/>
      <c r="H21" s="121"/>
    </row>
    <row r="22" spans="1:8" ht="18.75" customHeight="1" x14ac:dyDescent="0.25">
      <c r="A22" s="92"/>
      <c r="B22" s="92"/>
      <c r="C22" s="92"/>
      <c r="D22" s="92"/>
      <c r="E22" s="121"/>
      <c r="F22" s="121"/>
      <c r="G22" s="121"/>
      <c r="H22" s="121"/>
    </row>
    <row r="23" spans="1:8" ht="15" customHeight="1" x14ac:dyDescent="0.25">
      <c r="A23" s="81" t="s">
        <v>17</v>
      </c>
      <c r="B23" s="81"/>
      <c r="C23" s="81"/>
      <c r="D23" s="81"/>
      <c r="E23" s="92" t="s">
        <v>18</v>
      </c>
      <c r="F23" s="92"/>
      <c r="G23" s="92"/>
      <c r="H23" s="92"/>
    </row>
    <row r="24" spans="1:8" ht="15" customHeight="1" x14ac:dyDescent="0.25">
      <c r="A24" s="69" t="s">
        <v>19</v>
      </c>
      <c r="B24" s="69"/>
      <c r="C24" s="69"/>
      <c r="D24" s="69"/>
      <c r="E24" s="92" t="str">
        <f>IF(AND(G18="Mumbai"),"Upper Class","Middle Class")</f>
        <v>Middle Class</v>
      </c>
      <c r="F24" s="92"/>
      <c r="G24" s="92"/>
      <c r="H24" s="92"/>
    </row>
    <row r="25" spans="1:8" x14ac:dyDescent="0.25">
      <c r="A25" s="69" t="s">
        <v>20</v>
      </c>
      <c r="B25" s="69"/>
      <c r="C25" s="69"/>
      <c r="D25" s="69"/>
      <c r="E25" s="92" t="s">
        <v>21</v>
      </c>
      <c r="F25" s="92"/>
      <c r="G25" s="92"/>
      <c r="H25" s="92"/>
    </row>
    <row r="26" spans="1:8" ht="15.75" customHeight="1" x14ac:dyDescent="0.25">
      <c r="A26" s="69" t="s">
        <v>22</v>
      </c>
      <c r="B26" s="69"/>
      <c r="C26" s="69"/>
      <c r="D26" s="69"/>
      <c r="E26" s="92" t="str">
        <f>IF(AND(G18="Mumbai"),"Developed","Developing")</f>
        <v>Developing</v>
      </c>
      <c r="F26" s="92"/>
      <c r="G26" s="92"/>
      <c r="H26" s="92"/>
    </row>
    <row r="27" spans="1:8" x14ac:dyDescent="0.25">
      <c r="A27" s="69" t="s">
        <v>23</v>
      </c>
      <c r="B27" s="69"/>
      <c r="C27" s="69"/>
      <c r="D27" s="69"/>
      <c r="E27" s="92" t="s">
        <v>24</v>
      </c>
      <c r="F27" s="92"/>
      <c r="G27" s="92"/>
      <c r="H27" s="92"/>
    </row>
    <row r="28" spans="1:8" ht="15.75" customHeight="1" x14ac:dyDescent="0.25">
      <c r="A28" s="69" t="s">
        <v>82</v>
      </c>
      <c r="B28" s="69"/>
      <c r="C28" s="69"/>
      <c r="D28" s="69"/>
      <c r="E28" s="92" t="s">
        <v>83</v>
      </c>
      <c r="F28" s="92"/>
      <c r="G28" s="92"/>
      <c r="H28" s="92"/>
    </row>
    <row r="29" spans="1:8" ht="15" customHeight="1" x14ac:dyDescent="0.25">
      <c r="A29" s="69" t="s">
        <v>33</v>
      </c>
      <c r="B29" s="69"/>
      <c r="C29" s="69"/>
      <c r="D29" s="69"/>
      <c r="E29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2"/>
      <c r="G29" s="92"/>
      <c r="H29" s="92"/>
    </row>
    <row r="30" spans="1:8" ht="15.75" customHeight="1" x14ac:dyDescent="0.25">
      <c r="A30" s="69" t="s">
        <v>94</v>
      </c>
      <c r="B30" s="69"/>
      <c r="C30" s="69"/>
      <c r="D30" s="69"/>
      <c r="E30" s="92" t="s">
        <v>34</v>
      </c>
      <c r="F30" s="92"/>
      <c r="G30" s="92"/>
      <c r="H30" s="92"/>
    </row>
    <row r="31" spans="1:8" s="20" customFormat="1" x14ac:dyDescent="0.25">
      <c r="A31" s="149" t="s">
        <v>95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20" customFormat="1" x14ac:dyDescent="0.25">
      <c r="A32" s="146" t="s">
        <v>25</v>
      </c>
      <c r="B32" s="146" t="s">
        <v>30</v>
      </c>
      <c r="C32" s="147" t="s">
        <v>30</v>
      </c>
      <c r="D32" s="147"/>
      <c r="E32" s="147"/>
      <c r="F32" s="147" t="s">
        <v>182</v>
      </c>
      <c r="G32" s="147"/>
      <c r="H32" s="147"/>
    </row>
    <row r="33" spans="1:8" x14ac:dyDescent="0.25">
      <c r="A33" s="146" t="s">
        <v>26</v>
      </c>
      <c r="B33" s="146" t="s">
        <v>30</v>
      </c>
      <c r="C33" s="147" t="s">
        <v>30</v>
      </c>
      <c r="D33" s="147"/>
      <c r="E33" s="147"/>
      <c r="F33" s="147" t="s">
        <v>180</v>
      </c>
      <c r="G33" s="147"/>
      <c r="H33" s="147"/>
    </row>
    <row r="34" spans="1:8" s="20" customFormat="1" x14ac:dyDescent="0.25">
      <c r="A34" s="146" t="s">
        <v>28</v>
      </c>
      <c r="B34" s="146" t="s">
        <v>30</v>
      </c>
      <c r="C34" s="147" t="s">
        <v>30</v>
      </c>
      <c r="D34" s="147"/>
      <c r="E34" s="147"/>
      <c r="F34" s="147" t="s">
        <v>179</v>
      </c>
      <c r="G34" s="147"/>
      <c r="H34" s="147"/>
    </row>
    <row r="35" spans="1:8" x14ac:dyDescent="0.25">
      <c r="A35" s="146" t="s">
        <v>27</v>
      </c>
      <c r="B35" s="146" t="s">
        <v>30</v>
      </c>
      <c r="C35" s="147" t="s">
        <v>30</v>
      </c>
      <c r="D35" s="147"/>
      <c r="E35" s="147"/>
      <c r="F35" s="147" t="s">
        <v>183</v>
      </c>
      <c r="G35" s="147"/>
      <c r="H35" s="147"/>
    </row>
    <row r="36" spans="1:8" x14ac:dyDescent="0.25">
      <c r="A36" s="69" t="s">
        <v>32</v>
      </c>
      <c r="B36" s="69"/>
      <c r="C36" s="69"/>
      <c r="D36" s="69"/>
      <c r="E36" s="69"/>
      <c r="F36" s="69"/>
      <c r="G36" s="69"/>
      <c r="H36" s="69"/>
    </row>
    <row r="37" spans="1:8" ht="15.75" customHeight="1" x14ac:dyDescent="0.25">
      <c r="A37" s="112" t="s">
        <v>229</v>
      </c>
      <c r="B37" s="112"/>
      <c r="C37" s="61" t="s">
        <v>230</v>
      </c>
      <c r="D37" s="62"/>
      <c r="E37" s="62"/>
      <c r="F37" s="62"/>
      <c r="G37" s="62"/>
      <c r="H37" s="63"/>
    </row>
    <row r="38" spans="1:8" x14ac:dyDescent="0.25">
      <c r="A38" s="112" t="s">
        <v>167</v>
      </c>
      <c r="B38" s="112"/>
      <c r="C38" s="180" t="s">
        <v>184</v>
      </c>
      <c r="D38" s="92"/>
      <c r="E38" s="92"/>
      <c r="F38" s="92"/>
      <c r="G38" s="92"/>
      <c r="H38" s="92"/>
    </row>
    <row r="39" spans="1:8" x14ac:dyDescent="0.25">
      <c r="A39" s="139" t="s">
        <v>35</v>
      </c>
      <c r="B39" s="139"/>
      <c r="C39" s="139"/>
      <c r="D39" s="139"/>
      <c r="E39" s="139"/>
      <c r="F39" s="139"/>
      <c r="G39" s="139"/>
      <c r="H39" s="139"/>
    </row>
    <row r="40" spans="1:8" x14ac:dyDescent="0.25">
      <c r="A40" s="69" t="s">
        <v>36</v>
      </c>
      <c r="B40" s="69"/>
      <c r="C40" s="69"/>
      <c r="D40" s="69"/>
      <c r="E40" s="150">
        <v>3893.48</v>
      </c>
      <c r="F40" s="150"/>
      <c r="G40" s="150"/>
      <c r="H40" s="150"/>
    </row>
    <row r="41" spans="1:8" x14ac:dyDescent="0.25">
      <c r="A41" s="69" t="s">
        <v>37</v>
      </c>
      <c r="B41" s="69"/>
      <c r="C41" s="69"/>
      <c r="D41" s="69"/>
      <c r="E41" s="87">
        <v>1.5</v>
      </c>
      <c r="F41" s="87"/>
      <c r="G41" s="87"/>
      <c r="H41" s="87"/>
    </row>
    <row r="42" spans="1:8" x14ac:dyDescent="0.25">
      <c r="A42" s="69" t="s">
        <v>38</v>
      </c>
      <c r="B42" s="69"/>
      <c r="C42" s="69"/>
      <c r="D42" s="69"/>
      <c r="E42" s="87">
        <f>E44/E40-E41</f>
        <v>1.7241223789514781</v>
      </c>
      <c r="F42" s="87"/>
      <c r="G42" s="87"/>
      <c r="H42" s="87"/>
    </row>
    <row r="43" spans="1:8" x14ac:dyDescent="0.25">
      <c r="A43" s="69" t="s">
        <v>39</v>
      </c>
      <c r="B43" s="69"/>
      <c r="C43" s="69"/>
      <c r="D43" s="69"/>
      <c r="E43" s="87">
        <f>E41+E42</f>
        <v>3.2241223789514781</v>
      </c>
      <c r="F43" s="87"/>
      <c r="G43" s="87"/>
      <c r="H43" s="87"/>
    </row>
    <row r="44" spans="1:8" x14ac:dyDescent="0.25">
      <c r="A44" s="69" t="s">
        <v>93</v>
      </c>
      <c r="B44" s="69"/>
      <c r="C44" s="69"/>
      <c r="D44" s="69"/>
      <c r="E44" s="133">
        <v>12553.056</v>
      </c>
      <c r="F44" s="133"/>
      <c r="G44" s="133"/>
      <c r="H44" s="133"/>
    </row>
    <row r="45" spans="1:8" x14ac:dyDescent="0.25">
      <c r="A45" s="121" t="s">
        <v>40</v>
      </c>
      <c r="B45" s="121"/>
      <c r="C45" s="121"/>
      <c r="D45" s="121"/>
      <c r="E45" s="121" t="s">
        <v>233</v>
      </c>
      <c r="F45" s="121"/>
      <c r="G45" s="121"/>
      <c r="H45" s="121"/>
    </row>
    <row r="46" spans="1:8" x14ac:dyDescent="0.25">
      <c r="A46" s="139" t="s">
        <v>41</v>
      </c>
      <c r="B46" s="139"/>
      <c r="C46" s="139"/>
      <c r="D46" s="139"/>
      <c r="E46" s="139"/>
      <c r="F46" s="139"/>
      <c r="G46" s="139"/>
      <c r="H46" s="139"/>
    </row>
    <row r="47" spans="1:8" ht="33.75" customHeight="1" x14ac:dyDescent="0.25">
      <c r="A47" s="84" t="s">
        <v>154</v>
      </c>
      <c r="B47" s="86"/>
      <c r="C47" s="181" t="s">
        <v>185</v>
      </c>
      <c r="D47" s="182"/>
      <c r="E47" s="182"/>
      <c r="F47" s="182"/>
      <c r="G47" s="182"/>
      <c r="H47" s="183"/>
    </row>
    <row r="48" spans="1:8" ht="15.75" customHeight="1" x14ac:dyDescent="0.25">
      <c r="A48" s="84" t="s">
        <v>42</v>
      </c>
      <c r="B48" s="86"/>
      <c r="C48" s="84" t="s">
        <v>215</v>
      </c>
      <c r="D48" s="85"/>
      <c r="E48" s="86"/>
      <c r="F48" s="18" t="s">
        <v>43</v>
      </c>
      <c r="G48" s="132">
        <v>44900</v>
      </c>
      <c r="H48" s="86"/>
    </row>
    <row r="49" spans="1:14" x14ac:dyDescent="0.25">
      <c r="A49" s="84" t="s">
        <v>44</v>
      </c>
      <c r="B49" s="86"/>
      <c r="C49" s="84" t="str">
        <f>C48</f>
        <v>PMP/NRV/16351/JK2847/2022</v>
      </c>
      <c r="D49" s="85"/>
      <c r="E49" s="86"/>
      <c r="F49" s="18" t="s">
        <v>43</v>
      </c>
      <c r="G49" s="132">
        <v>44900</v>
      </c>
      <c r="H49" s="86"/>
    </row>
    <row r="50" spans="1:14" s="21" customFormat="1" ht="34.5" customHeight="1" x14ac:dyDescent="0.25">
      <c r="A50" s="154" t="s">
        <v>158</v>
      </c>
      <c r="B50" s="155"/>
      <c r="C50" s="84" t="s">
        <v>216</v>
      </c>
      <c r="D50" s="85"/>
      <c r="E50" s="86"/>
      <c r="F50" s="18" t="s">
        <v>43</v>
      </c>
      <c r="G50" s="132">
        <v>44900</v>
      </c>
      <c r="H50" s="86"/>
    </row>
    <row r="51" spans="1:14" s="21" customFormat="1" ht="33.75" customHeight="1" x14ac:dyDescent="0.25">
      <c r="A51" s="156"/>
      <c r="B51" s="157"/>
      <c r="C51" s="84" t="s">
        <v>223</v>
      </c>
      <c r="D51" s="85"/>
      <c r="E51" s="85"/>
      <c r="F51" s="85"/>
      <c r="G51" s="85"/>
      <c r="H51" s="86"/>
    </row>
    <row r="52" spans="1:14" x14ac:dyDescent="0.25">
      <c r="A52" s="124" t="s">
        <v>170</v>
      </c>
      <c r="B52" s="125"/>
      <c r="C52" s="128" t="s">
        <v>30</v>
      </c>
      <c r="D52" s="129"/>
      <c r="E52" s="130"/>
      <c r="F52" s="46" t="s">
        <v>43</v>
      </c>
      <c r="G52" s="122" t="s">
        <v>30</v>
      </c>
      <c r="H52" s="123"/>
    </row>
    <row r="53" spans="1:14" x14ac:dyDescent="0.25">
      <c r="A53" s="126"/>
      <c r="B53" s="127"/>
      <c r="C53" s="128" t="s">
        <v>30</v>
      </c>
      <c r="D53" s="129"/>
      <c r="E53" s="129"/>
      <c r="F53" s="129"/>
      <c r="G53" s="129"/>
      <c r="H53" s="130"/>
    </row>
    <row r="54" spans="1:14" x14ac:dyDescent="0.25">
      <c r="A54" s="134" t="s">
        <v>46</v>
      </c>
      <c r="B54" s="134"/>
      <c r="C54" s="134"/>
      <c r="D54" s="134"/>
      <c r="E54" s="134"/>
      <c r="F54" s="134"/>
      <c r="G54" s="134"/>
      <c r="H54" s="134"/>
    </row>
    <row r="55" spans="1:14" x14ac:dyDescent="0.25">
      <c r="A55" s="81" t="s">
        <v>92</v>
      </c>
      <c r="B55" s="81"/>
      <c r="C55" s="81"/>
      <c r="D55" s="69">
        <f>E44</f>
        <v>12553.056</v>
      </c>
      <c r="E55" s="69"/>
      <c r="F55" s="69"/>
      <c r="G55" s="69"/>
      <c r="H55" s="69"/>
    </row>
    <row r="56" spans="1:14" x14ac:dyDescent="0.25">
      <c r="A56" s="92" t="s">
        <v>47</v>
      </c>
      <c r="B56" s="121"/>
      <c r="C56" s="121"/>
      <c r="D56" s="121" t="s">
        <v>235</v>
      </c>
      <c r="E56" s="121"/>
      <c r="F56" s="121"/>
      <c r="G56" s="121"/>
      <c r="H56" s="121"/>
      <c r="I56" s="22"/>
    </row>
    <row r="57" spans="1:14" ht="31.5" customHeight="1" x14ac:dyDescent="0.25">
      <c r="A57" s="151" t="s">
        <v>48</v>
      </c>
      <c r="B57" s="152"/>
      <c r="C57" s="153"/>
      <c r="D57" s="65" t="s">
        <v>224</v>
      </c>
      <c r="E57" s="101"/>
      <c r="F57" s="101"/>
      <c r="G57" s="101"/>
      <c r="H57" s="101"/>
    </row>
    <row r="58" spans="1:14" ht="15.75" customHeight="1" x14ac:dyDescent="0.25">
      <c r="A58" s="92" t="s">
        <v>90</v>
      </c>
      <c r="B58" s="92"/>
      <c r="C58" s="92"/>
      <c r="D58" s="100" t="s">
        <v>211</v>
      </c>
      <c r="E58" s="101"/>
      <c r="F58" s="101"/>
      <c r="G58" s="101"/>
      <c r="H58" s="101"/>
    </row>
    <row r="59" spans="1:14" ht="15.75" customHeight="1" x14ac:dyDescent="0.25">
      <c r="A59" s="92"/>
      <c r="B59" s="92"/>
      <c r="C59" s="92"/>
      <c r="D59" s="91" t="s">
        <v>212</v>
      </c>
      <c r="E59" s="91"/>
      <c r="F59" s="91"/>
      <c r="G59" s="91"/>
      <c r="H59" s="91"/>
    </row>
    <row r="60" spans="1:14" ht="15.75" customHeight="1" x14ac:dyDescent="0.25">
      <c r="A60" s="69" t="s">
        <v>45</v>
      </c>
      <c r="B60" s="69"/>
      <c r="C60" s="69"/>
      <c r="D60" s="81" t="s">
        <v>186</v>
      </c>
      <c r="E60" s="81"/>
      <c r="F60" s="81"/>
      <c r="G60" s="81"/>
      <c r="H60" s="81"/>
      <c r="J60" s="23"/>
      <c r="K60" s="22"/>
      <c r="N60" s="22"/>
    </row>
    <row r="61" spans="1:14" ht="15.75" customHeight="1" x14ac:dyDescent="0.25">
      <c r="A61" s="69" t="s">
        <v>88</v>
      </c>
      <c r="B61" s="69"/>
      <c r="C61" s="69"/>
      <c r="D61" s="131" t="str">
        <f>(IF(G52="NA","60 Years After Completion",IF(G52&lt;&gt;"NA",""&amp;60-ROUNDDOWN((E3-G52)/360,0)&amp;" Years"," ")))</f>
        <v>60 Years After Completion</v>
      </c>
      <c r="E61" s="131"/>
      <c r="F61" s="131"/>
      <c r="G61" s="131"/>
      <c r="H61" s="131"/>
      <c r="N61" s="22"/>
    </row>
    <row r="62" spans="1:14" ht="15.75" customHeight="1" x14ac:dyDescent="0.25">
      <c r="A62" s="69" t="s">
        <v>89</v>
      </c>
      <c r="B62" s="69"/>
      <c r="C62" s="69"/>
      <c r="D62" s="81" t="s">
        <v>24</v>
      </c>
      <c r="E62" s="81"/>
      <c r="F62" s="81"/>
      <c r="G62" s="81"/>
      <c r="H62" s="81"/>
      <c r="J62" s="24"/>
      <c r="K62" s="24"/>
    </row>
    <row r="63" spans="1:14" ht="15" hidden="1" customHeight="1" x14ac:dyDescent="0.25">
      <c r="A63" s="69" t="s">
        <v>75</v>
      </c>
      <c r="B63" s="69"/>
      <c r="C63" s="69"/>
      <c r="D63" s="92" t="s">
        <v>150</v>
      </c>
      <c r="E63" s="81"/>
      <c r="F63" s="81"/>
      <c r="G63" s="81"/>
      <c r="H63" s="81"/>
    </row>
    <row r="64" spans="1:14" x14ac:dyDescent="0.25">
      <c r="A64" s="81" t="s">
        <v>151</v>
      </c>
      <c r="B64" s="81"/>
      <c r="C64" s="81"/>
      <c r="D64" s="81" t="s">
        <v>30</v>
      </c>
      <c r="E64" s="81"/>
      <c r="F64" s="81"/>
      <c r="G64" s="81"/>
      <c r="H64" s="81"/>
      <c r="I64" s="25"/>
      <c r="J64" s="25"/>
      <c r="K64" s="25"/>
      <c r="L64" s="25"/>
      <c r="M64" s="25"/>
      <c r="N64" s="25"/>
    </row>
    <row r="65" spans="1:10" ht="15.75" customHeight="1" x14ac:dyDescent="0.25">
      <c r="A65" s="64" t="s">
        <v>87</v>
      </c>
      <c r="B65" s="64"/>
      <c r="C65" s="64"/>
      <c r="D65" s="65" t="str">
        <f ca="1">(IF(G71&gt;95%,"Nothing",IF(G71&gt;0%,"Cement, Aggregate, Steel, etc",IF(G71=0%,"Work not yet Started"))))</f>
        <v>Cement, Aggregate, Steel, etc</v>
      </c>
      <c r="E65" s="65"/>
      <c r="F65" s="65"/>
      <c r="G65" s="65"/>
      <c r="H65" s="65"/>
      <c r="J65" s="24"/>
    </row>
    <row r="66" spans="1:10" ht="33.75" customHeight="1" thickBot="1" x14ac:dyDescent="0.3">
      <c r="A66" s="102" t="s">
        <v>118</v>
      </c>
      <c r="B66" s="102"/>
      <c r="C66" s="102"/>
      <c r="D66" s="65" t="str">
        <f ca="1">(IF(D65="Nothing","Yes",IF(D65="Cement, Aggregate, Steel, etc","Under Construction",IF(D65="Work not yet Started","Work not yet Started"))))</f>
        <v>Under Construction</v>
      </c>
      <c r="E66" s="65"/>
      <c r="F66" s="65" t="str">
        <f ca="1">(IF(D65="Nothing","Yes",IF(D65="Cement, Aggregate, Steel, etc","Under Construction",IF(D65="Work not yet Started","Work not yet Started"))))</f>
        <v>Under Construction</v>
      </c>
      <c r="G66" s="65"/>
      <c r="H66" s="65"/>
    </row>
    <row r="67" spans="1:10" ht="15.75" customHeight="1" x14ac:dyDescent="0.25">
      <c r="A67" s="93" t="s">
        <v>142</v>
      </c>
      <c r="B67" s="94"/>
      <c r="C67" s="95" t="str">
        <f>D58</f>
        <v>Wing A = G + 1st to 15th Floor</v>
      </c>
      <c r="D67" s="96"/>
      <c r="E67" s="96"/>
      <c r="F67" s="96"/>
      <c r="G67" s="96"/>
      <c r="H67" s="97"/>
      <c r="I67" s="42" t="str">
        <f ca="1">IF(D80=100%,"All work Completed. Possession granted to the Building.",IF(D79=100%,"All work Completed, Waiting for OC",I68&amp;""&amp;I69&amp;""&amp;J68&amp;""&amp;J67&amp;" "&amp;J69))</f>
        <v>Excavation, Plinth Completed, RCC upto 11 Slab, Brickwork upto 8 Floor, Internal Plaster upto 8 Floor, External Plaster upto 5 Floor Completed</v>
      </c>
      <c r="J67" s="43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11 Slab, Brickwork upto 8 Floor, Internal Plaster upto 8 Floor, External Plaster upto 5 Floor</v>
      </c>
    </row>
    <row r="68" spans="1:10" x14ac:dyDescent="0.25">
      <c r="A68" s="16" t="s">
        <v>144</v>
      </c>
      <c r="B68" s="49">
        <v>0</v>
      </c>
      <c r="C68" s="49" t="s">
        <v>73</v>
      </c>
      <c r="D68" s="49">
        <v>1</v>
      </c>
      <c r="E68" s="49" t="s">
        <v>72</v>
      </c>
      <c r="F68" s="49">
        <v>0</v>
      </c>
      <c r="G68" s="49" t="s">
        <v>81</v>
      </c>
      <c r="H68" s="17">
        <f ca="1">--TRIM(RIGHT(SUBSTITUTE(LEFT(C67,_xlfn.AGGREGATE(16,6,FIND({0,1,2,3,4,5,6,7,8,9},C67,ROW(INDIRECT("1:"&amp;LEN(C67)))),1))," ",REPT(" ",LEN(C67))),LEN(C67)))</f>
        <v>15</v>
      </c>
      <c r="I68" s="4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5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2.25" customHeight="1" x14ac:dyDescent="0.25">
      <c r="A69" s="98" t="s">
        <v>91</v>
      </c>
      <c r="B69" s="99"/>
      <c r="C69" s="82" t="str">
        <f ca="1">(IF($C$53=C67,"All work Completed. OC Received.",I67))</f>
        <v>Excavation, Plinth Completed, RCC upto 11 Slab, Brickwork upto 8 Floor, Internal Plaster upto 8 Floor, External Plaster upto 5 Floor Completed</v>
      </c>
      <c r="D69" s="82"/>
      <c r="E69" s="82"/>
      <c r="F69" s="82"/>
      <c r="G69" s="82"/>
      <c r="H69" s="83"/>
      <c r="I69" s="44" t="str">
        <f ca="1">IF(I68&lt;&gt;""," Completed","")</f>
        <v xml:space="preserve"> Completed</v>
      </c>
      <c r="J69" s="45" t="str">
        <f ca="1">IF(J67&lt;&gt;"","Completed","")</f>
        <v>Completed</v>
      </c>
    </row>
    <row r="70" spans="1:10" ht="15.75" customHeight="1" x14ac:dyDescent="0.25">
      <c r="A70" s="66" t="s">
        <v>49</v>
      </c>
      <c r="B70" s="67"/>
      <c r="C70" s="51" t="s">
        <v>141</v>
      </c>
      <c r="D70" s="51" t="s">
        <v>84</v>
      </c>
      <c r="E70" s="67" t="s">
        <v>86</v>
      </c>
      <c r="F70" s="67"/>
      <c r="G70" s="67" t="s">
        <v>85</v>
      </c>
      <c r="H70" s="68"/>
      <c r="I70" s="14" t="s">
        <v>143</v>
      </c>
      <c r="J70" s="26">
        <f ca="1">H68*25%</f>
        <v>3.75</v>
      </c>
    </row>
    <row r="71" spans="1:10" x14ac:dyDescent="0.25">
      <c r="A71" s="66" t="s">
        <v>130</v>
      </c>
      <c r="B71" s="67"/>
      <c r="C71" s="51">
        <f ca="1">J72</f>
        <v>15</v>
      </c>
      <c r="D71" s="52">
        <f ca="1">((100/H68)*C71)/100</f>
        <v>1</v>
      </c>
      <c r="E71" s="70">
        <f ca="1">(((C72/H68*10)+(40/(D68+F68+H68)*C73)+(7.5/(H68)*C74)+(7.5/(H68)*C75)+(10/H68*C76)+(10/H68*C77)+(5/H68*C78)+(5/H68*C79)+(5/H68*C80))/100)</f>
        <v>0.48833333333333334</v>
      </c>
      <c r="F71" s="71"/>
      <c r="G71" s="70">
        <f ca="1">((((C71/H68)*20)+((C72/H68)*25)+(30/(H68+F68+D68)*C73)+(5/H68*C74)+(5/H68*C75)+(5/H68*C76)+(5/H68*C77)+(0/H68*C78)+(0/H68*C79)+(5/H68*C80))/100)</f>
        <v>0.72625000000000017</v>
      </c>
      <c r="H71" s="76"/>
      <c r="I71" s="14" t="s">
        <v>101</v>
      </c>
      <c r="J71" s="27">
        <f ca="1">H68*50%</f>
        <v>7.5</v>
      </c>
    </row>
    <row r="72" spans="1:10" x14ac:dyDescent="0.25">
      <c r="A72" s="66" t="s">
        <v>50</v>
      </c>
      <c r="B72" s="67"/>
      <c r="C72" s="53">
        <f ca="1">J80</f>
        <v>15</v>
      </c>
      <c r="D72" s="52">
        <f ca="1">((100/H68)*C72)/100</f>
        <v>1</v>
      </c>
      <c r="E72" s="72"/>
      <c r="F72" s="73"/>
      <c r="G72" s="72"/>
      <c r="H72" s="77"/>
      <c r="I72" s="14" t="s">
        <v>102</v>
      </c>
      <c r="J72" s="27">
        <f ca="1">H68</f>
        <v>15</v>
      </c>
    </row>
    <row r="73" spans="1:10" ht="15.75" customHeight="1" x14ac:dyDescent="0.25">
      <c r="A73" s="66" t="s">
        <v>131</v>
      </c>
      <c r="B73" s="67"/>
      <c r="C73" s="51">
        <v>11</v>
      </c>
      <c r="D73" s="52">
        <f ca="1">((100/(D68+F68+H68))*C73)/100</f>
        <v>0.6875</v>
      </c>
      <c r="E73" s="72"/>
      <c r="F73" s="73"/>
      <c r="G73" s="72"/>
      <c r="H73" s="77"/>
      <c r="I73" s="14" t="s">
        <v>103</v>
      </c>
      <c r="J73" s="28">
        <f ca="1">(IF(B68&gt;1,(H68/(B68+2)),H68/4))</f>
        <v>3.75</v>
      </c>
    </row>
    <row r="74" spans="1:10" ht="15.75" customHeight="1" x14ac:dyDescent="0.25">
      <c r="A74" s="66" t="s">
        <v>138</v>
      </c>
      <c r="B74" s="67" t="s">
        <v>132</v>
      </c>
      <c r="C74" s="51">
        <v>8</v>
      </c>
      <c r="D74" s="52">
        <f ca="1">((100/H68)*C74)/100</f>
        <v>0.53333333333333333</v>
      </c>
      <c r="E74" s="72"/>
      <c r="F74" s="73"/>
      <c r="G74" s="72"/>
      <c r="H74" s="77"/>
      <c r="I74" s="14" t="s">
        <v>104</v>
      </c>
      <c r="J74" s="28">
        <f ca="1">(IF(B68&gt;1,(H68/(B68+2)+J73),H68/4+J73))</f>
        <v>7.5</v>
      </c>
    </row>
    <row r="75" spans="1:10" ht="15.75" customHeight="1" x14ac:dyDescent="0.25">
      <c r="A75" s="66" t="s">
        <v>139</v>
      </c>
      <c r="B75" s="67" t="s">
        <v>132</v>
      </c>
      <c r="C75" s="51">
        <v>8</v>
      </c>
      <c r="D75" s="52">
        <f ca="1">((100/H68)*C75)/100</f>
        <v>0.53333333333333333</v>
      </c>
      <c r="E75" s="72"/>
      <c r="F75" s="73"/>
      <c r="G75" s="72"/>
      <c r="H75" s="77"/>
      <c r="I75" s="14" t="s">
        <v>148</v>
      </c>
      <c r="J75" s="28">
        <f>(IF(B68&gt;1,(H68/(B68+2)+J74),0))</f>
        <v>0</v>
      </c>
    </row>
    <row r="76" spans="1:10" ht="15" customHeight="1" x14ac:dyDescent="0.25">
      <c r="A76" s="66" t="s">
        <v>137</v>
      </c>
      <c r="B76" s="67" t="s">
        <v>134</v>
      </c>
      <c r="C76" s="51">
        <v>5</v>
      </c>
      <c r="D76" s="52">
        <f ca="1">((100/(H68))*C76)/100</f>
        <v>0.33333333333333337</v>
      </c>
      <c r="E76" s="72"/>
      <c r="F76" s="73"/>
      <c r="G76" s="72"/>
      <c r="H76" s="77"/>
      <c r="I76" s="14" t="s">
        <v>145</v>
      </c>
      <c r="J76" s="28">
        <f>(IF(B68&gt;2,(H68/(B68+2)+J75),0))</f>
        <v>0</v>
      </c>
    </row>
    <row r="77" spans="1:10" ht="15.75" customHeight="1" x14ac:dyDescent="0.25">
      <c r="A77" s="66" t="s">
        <v>133</v>
      </c>
      <c r="B77" s="67" t="s">
        <v>133</v>
      </c>
      <c r="C77" s="51">
        <v>0</v>
      </c>
      <c r="D77" s="52">
        <f ca="1">((100/H68)*C77)/100</f>
        <v>0</v>
      </c>
      <c r="E77" s="72"/>
      <c r="F77" s="73"/>
      <c r="G77" s="72"/>
      <c r="H77" s="77"/>
      <c r="I77" s="14" t="s">
        <v>146</v>
      </c>
      <c r="J77" s="29">
        <f>(IF(B68&gt;3,(H68/(B68+2)+J76),0))</f>
        <v>0</v>
      </c>
    </row>
    <row r="78" spans="1:10" ht="15.75" customHeight="1" x14ac:dyDescent="0.25">
      <c r="A78" s="66" t="s">
        <v>140</v>
      </c>
      <c r="B78" s="67"/>
      <c r="C78" s="51">
        <v>0</v>
      </c>
      <c r="D78" s="52">
        <f ca="1">((100/H68)*C78)/100</f>
        <v>0</v>
      </c>
      <c r="E78" s="72"/>
      <c r="F78" s="73"/>
      <c r="G78" s="72"/>
      <c r="H78" s="77"/>
      <c r="I78" s="14" t="s">
        <v>147</v>
      </c>
      <c r="J78" s="28">
        <f>(IF(B68&gt;4,(H68/(B68+2)+J77),0))</f>
        <v>0</v>
      </c>
    </row>
    <row r="79" spans="1:10" ht="15.75" customHeight="1" x14ac:dyDescent="0.25">
      <c r="A79" s="66" t="s">
        <v>135</v>
      </c>
      <c r="B79" s="67" t="s">
        <v>135</v>
      </c>
      <c r="C79" s="51">
        <v>0</v>
      </c>
      <c r="D79" s="52">
        <f ca="1">((100/(H68))*C79)/100</f>
        <v>0</v>
      </c>
      <c r="E79" s="72"/>
      <c r="F79" s="73"/>
      <c r="G79" s="72"/>
      <c r="H79" s="77"/>
      <c r="I79" s="14" t="s">
        <v>149</v>
      </c>
      <c r="J79" s="28">
        <f ca="1">(IF(B68=1,(H68/(B68+3)+J74),IF(B68=0,(H68/4+J74),IF(B68&gt;1,0))))</f>
        <v>11.25</v>
      </c>
    </row>
    <row r="80" spans="1:10" ht="16.5" thickBot="1" x14ac:dyDescent="0.3">
      <c r="A80" s="79" t="s">
        <v>136</v>
      </c>
      <c r="B80" s="80"/>
      <c r="C80" s="54">
        <v>0</v>
      </c>
      <c r="D80" s="55">
        <f ca="1">((100/(H68))*C80)/100</f>
        <v>0</v>
      </c>
      <c r="E80" s="74"/>
      <c r="F80" s="75"/>
      <c r="G80" s="74"/>
      <c r="H80" s="78"/>
      <c r="I80" s="15" t="s">
        <v>105</v>
      </c>
      <c r="J80" s="30">
        <f ca="1">(IF(B68&gt;1.5,(H68/(B68+2)+J74+MAX(0,J75-J74)+MAX(0,J76-J75)+MAX(0,J77-J76)+MAX(0,J78-J77)+MAX(0,J79-J78)),IF(B68=1,(H68/(B68+3)+J79),IF(B68=0,H68/4+J79))))</f>
        <v>15</v>
      </c>
    </row>
    <row r="81" spans="1:14" ht="15.75" customHeight="1" x14ac:dyDescent="0.25">
      <c r="A81" s="93" t="s">
        <v>142</v>
      </c>
      <c r="B81" s="94"/>
      <c r="C81" s="95" t="str">
        <f>D59</f>
        <v>Wing B = G + 1st to 15th Floor</v>
      </c>
      <c r="D81" s="96"/>
      <c r="E81" s="96"/>
      <c r="F81" s="96"/>
      <c r="G81" s="96"/>
      <c r="H81" s="97"/>
      <c r="I81" s="42" t="str">
        <f ca="1">IF(D94=100%,"All work Completed. Possession granted to the Building.",IF(D93=100%,"All work Completed, Waiting for OC",I82&amp;""&amp;I83&amp;""&amp;J82&amp;""&amp;J81&amp;" "&amp;J83))</f>
        <v>Excavation, Plinth Completed, RCC upto 11 Slab, Brickwork upto 9 Floor, Internal Plaster upto 9 Floor, External Plaster upto 9 Floor, Flooring upto 2 Floor Completed</v>
      </c>
      <c r="J81" s="43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11 Slab, Brickwork upto 9 Floor, Internal Plaster upto 9 Floor, External Plaster upto 9 Floor, Flooring upto 2 Floor</v>
      </c>
    </row>
    <row r="82" spans="1:14" x14ac:dyDescent="0.25">
      <c r="A82" s="16" t="s">
        <v>144</v>
      </c>
      <c r="B82" s="49">
        <v>0</v>
      </c>
      <c r="C82" s="49" t="s">
        <v>73</v>
      </c>
      <c r="D82" s="49">
        <v>1</v>
      </c>
      <c r="E82" s="49" t="s">
        <v>72</v>
      </c>
      <c r="F82" s="49">
        <v>0</v>
      </c>
      <c r="G82" s="49" t="s">
        <v>81</v>
      </c>
      <c r="H82" s="17">
        <f ca="1">--TRIM(RIGHT(SUBSTITUTE(LEFT(C81,_xlfn.AGGREGATE(16,6,FIND({0,1,2,3,4,5,6,7,8,9},C81,ROW(INDIRECT("1:"&amp;LEN(C81)))),1))," ",REPT(" ",LEN(C81))),LEN(C81)))</f>
        <v>15</v>
      </c>
      <c r="I82" s="44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45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4" ht="47.25" customHeight="1" x14ac:dyDescent="0.25">
      <c r="A83" s="98" t="s">
        <v>91</v>
      </c>
      <c r="B83" s="99"/>
      <c r="C83" s="82" t="str">
        <f ca="1">(IF($C$53=C81,"All work Completed. OC Received.",I81))</f>
        <v>Excavation, Plinth Completed, RCC upto 11 Slab, Brickwork upto 9 Floor, Internal Plaster upto 9 Floor, External Plaster upto 9 Floor, Flooring upto 2 Floor Completed</v>
      </c>
      <c r="D83" s="82"/>
      <c r="E83" s="82"/>
      <c r="F83" s="82"/>
      <c r="G83" s="82"/>
      <c r="H83" s="83"/>
      <c r="I83" s="44" t="str">
        <f ca="1">IF(I82&lt;&gt;""," Completed","")</f>
        <v xml:space="preserve"> Completed</v>
      </c>
      <c r="J83" s="45" t="str">
        <f ca="1">IF(J81&lt;&gt;"","Completed","")</f>
        <v>Completed</v>
      </c>
    </row>
    <row r="84" spans="1:14" ht="15.75" customHeight="1" x14ac:dyDescent="0.25">
      <c r="A84" s="66" t="s">
        <v>49</v>
      </c>
      <c r="B84" s="67"/>
      <c r="C84" s="51" t="s">
        <v>141</v>
      </c>
      <c r="D84" s="51" t="s">
        <v>84</v>
      </c>
      <c r="E84" s="67" t="s">
        <v>86</v>
      </c>
      <c r="F84" s="67"/>
      <c r="G84" s="67" t="s">
        <v>85</v>
      </c>
      <c r="H84" s="68"/>
      <c r="I84" s="14" t="s">
        <v>143</v>
      </c>
      <c r="J84" s="26">
        <f ca="1">H82*25%</f>
        <v>3.75</v>
      </c>
    </row>
    <row r="85" spans="1:14" x14ac:dyDescent="0.25">
      <c r="A85" s="66" t="s">
        <v>130</v>
      </c>
      <c r="B85" s="67"/>
      <c r="C85" s="51">
        <f ca="1">J86</f>
        <v>15</v>
      </c>
      <c r="D85" s="52">
        <f ca="1">((100/H82)*C85)/100</f>
        <v>1</v>
      </c>
      <c r="E85" s="70">
        <f ca="1">(((C86/H82*10)+(40/(D82+F82+H82)*C87)+(7.5/(H82)*C88)+(7.5/(H82)*C89)+(10/H82*C90)+(10/H82*C91)+(5/H82*C92)+(5/H82*C93)+(5/H82*C94))/100)</f>
        <v>0.53833333333333333</v>
      </c>
      <c r="F85" s="71"/>
      <c r="G85" s="70">
        <f ca="1">((((C85/H82)*20)+((C86/H82)*25)+(30/(H82+F82+D82)*C87)+(5/H82*C88)+(5/H82*C89)+(5/H82*C90)+(5/H82*C91)+(0/H82*C92)+(0/H82*C93)+(5/H82*C94))/100)</f>
        <v>0.75291666666666668</v>
      </c>
      <c r="H85" s="76"/>
      <c r="I85" s="14" t="s">
        <v>101</v>
      </c>
      <c r="J85" s="27">
        <f ca="1">H82*50%</f>
        <v>7.5</v>
      </c>
    </row>
    <row r="86" spans="1:14" x14ac:dyDescent="0.25">
      <c r="A86" s="66" t="s">
        <v>50</v>
      </c>
      <c r="B86" s="67"/>
      <c r="C86" s="53">
        <f ca="1">J94</f>
        <v>15</v>
      </c>
      <c r="D86" s="52">
        <f ca="1">((100/H82)*C86)/100</f>
        <v>1</v>
      </c>
      <c r="E86" s="72"/>
      <c r="F86" s="73"/>
      <c r="G86" s="72"/>
      <c r="H86" s="77"/>
      <c r="I86" s="14" t="s">
        <v>102</v>
      </c>
      <c r="J86" s="27">
        <f ca="1">H82</f>
        <v>15</v>
      </c>
    </row>
    <row r="87" spans="1:14" ht="15.75" customHeight="1" x14ac:dyDescent="0.25">
      <c r="A87" s="66" t="s">
        <v>131</v>
      </c>
      <c r="B87" s="67"/>
      <c r="C87" s="51">
        <v>11</v>
      </c>
      <c r="D87" s="52">
        <f ca="1">((100/(D82+F82+H82))*C87)/100</f>
        <v>0.6875</v>
      </c>
      <c r="E87" s="72"/>
      <c r="F87" s="73"/>
      <c r="G87" s="72"/>
      <c r="H87" s="77"/>
      <c r="I87" s="14" t="s">
        <v>103</v>
      </c>
      <c r="J87" s="28">
        <f ca="1">(IF(B82&gt;1,(H82/(B82+2)),H82/4))</f>
        <v>3.75</v>
      </c>
    </row>
    <row r="88" spans="1:14" ht="15.75" customHeight="1" x14ac:dyDescent="0.25">
      <c r="A88" s="66" t="s">
        <v>138</v>
      </c>
      <c r="B88" s="67" t="s">
        <v>132</v>
      </c>
      <c r="C88" s="51">
        <v>9</v>
      </c>
      <c r="D88" s="52">
        <f ca="1">((100/H82)*C88)/100</f>
        <v>0.6</v>
      </c>
      <c r="E88" s="72"/>
      <c r="F88" s="73"/>
      <c r="G88" s="72"/>
      <c r="H88" s="77"/>
      <c r="I88" s="14" t="s">
        <v>104</v>
      </c>
      <c r="J88" s="28">
        <f ca="1">(IF(B82&gt;1,(H82/(B82+2)+J87),H82/4+J87))</f>
        <v>7.5</v>
      </c>
    </row>
    <row r="89" spans="1:14" ht="15.75" customHeight="1" x14ac:dyDescent="0.25">
      <c r="A89" s="66" t="s">
        <v>139</v>
      </c>
      <c r="B89" s="67" t="s">
        <v>132</v>
      </c>
      <c r="C89" s="51">
        <v>9</v>
      </c>
      <c r="D89" s="52">
        <f ca="1">((100/H82)*C89)/100</f>
        <v>0.6</v>
      </c>
      <c r="E89" s="72"/>
      <c r="F89" s="73"/>
      <c r="G89" s="72"/>
      <c r="H89" s="77"/>
      <c r="I89" s="14" t="s">
        <v>148</v>
      </c>
      <c r="J89" s="28">
        <f>(IF(B82&gt;1,(H82/(B82+2)+J88),0))</f>
        <v>0</v>
      </c>
    </row>
    <row r="90" spans="1:14" ht="15" customHeight="1" x14ac:dyDescent="0.25">
      <c r="A90" s="66" t="s">
        <v>137</v>
      </c>
      <c r="B90" s="67" t="s">
        <v>134</v>
      </c>
      <c r="C90" s="51">
        <v>9</v>
      </c>
      <c r="D90" s="52">
        <f ca="1">((100/(H82))*C90)/100</f>
        <v>0.6</v>
      </c>
      <c r="E90" s="72"/>
      <c r="F90" s="73"/>
      <c r="G90" s="72"/>
      <c r="H90" s="77"/>
      <c r="I90" s="14" t="s">
        <v>145</v>
      </c>
      <c r="J90" s="28">
        <f>(IF(B82&gt;2,(H82/(B82+2)+J89),0))</f>
        <v>0</v>
      </c>
    </row>
    <row r="91" spans="1:14" ht="15.75" customHeight="1" x14ac:dyDescent="0.25">
      <c r="A91" s="66" t="s">
        <v>133</v>
      </c>
      <c r="B91" s="67" t="s">
        <v>133</v>
      </c>
      <c r="C91" s="51">
        <v>2</v>
      </c>
      <c r="D91" s="52">
        <f ca="1">((100/H82)*C91)/100</f>
        <v>0.13333333333333333</v>
      </c>
      <c r="E91" s="72"/>
      <c r="F91" s="73"/>
      <c r="G91" s="72"/>
      <c r="H91" s="77"/>
      <c r="I91" s="14" t="s">
        <v>146</v>
      </c>
      <c r="J91" s="29">
        <f>(IF(B82&gt;3,(H82/(B82+2)+J90),0))</f>
        <v>0</v>
      </c>
    </row>
    <row r="92" spans="1:14" ht="15.75" customHeight="1" x14ac:dyDescent="0.25">
      <c r="A92" s="66" t="s">
        <v>140</v>
      </c>
      <c r="B92" s="67"/>
      <c r="C92" s="51">
        <v>0</v>
      </c>
      <c r="D92" s="52">
        <f ca="1">((100/H82)*C92)/100</f>
        <v>0</v>
      </c>
      <c r="E92" s="72"/>
      <c r="F92" s="73"/>
      <c r="G92" s="72"/>
      <c r="H92" s="77"/>
      <c r="I92" s="14" t="s">
        <v>147</v>
      </c>
      <c r="J92" s="28">
        <f>(IF(B82&gt;4,(H82/(B82+2)+J91),0))</f>
        <v>0</v>
      </c>
    </row>
    <row r="93" spans="1:14" ht="15.75" customHeight="1" x14ac:dyDescent="0.25">
      <c r="A93" s="66" t="s">
        <v>135</v>
      </c>
      <c r="B93" s="67" t="s">
        <v>135</v>
      </c>
      <c r="C93" s="51">
        <v>0</v>
      </c>
      <c r="D93" s="52">
        <f ca="1">((100/(H82))*C93)/100</f>
        <v>0</v>
      </c>
      <c r="E93" s="72"/>
      <c r="F93" s="73"/>
      <c r="G93" s="72"/>
      <c r="H93" s="77"/>
      <c r="I93" s="14" t="s">
        <v>149</v>
      </c>
      <c r="J93" s="28">
        <f ca="1">(IF(B82=1,(H82/(B82+3)+J88),IF(B82=0,(H82/4+J88),IF(B82&gt;1,0))))</f>
        <v>11.25</v>
      </c>
    </row>
    <row r="94" spans="1:14" ht="16.5" thickBot="1" x14ac:dyDescent="0.3">
      <c r="A94" s="79" t="s">
        <v>136</v>
      </c>
      <c r="B94" s="80"/>
      <c r="C94" s="54">
        <v>0</v>
      </c>
      <c r="D94" s="55">
        <f ca="1">((100/(H82))*C94)/100</f>
        <v>0</v>
      </c>
      <c r="E94" s="74"/>
      <c r="F94" s="75"/>
      <c r="G94" s="74"/>
      <c r="H94" s="78"/>
      <c r="I94" s="15" t="s">
        <v>105</v>
      </c>
      <c r="J94" s="30">
        <f ca="1">(IF(B82&gt;1.5,(H82/(B82+2)+J88+MAX(0,J89-J88)+MAX(0,J90-J89)+MAX(0,J91-J90)+MAX(0,J92-J91)+MAX(0,J93-J92)),IF(B82=1,(H82/(B82+3)+J93),IF(B82=0,H82/4+J93))))</f>
        <v>15</v>
      </c>
    </row>
    <row r="95" spans="1:14" x14ac:dyDescent="0.25">
      <c r="A95" s="176" t="s">
        <v>160</v>
      </c>
      <c r="B95" s="176"/>
      <c r="C95" s="176"/>
      <c r="D95" s="176"/>
      <c r="E95" s="176"/>
      <c r="F95" s="162" t="s">
        <v>165</v>
      </c>
      <c r="G95" s="162"/>
      <c r="H95" s="162"/>
    </row>
    <row r="96" spans="1:14" x14ac:dyDescent="0.25">
      <c r="A96" s="69" t="s">
        <v>163</v>
      </c>
      <c r="B96" s="69"/>
      <c r="C96" s="69"/>
      <c r="D96" s="69"/>
      <c r="E96" s="69"/>
      <c r="F96" s="138">
        <v>6650</v>
      </c>
      <c r="G96" s="138"/>
      <c r="H96" s="138"/>
      <c r="I96" s="19">
        <f>7200*588+550000</f>
        <v>4783600</v>
      </c>
      <c r="J96" s="59" t="s">
        <v>210</v>
      </c>
      <c r="K96" s="59"/>
      <c r="L96" s="59"/>
      <c r="M96" s="59"/>
      <c r="N96" s="59"/>
    </row>
    <row r="97" spans="1:8" x14ac:dyDescent="0.25">
      <c r="A97" s="69" t="s">
        <v>162</v>
      </c>
      <c r="B97" s="69"/>
      <c r="C97" s="69"/>
      <c r="D97" s="69"/>
      <c r="E97" s="69"/>
      <c r="F97" s="138">
        <v>12000</v>
      </c>
      <c r="G97" s="138"/>
      <c r="H97" s="138"/>
    </row>
    <row r="98" spans="1:8" x14ac:dyDescent="0.25">
      <c r="A98" s="69" t="s">
        <v>164</v>
      </c>
      <c r="B98" s="69"/>
      <c r="C98" s="69"/>
      <c r="D98" s="69"/>
      <c r="E98" s="69"/>
      <c r="F98" s="138">
        <v>8000</v>
      </c>
      <c r="G98" s="138"/>
      <c r="H98" s="138"/>
    </row>
    <row r="99" spans="1:8" s="31" customFormat="1" hidden="1" x14ac:dyDescent="0.25">
      <c r="A99" s="69" t="s">
        <v>161</v>
      </c>
      <c r="B99" s="69"/>
      <c r="C99" s="69"/>
      <c r="D99" s="69"/>
      <c r="E99" s="69"/>
      <c r="F99" s="138"/>
      <c r="G99" s="138"/>
      <c r="H99" s="138"/>
    </row>
    <row r="100" spans="1:8" s="31" customFormat="1" x14ac:dyDescent="0.25">
      <c r="A100" s="69" t="s">
        <v>203</v>
      </c>
      <c r="B100" s="69"/>
      <c r="C100" s="69"/>
      <c r="D100" s="69"/>
      <c r="E100" s="69"/>
      <c r="F100" s="138">
        <v>350000</v>
      </c>
      <c r="G100" s="138"/>
      <c r="H100" s="138"/>
    </row>
    <row r="101" spans="1:8" s="31" customFormat="1" x14ac:dyDescent="0.25">
      <c r="A101" s="69" t="s">
        <v>96</v>
      </c>
      <c r="B101" s="69"/>
      <c r="C101" s="69"/>
      <c r="D101" s="69"/>
      <c r="E101" s="69"/>
      <c r="F101" s="138">
        <v>200000</v>
      </c>
      <c r="G101" s="138"/>
      <c r="H101" s="138"/>
    </row>
    <row r="102" spans="1:8" s="31" customFormat="1" hidden="1" x14ac:dyDescent="0.25">
      <c r="A102" s="69" t="s">
        <v>166</v>
      </c>
      <c r="B102" s="69"/>
      <c r="C102" s="69"/>
      <c r="D102" s="69"/>
      <c r="E102" s="69"/>
      <c r="F102" s="138"/>
      <c r="G102" s="138"/>
      <c r="H102" s="138"/>
    </row>
    <row r="103" spans="1:8" s="31" customFormat="1" hidden="1" x14ac:dyDescent="0.25">
      <c r="A103" s="69" t="s">
        <v>97</v>
      </c>
      <c r="B103" s="69"/>
      <c r="C103" s="69"/>
      <c r="D103" s="69"/>
      <c r="E103" s="69"/>
      <c r="F103" s="138"/>
      <c r="G103" s="138"/>
      <c r="H103" s="138"/>
    </row>
    <row r="104" spans="1:8" s="31" customFormat="1" hidden="1" x14ac:dyDescent="0.25">
      <c r="A104" s="69" t="s">
        <v>98</v>
      </c>
      <c r="B104" s="69"/>
      <c r="C104" s="69"/>
      <c r="D104" s="69"/>
      <c r="E104" s="69"/>
      <c r="F104" s="138"/>
      <c r="G104" s="138"/>
      <c r="H104" s="138"/>
    </row>
    <row r="105" spans="1:8" s="31" customFormat="1" x14ac:dyDescent="0.25">
      <c r="A105" s="69" t="s">
        <v>99</v>
      </c>
      <c r="B105" s="69"/>
      <c r="C105" s="69"/>
      <c r="D105" s="69"/>
      <c r="E105" s="69"/>
      <c r="F105" s="138">
        <v>100000</v>
      </c>
      <c r="G105" s="138"/>
      <c r="H105" s="138"/>
    </row>
    <row r="106" spans="1:8" s="31" customFormat="1" x14ac:dyDescent="0.25">
      <c r="A106" s="69" t="s">
        <v>100</v>
      </c>
      <c r="B106" s="69"/>
      <c r="C106" s="69"/>
      <c r="D106" s="69"/>
      <c r="E106" s="69"/>
      <c r="F106" s="138">
        <v>50000</v>
      </c>
      <c r="G106" s="138"/>
      <c r="H106" s="138"/>
    </row>
    <row r="107" spans="1:8" x14ac:dyDescent="0.25">
      <c r="A107" s="69" t="s">
        <v>51</v>
      </c>
      <c r="B107" s="69"/>
      <c r="C107" s="69"/>
      <c r="D107" s="69"/>
      <c r="E107" s="69"/>
      <c r="F107" s="138">
        <v>450000</v>
      </c>
      <c r="G107" s="138"/>
      <c r="H107" s="138"/>
    </row>
    <row r="108" spans="1:8" s="32" customFormat="1" x14ac:dyDescent="0.25">
      <c r="A108" s="139" t="s">
        <v>52</v>
      </c>
      <c r="B108" s="139"/>
      <c r="C108" s="139"/>
      <c r="D108" s="139"/>
      <c r="E108" s="139"/>
      <c r="F108" s="138">
        <f>F96*0.8</f>
        <v>5320</v>
      </c>
      <c r="G108" s="138"/>
      <c r="H108" s="138"/>
    </row>
    <row r="109" spans="1:8" s="33" customFormat="1" ht="15.75" customHeight="1" x14ac:dyDescent="0.25">
      <c r="A109" s="137" t="s">
        <v>76</v>
      </c>
      <c r="B109" s="137"/>
      <c r="C109" s="137"/>
      <c r="D109" s="137"/>
      <c r="E109" s="137"/>
      <c r="F109" s="137"/>
      <c r="G109" s="137"/>
      <c r="H109" s="137"/>
    </row>
    <row r="110" spans="1:8" s="33" customFormat="1" ht="15.75" customHeight="1" x14ac:dyDescent="0.25">
      <c r="A110" s="165" t="s">
        <v>53</v>
      </c>
      <c r="B110" s="165"/>
      <c r="C110" s="171" t="s">
        <v>79</v>
      </c>
      <c r="D110" s="171"/>
      <c r="E110" s="111" t="s">
        <v>54</v>
      </c>
      <c r="F110" s="111"/>
      <c r="G110" s="165" t="s">
        <v>55</v>
      </c>
      <c r="H110" s="165"/>
    </row>
    <row r="111" spans="1:8" s="33" customFormat="1" x14ac:dyDescent="0.25">
      <c r="A111" s="172" t="s">
        <v>198</v>
      </c>
      <c r="B111" s="48" t="s">
        <v>187</v>
      </c>
      <c r="C111" s="166">
        <f>COUNT(D125:D136)</f>
        <v>12</v>
      </c>
      <c r="D111" s="167"/>
      <c r="E111" s="168">
        <f>SUM(D125:D136)</f>
        <v>4339.0329839999995</v>
      </c>
      <c r="F111" s="169"/>
      <c r="G111" s="168">
        <f>SUM(F125:F136)</f>
        <v>6942.4527743999979</v>
      </c>
      <c r="H111" s="169"/>
    </row>
    <row r="112" spans="1:8" s="33" customFormat="1" x14ac:dyDescent="0.25">
      <c r="A112" s="173"/>
      <c r="B112" s="48" t="s">
        <v>189</v>
      </c>
      <c r="C112" s="166">
        <f>COUNT(D138:D139)</f>
        <v>2</v>
      </c>
      <c r="D112" s="167"/>
      <c r="E112" s="168">
        <f>SUM(D138:D139)</f>
        <v>5892.3212399999993</v>
      </c>
      <c r="F112" s="169"/>
      <c r="G112" s="168">
        <f>SUM(F138:F139)</f>
        <v>9427.7139840000018</v>
      </c>
      <c r="H112" s="169"/>
    </row>
    <row r="113" spans="1:14" s="33" customFormat="1" x14ac:dyDescent="0.25">
      <c r="A113" s="137" t="s">
        <v>153</v>
      </c>
      <c r="B113" s="137"/>
      <c r="C113" s="170">
        <f>SUM(C111:C112)</f>
        <v>14</v>
      </c>
      <c r="D113" s="171"/>
      <c r="E113" s="110">
        <f>SUM(E111:E112)</f>
        <v>10231.354223999999</v>
      </c>
      <c r="F113" s="111"/>
      <c r="G113" s="165">
        <f>SUM(G111:G112)</f>
        <v>16370.166758399999</v>
      </c>
      <c r="H113" s="165"/>
      <c r="J113" s="60"/>
      <c r="K113" s="60"/>
    </row>
    <row r="114" spans="1:14" s="33" customFormat="1" x14ac:dyDescent="0.25">
      <c r="A114" s="137" t="s">
        <v>71</v>
      </c>
      <c r="B114" s="137"/>
      <c r="C114" s="137"/>
      <c r="D114" s="137"/>
      <c r="E114" s="137"/>
      <c r="F114" s="137"/>
      <c r="G114" s="137"/>
      <c r="H114" s="137"/>
    </row>
    <row r="115" spans="1:14" s="33" customFormat="1" ht="15.75" customHeight="1" x14ac:dyDescent="0.25">
      <c r="A115" s="165" t="s">
        <v>53</v>
      </c>
      <c r="B115" s="165"/>
      <c r="C115" s="171" t="s">
        <v>79</v>
      </c>
      <c r="D115" s="171"/>
      <c r="E115" s="111" t="s">
        <v>54</v>
      </c>
      <c r="F115" s="111"/>
      <c r="G115" s="165" t="s">
        <v>55</v>
      </c>
      <c r="H115" s="165"/>
    </row>
    <row r="116" spans="1:14" s="33" customFormat="1" x14ac:dyDescent="0.25">
      <c r="A116" s="140" t="s">
        <v>198</v>
      </c>
      <c r="B116" s="140"/>
      <c r="C116" s="175">
        <f>COUNT(D144:D150)+COUNT(D152:D158)*4+COUNT(D161:D166,D168:D174)*2+COUNT(D177:D181)</f>
        <v>66</v>
      </c>
      <c r="D116" s="175"/>
      <c r="E116" s="168">
        <f>SUM(D144:D150)+SUM(D152:D158)*4+SUM(D161:D166,D168:D174)*2+SUM(D177:D181)</f>
        <v>39125.035638000008</v>
      </c>
      <c r="F116" s="168"/>
      <c r="G116" s="168">
        <f>SUM(F144:F150)+SUM(F152:F158)*4+SUM(F161:F166,F168:F174)*2+SUM(F177:F181)</f>
        <v>69480</v>
      </c>
      <c r="H116" s="168"/>
    </row>
    <row r="117" spans="1:14" s="33" customFormat="1" x14ac:dyDescent="0.25">
      <c r="A117" s="140" t="s">
        <v>199</v>
      </c>
      <c r="B117" s="140"/>
      <c r="C117" s="175">
        <f>COUNT(D186:D199,D201:D214)+COUNT(D216:D229)*4+COUNT(D231:D240,D242:D244,D246:D259)*2</f>
        <v>138</v>
      </c>
      <c r="D117" s="175"/>
      <c r="E117" s="168">
        <f>SUM(D186:D199,D201:D214)+SUM(D216:D229)*4+SUM(D231:D240,D242:D244,D246:D259)*2</f>
        <v>58738.523688000001</v>
      </c>
      <c r="F117" s="168"/>
      <c r="G117" s="168">
        <f>SUM(F186:F199,F201:F214)+SUM(F216:F229)*4+SUM(F231:F240,F242:F244,F246:F259)*2</f>
        <v>101540</v>
      </c>
      <c r="H117" s="168"/>
    </row>
    <row r="118" spans="1:14" s="33" customFormat="1" x14ac:dyDescent="0.25">
      <c r="A118" s="137" t="s">
        <v>153</v>
      </c>
      <c r="B118" s="137"/>
      <c r="C118" s="174">
        <f>SUM(C116:C117)</f>
        <v>204</v>
      </c>
      <c r="D118" s="174"/>
      <c r="E118" s="110">
        <f>SUM(E116:E117)</f>
        <v>97863.559326000017</v>
      </c>
      <c r="F118" s="111"/>
      <c r="G118" s="165">
        <f>SUM(G116:G117)</f>
        <v>171020</v>
      </c>
      <c r="H118" s="165"/>
    </row>
    <row r="119" spans="1:14" s="32" customFormat="1" x14ac:dyDescent="0.25">
      <c r="A119" s="112" t="s">
        <v>56</v>
      </c>
      <c r="B119" s="112"/>
      <c r="C119" s="112"/>
      <c r="D119" s="112"/>
      <c r="E119" s="112"/>
      <c r="F119" s="112"/>
      <c r="G119" s="112"/>
      <c r="H119" s="112"/>
    </row>
    <row r="120" spans="1:14" x14ac:dyDescent="0.25">
      <c r="A120" s="112" t="s">
        <v>57</v>
      </c>
      <c r="B120" s="112"/>
      <c r="C120" s="112"/>
      <c r="D120" s="112"/>
      <c r="E120" s="112"/>
      <c r="F120" s="112"/>
      <c r="G120" s="112"/>
      <c r="H120" s="112"/>
    </row>
    <row r="121" spans="1:14" ht="47.25" customHeight="1" x14ac:dyDescent="0.25">
      <c r="A121" s="163" t="s">
        <v>120</v>
      </c>
      <c r="B121" s="163" t="s">
        <v>119</v>
      </c>
      <c r="C121" s="163" t="s">
        <v>58</v>
      </c>
      <c r="D121" s="163" t="s">
        <v>59</v>
      </c>
      <c r="E121" s="158" t="s">
        <v>159</v>
      </c>
      <c r="F121" s="40" t="s">
        <v>152</v>
      </c>
      <c r="G121" s="119" t="s">
        <v>61</v>
      </c>
      <c r="H121" s="120"/>
    </row>
    <row r="122" spans="1:14" s="41" customFormat="1" x14ac:dyDescent="0.25">
      <c r="A122" s="164"/>
      <c r="B122" s="164"/>
      <c r="C122" s="164"/>
      <c r="D122" s="164"/>
      <c r="E122" s="159"/>
      <c r="F122" s="13">
        <v>0.6</v>
      </c>
      <c r="G122" s="160"/>
      <c r="H122" s="161"/>
    </row>
    <row r="123" spans="1:14" s="41" customFormat="1" x14ac:dyDescent="0.25">
      <c r="A123" s="103" t="s">
        <v>193</v>
      </c>
      <c r="B123" s="104"/>
      <c r="C123" s="104"/>
      <c r="D123" s="104"/>
      <c r="E123" s="104"/>
      <c r="F123" s="104"/>
      <c r="G123" s="104"/>
      <c r="H123" s="105"/>
      <c r="J123" s="34"/>
    </row>
    <row r="124" spans="1:14" s="41" customFormat="1" x14ac:dyDescent="0.25">
      <c r="A124" s="103" t="s">
        <v>202</v>
      </c>
      <c r="B124" s="104"/>
      <c r="C124" s="104"/>
      <c r="D124" s="104"/>
      <c r="E124" s="104"/>
      <c r="F124" s="104"/>
      <c r="G124" s="104"/>
      <c r="H124" s="105"/>
      <c r="J124" s="34"/>
    </row>
    <row r="125" spans="1:14" s="41" customFormat="1" ht="15.75" customHeight="1" x14ac:dyDescent="0.25">
      <c r="A125" s="89">
        <v>1</v>
      </c>
      <c r="B125" s="90"/>
      <c r="C125" s="39" t="s">
        <v>187</v>
      </c>
      <c r="D125" s="50">
        <f>(33.138)*10.764</f>
        <v>356.69743199999994</v>
      </c>
      <c r="E125" s="39">
        <v>0</v>
      </c>
      <c r="F125" s="39">
        <f t="shared" ref="F125:F136" si="0">(D125+E125)*(($F$122)+1)</f>
        <v>570.71589119999987</v>
      </c>
      <c r="G125" s="113" t="str">
        <f>A124</f>
        <v>Ground Floor For Commercial</v>
      </c>
      <c r="H125" s="114"/>
      <c r="I125" s="39">
        <f>2.75*12.05</f>
        <v>33.137500000000003</v>
      </c>
      <c r="L125" s="88"/>
      <c r="M125" s="88"/>
      <c r="N125" s="34"/>
    </row>
    <row r="126" spans="1:14" s="41" customFormat="1" ht="15.75" customHeight="1" x14ac:dyDescent="0.25">
      <c r="A126" s="89">
        <f t="shared" ref="A126:A136" si="1">A125+1</f>
        <v>2</v>
      </c>
      <c r="B126" s="90"/>
      <c r="C126" s="39" t="s">
        <v>187</v>
      </c>
      <c r="D126" s="50">
        <f>(33.138)*10.764</f>
        <v>356.69743199999994</v>
      </c>
      <c r="E126" s="39">
        <v>0</v>
      </c>
      <c r="F126" s="39">
        <f t="shared" si="0"/>
        <v>570.71589119999987</v>
      </c>
      <c r="G126" s="115"/>
      <c r="H126" s="116"/>
      <c r="I126" s="34"/>
      <c r="L126" s="88"/>
      <c r="M126" s="88"/>
      <c r="N126" s="34"/>
    </row>
    <row r="127" spans="1:14" s="41" customFormat="1" ht="15.75" customHeight="1" x14ac:dyDescent="0.25">
      <c r="A127" s="89">
        <f t="shared" si="1"/>
        <v>3</v>
      </c>
      <c r="B127" s="90"/>
      <c r="C127" s="39" t="s">
        <v>187</v>
      </c>
      <c r="D127" s="50">
        <f>(33.138)*10.764</f>
        <v>356.69743199999994</v>
      </c>
      <c r="E127" s="39">
        <v>0</v>
      </c>
      <c r="F127" s="39">
        <f t="shared" si="0"/>
        <v>570.71589119999987</v>
      </c>
      <c r="G127" s="115"/>
      <c r="H127" s="116"/>
      <c r="I127" s="34"/>
      <c r="L127" s="88"/>
      <c r="M127" s="88"/>
      <c r="N127" s="34"/>
    </row>
    <row r="128" spans="1:14" s="41" customFormat="1" ht="15.75" customHeight="1" x14ac:dyDescent="0.25">
      <c r="A128" s="89">
        <f t="shared" si="1"/>
        <v>4</v>
      </c>
      <c r="B128" s="90"/>
      <c r="C128" s="39" t="s">
        <v>187</v>
      </c>
      <c r="D128" s="50">
        <f>(31.773)*10.764</f>
        <v>342.004572</v>
      </c>
      <c r="E128" s="39">
        <v>0</v>
      </c>
      <c r="F128" s="39">
        <f t="shared" si="0"/>
        <v>547.20731520000004</v>
      </c>
      <c r="G128" s="115"/>
      <c r="H128" s="116"/>
      <c r="I128" s="34">
        <v>10.763999999999999</v>
      </c>
      <c r="L128" s="88"/>
      <c r="M128" s="88"/>
      <c r="N128" s="34"/>
    </row>
    <row r="129" spans="1:14" s="41" customFormat="1" ht="15.75" customHeight="1" x14ac:dyDescent="0.25">
      <c r="A129" s="89">
        <f t="shared" si="1"/>
        <v>5</v>
      </c>
      <c r="B129" s="90"/>
      <c r="C129" s="39" t="s">
        <v>187</v>
      </c>
      <c r="D129" s="50">
        <f>(28.958)*10.764</f>
        <v>311.70391199999995</v>
      </c>
      <c r="E129" s="39">
        <v>0</v>
      </c>
      <c r="F129" s="39">
        <f t="shared" si="0"/>
        <v>498.72625919999996</v>
      </c>
      <c r="G129" s="115"/>
      <c r="H129" s="116"/>
      <c r="I129" s="34"/>
      <c r="L129" s="88"/>
      <c r="M129" s="88"/>
      <c r="N129" s="34"/>
    </row>
    <row r="130" spans="1:14" s="41" customFormat="1" ht="15.75" customHeight="1" x14ac:dyDescent="0.25">
      <c r="A130" s="89">
        <f t="shared" si="1"/>
        <v>6</v>
      </c>
      <c r="B130" s="90"/>
      <c r="C130" s="39" t="s">
        <v>187</v>
      </c>
      <c r="D130" s="50">
        <f>(34.175)*10.764</f>
        <v>367.85969999999998</v>
      </c>
      <c r="E130" s="39">
        <v>0</v>
      </c>
      <c r="F130" s="39">
        <f t="shared" si="0"/>
        <v>588.57551999999998</v>
      </c>
      <c r="G130" s="115"/>
      <c r="H130" s="116"/>
      <c r="I130" s="34"/>
      <c r="L130" s="88"/>
      <c r="M130" s="88"/>
      <c r="N130" s="34"/>
    </row>
    <row r="131" spans="1:14" s="41" customFormat="1" ht="15.75" customHeight="1" x14ac:dyDescent="0.25">
      <c r="A131" s="89">
        <f t="shared" si="1"/>
        <v>7</v>
      </c>
      <c r="B131" s="90"/>
      <c r="C131" s="39" t="s">
        <v>187</v>
      </c>
      <c r="D131" s="50">
        <f>(41.289)*10.764</f>
        <v>444.43479600000001</v>
      </c>
      <c r="E131" s="39">
        <v>0</v>
      </c>
      <c r="F131" s="39">
        <f t="shared" si="0"/>
        <v>711.09567360000005</v>
      </c>
      <c r="G131" s="115"/>
      <c r="H131" s="116"/>
      <c r="I131" s="34"/>
      <c r="L131" s="88"/>
      <c r="M131" s="88"/>
      <c r="N131" s="34"/>
    </row>
    <row r="132" spans="1:14" s="41" customFormat="1" ht="15.75" customHeight="1" x14ac:dyDescent="0.25">
      <c r="A132" s="89">
        <f t="shared" si="1"/>
        <v>8</v>
      </c>
      <c r="B132" s="90"/>
      <c r="C132" s="39" t="s">
        <v>187</v>
      </c>
      <c r="D132" s="50">
        <f>(34.945)*10.764</f>
        <v>376.14797999999996</v>
      </c>
      <c r="E132" s="39">
        <v>0</v>
      </c>
      <c r="F132" s="39">
        <f t="shared" si="0"/>
        <v>601.83676800000001</v>
      </c>
      <c r="G132" s="115"/>
      <c r="H132" s="116"/>
      <c r="I132" s="34"/>
      <c r="L132" s="88"/>
      <c r="M132" s="88"/>
      <c r="N132" s="34"/>
    </row>
    <row r="133" spans="1:14" s="41" customFormat="1" ht="15.75" customHeight="1" x14ac:dyDescent="0.25">
      <c r="A133" s="89">
        <f t="shared" si="1"/>
        <v>9</v>
      </c>
      <c r="B133" s="90"/>
      <c r="C133" s="39" t="s">
        <v>187</v>
      </c>
      <c r="D133" s="50">
        <f>(33.138)*10.764</f>
        <v>356.69743199999994</v>
      </c>
      <c r="E133" s="39">
        <v>0</v>
      </c>
      <c r="F133" s="39">
        <f t="shared" si="0"/>
        <v>570.71589119999987</v>
      </c>
      <c r="G133" s="115"/>
      <c r="H133" s="116"/>
      <c r="I133" s="34"/>
      <c r="L133" s="88"/>
      <c r="M133" s="88"/>
      <c r="N133" s="34"/>
    </row>
    <row r="134" spans="1:14" s="41" customFormat="1" ht="15.75" customHeight="1" x14ac:dyDescent="0.25">
      <c r="A134" s="89">
        <f t="shared" si="1"/>
        <v>10</v>
      </c>
      <c r="B134" s="90"/>
      <c r="C134" s="39" t="s">
        <v>187</v>
      </c>
      <c r="D134" s="50">
        <f>(33.138)*10.764</f>
        <v>356.69743199999994</v>
      </c>
      <c r="E134" s="39">
        <v>0</v>
      </c>
      <c r="F134" s="39">
        <f t="shared" si="0"/>
        <v>570.71589119999987</v>
      </c>
      <c r="G134" s="115"/>
      <c r="H134" s="116"/>
      <c r="I134" s="34"/>
      <c r="L134" s="88"/>
      <c r="M134" s="88"/>
      <c r="N134" s="34"/>
    </row>
    <row r="135" spans="1:14" s="41" customFormat="1" ht="15.75" customHeight="1" x14ac:dyDescent="0.25">
      <c r="A135" s="89">
        <f t="shared" si="1"/>
        <v>11</v>
      </c>
      <c r="B135" s="90"/>
      <c r="C135" s="39" t="s">
        <v>187</v>
      </c>
      <c r="D135" s="50">
        <f>(33.138)*10.764</f>
        <v>356.69743199999994</v>
      </c>
      <c r="E135" s="39">
        <v>0</v>
      </c>
      <c r="F135" s="39">
        <f t="shared" si="0"/>
        <v>570.71589119999987</v>
      </c>
      <c r="G135" s="115"/>
      <c r="H135" s="116"/>
      <c r="I135" s="34"/>
      <c r="L135" s="88"/>
      <c r="M135" s="88"/>
      <c r="N135" s="34"/>
    </row>
    <row r="136" spans="1:14" s="41" customFormat="1" ht="15.75" customHeight="1" x14ac:dyDescent="0.25">
      <c r="A136" s="89">
        <f t="shared" si="1"/>
        <v>12</v>
      </c>
      <c r="B136" s="90"/>
      <c r="C136" s="39" t="s">
        <v>187</v>
      </c>
      <c r="D136" s="50">
        <f>(33.138)*10.764</f>
        <v>356.69743199999994</v>
      </c>
      <c r="E136" s="39">
        <v>0</v>
      </c>
      <c r="F136" s="39">
        <f t="shared" si="0"/>
        <v>570.71589119999987</v>
      </c>
      <c r="G136" s="117"/>
      <c r="H136" s="118"/>
      <c r="I136" s="34"/>
      <c r="L136" s="88"/>
      <c r="M136" s="88"/>
      <c r="N136" s="34"/>
    </row>
    <row r="137" spans="1:14" s="41" customFormat="1" x14ac:dyDescent="0.25">
      <c r="A137" s="103" t="s">
        <v>188</v>
      </c>
      <c r="B137" s="104"/>
      <c r="C137" s="104"/>
      <c r="D137" s="104"/>
      <c r="E137" s="104"/>
      <c r="F137" s="104"/>
      <c r="G137" s="104"/>
      <c r="H137" s="105"/>
      <c r="J137" s="34"/>
    </row>
    <row r="138" spans="1:14" s="41" customFormat="1" x14ac:dyDescent="0.25">
      <c r="A138" s="89">
        <v>1</v>
      </c>
      <c r="B138" s="90"/>
      <c r="C138" s="39" t="s">
        <v>189</v>
      </c>
      <c r="D138" s="50">
        <f>242.4*10.764</f>
        <v>2609.1936000000001</v>
      </c>
      <c r="E138" s="39">
        <v>0</v>
      </c>
      <c r="F138" s="39">
        <f>(D138+E138)*(($F$122)+1)</f>
        <v>4174.7097600000006</v>
      </c>
      <c r="G138" s="89" t="str">
        <f>A137</f>
        <v xml:space="preserve">1st Floor For Commercial </v>
      </c>
      <c r="H138" s="90"/>
      <c r="I138" s="39"/>
      <c r="L138" s="88"/>
      <c r="M138" s="88"/>
      <c r="N138" s="34"/>
    </row>
    <row r="139" spans="1:14" s="41" customFormat="1" x14ac:dyDescent="0.25">
      <c r="A139" s="89">
        <f t="shared" ref="A139" si="2">A138+1</f>
        <v>2</v>
      </c>
      <c r="B139" s="90"/>
      <c r="C139" s="39" t="s">
        <v>189</v>
      </c>
      <c r="D139" s="50">
        <f>305.01*10.764</f>
        <v>3283.1276399999997</v>
      </c>
      <c r="E139" s="39">
        <v>0</v>
      </c>
      <c r="F139" s="39">
        <f t="shared" ref="F139" si="3">(D139+E139)*(($F$122)+1)</f>
        <v>5253.0042240000002</v>
      </c>
      <c r="G139" s="89" t="str">
        <f t="shared" ref="G139" si="4">G138</f>
        <v xml:space="preserve">1st Floor For Commercial </v>
      </c>
      <c r="H139" s="90"/>
      <c r="I139" s="34"/>
      <c r="L139" s="88"/>
      <c r="M139" s="88"/>
      <c r="N139" s="34"/>
    </row>
    <row r="140" spans="1:14" s="41" customFormat="1" x14ac:dyDescent="0.25">
      <c r="A140" s="89"/>
      <c r="B140" s="141"/>
      <c r="C140" s="141"/>
      <c r="D140" s="141"/>
      <c r="E140" s="141"/>
      <c r="F140" s="141"/>
      <c r="G140" s="141"/>
      <c r="H140" s="90"/>
      <c r="I140" s="34"/>
      <c r="N140" s="34"/>
    </row>
    <row r="141" spans="1:14" ht="47.25" customHeight="1" x14ac:dyDescent="0.25">
      <c r="A141" s="58" t="s">
        <v>121</v>
      </c>
      <c r="B141" s="58" t="s">
        <v>122</v>
      </c>
      <c r="C141" s="40" t="s">
        <v>58</v>
      </c>
      <c r="D141" s="40" t="s">
        <v>59</v>
      </c>
      <c r="E141" s="57" t="s">
        <v>60</v>
      </c>
      <c r="F141" s="40" t="s">
        <v>209</v>
      </c>
      <c r="G141" s="119" t="s">
        <v>61</v>
      </c>
      <c r="H141" s="120"/>
      <c r="I141" s="34"/>
    </row>
    <row r="142" spans="1:14" s="41" customFormat="1" x14ac:dyDescent="0.25">
      <c r="A142" s="103" t="s">
        <v>193</v>
      </c>
      <c r="B142" s="104"/>
      <c r="C142" s="104"/>
      <c r="D142" s="104"/>
      <c r="E142" s="104"/>
      <c r="F142" s="104"/>
      <c r="G142" s="104"/>
      <c r="H142" s="105"/>
      <c r="J142" s="34"/>
    </row>
    <row r="143" spans="1:14" s="41" customFormat="1" x14ac:dyDescent="0.25">
      <c r="A143" s="103" t="s">
        <v>207</v>
      </c>
      <c r="B143" s="104"/>
      <c r="C143" s="104"/>
      <c r="D143" s="104"/>
      <c r="E143" s="104"/>
      <c r="F143" s="104"/>
      <c r="G143" s="104"/>
      <c r="H143" s="105"/>
      <c r="J143" s="34"/>
    </row>
    <row r="144" spans="1:14" s="41" customFormat="1" x14ac:dyDescent="0.25">
      <c r="A144" s="89">
        <v>1</v>
      </c>
      <c r="B144" s="90"/>
      <c r="C144" s="47" t="s">
        <v>191</v>
      </c>
      <c r="D144" s="39">
        <f>(31.594)*10.764</f>
        <v>340.07781599999998</v>
      </c>
      <c r="E144" s="39">
        <f>(4.23*7.12+1.63*2)*10.764</f>
        <v>359.27648640000001</v>
      </c>
      <c r="F144" s="39">
        <v>985</v>
      </c>
      <c r="G144" s="89" t="str">
        <f>A143</f>
        <v>2nd Floor for Residential</v>
      </c>
      <c r="H144" s="90"/>
      <c r="I144" s="39">
        <f>(2.75*4.27+2.14*3+1.22*2.14+1.83*1.22+2.45*3+2.75*3+1.2*1.8)</f>
        <v>40.765900000000002</v>
      </c>
      <c r="J144" s="41">
        <f>4000000/F144</f>
        <v>4060.9137055837564</v>
      </c>
      <c r="L144" s="88"/>
      <c r="M144" s="88"/>
      <c r="N144" s="34"/>
    </row>
    <row r="145" spans="1:14" s="41" customFormat="1" x14ac:dyDescent="0.25">
      <c r="A145" s="89">
        <f t="shared" ref="A145:A150" si="5">A144+1</f>
        <v>2</v>
      </c>
      <c r="B145" s="90"/>
      <c r="C145" s="47" t="s">
        <v>190</v>
      </c>
      <c r="D145" s="39">
        <f>(50.3309)*10.764</f>
        <v>541.7618076</v>
      </c>
      <c r="E145" s="39">
        <f>(5.16*2.8+3.16*0.75+0.9*1.32+2.05*2.75+5.8*0.75+0.69*2.75)*10.764</f>
        <v>321.74672399999997</v>
      </c>
      <c r="F145" s="39">
        <v>1330</v>
      </c>
      <c r="G145" s="89" t="str">
        <f t="shared" ref="G145:G150" si="6">G144</f>
        <v>2nd Floor for Residential</v>
      </c>
      <c r="H145" s="90"/>
      <c r="I145" s="34"/>
      <c r="L145" s="88"/>
      <c r="M145" s="88"/>
      <c r="N145" s="34"/>
    </row>
    <row r="146" spans="1:14" s="41" customFormat="1" x14ac:dyDescent="0.25">
      <c r="A146" s="89">
        <f t="shared" si="5"/>
        <v>3</v>
      </c>
      <c r="B146" s="90"/>
      <c r="C146" s="47" t="s">
        <v>190</v>
      </c>
      <c r="D146" s="39">
        <f>(53.4335)*10.764</f>
        <v>575.15819399999998</v>
      </c>
      <c r="E146" s="39">
        <f>(2.75*2.05+4.27*0.75+2.9*1.44)*10.764</f>
        <v>140.10422399999999</v>
      </c>
      <c r="F146" s="39">
        <v>1225</v>
      </c>
      <c r="G146" s="89" t="str">
        <f t="shared" si="6"/>
        <v>2nd Floor for Residential</v>
      </c>
      <c r="H146" s="90"/>
      <c r="I146" s="34"/>
      <c r="L146" s="88"/>
      <c r="M146" s="88"/>
      <c r="N146" s="34"/>
    </row>
    <row r="147" spans="1:14" s="41" customFormat="1" x14ac:dyDescent="0.25">
      <c r="A147" s="89">
        <f t="shared" si="5"/>
        <v>4</v>
      </c>
      <c r="B147" s="90"/>
      <c r="C147" s="47" t="s">
        <v>190</v>
      </c>
      <c r="D147" s="39">
        <f>(53.433)*10.764</f>
        <v>575.15281199999993</v>
      </c>
      <c r="E147" s="39">
        <f>(2.75*2.05+4.27*0.75+2.9*1.44)*10.764</f>
        <v>140.10422399999999</v>
      </c>
      <c r="F147" s="39">
        <v>1225</v>
      </c>
      <c r="G147" s="89" t="str">
        <f t="shared" si="6"/>
        <v>2nd Floor for Residential</v>
      </c>
      <c r="H147" s="90"/>
      <c r="I147" s="34"/>
      <c r="L147" s="88"/>
      <c r="M147" s="88"/>
      <c r="N147" s="34"/>
    </row>
    <row r="148" spans="1:14" s="41" customFormat="1" x14ac:dyDescent="0.25">
      <c r="A148" s="89">
        <f t="shared" si="5"/>
        <v>5</v>
      </c>
      <c r="B148" s="90"/>
      <c r="C148" s="47" t="s">
        <v>190</v>
      </c>
      <c r="D148" s="39">
        <f>(50.33)*10.764</f>
        <v>541.75211999999999</v>
      </c>
      <c r="E148" s="39">
        <f>(5.16*2.95+3.16*0.75+0.75*1.22+2.05*2.75+0.75*5.6+0.75*2.75)*10.764</f>
        <v>327.30094800000001</v>
      </c>
      <c r="F148" s="39">
        <v>1330</v>
      </c>
      <c r="G148" s="89" t="str">
        <f t="shared" si="6"/>
        <v>2nd Floor for Residential</v>
      </c>
      <c r="H148" s="90"/>
      <c r="I148" s="34"/>
      <c r="L148" s="88"/>
      <c r="M148" s="88"/>
      <c r="N148" s="34"/>
    </row>
    <row r="149" spans="1:14" s="41" customFormat="1" x14ac:dyDescent="0.25">
      <c r="A149" s="89">
        <f t="shared" si="5"/>
        <v>6</v>
      </c>
      <c r="B149" s="90"/>
      <c r="C149" s="47" t="s">
        <v>190</v>
      </c>
      <c r="D149" s="39">
        <f>(43.969+0.75*(2.45+2.14+2.75))*10.764</f>
        <v>532.53813600000001</v>
      </c>
      <c r="E149" s="39">
        <f>(3.47*1.22+5.4*1.95+1.37*0.95+1.53*2.6)*10.764</f>
        <v>215.74177560000001</v>
      </c>
      <c r="F149" s="39">
        <v>1125</v>
      </c>
      <c r="G149" s="89" t="str">
        <f t="shared" si="6"/>
        <v>2nd Floor for Residential</v>
      </c>
      <c r="H149" s="90"/>
      <c r="I149" s="39">
        <f>2.75*4.05+2.14*3+2.75*3+1.22*2.3</f>
        <v>28.613499999999998</v>
      </c>
      <c r="L149" s="88"/>
      <c r="M149" s="88"/>
      <c r="N149" s="34"/>
    </row>
    <row r="150" spans="1:14" s="41" customFormat="1" x14ac:dyDescent="0.25">
      <c r="A150" s="89">
        <f t="shared" si="5"/>
        <v>7</v>
      </c>
      <c r="B150" s="90"/>
      <c r="C150" s="47" t="s">
        <v>190</v>
      </c>
      <c r="D150" s="39">
        <f>(43.8+0.75*(2.14+2.45+2.75))*10.764</f>
        <v>530.71902</v>
      </c>
      <c r="E150" s="39">
        <f>(1.53*2.6)*10.764</f>
        <v>42.819192000000001</v>
      </c>
      <c r="F150" s="39">
        <v>1025</v>
      </c>
      <c r="G150" s="89" t="str">
        <f t="shared" si="6"/>
        <v>2nd Floor for Residential</v>
      </c>
      <c r="H150" s="90"/>
      <c r="I150" s="34"/>
      <c r="L150" s="88"/>
      <c r="M150" s="88"/>
      <c r="N150" s="34"/>
    </row>
    <row r="151" spans="1:14" s="41" customFormat="1" x14ac:dyDescent="0.25">
      <c r="A151" s="103" t="s">
        <v>217</v>
      </c>
      <c r="B151" s="104"/>
      <c r="C151" s="104"/>
      <c r="D151" s="104"/>
      <c r="E151" s="104"/>
      <c r="F151" s="104"/>
      <c r="G151" s="104"/>
      <c r="H151" s="105"/>
      <c r="J151" s="34"/>
    </row>
    <row r="152" spans="1:14" s="41" customFormat="1" x14ac:dyDescent="0.25">
      <c r="A152" s="89">
        <v>1</v>
      </c>
      <c r="B152" s="90"/>
      <c r="C152" s="47" t="s">
        <v>191</v>
      </c>
      <c r="D152" s="39">
        <f>(31.594+0.75*(2.14+2.75))*10.764</f>
        <v>379.55478599999998</v>
      </c>
      <c r="E152" s="39">
        <v>0</v>
      </c>
      <c r="F152" s="39">
        <v>705</v>
      </c>
      <c r="G152" s="89" t="str">
        <f>A151</f>
        <v xml:space="preserve">3rd to 6th Floor </v>
      </c>
      <c r="H152" s="90"/>
      <c r="I152" s="39">
        <f>(2.75*4.27+2.14*3+1.22*2.14+1.83*1.22+2.45*3+2.75*3+1.2*1.8)</f>
        <v>40.765900000000002</v>
      </c>
      <c r="J152" s="41">
        <f>4000000/F152</f>
        <v>5673.7588652482273</v>
      </c>
      <c r="L152" s="88"/>
      <c r="M152" s="88"/>
      <c r="N152" s="34"/>
    </row>
    <row r="153" spans="1:14" s="41" customFormat="1" x14ac:dyDescent="0.25">
      <c r="A153" s="89">
        <f t="shared" ref="A153:A158" si="7">A152+1</f>
        <v>2</v>
      </c>
      <c r="B153" s="90"/>
      <c r="C153" s="47" t="s">
        <v>190</v>
      </c>
      <c r="D153" s="39">
        <f>(50.3309+2.75*1.25+0.75*(2.8+2.75+2.75))*10.764</f>
        <v>645.76895760000002</v>
      </c>
      <c r="E153" s="39">
        <v>0</v>
      </c>
      <c r="F153" s="39">
        <v>1110</v>
      </c>
      <c r="G153" s="89" t="str">
        <f t="shared" ref="G153:G158" si="8">G152</f>
        <v xml:space="preserve">3rd to 6th Floor </v>
      </c>
      <c r="H153" s="90"/>
      <c r="I153" s="34"/>
      <c r="L153" s="88"/>
      <c r="M153" s="88"/>
      <c r="N153" s="34"/>
    </row>
    <row r="154" spans="1:14" s="41" customFormat="1" x14ac:dyDescent="0.25">
      <c r="A154" s="89">
        <f t="shared" si="7"/>
        <v>3</v>
      </c>
      <c r="B154" s="90"/>
      <c r="C154" s="47" t="s">
        <v>190</v>
      </c>
      <c r="D154" s="39">
        <f>(53.4335+2.75*1.25+0.75*(2.12+2.75+2.9))*10.764</f>
        <v>674.88665400000002</v>
      </c>
      <c r="E154" s="39">
        <v>0</v>
      </c>
      <c r="F154" s="39">
        <v>1155</v>
      </c>
      <c r="G154" s="89" t="str">
        <f t="shared" si="8"/>
        <v xml:space="preserve">3rd to 6th Floor </v>
      </c>
      <c r="H154" s="90"/>
      <c r="I154" s="34"/>
      <c r="L154" s="88"/>
      <c r="M154" s="88"/>
      <c r="N154" s="34"/>
    </row>
    <row r="155" spans="1:14" s="41" customFormat="1" x14ac:dyDescent="0.25">
      <c r="A155" s="89">
        <f t="shared" si="7"/>
        <v>4</v>
      </c>
      <c r="B155" s="90"/>
      <c r="C155" s="47" t="s">
        <v>190</v>
      </c>
      <c r="D155" s="39">
        <f>(53.433+2.75*1.25+0.75*(2.12+2.75+2.9))*10.764</f>
        <v>674.88127199999997</v>
      </c>
      <c r="E155" s="39">
        <v>0</v>
      </c>
      <c r="F155" s="39">
        <v>1155</v>
      </c>
      <c r="G155" s="89" t="str">
        <f t="shared" si="8"/>
        <v xml:space="preserve">3rd to 6th Floor </v>
      </c>
      <c r="H155" s="90"/>
      <c r="I155" s="34"/>
      <c r="L155" s="88">
        <v>0</v>
      </c>
      <c r="M155" s="88"/>
      <c r="N155" s="34"/>
    </row>
    <row r="156" spans="1:14" s="41" customFormat="1" x14ac:dyDescent="0.25">
      <c r="A156" s="89">
        <f t="shared" si="7"/>
        <v>5</v>
      </c>
      <c r="B156" s="90"/>
      <c r="C156" s="47" t="s">
        <v>190</v>
      </c>
      <c r="D156" s="39">
        <f>(50.33+2.75*1.25+0.75*(2.8+2.75+2.75))*10.764</f>
        <v>645.7592699999999</v>
      </c>
      <c r="E156" s="39">
        <v>0</v>
      </c>
      <c r="F156" s="39">
        <v>1110</v>
      </c>
      <c r="G156" s="89" t="str">
        <f t="shared" si="8"/>
        <v xml:space="preserve">3rd to 6th Floor </v>
      </c>
      <c r="H156" s="90"/>
      <c r="I156" s="34"/>
      <c r="L156" s="88"/>
      <c r="M156" s="88"/>
      <c r="N156" s="34"/>
    </row>
    <row r="157" spans="1:14" s="41" customFormat="1" x14ac:dyDescent="0.25">
      <c r="A157" s="89">
        <f t="shared" si="7"/>
        <v>6</v>
      </c>
      <c r="B157" s="90"/>
      <c r="C157" s="47" t="s">
        <v>190</v>
      </c>
      <c r="D157" s="39">
        <f>(43.969+1.75*1.25+0.75*(2.45+2.14+2.75))*10.764</f>
        <v>556.08438599999999</v>
      </c>
      <c r="E157" s="39">
        <v>0</v>
      </c>
      <c r="F157" s="39">
        <v>955</v>
      </c>
      <c r="G157" s="89" t="str">
        <f t="shared" si="8"/>
        <v xml:space="preserve">3rd to 6th Floor </v>
      </c>
      <c r="H157" s="90"/>
      <c r="I157" s="39">
        <f>2.75*4.05+2.14*3+2.75*3+1.22*2.3</f>
        <v>28.613499999999998</v>
      </c>
      <c r="L157" s="88"/>
      <c r="M157" s="88"/>
      <c r="N157" s="34"/>
    </row>
    <row r="158" spans="1:14" s="41" customFormat="1" x14ac:dyDescent="0.25">
      <c r="A158" s="89">
        <f t="shared" si="7"/>
        <v>7</v>
      </c>
      <c r="B158" s="90"/>
      <c r="C158" s="47" t="s">
        <v>190</v>
      </c>
      <c r="D158" s="39">
        <f>(43.8+1.75*1.25+0.75*(2.14+2.45+2.75))*10.764</f>
        <v>554.26526999999999</v>
      </c>
      <c r="E158" s="39">
        <v>0</v>
      </c>
      <c r="F158" s="39">
        <v>955</v>
      </c>
      <c r="G158" s="89" t="str">
        <f t="shared" si="8"/>
        <v xml:space="preserve">3rd to 6th Floor </v>
      </c>
      <c r="H158" s="90"/>
      <c r="I158" s="34"/>
      <c r="J158" s="41">
        <f>6500000/F158</f>
        <v>6806.2827225130886</v>
      </c>
      <c r="L158" s="88"/>
      <c r="M158" s="88"/>
      <c r="N158" s="34"/>
    </row>
    <row r="159" spans="1:14" s="41" customFormat="1" x14ac:dyDescent="0.25">
      <c r="A159" s="103" t="s">
        <v>218</v>
      </c>
      <c r="B159" s="104"/>
      <c r="C159" s="104"/>
      <c r="D159" s="104"/>
      <c r="E159" s="104"/>
      <c r="F159" s="104"/>
      <c r="G159" s="104"/>
      <c r="H159" s="105"/>
      <c r="J159" s="34"/>
    </row>
    <row r="160" spans="1:14" s="41" customFormat="1" x14ac:dyDescent="0.25">
      <c r="A160" s="89">
        <v>1</v>
      </c>
      <c r="B160" s="90"/>
      <c r="C160" s="185" t="s">
        <v>219</v>
      </c>
      <c r="D160" s="186"/>
      <c r="E160" s="186"/>
      <c r="F160" s="187"/>
      <c r="G160" s="89" t="str">
        <f>A159</f>
        <v>7th &amp; 9th Floor (Part Refuge Area)</v>
      </c>
      <c r="H160" s="90"/>
      <c r="I160" s="39">
        <f>(2.75*4.27+2.14*3+1.22*2.14+1.83*1.22+2.45*3+2.75*3+1.2*1.8)</f>
        <v>40.765900000000002</v>
      </c>
      <c r="J160" s="41" t="e">
        <f>4000000/F160</f>
        <v>#DIV/0!</v>
      </c>
      <c r="L160" s="88"/>
      <c r="M160" s="88"/>
      <c r="N160" s="34"/>
    </row>
    <row r="161" spans="1:14" s="41" customFormat="1" x14ac:dyDescent="0.25">
      <c r="A161" s="89">
        <f t="shared" ref="A161:A166" si="9">A160+1</f>
        <v>2</v>
      </c>
      <c r="B161" s="90"/>
      <c r="C161" s="47" t="s">
        <v>190</v>
      </c>
      <c r="D161" s="39">
        <f>(50.3309+2.75*1.25+0.75*(2.8+2.75+2.75))*10.764</f>
        <v>645.76895760000002</v>
      </c>
      <c r="E161" s="39">
        <v>0</v>
      </c>
      <c r="F161" s="39">
        <v>1110</v>
      </c>
      <c r="G161" s="89" t="str">
        <f t="shared" ref="G161:G166" si="10">G160</f>
        <v>7th &amp; 9th Floor (Part Refuge Area)</v>
      </c>
      <c r="H161" s="90"/>
      <c r="I161" s="34"/>
      <c r="L161" s="88"/>
      <c r="M161" s="88"/>
      <c r="N161" s="34"/>
    </row>
    <row r="162" spans="1:14" s="41" customFormat="1" x14ac:dyDescent="0.25">
      <c r="A162" s="89">
        <f t="shared" si="9"/>
        <v>3</v>
      </c>
      <c r="B162" s="90"/>
      <c r="C162" s="47" t="s">
        <v>190</v>
      </c>
      <c r="D162" s="39">
        <f>(53.4335+2.75*1.25+0.75*(2.12+2.75+2.9))*10.764</f>
        <v>674.88665400000002</v>
      </c>
      <c r="E162" s="39">
        <v>0</v>
      </c>
      <c r="F162" s="39">
        <v>1155</v>
      </c>
      <c r="G162" s="89" t="str">
        <f t="shared" si="10"/>
        <v>7th &amp; 9th Floor (Part Refuge Area)</v>
      </c>
      <c r="H162" s="90"/>
      <c r="I162" s="34"/>
      <c r="L162" s="88"/>
      <c r="M162" s="88"/>
      <c r="N162" s="34"/>
    </row>
    <row r="163" spans="1:14" s="41" customFormat="1" x14ac:dyDescent="0.25">
      <c r="A163" s="89">
        <f t="shared" si="9"/>
        <v>4</v>
      </c>
      <c r="B163" s="90"/>
      <c r="C163" s="47" t="s">
        <v>190</v>
      </c>
      <c r="D163" s="39">
        <f>(53.433+2.75*1.25+0.75*(2.12+2.75+2.9))*10.764</f>
        <v>674.88127199999997</v>
      </c>
      <c r="E163" s="39">
        <v>0</v>
      </c>
      <c r="F163" s="39">
        <v>1155</v>
      </c>
      <c r="G163" s="89" t="str">
        <f t="shared" si="10"/>
        <v>7th &amp; 9th Floor (Part Refuge Area)</v>
      </c>
      <c r="H163" s="90"/>
      <c r="I163" s="34"/>
      <c r="L163" s="88">
        <v>0</v>
      </c>
      <c r="M163" s="88"/>
      <c r="N163" s="34"/>
    </row>
    <row r="164" spans="1:14" s="41" customFormat="1" x14ac:dyDescent="0.25">
      <c r="A164" s="89">
        <f t="shared" si="9"/>
        <v>5</v>
      </c>
      <c r="B164" s="90"/>
      <c r="C164" s="47" t="s">
        <v>190</v>
      </c>
      <c r="D164" s="39">
        <f>(50.33+2.75*1.25+0.75*(2.8+2.75+2.75))*10.764</f>
        <v>645.7592699999999</v>
      </c>
      <c r="E164" s="39">
        <v>0</v>
      </c>
      <c r="F164" s="39">
        <v>1110</v>
      </c>
      <c r="G164" s="89" t="str">
        <f t="shared" si="10"/>
        <v>7th &amp; 9th Floor (Part Refuge Area)</v>
      </c>
      <c r="H164" s="90"/>
      <c r="I164" s="34"/>
      <c r="L164" s="88"/>
      <c r="M164" s="88"/>
      <c r="N164" s="34"/>
    </row>
    <row r="165" spans="1:14" s="41" customFormat="1" x14ac:dyDescent="0.25">
      <c r="A165" s="89">
        <f t="shared" si="9"/>
        <v>6</v>
      </c>
      <c r="B165" s="90"/>
      <c r="C165" s="47" t="s">
        <v>190</v>
      </c>
      <c r="D165" s="39">
        <f>(43.969+1.75*1.25+0.75*(2.45+2.14+2.75))*10.764</f>
        <v>556.08438599999999</v>
      </c>
      <c r="E165" s="39">
        <v>0</v>
      </c>
      <c r="F165" s="39">
        <v>955</v>
      </c>
      <c r="G165" s="89" t="str">
        <f t="shared" si="10"/>
        <v>7th &amp; 9th Floor (Part Refuge Area)</v>
      </c>
      <c r="H165" s="90"/>
      <c r="I165" s="39">
        <f>2.75*4.05+2.14*3+2.75*3+1.22*2.3</f>
        <v>28.613499999999998</v>
      </c>
      <c r="L165" s="88"/>
      <c r="M165" s="88"/>
      <c r="N165" s="34"/>
    </row>
    <row r="166" spans="1:14" s="41" customFormat="1" x14ac:dyDescent="0.25">
      <c r="A166" s="89">
        <f t="shared" si="9"/>
        <v>7</v>
      </c>
      <c r="B166" s="90"/>
      <c r="C166" s="47" t="s">
        <v>190</v>
      </c>
      <c r="D166" s="39">
        <f>(43.8+1.75*1.25+0.75*(2.14+2.45+2.75))*10.764</f>
        <v>554.26526999999999</v>
      </c>
      <c r="E166" s="39">
        <v>0</v>
      </c>
      <c r="F166" s="39">
        <v>955</v>
      </c>
      <c r="G166" s="89" t="str">
        <f t="shared" si="10"/>
        <v>7th &amp; 9th Floor (Part Refuge Area)</v>
      </c>
      <c r="H166" s="90"/>
      <c r="I166" s="34"/>
      <c r="J166" s="41">
        <f>6500000/F166</f>
        <v>6806.2827225130886</v>
      </c>
      <c r="L166" s="88"/>
      <c r="M166" s="88"/>
      <c r="N166" s="34"/>
    </row>
    <row r="167" spans="1:14" s="41" customFormat="1" x14ac:dyDescent="0.25">
      <c r="A167" s="103" t="s">
        <v>222</v>
      </c>
      <c r="B167" s="104"/>
      <c r="C167" s="104"/>
      <c r="D167" s="104"/>
      <c r="E167" s="104"/>
      <c r="F167" s="104"/>
      <c r="G167" s="104"/>
      <c r="H167" s="105"/>
      <c r="J167" s="34"/>
    </row>
    <row r="168" spans="1:14" s="41" customFormat="1" x14ac:dyDescent="0.25">
      <c r="A168" s="89">
        <v>1</v>
      </c>
      <c r="B168" s="90"/>
      <c r="C168" s="47" t="s">
        <v>191</v>
      </c>
      <c r="D168" s="39">
        <f>(31.594+0.75*(2.14+2.75))*10.764</f>
        <v>379.55478599999998</v>
      </c>
      <c r="E168" s="39">
        <v>0</v>
      </c>
      <c r="F168" s="39">
        <v>705</v>
      </c>
      <c r="G168" s="89" t="str">
        <f>A167</f>
        <v xml:space="preserve">8th &amp; 10th Floor </v>
      </c>
      <c r="H168" s="90"/>
      <c r="I168" s="39">
        <f>(2.75*4.27+2.14*3+1.22*2.14+1.83*1.22+2.45*3+2.75*3+1.2*1.8)</f>
        <v>40.765900000000002</v>
      </c>
      <c r="J168" s="41">
        <f>4000000/F168</f>
        <v>5673.7588652482273</v>
      </c>
      <c r="L168" s="88"/>
      <c r="M168" s="88"/>
      <c r="N168" s="34"/>
    </row>
    <row r="169" spans="1:14" s="41" customFormat="1" x14ac:dyDescent="0.25">
      <c r="A169" s="89">
        <f t="shared" ref="A169:A174" si="11">A168+1</f>
        <v>2</v>
      </c>
      <c r="B169" s="90"/>
      <c r="C169" s="47" t="s">
        <v>190</v>
      </c>
      <c r="D169" s="39">
        <f>(50.3309+2.75*1.25+0.75*(2.8+2.75+2.75))*10.764</f>
        <v>645.76895760000002</v>
      </c>
      <c r="E169" s="39">
        <v>0</v>
      </c>
      <c r="F169" s="39">
        <v>1110</v>
      </c>
      <c r="G169" s="89" t="str">
        <f t="shared" ref="G169:G174" si="12">G168</f>
        <v xml:space="preserve">8th &amp; 10th Floor </v>
      </c>
      <c r="H169" s="90"/>
      <c r="I169" s="34"/>
      <c r="L169" s="88"/>
      <c r="M169" s="88"/>
      <c r="N169" s="34"/>
    </row>
    <row r="170" spans="1:14" s="41" customFormat="1" x14ac:dyDescent="0.25">
      <c r="A170" s="89">
        <f t="shared" si="11"/>
        <v>3</v>
      </c>
      <c r="B170" s="90"/>
      <c r="C170" s="47" t="s">
        <v>190</v>
      </c>
      <c r="D170" s="39">
        <f>(53.4335+2.75*1.25+0.75*(2.12+2.75+2.9))*10.764</f>
        <v>674.88665400000002</v>
      </c>
      <c r="E170" s="39">
        <v>0</v>
      </c>
      <c r="F170" s="39">
        <v>1155</v>
      </c>
      <c r="G170" s="89" t="str">
        <f t="shared" si="12"/>
        <v xml:space="preserve">8th &amp; 10th Floor </v>
      </c>
      <c r="H170" s="90"/>
      <c r="I170" s="34"/>
      <c r="L170" s="88"/>
      <c r="M170" s="88"/>
      <c r="N170" s="34"/>
    </row>
    <row r="171" spans="1:14" s="41" customFormat="1" x14ac:dyDescent="0.25">
      <c r="A171" s="89">
        <f t="shared" si="11"/>
        <v>4</v>
      </c>
      <c r="B171" s="90"/>
      <c r="C171" s="47" t="s">
        <v>190</v>
      </c>
      <c r="D171" s="39">
        <f>(53.433+2.75*1.25+0.75*(2.12+2.75+2.9))*10.764</f>
        <v>674.88127199999997</v>
      </c>
      <c r="E171" s="39">
        <v>0</v>
      </c>
      <c r="F171" s="39">
        <v>1155</v>
      </c>
      <c r="G171" s="89" t="str">
        <f t="shared" si="12"/>
        <v xml:space="preserve">8th &amp; 10th Floor </v>
      </c>
      <c r="H171" s="90"/>
      <c r="I171" s="34"/>
      <c r="L171" s="88">
        <v>0</v>
      </c>
      <c r="M171" s="88"/>
      <c r="N171" s="34"/>
    </row>
    <row r="172" spans="1:14" s="41" customFormat="1" x14ac:dyDescent="0.25">
      <c r="A172" s="89">
        <f t="shared" si="11"/>
        <v>5</v>
      </c>
      <c r="B172" s="90"/>
      <c r="C172" s="47" t="s">
        <v>190</v>
      </c>
      <c r="D172" s="39">
        <f>(50.33+2.75*1.25+0.75*(2.8+2.75+2.75))*10.764</f>
        <v>645.7592699999999</v>
      </c>
      <c r="E172" s="39">
        <v>0</v>
      </c>
      <c r="F172" s="39">
        <v>1110</v>
      </c>
      <c r="G172" s="89" t="str">
        <f t="shared" si="12"/>
        <v xml:space="preserve">8th &amp; 10th Floor </v>
      </c>
      <c r="H172" s="90"/>
      <c r="I172" s="34"/>
      <c r="L172" s="88"/>
      <c r="M172" s="88"/>
      <c r="N172" s="34"/>
    </row>
    <row r="173" spans="1:14" s="41" customFormat="1" x14ac:dyDescent="0.25">
      <c r="A173" s="89">
        <f t="shared" si="11"/>
        <v>6</v>
      </c>
      <c r="B173" s="90"/>
      <c r="C173" s="47" t="s">
        <v>190</v>
      </c>
      <c r="D173" s="39">
        <f>(43.969+1.75*1.25+0.75*(2.45+2.14+2.75))*10.764</f>
        <v>556.08438599999999</v>
      </c>
      <c r="E173" s="39">
        <v>0</v>
      </c>
      <c r="F173" s="39">
        <v>955</v>
      </c>
      <c r="G173" s="89" t="str">
        <f t="shared" si="12"/>
        <v xml:space="preserve">8th &amp; 10th Floor </v>
      </c>
      <c r="H173" s="90"/>
      <c r="I173" s="39">
        <f>2.75*4.05+2.14*3+2.75*3+1.22*2.3</f>
        <v>28.613499999999998</v>
      </c>
      <c r="L173" s="88"/>
      <c r="M173" s="88"/>
      <c r="N173" s="34"/>
    </row>
    <row r="174" spans="1:14" s="41" customFormat="1" x14ac:dyDescent="0.25">
      <c r="A174" s="89">
        <f t="shared" si="11"/>
        <v>7</v>
      </c>
      <c r="B174" s="90"/>
      <c r="C174" s="47" t="s">
        <v>190</v>
      </c>
      <c r="D174" s="39">
        <f>(43.8+1.75*1.25+0.75*(2.14+2.45+2.75))*10.764</f>
        <v>554.26526999999999</v>
      </c>
      <c r="E174" s="39">
        <v>0</v>
      </c>
      <c r="F174" s="39">
        <v>955</v>
      </c>
      <c r="G174" s="89" t="str">
        <f t="shared" si="12"/>
        <v xml:space="preserve">8th &amp; 10th Floor </v>
      </c>
      <c r="H174" s="90"/>
      <c r="I174" s="34"/>
      <c r="J174" s="41">
        <f>6500000/F174</f>
        <v>6806.2827225130886</v>
      </c>
      <c r="L174" s="88"/>
      <c r="M174" s="88"/>
      <c r="N174" s="34"/>
    </row>
    <row r="175" spans="1:14" s="41" customFormat="1" x14ac:dyDescent="0.25">
      <c r="A175" s="103" t="s">
        <v>220</v>
      </c>
      <c r="B175" s="104"/>
      <c r="C175" s="104"/>
      <c r="D175" s="104"/>
      <c r="E175" s="104"/>
      <c r="F175" s="104"/>
      <c r="G175" s="104"/>
      <c r="H175" s="105"/>
      <c r="J175" s="34"/>
    </row>
    <row r="176" spans="1:14" s="41" customFormat="1" x14ac:dyDescent="0.25">
      <c r="A176" s="89">
        <v>1</v>
      </c>
      <c r="B176" s="90"/>
      <c r="C176" s="185" t="s">
        <v>219</v>
      </c>
      <c r="D176" s="186"/>
      <c r="E176" s="186"/>
      <c r="F176" s="187"/>
      <c r="G176" s="89" t="str">
        <f>A175</f>
        <v>11th Floor (Part Refuge Area &amp; Terrace Area)</v>
      </c>
      <c r="H176" s="90"/>
      <c r="I176" s="39">
        <f>(2.75*4.27+2.14*3+1.22*2.14+1.83*1.22+2.45*3+2.75*3+1.2*1.8)</f>
        <v>40.765900000000002</v>
      </c>
      <c r="J176" s="41" t="e">
        <f>4000000/F176</f>
        <v>#DIV/0!</v>
      </c>
      <c r="L176" s="88"/>
      <c r="M176" s="88"/>
      <c r="N176" s="34"/>
    </row>
    <row r="177" spans="1:14" s="41" customFormat="1" x14ac:dyDescent="0.25">
      <c r="A177" s="89">
        <f t="shared" ref="A177:A182" si="13">A176+1</f>
        <v>2</v>
      </c>
      <c r="B177" s="90"/>
      <c r="C177" s="47" t="s">
        <v>190</v>
      </c>
      <c r="D177" s="39">
        <f>(50.3309+2.75*1.25+0.75*(2.8+2.75+2.75))*10.764</f>
        <v>645.76895760000002</v>
      </c>
      <c r="E177" s="39">
        <v>0</v>
      </c>
      <c r="F177" s="39">
        <v>1110</v>
      </c>
      <c r="G177" s="89" t="str">
        <f t="shared" ref="G177:G182" si="14">G176</f>
        <v>11th Floor (Part Refuge Area &amp; Terrace Area)</v>
      </c>
      <c r="H177" s="90"/>
      <c r="I177" s="34"/>
      <c r="L177" s="88"/>
      <c r="M177" s="88"/>
      <c r="N177" s="34"/>
    </row>
    <row r="178" spans="1:14" s="41" customFormat="1" x14ac:dyDescent="0.25">
      <c r="A178" s="89">
        <f t="shared" si="13"/>
        <v>3</v>
      </c>
      <c r="B178" s="90"/>
      <c r="C178" s="47" t="s">
        <v>190</v>
      </c>
      <c r="D178" s="39">
        <f>(53.4335+2.75*1.25+0.75*(2.12+2.75+2.9))*10.764</f>
        <v>674.88665400000002</v>
      </c>
      <c r="E178" s="39">
        <v>0</v>
      </c>
      <c r="F178" s="39">
        <v>1155</v>
      </c>
      <c r="G178" s="89" t="str">
        <f t="shared" si="14"/>
        <v>11th Floor (Part Refuge Area &amp; Terrace Area)</v>
      </c>
      <c r="H178" s="90"/>
      <c r="I178" s="34"/>
      <c r="L178" s="88"/>
      <c r="M178" s="88"/>
      <c r="N178" s="34"/>
    </row>
    <row r="179" spans="1:14" s="41" customFormat="1" x14ac:dyDescent="0.25">
      <c r="A179" s="89">
        <f t="shared" si="13"/>
        <v>4</v>
      </c>
      <c r="B179" s="90"/>
      <c r="C179" s="47" t="s">
        <v>190</v>
      </c>
      <c r="D179" s="39">
        <f>(53.433+2.75*1.25+0.75*(2.12+2.75+2.9))*10.764</f>
        <v>674.88127199999997</v>
      </c>
      <c r="E179" s="39">
        <v>0</v>
      </c>
      <c r="F179" s="39">
        <v>1155</v>
      </c>
      <c r="G179" s="89" t="str">
        <f t="shared" si="14"/>
        <v>11th Floor (Part Refuge Area &amp; Terrace Area)</v>
      </c>
      <c r="H179" s="90"/>
      <c r="I179" s="34"/>
      <c r="L179" s="88">
        <v>0</v>
      </c>
      <c r="M179" s="88"/>
      <c r="N179" s="34"/>
    </row>
    <row r="180" spans="1:14" s="41" customFormat="1" x14ac:dyDescent="0.25">
      <c r="A180" s="89">
        <f t="shared" si="13"/>
        <v>5</v>
      </c>
      <c r="B180" s="90"/>
      <c r="C180" s="47" t="s">
        <v>190</v>
      </c>
      <c r="D180" s="39">
        <f>(50.33+2.75*1.25+0.75*(2.8+2.75+2.75))*10.764</f>
        <v>645.7592699999999</v>
      </c>
      <c r="E180" s="39">
        <v>0</v>
      </c>
      <c r="F180" s="39">
        <v>1110</v>
      </c>
      <c r="G180" s="89" t="str">
        <f t="shared" si="14"/>
        <v>11th Floor (Part Refuge Area &amp; Terrace Area)</v>
      </c>
      <c r="H180" s="90"/>
      <c r="I180" s="34"/>
      <c r="L180" s="88"/>
      <c r="M180" s="88"/>
      <c r="N180" s="34"/>
    </row>
    <row r="181" spans="1:14" s="41" customFormat="1" x14ac:dyDescent="0.25">
      <c r="A181" s="89">
        <f t="shared" si="13"/>
        <v>6</v>
      </c>
      <c r="B181" s="90"/>
      <c r="C181" s="47" t="s">
        <v>190</v>
      </c>
      <c r="D181" s="39">
        <f>(43.969+1.75*1.25+0.75*(2.45+2.14+2.75))*10.764</f>
        <v>556.08438599999999</v>
      </c>
      <c r="E181" s="39">
        <v>0</v>
      </c>
      <c r="F181" s="39">
        <v>955</v>
      </c>
      <c r="G181" s="89" t="str">
        <f t="shared" si="14"/>
        <v>11th Floor (Part Refuge Area &amp; Terrace Area)</v>
      </c>
      <c r="H181" s="90"/>
      <c r="I181" s="39">
        <f>2.75*4.05+2.14*3+2.75*3+1.22*2.3</f>
        <v>28.613499999999998</v>
      </c>
      <c r="L181" s="88"/>
      <c r="M181" s="88"/>
      <c r="N181" s="34"/>
    </row>
    <row r="182" spans="1:14" s="41" customFormat="1" x14ac:dyDescent="0.25">
      <c r="A182" s="89">
        <f t="shared" si="13"/>
        <v>7</v>
      </c>
      <c r="B182" s="90"/>
      <c r="C182" s="185" t="s">
        <v>221</v>
      </c>
      <c r="D182" s="186"/>
      <c r="E182" s="186"/>
      <c r="F182" s="187"/>
      <c r="G182" s="89" t="str">
        <f t="shared" si="14"/>
        <v>11th Floor (Part Refuge Area &amp; Terrace Area)</v>
      </c>
      <c r="H182" s="90"/>
      <c r="I182" s="34"/>
      <c r="J182" s="41" t="e">
        <f>6500000/F182</f>
        <v>#DIV/0!</v>
      </c>
      <c r="L182" s="88"/>
      <c r="M182" s="88"/>
      <c r="N182" s="34"/>
    </row>
    <row r="183" spans="1:14" s="41" customFormat="1" x14ac:dyDescent="0.25">
      <c r="A183" s="103" t="s">
        <v>192</v>
      </c>
      <c r="B183" s="104"/>
      <c r="C183" s="104"/>
      <c r="D183" s="104"/>
      <c r="E183" s="104"/>
      <c r="F183" s="104"/>
      <c r="G183" s="104"/>
      <c r="H183" s="105"/>
      <c r="J183" s="34"/>
    </row>
    <row r="184" spans="1:14" s="41" customFormat="1" x14ac:dyDescent="0.25">
      <c r="A184" s="103" t="s">
        <v>194</v>
      </c>
      <c r="B184" s="104"/>
      <c r="C184" s="104"/>
      <c r="D184" s="104"/>
      <c r="E184" s="104"/>
      <c r="F184" s="104"/>
      <c r="G184" s="104"/>
      <c r="H184" s="105"/>
      <c r="J184" s="34"/>
    </row>
    <row r="185" spans="1:14" s="41" customFormat="1" x14ac:dyDescent="0.25">
      <c r="A185" s="103" t="s">
        <v>206</v>
      </c>
      <c r="B185" s="104"/>
      <c r="C185" s="104"/>
      <c r="D185" s="104"/>
      <c r="E185" s="104"/>
      <c r="F185" s="104"/>
      <c r="G185" s="104"/>
      <c r="H185" s="105"/>
      <c r="J185" s="34"/>
    </row>
    <row r="186" spans="1:14" s="41" customFormat="1" x14ac:dyDescent="0.25">
      <c r="A186" s="89">
        <v>1</v>
      </c>
      <c r="B186" s="90"/>
      <c r="C186" s="47" t="s">
        <v>190</v>
      </c>
      <c r="D186" s="39">
        <f>(43.969+1.75*1.25+0.75*(2.14+2.45+2.75))*10.764</f>
        <v>556.08438599999999</v>
      </c>
      <c r="E186" s="39">
        <v>0</v>
      </c>
      <c r="F186" s="39">
        <v>955</v>
      </c>
      <c r="G186" s="89" t="str">
        <f>A185</f>
        <v>1st Floor for Residential</v>
      </c>
      <c r="H186" s="90"/>
      <c r="I186" s="39">
        <f>(2.75*4.27+2.14*3+1.22*2.14+1.83*1.22+2.45*3+2.75*3+1.2*1.8)</f>
        <v>40.765900000000002</v>
      </c>
      <c r="L186" s="88"/>
      <c r="M186" s="88"/>
      <c r="N186" s="34"/>
    </row>
    <row r="187" spans="1:14" s="41" customFormat="1" x14ac:dyDescent="0.25">
      <c r="A187" s="89">
        <f t="shared" ref="A187:A199" si="15">A186+1</f>
        <v>2</v>
      </c>
      <c r="B187" s="90"/>
      <c r="C187" s="47" t="s">
        <v>190</v>
      </c>
      <c r="D187" s="39">
        <f>(43.969+1.75*1.25+0.75*(2.14+2.45+2.75))*10.764</f>
        <v>556.08438599999999</v>
      </c>
      <c r="E187" s="39">
        <v>0</v>
      </c>
      <c r="F187" s="39">
        <v>955</v>
      </c>
      <c r="G187" s="89" t="str">
        <f t="shared" ref="G187:G199" si="16">G186</f>
        <v>1st Floor for Residential</v>
      </c>
      <c r="H187" s="90"/>
      <c r="I187" s="34"/>
      <c r="L187" s="88"/>
      <c r="M187" s="88"/>
      <c r="N187" s="34"/>
    </row>
    <row r="188" spans="1:14" s="41" customFormat="1" x14ac:dyDescent="0.25">
      <c r="A188" s="89">
        <f t="shared" si="15"/>
        <v>3</v>
      </c>
      <c r="B188" s="90"/>
      <c r="C188" s="47" t="s">
        <v>191</v>
      </c>
      <c r="D188" s="39">
        <f>(30.545+2.75*1.25+0.75*(2.14+2.75))*10.764</f>
        <v>405.26460000000003</v>
      </c>
      <c r="E188" s="39">
        <v>0</v>
      </c>
      <c r="F188" s="39">
        <v>690</v>
      </c>
      <c r="G188" s="89" t="str">
        <f t="shared" si="16"/>
        <v>1st Floor for Residential</v>
      </c>
      <c r="H188" s="90"/>
      <c r="I188" s="34"/>
      <c r="L188" s="88"/>
      <c r="M188" s="88"/>
      <c r="N188" s="34"/>
    </row>
    <row r="189" spans="1:14" s="41" customFormat="1" x14ac:dyDescent="0.25">
      <c r="A189" s="89">
        <f t="shared" si="15"/>
        <v>4</v>
      </c>
      <c r="B189" s="90"/>
      <c r="C189" s="47" t="s">
        <v>191</v>
      </c>
      <c r="D189" s="39">
        <f>(29.832+2.75*1.25+0.75*(2.14+2.75))*10.764</f>
        <v>397.58986799999997</v>
      </c>
      <c r="E189" s="39">
        <v>0</v>
      </c>
      <c r="F189" s="39">
        <v>680</v>
      </c>
      <c r="G189" s="89" t="str">
        <f t="shared" si="16"/>
        <v>1st Floor for Residential</v>
      </c>
      <c r="H189" s="90"/>
      <c r="I189" s="34"/>
      <c r="L189" s="88"/>
      <c r="M189" s="88"/>
      <c r="N189" s="34"/>
    </row>
    <row r="190" spans="1:14" s="41" customFormat="1" x14ac:dyDescent="0.25">
      <c r="A190" s="89">
        <f t="shared" si="15"/>
        <v>5</v>
      </c>
      <c r="B190" s="90"/>
      <c r="C190" s="47" t="s">
        <v>191</v>
      </c>
      <c r="D190" s="39">
        <f>(29.832+2.75*1.25+0.75*(2.14+2.75))*10.764</f>
        <v>397.58986799999997</v>
      </c>
      <c r="E190" s="39">
        <v>0</v>
      </c>
      <c r="F190" s="39">
        <v>680</v>
      </c>
      <c r="G190" s="89" t="str">
        <f t="shared" si="16"/>
        <v>1st Floor for Residential</v>
      </c>
      <c r="H190" s="90"/>
      <c r="I190" s="34"/>
      <c r="L190" s="88"/>
      <c r="M190" s="88"/>
      <c r="N190" s="34"/>
    </row>
    <row r="191" spans="1:14" s="41" customFormat="1" x14ac:dyDescent="0.25">
      <c r="A191" s="89">
        <f t="shared" si="15"/>
        <v>6</v>
      </c>
      <c r="B191" s="90"/>
      <c r="C191" s="47" t="s">
        <v>191</v>
      </c>
      <c r="D191" s="39">
        <f>(31.77+2.75*1.25+0.75*(2.14+2.75))*10.764</f>
        <v>418.45049999999998</v>
      </c>
      <c r="E191" s="39">
        <v>0</v>
      </c>
      <c r="F191" s="39">
        <v>710</v>
      </c>
      <c r="G191" s="89" t="str">
        <f t="shared" si="16"/>
        <v>1st Floor for Residential</v>
      </c>
      <c r="H191" s="90"/>
      <c r="I191" s="39">
        <f>2.75*4.05+2.14*3+2.75*3+1.22*2.3</f>
        <v>28.613499999999998</v>
      </c>
      <c r="L191" s="88"/>
      <c r="M191" s="88"/>
      <c r="N191" s="34"/>
    </row>
    <row r="192" spans="1:14" s="41" customFormat="1" x14ac:dyDescent="0.25">
      <c r="A192" s="89">
        <f t="shared" si="15"/>
        <v>7</v>
      </c>
      <c r="B192" s="90"/>
      <c r="C192" s="47" t="s">
        <v>191</v>
      </c>
      <c r="D192" s="39">
        <f>(31.464+1.75*1.25+0.75*(2.14+2.75))*10.764</f>
        <v>401.70171599999998</v>
      </c>
      <c r="E192" s="39">
        <v>0</v>
      </c>
      <c r="F192" s="39">
        <v>690</v>
      </c>
      <c r="G192" s="89" t="str">
        <f t="shared" si="16"/>
        <v>1st Floor for Residential</v>
      </c>
      <c r="H192" s="90"/>
      <c r="I192" s="34"/>
      <c r="L192" s="88"/>
      <c r="M192" s="88"/>
      <c r="N192" s="34"/>
    </row>
    <row r="193" spans="1:14" s="41" customFormat="1" x14ac:dyDescent="0.25">
      <c r="A193" s="89">
        <f t="shared" si="15"/>
        <v>8</v>
      </c>
      <c r="B193" s="90"/>
      <c r="C193" s="47" t="s">
        <v>191</v>
      </c>
      <c r="D193" s="39">
        <f t="shared" ref="D193:D199" si="17">(31.594+1.75*1.25+0.75*(2.14+2.75))*10.764</f>
        <v>403.10103599999997</v>
      </c>
      <c r="E193" s="39">
        <v>0</v>
      </c>
      <c r="F193" s="39">
        <v>705</v>
      </c>
      <c r="G193" s="89" t="str">
        <f t="shared" si="16"/>
        <v>1st Floor for Residential</v>
      </c>
      <c r="H193" s="90"/>
      <c r="I193" s="34"/>
      <c r="L193" s="88"/>
      <c r="M193" s="88"/>
      <c r="N193" s="34"/>
    </row>
    <row r="194" spans="1:14" s="41" customFormat="1" x14ac:dyDescent="0.25">
      <c r="A194" s="89">
        <f t="shared" si="15"/>
        <v>9</v>
      </c>
      <c r="B194" s="90"/>
      <c r="C194" s="47" t="s">
        <v>191</v>
      </c>
      <c r="D194" s="39">
        <f t="shared" si="17"/>
        <v>403.10103599999997</v>
      </c>
      <c r="E194" s="39">
        <v>0</v>
      </c>
      <c r="F194" s="39">
        <v>705</v>
      </c>
      <c r="G194" s="89" t="str">
        <f t="shared" si="16"/>
        <v>1st Floor for Residential</v>
      </c>
      <c r="H194" s="90"/>
      <c r="I194" s="34"/>
      <c r="L194" s="88"/>
      <c r="M194" s="88"/>
      <c r="N194" s="34"/>
    </row>
    <row r="195" spans="1:14" s="41" customFormat="1" x14ac:dyDescent="0.25">
      <c r="A195" s="89">
        <f t="shared" si="15"/>
        <v>10</v>
      </c>
      <c r="B195" s="90"/>
      <c r="C195" s="47" t="s">
        <v>191</v>
      </c>
      <c r="D195" s="39">
        <f t="shared" si="17"/>
        <v>403.10103599999997</v>
      </c>
      <c r="E195" s="39">
        <v>0</v>
      </c>
      <c r="F195" s="39">
        <v>705</v>
      </c>
      <c r="G195" s="89" t="str">
        <f t="shared" si="16"/>
        <v>1st Floor for Residential</v>
      </c>
      <c r="H195" s="90"/>
      <c r="I195" s="34"/>
      <c r="L195" s="88"/>
      <c r="M195" s="88"/>
      <c r="N195" s="34"/>
    </row>
    <row r="196" spans="1:14" s="41" customFormat="1" x14ac:dyDescent="0.25">
      <c r="A196" s="89">
        <f t="shared" si="15"/>
        <v>11</v>
      </c>
      <c r="B196" s="90"/>
      <c r="C196" s="47" t="s">
        <v>191</v>
      </c>
      <c r="D196" s="39">
        <f t="shared" si="17"/>
        <v>403.10103599999997</v>
      </c>
      <c r="E196" s="39">
        <v>0</v>
      </c>
      <c r="F196" s="39">
        <v>705</v>
      </c>
      <c r="G196" s="89" t="str">
        <f t="shared" si="16"/>
        <v>1st Floor for Residential</v>
      </c>
      <c r="H196" s="90"/>
      <c r="I196" s="34"/>
      <c r="L196" s="88"/>
      <c r="M196" s="88"/>
      <c r="N196" s="34"/>
    </row>
    <row r="197" spans="1:14" s="41" customFormat="1" x14ac:dyDescent="0.25">
      <c r="A197" s="89">
        <f t="shared" si="15"/>
        <v>12</v>
      </c>
      <c r="B197" s="90"/>
      <c r="C197" s="47" t="s">
        <v>191</v>
      </c>
      <c r="D197" s="39">
        <f t="shared" si="17"/>
        <v>403.10103599999997</v>
      </c>
      <c r="E197" s="39">
        <v>0</v>
      </c>
      <c r="F197" s="39">
        <v>705</v>
      </c>
      <c r="G197" s="89" t="str">
        <f t="shared" si="16"/>
        <v>1st Floor for Residential</v>
      </c>
      <c r="H197" s="90"/>
      <c r="I197" s="34"/>
      <c r="L197" s="88"/>
      <c r="M197" s="88"/>
      <c r="N197" s="34"/>
    </row>
    <row r="198" spans="1:14" s="41" customFormat="1" x14ac:dyDescent="0.25">
      <c r="A198" s="89">
        <f t="shared" si="15"/>
        <v>13</v>
      </c>
      <c r="B198" s="90"/>
      <c r="C198" s="47" t="s">
        <v>191</v>
      </c>
      <c r="D198" s="39">
        <f t="shared" si="17"/>
        <v>403.10103599999997</v>
      </c>
      <c r="E198" s="39">
        <v>0</v>
      </c>
      <c r="F198" s="39">
        <v>705</v>
      </c>
      <c r="G198" s="89" t="str">
        <f t="shared" si="16"/>
        <v>1st Floor for Residential</v>
      </c>
      <c r="H198" s="90"/>
      <c r="I198" s="34"/>
      <c r="L198" s="88"/>
      <c r="M198" s="88"/>
      <c r="N198" s="34"/>
    </row>
    <row r="199" spans="1:14" s="41" customFormat="1" x14ac:dyDescent="0.25">
      <c r="A199" s="89">
        <f t="shared" si="15"/>
        <v>14</v>
      </c>
      <c r="B199" s="90"/>
      <c r="C199" s="47" t="s">
        <v>191</v>
      </c>
      <c r="D199" s="39">
        <f t="shared" si="17"/>
        <v>403.10103599999997</v>
      </c>
      <c r="E199" s="39">
        <v>0</v>
      </c>
      <c r="F199" s="39">
        <v>705</v>
      </c>
      <c r="G199" s="89" t="str">
        <f t="shared" si="16"/>
        <v>1st Floor for Residential</v>
      </c>
      <c r="H199" s="90"/>
      <c r="I199" s="34"/>
      <c r="L199" s="88"/>
      <c r="M199" s="88"/>
      <c r="N199" s="34"/>
    </row>
    <row r="200" spans="1:14" s="41" customFormat="1" ht="15.75" customHeight="1" x14ac:dyDescent="0.25">
      <c r="A200" s="103" t="s">
        <v>195</v>
      </c>
      <c r="B200" s="104"/>
      <c r="C200" s="104"/>
      <c r="D200" s="104"/>
      <c r="E200" s="104"/>
      <c r="F200" s="104"/>
      <c r="G200" s="104"/>
      <c r="H200" s="105"/>
      <c r="J200" s="34"/>
    </row>
    <row r="201" spans="1:14" s="41" customFormat="1" x14ac:dyDescent="0.25">
      <c r="A201" s="89">
        <v>1</v>
      </c>
      <c r="B201" s="90"/>
      <c r="C201" s="47" t="s">
        <v>190</v>
      </c>
      <c r="D201" s="39">
        <f>(43.969+1.75*1.25+0.75*(2.14+2.45+2.75))*10.764</f>
        <v>556.08438599999999</v>
      </c>
      <c r="E201" s="39">
        <v>0</v>
      </c>
      <c r="F201" s="39">
        <v>955</v>
      </c>
      <c r="G201" s="89" t="str">
        <f>A200</f>
        <v xml:space="preserve">2nd Floor </v>
      </c>
      <c r="H201" s="90"/>
      <c r="I201" s="39">
        <f>(2.75*4.27+2.14*3+1.22*2.14+1.83*1.22+2.45*3+2.75*3+1.2*1.8)</f>
        <v>40.765900000000002</v>
      </c>
      <c r="L201" s="88"/>
      <c r="M201" s="88"/>
      <c r="N201" s="34"/>
    </row>
    <row r="202" spans="1:14" s="41" customFormat="1" x14ac:dyDescent="0.25">
      <c r="A202" s="89">
        <f t="shared" ref="A202:A214" si="18">A201+1</f>
        <v>2</v>
      </c>
      <c r="B202" s="90"/>
      <c r="C202" s="47" t="s">
        <v>190</v>
      </c>
      <c r="D202" s="39">
        <f>(43.969+1.75*1.25+0.75*(2.14+2.45+2.75))*10.764</f>
        <v>556.08438599999999</v>
      </c>
      <c r="E202" s="39">
        <v>0</v>
      </c>
      <c r="F202" s="39">
        <v>955</v>
      </c>
      <c r="G202" s="89" t="str">
        <f t="shared" ref="G202:G214" si="19">G201</f>
        <v xml:space="preserve">2nd Floor </v>
      </c>
      <c r="H202" s="90"/>
      <c r="I202" s="34"/>
      <c r="L202" s="88"/>
      <c r="M202" s="88"/>
      <c r="N202" s="34"/>
    </row>
    <row r="203" spans="1:14" s="41" customFormat="1" x14ac:dyDescent="0.25">
      <c r="A203" s="89">
        <f t="shared" si="18"/>
        <v>3</v>
      </c>
      <c r="B203" s="90"/>
      <c r="C203" s="47" t="s">
        <v>191</v>
      </c>
      <c r="D203" s="39">
        <f>(30.545+2.75*1.25+0.75*(2.14+2.75))*10.764</f>
        <v>405.26460000000003</v>
      </c>
      <c r="E203" s="39">
        <v>0</v>
      </c>
      <c r="F203" s="39">
        <v>690</v>
      </c>
      <c r="G203" s="89" t="str">
        <f t="shared" si="19"/>
        <v xml:space="preserve">2nd Floor </v>
      </c>
      <c r="H203" s="90"/>
      <c r="I203" s="34"/>
      <c r="L203" s="88"/>
      <c r="M203" s="88"/>
      <c r="N203" s="34"/>
    </row>
    <row r="204" spans="1:14" s="41" customFormat="1" x14ac:dyDescent="0.25">
      <c r="A204" s="89">
        <f t="shared" si="18"/>
        <v>4</v>
      </c>
      <c r="B204" s="90"/>
      <c r="C204" s="47" t="s">
        <v>191</v>
      </c>
      <c r="D204" s="39">
        <f>(29.832+2.75*1.25+0.75*(2.14+2.75))*10.764</f>
        <v>397.58986799999997</v>
      </c>
      <c r="E204" s="39">
        <v>0</v>
      </c>
      <c r="F204" s="39">
        <v>680</v>
      </c>
      <c r="G204" s="89" t="str">
        <f t="shared" si="19"/>
        <v xml:space="preserve">2nd Floor </v>
      </c>
      <c r="H204" s="90"/>
      <c r="I204" s="34"/>
      <c r="L204" s="88"/>
      <c r="M204" s="88"/>
      <c r="N204" s="34"/>
    </row>
    <row r="205" spans="1:14" s="41" customFormat="1" x14ac:dyDescent="0.25">
      <c r="A205" s="89">
        <f t="shared" si="18"/>
        <v>5</v>
      </c>
      <c r="B205" s="90"/>
      <c r="C205" s="47" t="s">
        <v>191</v>
      </c>
      <c r="D205" s="39">
        <f>(29.832+2.75*1.25+0.75*(2.14+2.75))*10.764</f>
        <v>397.58986799999997</v>
      </c>
      <c r="E205" s="39">
        <v>0</v>
      </c>
      <c r="F205" s="39">
        <v>680</v>
      </c>
      <c r="G205" s="89" t="str">
        <f t="shared" si="19"/>
        <v xml:space="preserve">2nd Floor </v>
      </c>
      <c r="H205" s="90"/>
      <c r="I205" s="34"/>
      <c r="L205" s="88"/>
      <c r="M205" s="88"/>
      <c r="N205" s="34"/>
    </row>
    <row r="206" spans="1:14" s="41" customFormat="1" x14ac:dyDescent="0.25">
      <c r="A206" s="89">
        <f t="shared" si="18"/>
        <v>6</v>
      </c>
      <c r="B206" s="90"/>
      <c r="C206" s="47" t="s">
        <v>191</v>
      </c>
      <c r="D206" s="39">
        <f>(31.77+2.75*1.25+0.75*(2.14+2.75))*10.764</f>
        <v>418.45049999999998</v>
      </c>
      <c r="E206" s="39">
        <v>0</v>
      </c>
      <c r="F206" s="39">
        <v>710</v>
      </c>
      <c r="G206" s="89" t="str">
        <f t="shared" si="19"/>
        <v xml:space="preserve">2nd Floor </v>
      </c>
      <c r="H206" s="90"/>
      <c r="I206" s="39">
        <f>2.75*4.05+2.14*3+2.75*3+1.22*2.3</f>
        <v>28.613499999999998</v>
      </c>
      <c r="L206" s="88"/>
      <c r="M206" s="88"/>
      <c r="N206" s="34"/>
    </row>
    <row r="207" spans="1:14" s="41" customFormat="1" x14ac:dyDescent="0.25">
      <c r="A207" s="89">
        <f t="shared" si="18"/>
        <v>7</v>
      </c>
      <c r="B207" s="90"/>
      <c r="C207" s="47" t="s">
        <v>191</v>
      </c>
      <c r="D207" s="39">
        <f>(31.464+1.75*1.25+0.75*(2.14+2.75))*10.764</f>
        <v>401.70171599999998</v>
      </c>
      <c r="E207" s="39">
        <v>0</v>
      </c>
      <c r="F207" s="39">
        <v>690</v>
      </c>
      <c r="G207" s="89" t="str">
        <f t="shared" si="19"/>
        <v xml:space="preserve">2nd Floor </v>
      </c>
      <c r="H207" s="90"/>
      <c r="I207" s="34"/>
      <c r="L207" s="88"/>
      <c r="M207" s="88"/>
      <c r="N207" s="34"/>
    </row>
    <row r="208" spans="1:14" s="41" customFormat="1" x14ac:dyDescent="0.25">
      <c r="A208" s="89">
        <f t="shared" si="18"/>
        <v>8</v>
      </c>
      <c r="B208" s="90"/>
      <c r="C208" s="47" t="s">
        <v>191</v>
      </c>
      <c r="D208" s="39">
        <f t="shared" ref="D208:D214" si="20">(31.594+1.75*1.25+0.75*(2.14+2.75))*10.764</f>
        <v>403.10103599999997</v>
      </c>
      <c r="E208" s="39">
        <v>0</v>
      </c>
      <c r="F208" s="39">
        <v>705</v>
      </c>
      <c r="G208" s="89" t="str">
        <f t="shared" si="19"/>
        <v xml:space="preserve">2nd Floor </v>
      </c>
      <c r="H208" s="90"/>
      <c r="I208" s="34"/>
      <c r="L208" s="88"/>
      <c r="M208" s="88"/>
      <c r="N208" s="34"/>
    </row>
    <row r="209" spans="1:14" s="41" customFormat="1" x14ac:dyDescent="0.25">
      <c r="A209" s="89">
        <f t="shared" si="18"/>
        <v>9</v>
      </c>
      <c r="B209" s="90"/>
      <c r="C209" s="47" t="s">
        <v>191</v>
      </c>
      <c r="D209" s="39">
        <f t="shared" si="20"/>
        <v>403.10103599999997</v>
      </c>
      <c r="E209" s="39">
        <v>0</v>
      </c>
      <c r="F209" s="39">
        <v>705</v>
      </c>
      <c r="G209" s="89" t="str">
        <f t="shared" si="19"/>
        <v xml:space="preserve">2nd Floor </v>
      </c>
      <c r="H209" s="90"/>
      <c r="I209" s="34"/>
      <c r="L209" s="88"/>
      <c r="M209" s="88"/>
      <c r="N209" s="34"/>
    </row>
    <row r="210" spans="1:14" s="41" customFormat="1" x14ac:dyDescent="0.25">
      <c r="A210" s="89">
        <f t="shared" si="18"/>
        <v>10</v>
      </c>
      <c r="B210" s="90"/>
      <c r="C210" s="47" t="s">
        <v>191</v>
      </c>
      <c r="D210" s="39">
        <f t="shared" si="20"/>
        <v>403.10103599999997</v>
      </c>
      <c r="E210" s="39">
        <v>0</v>
      </c>
      <c r="F210" s="39">
        <v>705</v>
      </c>
      <c r="G210" s="89" t="str">
        <f t="shared" si="19"/>
        <v xml:space="preserve">2nd Floor </v>
      </c>
      <c r="H210" s="90"/>
      <c r="I210" s="34"/>
      <c r="L210" s="88"/>
      <c r="M210" s="88"/>
      <c r="N210" s="34"/>
    </row>
    <row r="211" spans="1:14" s="41" customFormat="1" x14ac:dyDescent="0.25">
      <c r="A211" s="89">
        <f t="shared" si="18"/>
        <v>11</v>
      </c>
      <c r="B211" s="90"/>
      <c r="C211" s="47" t="s">
        <v>191</v>
      </c>
      <c r="D211" s="39">
        <f t="shared" si="20"/>
        <v>403.10103599999997</v>
      </c>
      <c r="E211" s="39">
        <v>0</v>
      </c>
      <c r="F211" s="39">
        <v>705</v>
      </c>
      <c r="G211" s="89" t="str">
        <f t="shared" si="19"/>
        <v xml:space="preserve">2nd Floor </v>
      </c>
      <c r="H211" s="90"/>
      <c r="I211" s="34"/>
      <c r="L211" s="88"/>
      <c r="M211" s="88"/>
      <c r="N211" s="34"/>
    </row>
    <row r="212" spans="1:14" s="41" customFormat="1" x14ac:dyDescent="0.25">
      <c r="A212" s="89">
        <f t="shared" si="18"/>
        <v>12</v>
      </c>
      <c r="B212" s="90"/>
      <c r="C212" s="47" t="s">
        <v>191</v>
      </c>
      <c r="D212" s="39">
        <f t="shared" si="20"/>
        <v>403.10103599999997</v>
      </c>
      <c r="E212" s="39">
        <v>0</v>
      </c>
      <c r="F212" s="39">
        <v>705</v>
      </c>
      <c r="G212" s="89" t="str">
        <f t="shared" si="19"/>
        <v xml:space="preserve">2nd Floor </v>
      </c>
      <c r="H212" s="90"/>
      <c r="I212" s="34"/>
      <c r="L212" s="88"/>
      <c r="M212" s="88"/>
      <c r="N212" s="34"/>
    </row>
    <row r="213" spans="1:14" s="41" customFormat="1" x14ac:dyDescent="0.25">
      <c r="A213" s="89">
        <f t="shared" si="18"/>
        <v>13</v>
      </c>
      <c r="B213" s="90"/>
      <c r="C213" s="47" t="s">
        <v>191</v>
      </c>
      <c r="D213" s="39">
        <f t="shared" si="20"/>
        <v>403.10103599999997</v>
      </c>
      <c r="E213" s="39">
        <v>0</v>
      </c>
      <c r="F213" s="39">
        <v>705</v>
      </c>
      <c r="G213" s="89" t="str">
        <f t="shared" si="19"/>
        <v xml:space="preserve">2nd Floor </v>
      </c>
      <c r="H213" s="90"/>
      <c r="I213" s="34"/>
      <c r="L213" s="88"/>
      <c r="M213" s="88"/>
      <c r="N213" s="34"/>
    </row>
    <row r="214" spans="1:14" s="41" customFormat="1" x14ac:dyDescent="0.25">
      <c r="A214" s="89">
        <f t="shared" si="18"/>
        <v>14</v>
      </c>
      <c r="B214" s="90"/>
      <c r="C214" s="47" t="s">
        <v>191</v>
      </c>
      <c r="D214" s="39">
        <f t="shared" si="20"/>
        <v>403.10103599999997</v>
      </c>
      <c r="E214" s="39">
        <v>0</v>
      </c>
      <c r="F214" s="39">
        <v>705</v>
      </c>
      <c r="G214" s="89" t="str">
        <f t="shared" si="19"/>
        <v xml:space="preserve">2nd Floor </v>
      </c>
      <c r="H214" s="90"/>
      <c r="I214" s="34"/>
      <c r="L214" s="88"/>
      <c r="M214" s="88"/>
      <c r="N214" s="34"/>
    </row>
    <row r="215" spans="1:14" s="41" customFormat="1" x14ac:dyDescent="0.25">
      <c r="A215" s="103" t="s">
        <v>217</v>
      </c>
      <c r="B215" s="104"/>
      <c r="C215" s="104"/>
      <c r="D215" s="104"/>
      <c r="E215" s="104"/>
      <c r="F215" s="104"/>
      <c r="G215" s="104"/>
      <c r="H215" s="105"/>
      <c r="J215" s="34"/>
    </row>
    <row r="216" spans="1:14" s="41" customFormat="1" x14ac:dyDescent="0.25">
      <c r="A216" s="89">
        <v>1</v>
      </c>
      <c r="B216" s="90"/>
      <c r="C216" s="47" t="s">
        <v>190</v>
      </c>
      <c r="D216" s="39">
        <f>(43.969+1.75*1.25+0.75*(2.14+2.45+2.75))*10.764</f>
        <v>556.08438599999999</v>
      </c>
      <c r="E216" s="39">
        <v>0</v>
      </c>
      <c r="F216" s="39">
        <v>955</v>
      </c>
      <c r="G216" s="89" t="str">
        <f>A215</f>
        <v xml:space="preserve">3rd to 6th Floor </v>
      </c>
      <c r="H216" s="90"/>
      <c r="I216" s="39">
        <f>(2.75*4.27+2.14*3+1.22*2.14+1.83*1.22+2.45*3+2.75*3+1.2*1.8)</f>
        <v>40.765900000000002</v>
      </c>
      <c r="L216" s="88"/>
      <c r="M216" s="88"/>
      <c r="N216" s="34"/>
    </row>
    <row r="217" spans="1:14" s="41" customFormat="1" x14ac:dyDescent="0.25">
      <c r="A217" s="89">
        <f t="shared" ref="A217:A229" si="21">A216+1</f>
        <v>2</v>
      </c>
      <c r="B217" s="90"/>
      <c r="C217" s="47" t="s">
        <v>190</v>
      </c>
      <c r="D217" s="39">
        <f>(43.969+1.75*1.25+0.75*(2.14+2.45+2.75))*10.764</f>
        <v>556.08438599999999</v>
      </c>
      <c r="E217" s="39">
        <v>0</v>
      </c>
      <c r="F217" s="39">
        <v>955</v>
      </c>
      <c r="G217" s="89" t="str">
        <f t="shared" ref="G217:G229" si="22">G216</f>
        <v xml:space="preserve">3rd to 6th Floor </v>
      </c>
      <c r="H217" s="90"/>
      <c r="I217" s="34"/>
      <c r="L217" s="88"/>
      <c r="M217" s="88"/>
      <c r="N217" s="34"/>
    </row>
    <row r="218" spans="1:14" s="41" customFormat="1" x14ac:dyDescent="0.25">
      <c r="A218" s="89">
        <f t="shared" si="21"/>
        <v>3</v>
      </c>
      <c r="B218" s="90"/>
      <c r="C218" s="47" t="s">
        <v>191</v>
      </c>
      <c r="D218" s="39">
        <f>(30.545+2.75*1.25+0.75*(2.14+2.75))*10.764</f>
        <v>405.26460000000003</v>
      </c>
      <c r="E218" s="39">
        <v>0</v>
      </c>
      <c r="F218" s="39">
        <v>690</v>
      </c>
      <c r="G218" s="89" t="str">
        <f t="shared" si="22"/>
        <v xml:space="preserve">3rd to 6th Floor </v>
      </c>
      <c r="H218" s="90"/>
      <c r="I218" s="34"/>
      <c r="L218" s="88"/>
      <c r="M218" s="88"/>
      <c r="N218" s="34"/>
    </row>
    <row r="219" spans="1:14" s="41" customFormat="1" x14ac:dyDescent="0.25">
      <c r="A219" s="89">
        <f t="shared" si="21"/>
        <v>4</v>
      </c>
      <c r="B219" s="90"/>
      <c r="C219" s="47" t="s">
        <v>191</v>
      </c>
      <c r="D219" s="39">
        <f>(29.832+2.75*1.25+0.75*(2.14+2.75))*10.764</f>
        <v>397.58986799999997</v>
      </c>
      <c r="E219" s="39">
        <v>0</v>
      </c>
      <c r="F219" s="39">
        <v>680</v>
      </c>
      <c r="G219" s="89" t="str">
        <f t="shared" si="22"/>
        <v xml:space="preserve">3rd to 6th Floor </v>
      </c>
      <c r="H219" s="90"/>
      <c r="I219" s="34"/>
      <c r="L219" s="88"/>
      <c r="M219" s="88"/>
      <c r="N219" s="34"/>
    </row>
    <row r="220" spans="1:14" s="41" customFormat="1" x14ac:dyDescent="0.25">
      <c r="A220" s="89">
        <f t="shared" si="21"/>
        <v>5</v>
      </c>
      <c r="B220" s="90"/>
      <c r="C220" s="47" t="s">
        <v>191</v>
      </c>
      <c r="D220" s="39">
        <f>(29.832+2.75*1.25+0.75*(2.14+2.75))*10.764</f>
        <v>397.58986799999997</v>
      </c>
      <c r="E220" s="39">
        <v>0</v>
      </c>
      <c r="F220" s="39">
        <v>680</v>
      </c>
      <c r="G220" s="89" t="str">
        <f t="shared" si="22"/>
        <v xml:space="preserve">3rd to 6th Floor </v>
      </c>
      <c r="H220" s="90"/>
      <c r="I220" s="34"/>
      <c r="L220" s="88"/>
      <c r="M220" s="88"/>
      <c r="N220" s="34"/>
    </row>
    <row r="221" spans="1:14" s="41" customFormat="1" x14ac:dyDescent="0.25">
      <c r="A221" s="89">
        <f t="shared" si="21"/>
        <v>6</v>
      </c>
      <c r="B221" s="90"/>
      <c r="C221" s="47" t="s">
        <v>191</v>
      </c>
      <c r="D221" s="39">
        <f>(31.77+2.75*1.25+0.75*(2.14+2.75))*10.764</f>
        <v>418.45049999999998</v>
      </c>
      <c r="E221" s="39">
        <v>0</v>
      </c>
      <c r="F221" s="39">
        <v>710</v>
      </c>
      <c r="G221" s="89" t="str">
        <f t="shared" si="22"/>
        <v xml:space="preserve">3rd to 6th Floor </v>
      </c>
      <c r="H221" s="90"/>
      <c r="I221" s="39">
        <f>2.75*4.05+2.14*3+2.75*3+1.22*2.3</f>
        <v>28.613499999999998</v>
      </c>
      <c r="L221" s="88"/>
      <c r="M221" s="88"/>
      <c r="N221" s="34"/>
    </row>
    <row r="222" spans="1:14" s="41" customFormat="1" x14ac:dyDescent="0.25">
      <c r="A222" s="89">
        <f t="shared" si="21"/>
        <v>7</v>
      </c>
      <c r="B222" s="90"/>
      <c r="C222" s="47" t="s">
        <v>191</v>
      </c>
      <c r="D222" s="39">
        <f>(31.464+1.75*1.25+0.75*(2.14+2.75))*10.764</f>
        <v>401.70171599999998</v>
      </c>
      <c r="E222" s="39">
        <v>0</v>
      </c>
      <c r="F222" s="39">
        <v>690</v>
      </c>
      <c r="G222" s="89" t="str">
        <f t="shared" si="22"/>
        <v xml:space="preserve">3rd to 6th Floor </v>
      </c>
      <c r="H222" s="90"/>
      <c r="I222" s="34"/>
      <c r="L222" s="88"/>
      <c r="M222" s="88"/>
      <c r="N222" s="34"/>
    </row>
    <row r="223" spans="1:14" s="41" customFormat="1" x14ac:dyDescent="0.25">
      <c r="A223" s="89">
        <f t="shared" si="21"/>
        <v>8</v>
      </c>
      <c r="B223" s="90"/>
      <c r="C223" s="47" t="s">
        <v>191</v>
      </c>
      <c r="D223" s="39">
        <f t="shared" ref="D223:D229" si="23">(31.594+1.75*1.25+0.75*(2.14+2.75))*10.764</f>
        <v>403.10103599999997</v>
      </c>
      <c r="E223" s="39">
        <v>0</v>
      </c>
      <c r="F223" s="39">
        <v>705</v>
      </c>
      <c r="G223" s="89" t="str">
        <f t="shared" si="22"/>
        <v xml:space="preserve">3rd to 6th Floor </v>
      </c>
      <c r="H223" s="90"/>
      <c r="I223" s="34"/>
      <c r="L223" s="88"/>
      <c r="M223" s="88"/>
      <c r="N223" s="34"/>
    </row>
    <row r="224" spans="1:14" s="41" customFormat="1" x14ac:dyDescent="0.25">
      <c r="A224" s="89">
        <f t="shared" si="21"/>
        <v>9</v>
      </c>
      <c r="B224" s="90"/>
      <c r="C224" s="47" t="s">
        <v>191</v>
      </c>
      <c r="D224" s="39">
        <f t="shared" si="23"/>
        <v>403.10103599999997</v>
      </c>
      <c r="E224" s="39">
        <v>0</v>
      </c>
      <c r="F224" s="39">
        <v>705</v>
      </c>
      <c r="G224" s="89" t="str">
        <f t="shared" si="22"/>
        <v xml:space="preserve">3rd to 6th Floor </v>
      </c>
      <c r="H224" s="90"/>
      <c r="I224" s="34"/>
      <c r="L224" s="88"/>
      <c r="M224" s="88"/>
      <c r="N224" s="34"/>
    </row>
    <row r="225" spans="1:14" s="41" customFormat="1" x14ac:dyDescent="0.25">
      <c r="A225" s="89">
        <f t="shared" si="21"/>
        <v>10</v>
      </c>
      <c r="B225" s="90"/>
      <c r="C225" s="47" t="s">
        <v>191</v>
      </c>
      <c r="D225" s="39">
        <f t="shared" si="23"/>
        <v>403.10103599999997</v>
      </c>
      <c r="E225" s="39">
        <v>0</v>
      </c>
      <c r="F225" s="39">
        <v>705</v>
      </c>
      <c r="G225" s="89" t="str">
        <f t="shared" si="22"/>
        <v xml:space="preserve">3rd to 6th Floor </v>
      </c>
      <c r="H225" s="90"/>
      <c r="I225" s="34"/>
      <c r="L225" s="88"/>
      <c r="M225" s="88"/>
      <c r="N225" s="34"/>
    </row>
    <row r="226" spans="1:14" s="41" customFormat="1" x14ac:dyDescent="0.25">
      <c r="A226" s="89">
        <f t="shared" si="21"/>
        <v>11</v>
      </c>
      <c r="B226" s="90"/>
      <c r="C226" s="47" t="s">
        <v>191</v>
      </c>
      <c r="D226" s="39">
        <f t="shared" si="23"/>
        <v>403.10103599999997</v>
      </c>
      <c r="E226" s="39">
        <v>0</v>
      </c>
      <c r="F226" s="39">
        <v>705</v>
      </c>
      <c r="G226" s="89" t="str">
        <f t="shared" si="22"/>
        <v xml:space="preserve">3rd to 6th Floor </v>
      </c>
      <c r="H226" s="90"/>
      <c r="I226" s="34"/>
      <c r="L226" s="88"/>
      <c r="M226" s="88"/>
      <c r="N226" s="34"/>
    </row>
    <row r="227" spans="1:14" s="41" customFormat="1" x14ac:dyDescent="0.25">
      <c r="A227" s="89">
        <f t="shared" si="21"/>
        <v>12</v>
      </c>
      <c r="B227" s="90"/>
      <c r="C227" s="47" t="s">
        <v>191</v>
      </c>
      <c r="D227" s="39">
        <f t="shared" si="23"/>
        <v>403.10103599999997</v>
      </c>
      <c r="E227" s="39">
        <v>0</v>
      </c>
      <c r="F227" s="39">
        <v>705</v>
      </c>
      <c r="G227" s="89" t="str">
        <f t="shared" si="22"/>
        <v xml:space="preserve">3rd to 6th Floor </v>
      </c>
      <c r="H227" s="90"/>
      <c r="I227" s="34"/>
      <c r="L227" s="88"/>
      <c r="M227" s="88"/>
      <c r="N227" s="34"/>
    </row>
    <row r="228" spans="1:14" s="41" customFormat="1" x14ac:dyDescent="0.25">
      <c r="A228" s="89">
        <f t="shared" si="21"/>
        <v>13</v>
      </c>
      <c r="B228" s="90"/>
      <c r="C228" s="47" t="s">
        <v>191</v>
      </c>
      <c r="D228" s="39">
        <f t="shared" si="23"/>
        <v>403.10103599999997</v>
      </c>
      <c r="E228" s="39">
        <v>0</v>
      </c>
      <c r="F228" s="39">
        <v>705</v>
      </c>
      <c r="G228" s="89" t="str">
        <f t="shared" si="22"/>
        <v xml:space="preserve">3rd to 6th Floor </v>
      </c>
      <c r="H228" s="90"/>
      <c r="I228" s="34"/>
      <c r="L228" s="88"/>
      <c r="M228" s="88"/>
      <c r="N228" s="34"/>
    </row>
    <row r="229" spans="1:14" s="41" customFormat="1" x14ac:dyDescent="0.25">
      <c r="A229" s="89">
        <f t="shared" si="21"/>
        <v>14</v>
      </c>
      <c r="B229" s="90"/>
      <c r="C229" s="47" t="s">
        <v>191</v>
      </c>
      <c r="D229" s="39">
        <f t="shared" si="23"/>
        <v>403.10103599999997</v>
      </c>
      <c r="E229" s="39">
        <v>0</v>
      </c>
      <c r="F229" s="39">
        <v>705</v>
      </c>
      <c r="G229" s="89" t="str">
        <f t="shared" si="22"/>
        <v xml:space="preserve">3rd to 6th Floor </v>
      </c>
      <c r="H229" s="90"/>
      <c r="I229" s="34"/>
      <c r="L229" s="88"/>
      <c r="M229" s="88"/>
      <c r="N229" s="34"/>
    </row>
    <row r="230" spans="1:14" s="41" customFormat="1" x14ac:dyDescent="0.25">
      <c r="A230" s="103" t="s">
        <v>218</v>
      </c>
      <c r="B230" s="104"/>
      <c r="C230" s="104"/>
      <c r="D230" s="104"/>
      <c r="E230" s="104"/>
      <c r="F230" s="104"/>
      <c r="G230" s="104"/>
      <c r="H230" s="105"/>
      <c r="J230" s="34"/>
    </row>
    <row r="231" spans="1:14" s="41" customFormat="1" x14ac:dyDescent="0.25">
      <c r="A231" s="89">
        <v>1</v>
      </c>
      <c r="B231" s="90"/>
      <c r="C231" s="47" t="s">
        <v>190</v>
      </c>
      <c r="D231" s="39">
        <f>(43.969+1.75*1.25+0.75*(2.14+2.45+2.75))*10.764</f>
        <v>556.08438599999999</v>
      </c>
      <c r="E231" s="39">
        <v>0</v>
      </c>
      <c r="F231" s="39">
        <v>955</v>
      </c>
      <c r="G231" s="89" t="str">
        <f>A230</f>
        <v>7th &amp; 9th Floor (Part Refuge Area)</v>
      </c>
      <c r="H231" s="90"/>
      <c r="I231" s="39">
        <f>(2.75*4.27+2.14*3+1.22*2.14+1.83*1.22+2.45*3+2.75*3+1.2*1.8)</f>
        <v>40.765900000000002</v>
      </c>
      <c r="L231" s="88"/>
      <c r="M231" s="88"/>
      <c r="N231" s="34"/>
    </row>
    <row r="232" spans="1:14" s="41" customFormat="1" x14ac:dyDescent="0.25">
      <c r="A232" s="89">
        <f t="shared" ref="A232:A244" si="24">A231+1</f>
        <v>2</v>
      </c>
      <c r="B232" s="90"/>
      <c r="C232" s="47" t="s">
        <v>190</v>
      </c>
      <c r="D232" s="39">
        <f>(43.969+1.75*1.25+0.75*(2.14+2.45+2.75))*10.764</f>
        <v>556.08438599999999</v>
      </c>
      <c r="E232" s="39">
        <v>0</v>
      </c>
      <c r="F232" s="39">
        <v>955</v>
      </c>
      <c r="G232" s="89" t="str">
        <f t="shared" ref="G232:G244" si="25">G231</f>
        <v>7th &amp; 9th Floor (Part Refuge Area)</v>
      </c>
      <c r="H232" s="90"/>
      <c r="I232" s="34"/>
      <c r="L232" s="88"/>
      <c r="M232" s="88"/>
      <c r="N232" s="34"/>
    </row>
    <row r="233" spans="1:14" s="41" customFormat="1" x14ac:dyDescent="0.25">
      <c r="A233" s="89">
        <f t="shared" si="24"/>
        <v>3</v>
      </c>
      <c r="B233" s="90"/>
      <c r="C233" s="47" t="s">
        <v>191</v>
      </c>
      <c r="D233" s="39">
        <f>(30.545+2.75*1.25+0.75*(2.14+2.75))*10.764</f>
        <v>405.26460000000003</v>
      </c>
      <c r="E233" s="39">
        <v>0</v>
      </c>
      <c r="F233" s="39">
        <v>690</v>
      </c>
      <c r="G233" s="89" t="str">
        <f t="shared" si="25"/>
        <v>7th &amp; 9th Floor (Part Refuge Area)</v>
      </c>
      <c r="H233" s="90"/>
      <c r="I233" s="34"/>
      <c r="L233" s="88"/>
      <c r="M233" s="88"/>
      <c r="N233" s="34"/>
    </row>
    <row r="234" spans="1:14" s="41" customFormat="1" x14ac:dyDescent="0.25">
      <c r="A234" s="89">
        <f t="shared" si="24"/>
        <v>4</v>
      </c>
      <c r="B234" s="90"/>
      <c r="C234" s="47" t="s">
        <v>191</v>
      </c>
      <c r="D234" s="39">
        <f>(29.832+2.75*1.25+0.75*(2.14+2.75))*10.764</f>
        <v>397.58986799999997</v>
      </c>
      <c r="E234" s="39">
        <v>0</v>
      </c>
      <c r="F234" s="39">
        <v>680</v>
      </c>
      <c r="G234" s="89" t="str">
        <f t="shared" si="25"/>
        <v>7th &amp; 9th Floor (Part Refuge Area)</v>
      </c>
      <c r="H234" s="90"/>
      <c r="I234" s="34"/>
      <c r="L234" s="88"/>
      <c r="M234" s="88"/>
      <c r="N234" s="34"/>
    </row>
    <row r="235" spans="1:14" s="41" customFormat="1" x14ac:dyDescent="0.25">
      <c r="A235" s="89">
        <f t="shared" si="24"/>
        <v>5</v>
      </c>
      <c r="B235" s="90"/>
      <c r="C235" s="47" t="s">
        <v>191</v>
      </c>
      <c r="D235" s="39">
        <f>(29.832+2.75*1.25+0.75*(2.14+2.75))*10.764</f>
        <v>397.58986799999997</v>
      </c>
      <c r="E235" s="39">
        <v>0</v>
      </c>
      <c r="F235" s="39">
        <v>680</v>
      </c>
      <c r="G235" s="89" t="str">
        <f t="shared" si="25"/>
        <v>7th &amp; 9th Floor (Part Refuge Area)</v>
      </c>
      <c r="H235" s="90"/>
      <c r="I235" s="34"/>
      <c r="L235" s="88"/>
      <c r="M235" s="88"/>
      <c r="N235" s="34"/>
    </row>
    <row r="236" spans="1:14" s="41" customFormat="1" x14ac:dyDescent="0.25">
      <c r="A236" s="89">
        <f t="shared" si="24"/>
        <v>6</v>
      </c>
      <c r="B236" s="90"/>
      <c r="C236" s="47" t="s">
        <v>191</v>
      </c>
      <c r="D236" s="39">
        <f>(31.77+2.75*1.25+0.75*(2.14+2.75))*10.764</f>
        <v>418.45049999999998</v>
      </c>
      <c r="E236" s="39">
        <v>0</v>
      </c>
      <c r="F236" s="39">
        <v>710</v>
      </c>
      <c r="G236" s="89" t="str">
        <f t="shared" si="25"/>
        <v>7th &amp; 9th Floor (Part Refuge Area)</v>
      </c>
      <c r="H236" s="90"/>
      <c r="I236" s="39">
        <f>2.75*4.05+2.14*3+2.75*3+1.22*2.3</f>
        <v>28.613499999999998</v>
      </c>
      <c r="L236" s="88"/>
      <c r="M236" s="88"/>
      <c r="N236" s="34"/>
    </row>
    <row r="237" spans="1:14" s="41" customFormat="1" x14ac:dyDescent="0.25">
      <c r="A237" s="89">
        <f t="shared" si="24"/>
        <v>7</v>
      </c>
      <c r="B237" s="90"/>
      <c r="C237" s="47" t="s">
        <v>191</v>
      </c>
      <c r="D237" s="39">
        <f>(31.464+1.75*1.25+0.75*(2.14+2.75))*10.764</f>
        <v>401.70171599999998</v>
      </c>
      <c r="E237" s="39">
        <v>0</v>
      </c>
      <c r="F237" s="39">
        <v>690</v>
      </c>
      <c r="G237" s="89" t="str">
        <f t="shared" si="25"/>
        <v>7th &amp; 9th Floor (Part Refuge Area)</v>
      </c>
      <c r="H237" s="90"/>
      <c r="I237" s="34"/>
      <c r="L237" s="88"/>
      <c r="M237" s="88"/>
      <c r="N237" s="34"/>
    </row>
    <row r="238" spans="1:14" s="41" customFormat="1" x14ac:dyDescent="0.25">
      <c r="A238" s="89">
        <f t="shared" si="24"/>
        <v>8</v>
      </c>
      <c r="B238" s="90"/>
      <c r="C238" s="47" t="s">
        <v>191</v>
      </c>
      <c r="D238" s="39">
        <f>(31.594+1.75*1.25+0.75*(2.14+2.75))*10.764</f>
        <v>403.10103599999997</v>
      </c>
      <c r="E238" s="39">
        <v>0</v>
      </c>
      <c r="F238" s="39">
        <v>705</v>
      </c>
      <c r="G238" s="89" t="str">
        <f t="shared" si="25"/>
        <v>7th &amp; 9th Floor (Part Refuge Area)</v>
      </c>
      <c r="H238" s="90"/>
      <c r="I238" s="34"/>
      <c r="L238" s="88"/>
      <c r="M238" s="88"/>
      <c r="N238" s="34"/>
    </row>
    <row r="239" spans="1:14" s="41" customFormat="1" x14ac:dyDescent="0.25">
      <c r="A239" s="89">
        <f t="shared" si="24"/>
        <v>9</v>
      </c>
      <c r="B239" s="90"/>
      <c r="C239" s="47" t="s">
        <v>191</v>
      </c>
      <c r="D239" s="39">
        <f>(31.594+1.75*1.25+0.75*(2.14+2.75))*10.764</f>
        <v>403.10103599999997</v>
      </c>
      <c r="E239" s="39">
        <v>0</v>
      </c>
      <c r="F239" s="39">
        <v>705</v>
      </c>
      <c r="G239" s="89" t="str">
        <f t="shared" si="25"/>
        <v>7th &amp; 9th Floor (Part Refuge Area)</v>
      </c>
      <c r="H239" s="90"/>
      <c r="I239" s="34"/>
      <c r="L239" s="88"/>
      <c r="M239" s="88"/>
      <c r="N239" s="34"/>
    </row>
    <row r="240" spans="1:14" s="41" customFormat="1" x14ac:dyDescent="0.25">
      <c r="A240" s="89">
        <f t="shared" si="24"/>
        <v>10</v>
      </c>
      <c r="B240" s="90"/>
      <c r="C240" s="47" t="s">
        <v>191</v>
      </c>
      <c r="D240" s="39">
        <f>(31.594+1.75*1.25+0.75*(2.14+2.75))*10.764</f>
        <v>403.10103599999997</v>
      </c>
      <c r="E240" s="39">
        <v>0</v>
      </c>
      <c r="F240" s="39">
        <v>705</v>
      </c>
      <c r="G240" s="89" t="str">
        <f t="shared" si="25"/>
        <v>7th &amp; 9th Floor (Part Refuge Area)</v>
      </c>
      <c r="H240" s="90"/>
      <c r="I240" s="34"/>
      <c r="L240" s="88"/>
      <c r="M240" s="88"/>
      <c r="N240" s="34"/>
    </row>
    <row r="241" spans="1:14" s="41" customFormat="1" x14ac:dyDescent="0.25">
      <c r="A241" s="89">
        <f t="shared" si="24"/>
        <v>11</v>
      </c>
      <c r="B241" s="90"/>
      <c r="C241" s="185" t="s">
        <v>219</v>
      </c>
      <c r="D241" s="186"/>
      <c r="E241" s="186"/>
      <c r="F241" s="187"/>
      <c r="G241" s="89" t="str">
        <f t="shared" si="25"/>
        <v>7th &amp; 9th Floor (Part Refuge Area)</v>
      </c>
      <c r="H241" s="90"/>
      <c r="I241" s="34"/>
      <c r="L241" s="88"/>
      <c r="M241" s="88"/>
      <c r="N241" s="34"/>
    </row>
    <row r="242" spans="1:14" s="41" customFormat="1" x14ac:dyDescent="0.25">
      <c r="A242" s="89">
        <f t="shared" si="24"/>
        <v>12</v>
      </c>
      <c r="B242" s="90"/>
      <c r="C242" s="47" t="s">
        <v>191</v>
      </c>
      <c r="D242" s="39">
        <f>(31.594+1.75*1.25+0.75*(2.14+2.75))*10.764</f>
        <v>403.10103599999997</v>
      </c>
      <c r="E242" s="39">
        <v>0</v>
      </c>
      <c r="F242" s="39">
        <v>705</v>
      </c>
      <c r="G242" s="89" t="str">
        <f t="shared" si="25"/>
        <v>7th &amp; 9th Floor (Part Refuge Area)</v>
      </c>
      <c r="H242" s="90"/>
      <c r="I242" s="34"/>
      <c r="L242" s="88"/>
      <c r="M242" s="88"/>
      <c r="N242" s="34"/>
    </row>
    <row r="243" spans="1:14" s="41" customFormat="1" x14ac:dyDescent="0.25">
      <c r="A243" s="89">
        <f t="shared" si="24"/>
        <v>13</v>
      </c>
      <c r="B243" s="90"/>
      <c r="C243" s="47" t="s">
        <v>191</v>
      </c>
      <c r="D243" s="39">
        <f>(31.594+1.75*1.25+0.75*(2.14+2.75))*10.764</f>
        <v>403.10103599999997</v>
      </c>
      <c r="E243" s="39">
        <v>0</v>
      </c>
      <c r="F243" s="39">
        <v>705</v>
      </c>
      <c r="G243" s="89" t="str">
        <f t="shared" si="25"/>
        <v>7th &amp; 9th Floor (Part Refuge Area)</v>
      </c>
      <c r="H243" s="90"/>
      <c r="I243" s="34"/>
      <c r="L243" s="88"/>
      <c r="M243" s="88"/>
      <c r="N243" s="34"/>
    </row>
    <row r="244" spans="1:14" s="41" customFormat="1" x14ac:dyDescent="0.25">
      <c r="A244" s="89">
        <f t="shared" si="24"/>
        <v>14</v>
      </c>
      <c r="B244" s="90"/>
      <c r="C244" s="47" t="s">
        <v>191</v>
      </c>
      <c r="D244" s="39">
        <f>(31.594+1.75*1.25+0.75*(2.14+2.75))*10.764</f>
        <v>403.10103599999997</v>
      </c>
      <c r="E244" s="39">
        <v>0</v>
      </c>
      <c r="F244" s="39">
        <v>705</v>
      </c>
      <c r="G244" s="89" t="str">
        <f t="shared" si="25"/>
        <v>7th &amp; 9th Floor (Part Refuge Area)</v>
      </c>
      <c r="H244" s="90"/>
      <c r="I244" s="34"/>
      <c r="L244" s="88"/>
      <c r="M244" s="88"/>
      <c r="N244" s="34"/>
    </row>
    <row r="245" spans="1:14" s="41" customFormat="1" x14ac:dyDescent="0.25">
      <c r="A245" s="103" t="s">
        <v>222</v>
      </c>
      <c r="B245" s="104"/>
      <c r="C245" s="104"/>
      <c r="D245" s="104"/>
      <c r="E245" s="104"/>
      <c r="F245" s="104"/>
      <c r="G245" s="104"/>
      <c r="H245" s="105"/>
      <c r="J245" s="34"/>
    </row>
    <row r="246" spans="1:14" s="41" customFormat="1" x14ac:dyDescent="0.25">
      <c r="A246" s="89">
        <v>1</v>
      </c>
      <c r="B246" s="90"/>
      <c r="C246" s="47" t="s">
        <v>190</v>
      </c>
      <c r="D246" s="39">
        <f>(43.969+1.75*1.25+0.75*(2.14+2.45+2.75))*10.764</f>
        <v>556.08438599999999</v>
      </c>
      <c r="E246" s="39">
        <v>0</v>
      </c>
      <c r="F246" s="39">
        <v>955</v>
      </c>
      <c r="G246" s="89" t="str">
        <f>A245</f>
        <v xml:space="preserve">8th &amp; 10th Floor </v>
      </c>
      <c r="H246" s="90"/>
      <c r="I246" s="39">
        <f>(2.75*4.27+2.14*3+1.22*2.14+1.83*1.22+2.45*3+2.75*3+1.2*1.8)</f>
        <v>40.765900000000002</v>
      </c>
      <c r="L246" s="88"/>
      <c r="M246" s="88"/>
      <c r="N246" s="34"/>
    </row>
    <row r="247" spans="1:14" s="41" customFormat="1" x14ac:dyDescent="0.25">
      <c r="A247" s="89">
        <f t="shared" ref="A247:A259" si="26">A246+1</f>
        <v>2</v>
      </c>
      <c r="B247" s="90"/>
      <c r="C247" s="47" t="s">
        <v>190</v>
      </c>
      <c r="D247" s="39">
        <f>(43.969+1.75*1.25+0.75*(2.14+2.45+2.75))*10.764</f>
        <v>556.08438599999999</v>
      </c>
      <c r="E247" s="39">
        <v>0</v>
      </c>
      <c r="F247" s="39">
        <v>955</v>
      </c>
      <c r="G247" s="89" t="str">
        <f t="shared" ref="G247:G259" si="27">G246</f>
        <v xml:space="preserve">8th &amp; 10th Floor </v>
      </c>
      <c r="H247" s="90"/>
      <c r="I247" s="34"/>
      <c r="L247" s="88"/>
      <c r="M247" s="88"/>
      <c r="N247" s="34"/>
    </row>
    <row r="248" spans="1:14" s="41" customFormat="1" x14ac:dyDescent="0.25">
      <c r="A248" s="89">
        <f t="shared" si="26"/>
        <v>3</v>
      </c>
      <c r="B248" s="90"/>
      <c r="C248" s="47" t="s">
        <v>191</v>
      </c>
      <c r="D248" s="39">
        <f>(30.545+2.75*1.25+0.75*(2.14+2.75))*10.764</f>
        <v>405.26460000000003</v>
      </c>
      <c r="E248" s="39">
        <v>0</v>
      </c>
      <c r="F248" s="39">
        <v>690</v>
      </c>
      <c r="G248" s="89" t="str">
        <f t="shared" si="27"/>
        <v xml:space="preserve">8th &amp; 10th Floor </v>
      </c>
      <c r="H248" s="90"/>
      <c r="I248" s="34"/>
      <c r="L248" s="88"/>
      <c r="M248" s="88"/>
      <c r="N248" s="34"/>
    </row>
    <row r="249" spans="1:14" s="41" customFormat="1" x14ac:dyDescent="0.25">
      <c r="A249" s="89">
        <f t="shared" si="26"/>
        <v>4</v>
      </c>
      <c r="B249" s="90"/>
      <c r="C249" s="47" t="s">
        <v>191</v>
      </c>
      <c r="D249" s="39">
        <f>(29.832+2.75*1.25+0.75*(2.14+2.75))*10.764</f>
        <v>397.58986799999997</v>
      </c>
      <c r="E249" s="39">
        <v>0</v>
      </c>
      <c r="F249" s="39">
        <v>680</v>
      </c>
      <c r="G249" s="89" t="str">
        <f t="shared" si="27"/>
        <v xml:space="preserve">8th &amp; 10th Floor </v>
      </c>
      <c r="H249" s="90"/>
      <c r="I249" s="34"/>
      <c r="L249" s="88"/>
      <c r="M249" s="88"/>
      <c r="N249" s="34"/>
    </row>
    <row r="250" spans="1:14" s="41" customFormat="1" x14ac:dyDescent="0.25">
      <c r="A250" s="89">
        <f t="shared" si="26"/>
        <v>5</v>
      </c>
      <c r="B250" s="90"/>
      <c r="C250" s="47" t="s">
        <v>191</v>
      </c>
      <c r="D250" s="39">
        <f>(29.832+2.75*1.25+0.75*(2.14+2.75))*10.764</f>
        <v>397.58986799999997</v>
      </c>
      <c r="E250" s="39">
        <v>0</v>
      </c>
      <c r="F250" s="39">
        <v>680</v>
      </c>
      <c r="G250" s="89" t="str">
        <f t="shared" si="27"/>
        <v xml:space="preserve">8th &amp; 10th Floor </v>
      </c>
      <c r="H250" s="90"/>
      <c r="I250" s="34"/>
      <c r="L250" s="88"/>
      <c r="M250" s="88"/>
      <c r="N250" s="34"/>
    </row>
    <row r="251" spans="1:14" s="41" customFormat="1" x14ac:dyDescent="0.25">
      <c r="A251" s="89">
        <f t="shared" si="26"/>
        <v>6</v>
      </c>
      <c r="B251" s="90"/>
      <c r="C251" s="47" t="s">
        <v>191</v>
      </c>
      <c r="D251" s="39">
        <f>(31.77+2.75*1.25+0.75*(2.14+2.75))*10.764</f>
        <v>418.45049999999998</v>
      </c>
      <c r="E251" s="39">
        <v>0</v>
      </c>
      <c r="F251" s="39">
        <v>710</v>
      </c>
      <c r="G251" s="89" t="str">
        <f t="shared" si="27"/>
        <v xml:space="preserve">8th &amp; 10th Floor </v>
      </c>
      <c r="H251" s="90"/>
      <c r="I251" s="39">
        <f>2.75*4.05+2.14*3+2.75*3+1.22*2.3</f>
        <v>28.613499999999998</v>
      </c>
      <c r="L251" s="88"/>
      <c r="M251" s="88"/>
      <c r="N251" s="34"/>
    </row>
    <row r="252" spans="1:14" s="41" customFormat="1" x14ac:dyDescent="0.25">
      <c r="A252" s="89">
        <f t="shared" si="26"/>
        <v>7</v>
      </c>
      <c r="B252" s="90"/>
      <c r="C252" s="47" t="s">
        <v>191</v>
      </c>
      <c r="D252" s="39">
        <f>(31.464+1.75*1.25+0.75*(2.14+2.75))*10.764</f>
        <v>401.70171599999998</v>
      </c>
      <c r="E252" s="39">
        <v>0</v>
      </c>
      <c r="F252" s="39">
        <v>690</v>
      </c>
      <c r="G252" s="89" t="str">
        <f t="shared" si="27"/>
        <v xml:space="preserve">8th &amp; 10th Floor </v>
      </c>
      <c r="H252" s="90"/>
      <c r="I252" s="34"/>
      <c r="L252" s="88"/>
      <c r="M252" s="88"/>
      <c r="N252" s="34"/>
    </row>
    <row r="253" spans="1:14" s="41" customFormat="1" x14ac:dyDescent="0.25">
      <c r="A253" s="89">
        <f t="shared" si="26"/>
        <v>8</v>
      </c>
      <c r="B253" s="90"/>
      <c r="C253" s="47" t="s">
        <v>191</v>
      </c>
      <c r="D253" s="39">
        <f t="shared" ref="D253:D259" si="28">(31.594+1.75*1.25+0.75*(2.14+2.75))*10.764</f>
        <v>403.10103599999997</v>
      </c>
      <c r="E253" s="39">
        <v>0</v>
      </c>
      <c r="F253" s="39">
        <v>705</v>
      </c>
      <c r="G253" s="89" t="str">
        <f t="shared" si="27"/>
        <v xml:space="preserve">8th &amp; 10th Floor </v>
      </c>
      <c r="H253" s="90"/>
      <c r="I253" s="34"/>
      <c r="L253" s="88"/>
      <c r="M253" s="88"/>
      <c r="N253" s="34"/>
    </row>
    <row r="254" spans="1:14" s="41" customFormat="1" x14ac:dyDescent="0.25">
      <c r="A254" s="89">
        <f t="shared" si="26"/>
        <v>9</v>
      </c>
      <c r="B254" s="90"/>
      <c r="C254" s="47" t="s">
        <v>191</v>
      </c>
      <c r="D254" s="39">
        <f t="shared" si="28"/>
        <v>403.10103599999997</v>
      </c>
      <c r="E254" s="39">
        <v>0</v>
      </c>
      <c r="F254" s="39">
        <v>705</v>
      </c>
      <c r="G254" s="89" t="str">
        <f t="shared" si="27"/>
        <v xml:space="preserve">8th &amp; 10th Floor </v>
      </c>
      <c r="H254" s="90"/>
      <c r="I254" s="34"/>
      <c r="L254" s="88"/>
      <c r="M254" s="88"/>
      <c r="N254" s="34"/>
    </row>
    <row r="255" spans="1:14" s="41" customFormat="1" x14ac:dyDescent="0.25">
      <c r="A255" s="89">
        <f t="shared" si="26"/>
        <v>10</v>
      </c>
      <c r="B255" s="90"/>
      <c r="C255" s="47" t="s">
        <v>191</v>
      </c>
      <c r="D255" s="39">
        <f t="shared" si="28"/>
        <v>403.10103599999997</v>
      </c>
      <c r="E255" s="39">
        <v>0</v>
      </c>
      <c r="F255" s="39">
        <v>705</v>
      </c>
      <c r="G255" s="89" t="str">
        <f t="shared" si="27"/>
        <v xml:space="preserve">8th &amp; 10th Floor </v>
      </c>
      <c r="H255" s="90"/>
      <c r="I255" s="34"/>
      <c r="L255" s="88"/>
      <c r="M255" s="88"/>
      <c r="N255" s="34"/>
    </row>
    <row r="256" spans="1:14" s="41" customFormat="1" x14ac:dyDescent="0.25">
      <c r="A256" s="89">
        <f t="shared" si="26"/>
        <v>11</v>
      </c>
      <c r="B256" s="90"/>
      <c r="C256" s="47" t="s">
        <v>191</v>
      </c>
      <c r="D256" s="39">
        <f t="shared" si="28"/>
        <v>403.10103599999997</v>
      </c>
      <c r="E256" s="39">
        <v>0</v>
      </c>
      <c r="F256" s="39">
        <v>705</v>
      </c>
      <c r="G256" s="89" t="str">
        <f t="shared" si="27"/>
        <v xml:space="preserve">8th &amp; 10th Floor </v>
      </c>
      <c r="H256" s="90"/>
      <c r="I256" s="34"/>
      <c r="L256" s="88"/>
      <c r="M256" s="88"/>
      <c r="N256" s="34"/>
    </row>
    <row r="257" spans="1:14" s="41" customFormat="1" x14ac:dyDescent="0.25">
      <c r="A257" s="89">
        <f t="shared" si="26"/>
        <v>12</v>
      </c>
      <c r="B257" s="90"/>
      <c r="C257" s="47" t="s">
        <v>191</v>
      </c>
      <c r="D257" s="39">
        <f t="shared" si="28"/>
        <v>403.10103599999997</v>
      </c>
      <c r="E257" s="39">
        <v>0</v>
      </c>
      <c r="F257" s="39">
        <v>705</v>
      </c>
      <c r="G257" s="89" t="str">
        <f t="shared" si="27"/>
        <v xml:space="preserve">8th &amp; 10th Floor </v>
      </c>
      <c r="H257" s="90"/>
      <c r="I257" s="34"/>
      <c r="L257" s="88"/>
      <c r="M257" s="88"/>
      <c r="N257" s="34"/>
    </row>
    <row r="258" spans="1:14" s="41" customFormat="1" x14ac:dyDescent="0.25">
      <c r="A258" s="89">
        <f t="shared" si="26"/>
        <v>13</v>
      </c>
      <c r="B258" s="90"/>
      <c r="C258" s="47" t="s">
        <v>191</v>
      </c>
      <c r="D258" s="39">
        <f t="shared" si="28"/>
        <v>403.10103599999997</v>
      </c>
      <c r="E258" s="39">
        <v>0</v>
      </c>
      <c r="F258" s="39">
        <v>705</v>
      </c>
      <c r="G258" s="89" t="str">
        <f t="shared" si="27"/>
        <v xml:space="preserve">8th &amp; 10th Floor </v>
      </c>
      <c r="H258" s="90"/>
      <c r="I258" s="34"/>
      <c r="L258" s="88"/>
      <c r="M258" s="88"/>
      <c r="N258" s="34"/>
    </row>
    <row r="259" spans="1:14" s="41" customFormat="1" x14ac:dyDescent="0.25">
      <c r="A259" s="89">
        <f t="shared" si="26"/>
        <v>14</v>
      </c>
      <c r="B259" s="90"/>
      <c r="C259" s="47" t="s">
        <v>191</v>
      </c>
      <c r="D259" s="39">
        <f t="shared" si="28"/>
        <v>403.10103599999997</v>
      </c>
      <c r="E259" s="39">
        <v>0</v>
      </c>
      <c r="F259" s="39">
        <v>705</v>
      </c>
      <c r="G259" s="89" t="str">
        <f t="shared" si="27"/>
        <v xml:space="preserve">8th &amp; 10th Floor </v>
      </c>
      <c r="H259" s="90"/>
      <c r="I259" s="34"/>
      <c r="L259" s="88"/>
      <c r="M259" s="88"/>
      <c r="N259" s="34"/>
    </row>
    <row r="260" spans="1:14" s="33" customFormat="1" x14ac:dyDescent="0.25">
      <c r="A260" s="184" t="s">
        <v>69</v>
      </c>
      <c r="B260" s="184"/>
      <c r="C260" s="184"/>
      <c r="D260" s="184"/>
      <c r="E260" s="184"/>
      <c r="F260" s="184"/>
      <c r="G260" s="184"/>
      <c r="H260" s="184"/>
    </row>
    <row r="261" spans="1:14" s="33" customFormat="1" ht="63.75" customHeight="1" x14ac:dyDescent="0.25">
      <c r="A261" s="56" t="s">
        <v>156</v>
      </c>
      <c r="B261" s="107" t="s">
        <v>236</v>
      </c>
      <c r="C261" s="108"/>
      <c r="D261" s="108"/>
      <c r="E261" s="108"/>
      <c r="F261" s="108"/>
      <c r="G261" s="108"/>
      <c r="H261" s="109"/>
    </row>
    <row r="262" spans="1:14" s="33" customFormat="1" x14ac:dyDescent="0.25">
      <c r="A262" s="56" t="s">
        <v>156</v>
      </c>
      <c r="B262" s="107" t="str">
        <f>(IF(F141="Saleable area Loading :","We have considered Saleable area of Flats as per our Calculation.","We considered Saleable area of Flat as per Builder area Sheet."))</f>
        <v>We considered Saleable area of Flat as per Builder area Sheet.</v>
      </c>
      <c r="C262" s="108"/>
      <c r="D262" s="108"/>
      <c r="E262" s="108"/>
      <c r="F262" s="108"/>
      <c r="G262" s="108"/>
      <c r="H262" s="109"/>
    </row>
    <row r="263" spans="1:14" s="33" customFormat="1" x14ac:dyDescent="0.25">
      <c r="A263" s="56" t="s">
        <v>156</v>
      </c>
      <c r="B263" s="107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3" s="108"/>
      <c r="D263" s="108"/>
      <c r="E263" s="108"/>
      <c r="F263" s="108"/>
      <c r="G263" s="108"/>
      <c r="H263" s="109"/>
    </row>
    <row r="264" spans="1:14" s="33" customFormat="1" x14ac:dyDescent="0.25">
      <c r="A264" s="56" t="s">
        <v>156</v>
      </c>
      <c r="B264" s="107" t="s">
        <v>125</v>
      </c>
      <c r="C264" s="108"/>
      <c r="D264" s="108"/>
      <c r="E264" s="108"/>
      <c r="F264" s="108"/>
      <c r="G264" s="108"/>
      <c r="H264" s="109"/>
    </row>
    <row r="265" spans="1:14" s="33" customFormat="1" x14ac:dyDescent="0.25">
      <c r="A265" s="56" t="s">
        <v>156</v>
      </c>
      <c r="B265" s="107" t="s">
        <v>196</v>
      </c>
      <c r="C265" s="108"/>
      <c r="D265" s="108"/>
      <c r="E265" s="108"/>
      <c r="F265" s="108"/>
      <c r="G265" s="108"/>
      <c r="H265" s="109"/>
    </row>
    <row r="266" spans="1:14" s="33" customFormat="1" x14ac:dyDescent="0.25">
      <c r="A266" s="56" t="s">
        <v>156</v>
      </c>
      <c r="B266" s="107" t="s">
        <v>155</v>
      </c>
      <c r="C266" s="108"/>
      <c r="D266" s="108"/>
      <c r="E266" s="108"/>
      <c r="F266" s="108"/>
      <c r="G266" s="108"/>
      <c r="H266" s="109"/>
    </row>
    <row r="267" spans="1:14" s="33" customFormat="1" x14ac:dyDescent="0.25">
      <c r="A267" s="56" t="s">
        <v>156</v>
      </c>
      <c r="B267" s="107" t="s">
        <v>126</v>
      </c>
      <c r="C267" s="108"/>
      <c r="D267" s="108"/>
      <c r="E267" s="108"/>
      <c r="F267" s="108"/>
      <c r="G267" s="108"/>
      <c r="H267" s="109"/>
    </row>
    <row r="268" spans="1:14" s="33" customFormat="1" ht="34.5" customHeight="1" x14ac:dyDescent="0.25">
      <c r="A268" s="56" t="s">
        <v>156</v>
      </c>
      <c r="B268" s="107" t="s">
        <v>157</v>
      </c>
      <c r="C268" s="108"/>
      <c r="D268" s="108"/>
      <c r="E268" s="108"/>
      <c r="F268" s="108"/>
      <c r="G268" s="108"/>
      <c r="H268" s="109"/>
    </row>
    <row r="269" spans="1:14" s="33" customFormat="1" x14ac:dyDescent="0.25">
      <c r="A269" s="56" t="s">
        <v>156</v>
      </c>
      <c r="B269" s="107" t="s">
        <v>127</v>
      </c>
      <c r="C269" s="108"/>
      <c r="D269" s="108"/>
      <c r="E269" s="108"/>
      <c r="F269" s="108"/>
      <c r="G269" s="108"/>
      <c r="H269" s="109"/>
    </row>
    <row r="270" spans="1:14" s="33" customFormat="1" ht="63" customHeight="1" x14ac:dyDescent="0.25">
      <c r="A270" s="56" t="s">
        <v>156</v>
      </c>
      <c r="B270" s="107" t="s">
        <v>208</v>
      </c>
      <c r="C270" s="108"/>
      <c r="D270" s="108"/>
      <c r="E270" s="108"/>
      <c r="F270" s="108"/>
      <c r="G270" s="108"/>
      <c r="H270" s="109"/>
    </row>
    <row r="271" spans="1:14" s="33" customFormat="1" x14ac:dyDescent="0.25">
      <c r="A271" s="56" t="s">
        <v>156</v>
      </c>
      <c r="B271" s="107" t="s">
        <v>205</v>
      </c>
      <c r="C271" s="108"/>
      <c r="D271" s="108"/>
      <c r="E271" s="108"/>
      <c r="F271" s="108"/>
      <c r="G271" s="108"/>
      <c r="H271" s="109"/>
    </row>
    <row r="272" spans="1:14" s="33" customFormat="1" hidden="1" x14ac:dyDescent="0.25">
      <c r="A272" s="56" t="s">
        <v>156</v>
      </c>
      <c r="B272" s="107" t="s">
        <v>214</v>
      </c>
      <c r="C272" s="108"/>
      <c r="D272" s="108"/>
      <c r="E272" s="108"/>
      <c r="F272" s="108"/>
      <c r="G272" s="108"/>
      <c r="H272" s="109"/>
    </row>
    <row r="273" spans="1:8" s="33" customFormat="1" x14ac:dyDescent="0.25">
      <c r="A273" s="56" t="s">
        <v>156</v>
      </c>
      <c r="B273" s="107" t="s">
        <v>225</v>
      </c>
      <c r="C273" s="108"/>
      <c r="D273" s="108"/>
      <c r="E273" s="108"/>
      <c r="F273" s="108"/>
      <c r="G273" s="108"/>
      <c r="H273" s="109"/>
    </row>
    <row r="274" spans="1:8" s="33" customFormat="1" x14ac:dyDescent="0.25">
      <c r="A274" s="56" t="s">
        <v>156</v>
      </c>
      <c r="B274" s="107" t="s">
        <v>232</v>
      </c>
      <c r="C274" s="108"/>
      <c r="D274" s="108"/>
      <c r="E274" s="108"/>
      <c r="F274" s="108"/>
      <c r="G274" s="108"/>
      <c r="H274" s="109"/>
    </row>
    <row r="275" spans="1:8" x14ac:dyDescent="0.25">
      <c r="A275" s="142" t="s">
        <v>62</v>
      </c>
      <c r="B275" s="142"/>
      <c r="C275" s="142"/>
      <c r="D275" s="142"/>
      <c r="E275" s="142"/>
      <c r="F275" s="142"/>
      <c r="G275" s="142"/>
      <c r="H275" s="142"/>
    </row>
    <row r="276" spans="1:8" x14ac:dyDescent="0.25">
      <c r="A276" s="69" t="s">
        <v>63</v>
      </c>
      <c r="B276" s="69"/>
      <c r="C276" s="69"/>
      <c r="D276" s="69"/>
      <c r="E276" s="69"/>
      <c r="F276" s="69"/>
      <c r="G276" s="69"/>
      <c r="H276" s="69"/>
    </row>
    <row r="277" spans="1:8" ht="15.75" customHeight="1" x14ac:dyDescent="0.25">
      <c r="A277" s="106" t="s">
        <v>64</v>
      </c>
      <c r="B277" s="106"/>
      <c r="C277" s="106"/>
      <c r="D277" s="106"/>
      <c r="E277" s="106"/>
      <c r="F277" s="106"/>
      <c r="G277" s="106"/>
      <c r="H277" s="106"/>
    </row>
    <row r="278" spans="1:8" x14ac:dyDescent="0.25">
      <c r="A278" s="69" t="s">
        <v>65</v>
      </c>
      <c r="B278" s="69"/>
      <c r="C278" s="69"/>
      <c r="D278" s="69"/>
      <c r="E278" s="69"/>
      <c r="F278" s="69"/>
      <c r="G278" s="69"/>
      <c r="H278" s="69"/>
    </row>
    <row r="279" spans="1:8" x14ac:dyDescent="0.25">
      <c r="A279" s="69" t="s">
        <v>66</v>
      </c>
      <c r="B279" s="69"/>
      <c r="C279" s="69"/>
      <c r="D279" s="69"/>
      <c r="E279" s="69"/>
      <c r="F279" s="69"/>
      <c r="G279" s="69"/>
      <c r="H279" s="69"/>
    </row>
    <row r="280" spans="1:8" x14ac:dyDescent="0.25">
      <c r="A280" s="69" t="s">
        <v>128</v>
      </c>
      <c r="B280" s="69"/>
      <c r="C280" s="69"/>
      <c r="D280" s="69"/>
      <c r="E280" s="69"/>
      <c r="F280" s="69"/>
      <c r="G280" s="69"/>
      <c r="H280" s="69"/>
    </row>
    <row r="281" spans="1:8" ht="35.25" customHeight="1" x14ac:dyDescent="0.25">
      <c r="A281" s="81" t="s">
        <v>129</v>
      </c>
      <c r="B281" s="81"/>
      <c r="C281" s="81"/>
      <c r="D281" s="81"/>
      <c r="E281" s="81"/>
      <c r="F281" s="81"/>
      <c r="G281" s="81"/>
      <c r="H281" s="81"/>
    </row>
    <row r="282" spans="1:8" x14ac:dyDescent="0.25">
      <c r="A282" s="136" t="s">
        <v>78</v>
      </c>
      <c r="B282" s="136"/>
      <c r="C282" s="136" t="s">
        <v>234</v>
      </c>
      <c r="D282" s="136"/>
      <c r="E282" s="136" t="s">
        <v>106</v>
      </c>
      <c r="F282" s="136"/>
      <c r="G282" s="136" t="s">
        <v>231</v>
      </c>
      <c r="H282" s="136"/>
    </row>
    <row r="283" spans="1:8" x14ac:dyDescent="0.25">
      <c r="A283" s="135" t="s">
        <v>80</v>
      </c>
      <c r="B283" s="135"/>
      <c r="C283" s="135"/>
      <c r="D283" s="135"/>
      <c r="E283" s="135"/>
      <c r="F283" s="135"/>
      <c r="G283" s="135"/>
      <c r="H283" s="135"/>
    </row>
    <row r="284" spans="1:8" x14ac:dyDescent="0.25">
      <c r="A284" s="135"/>
      <c r="B284" s="135"/>
      <c r="C284" s="135"/>
      <c r="D284" s="135"/>
      <c r="E284" s="135"/>
      <c r="F284" s="135"/>
      <c r="G284" s="135"/>
      <c r="H284" s="135"/>
    </row>
    <row r="285" spans="1:8" x14ac:dyDescent="0.25">
      <c r="A285" s="135"/>
      <c r="B285" s="135"/>
      <c r="C285" s="135"/>
      <c r="D285" s="135"/>
      <c r="E285" s="135"/>
      <c r="F285" s="135"/>
      <c r="G285" s="135"/>
      <c r="H285" s="135"/>
    </row>
    <row r="286" spans="1:8" x14ac:dyDescent="0.25">
      <c r="A286" s="135"/>
      <c r="B286" s="135"/>
      <c r="C286" s="135"/>
      <c r="D286" s="135"/>
      <c r="E286" s="135"/>
      <c r="F286" s="135"/>
      <c r="G286" s="135"/>
      <c r="H286" s="135"/>
    </row>
    <row r="287" spans="1:8" x14ac:dyDescent="0.25">
      <c r="A287" s="35" t="s">
        <v>67</v>
      </c>
      <c r="B287" s="36"/>
      <c r="C287" s="36"/>
      <c r="D287" s="35" t="str">
        <f>E8</f>
        <v>Bhaveshwar Aqua 2</v>
      </c>
      <c r="F287" s="36"/>
      <c r="G287" s="36"/>
      <c r="H287" s="36"/>
    </row>
    <row r="288" spans="1:8" x14ac:dyDescent="0.25">
      <c r="A288" s="36"/>
      <c r="B288" s="36"/>
      <c r="C288" s="36"/>
      <c r="D288" s="36"/>
      <c r="E288" s="36"/>
      <c r="F288" s="36"/>
      <c r="G288" s="36"/>
      <c r="H288" s="36"/>
    </row>
    <row r="289" spans="1:8" x14ac:dyDescent="0.25">
      <c r="A289" s="36"/>
      <c r="B289" s="36"/>
      <c r="C289" s="36"/>
      <c r="D289" s="36"/>
      <c r="E289" s="36"/>
      <c r="F289" s="36"/>
      <c r="G289" s="36"/>
      <c r="H289" s="36"/>
    </row>
    <row r="290" spans="1:8" ht="15" customHeight="1" x14ac:dyDescent="0.25"/>
    <row r="331" spans="1:1" x14ac:dyDescent="0.25">
      <c r="A331" s="38" t="s">
        <v>68</v>
      </c>
    </row>
  </sheetData>
  <mergeCells count="640">
    <mergeCell ref="B274:H274"/>
    <mergeCell ref="C241:F241"/>
    <mergeCell ref="G244:H244"/>
    <mergeCell ref="A228:B228"/>
    <mergeCell ref="G228:H228"/>
    <mergeCell ref="L228:M228"/>
    <mergeCell ref="B273:H273"/>
    <mergeCell ref="A229:B229"/>
    <mergeCell ref="G229:H229"/>
    <mergeCell ref="L229:M229"/>
    <mergeCell ref="A230:H230"/>
    <mergeCell ref="A231:B231"/>
    <mergeCell ref="G231:H231"/>
    <mergeCell ref="A233:B233"/>
    <mergeCell ref="G233:H233"/>
    <mergeCell ref="A237:B237"/>
    <mergeCell ref="G237:H237"/>
    <mergeCell ref="L231:M231"/>
    <mergeCell ref="L232:M232"/>
    <mergeCell ref="L237:M237"/>
    <mergeCell ref="A238:B238"/>
    <mergeCell ref="G238:H238"/>
    <mergeCell ref="L238:M238"/>
    <mergeCell ref="A239:B239"/>
    <mergeCell ref="G239:H239"/>
    <mergeCell ref="L239:M239"/>
    <mergeCell ref="A225:B225"/>
    <mergeCell ref="G225:H225"/>
    <mergeCell ref="L225:M225"/>
    <mergeCell ref="A226:B226"/>
    <mergeCell ref="G226:H226"/>
    <mergeCell ref="L226:M226"/>
    <mergeCell ref="A227:B227"/>
    <mergeCell ref="G227:H227"/>
    <mergeCell ref="L227:M227"/>
    <mergeCell ref="L233:M233"/>
    <mergeCell ref="A234:B234"/>
    <mergeCell ref="G234:H234"/>
    <mergeCell ref="L234:M234"/>
    <mergeCell ref="A235:B235"/>
    <mergeCell ref="G235:H235"/>
    <mergeCell ref="L235:M235"/>
    <mergeCell ref="A236:B236"/>
    <mergeCell ref="G236:H236"/>
    <mergeCell ref="L236:M236"/>
    <mergeCell ref="A222:B222"/>
    <mergeCell ref="G222:H222"/>
    <mergeCell ref="L222:M222"/>
    <mergeCell ref="A223:B223"/>
    <mergeCell ref="G223:H223"/>
    <mergeCell ref="L223:M223"/>
    <mergeCell ref="A224:B224"/>
    <mergeCell ref="G224:H224"/>
    <mergeCell ref="L224:M224"/>
    <mergeCell ref="A219:B219"/>
    <mergeCell ref="G219:H219"/>
    <mergeCell ref="L219:M219"/>
    <mergeCell ref="A220:B220"/>
    <mergeCell ref="G220:H220"/>
    <mergeCell ref="L220:M220"/>
    <mergeCell ref="A221:B221"/>
    <mergeCell ref="G221:H221"/>
    <mergeCell ref="L221:M221"/>
    <mergeCell ref="A215:H215"/>
    <mergeCell ref="A216:B216"/>
    <mergeCell ref="G216:H216"/>
    <mergeCell ref="L216:M216"/>
    <mergeCell ref="A217:B217"/>
    <mergeCell ref="G217:H217"/>
    <mergeCell ref="L217:M217"/>
    <mergeCell ref="A218:B218"/>
    <mergeCell ref="G218:H218"/>
    <mergeCell ref="L218:M218"/>
    <mergeCell ref="A212:B212"/>
    <mergeCell ref="G212:H212"/>
    <mergeCell ref="L212:M212"/>
    <mergeCell ref="A213:B213"/>
    <mergeCell ref="G213:H213"/>
    <mergeCell ref="L213:M213"/>
    <mergeCell ref="A214:B214"/>
    <mergeCell ref="G214:H214"/>
    <mergeCell ref="L214:M214"/>
    <mergeCell ref="A209:B209"/>
    <mergeCell ref="G209:H209"/>
    <mergeCell ref="L209:M209"/>
    <mergeCell ref="A210:B210"/>
    <mergeCell ref="G210:H210"/>
    <mergeCell ref="L210:M210"/>
    <mergeCell ref="A211:B211"/>
    <mergeCell ref="G211:H211"/>
    <mergeCell ref="L211:M211"/>
    <mergeCell ref="A206:B206"/>
    <mergeCell ref="G206:H206"/>
    <mergeCell ref="L206:M206"/>
    <mergeCell ref="A207:B207"/>
    <mergeCell ref="G207:H207"/>
    <mergeCell ref="L207:M207"/>
    <mergeCell ref="A208:B208"/>
    <mergeCell ref="G208:H208"/>
    <mergeCell ref="L208:M208"/>
    <mergeCell ref="A203:B203"/>
    <mergeCell ref="G203:H203"/>
    <mergeCell ref="L203:M203"/>
    <mergeCell ref="A204:B204"/>
    <mergeCell ref="G204:H204"/>
    <mergeCell ref="L204:M204"/>
    <mergeCell ref="A205:B205"/>
    <mergeCell ref="G205:H205"/>
    <mergeCell ref="L205:M205"/>
    <mergeCell ref="A202:B202"/>
    <mergeCell ref="G202:H202"/>
    <mergeCell ref="L202:M202"/>
    <mergeCell ref="A180:B180"/>
    <mergeCell ref="G180:H180"/>
    <mergeCell ref="L180:M180"/>
    <mergeCell ref="A181:B181"/>
    <mergeCell ref="G181:H181"/>
    <mergeCell ref="L181:M181"/>
    <mergeCell ref="A182:B182"/>
    <mergeCell ref="G182:H182"/>
    <mergeCell ref="L182:M182"/>
    <mergeCell ref="C182:F182"/>
    <mergeCell ref="A191:B191"/>
    <mergeCell ref="G191:H191"/>
    <mergeCell ref="L191:M191"/>
    <mergeCell ref="A190:B190"/>
    <mergeCell ref="G190:H190"/>
    <mergeCell ref="L190:M190"/>
    <mergeCell ref="A194:B194"/>
    <mergeCell ref="L194:M194"/>
    <mergeCell ref="A183:H183"/>
    <mergeCell ref="L199:M199"/>
    <mergeCell ref="A195:B195"/>
    <mergeCell ref="A175:H175"/>
    <mergeCell ref="A176:B176"/>
    <mergeCell ref="A200:H200"/>
    <mergeCell ref="A201:B201"/>
    <mergeCell ref="G201:H201"/>
    <mergeCell ref="L201:M201"/>
    <mergeCell ref="L176:M176"/>
    <mergeCell ref="A186:B186"/>
    <mergeCell ref="A179:B179"/>
    <mergeCell ref="G179:H179"/>
    <mergeCell ref="L179:M179"/>
    <mergeCell ref="G194:H194"/>
    <mergeCell ref="A185:H185"/>
    <mergeCell ref="A199:B199"/>
    <mergeCell ref="G199:H199"/>
    <mergeCell ref="A189:B189"/>
    <mergeCell ref="L192:M192"/>
    <mergeCell ref="A193:B193"/>
    <mergeCell ref="G193:H193"/>
    <mergeCell ref="L193:M193"/>
    <mergeCell ref="G195:H195"/>
    <mergeCell ref="L195:M195"/>
    <mergeCell ref="A196:B196"/>
    <mergeCell ref="G196:H196"/>
    <mergeCell ref="L138:M138"/>
    <mergeCell ref="A139:B139"/>
    <mergeCell ref="G139:H139"/>
    <mergeCell ref="L139:M139"/>
    <mergeCell ref="A159:H159"/>
    <mergeCell ref="C160:F160"/>
    <mergeCell ref="G178:H178"/>
    <mergeCell ref="L178:M178"/>
    <mergeCell ref="A167:H167"/>
    <mergeCell ref="A168:B168"/>
    <mergeCell ref="L148:M148"/>
    <mergeCell ref="L149:M149"/>
    <mergeCell ref="L157:M157"/>
    <mergeCell ref="L158:M158"/>
    <mergeCell ref="L160:M160"/>
    <mergeCell ref="G168:H168"/>
    <mergeCell ref="L168:M168"/>
    <mergeCell ref="A169:B169"/>
    <mergeCell ref="G169:H169"/>
    <mergeCell ref="L169:M169"/>
    <mergeCell ref="A170:B170"/>
    <mergeCell ref="G170:H170"/>
    <mergeCell ref="L170:M170"/>
    <mergeCell ref="A171:B171"/>
    <mergeCell ref="L129:M129"/>
    <mergeCell ref="A130:B130"/>
    <mergeCell ref="L130:M130"/>
    <mergeCell ref="A131:B131"/>
    <mergeCell ref="L131:M131"/>
    <mergeCell ref="A132:B132"/>
    <mergeCell ref="L132:M132"/>
    <mergeCell ref="L133:M133"/>
    <mergeCell ref="B121:B122"/>
    <mergeCell ref="A121:A122"/>
    <mergeCell ref="L128:M128"/>
    <mergeCell ref="L127:M127"/>
    <mergeCell ref="L126:M126"/>
    <mergeCell ref="L125:M125"/>
    <mergeCell ref="A128:B128"/>
    <mergeCell ref="A129:B129"/>
    <mergeCell ref="L134:M134"/>
    <mergeCell ref="A177:B177"/>
    <mergeCell ref="G177:H177"/>
    <mergeCell ref="L177:M177"/>
    <mergeCell ref="G173:H173"/>
    <mergeCell ref="L173:M173"/>
    <mergeCell ref="A174:B174"/>
    <mergeCell ref="G174:H174"/>
    <mergeCell ref="L174:M174"/>
    <mergeCell ref="A164:B164"/>
    <mergeCell ref="G164:H164"/>
    <mergeCell ref="L164:M164"/>
    <mergeCell ref="A165:B165"/>
    <mergeCell ref="L144:M144"/>
    <mergeCell ref="L145:M145"/>
    <mergeCell ref="L146:M146"/>
    <mergeCell ref="L147:M147"/>
    <mergeCell ref="L155:M155"/>
    <mergeCell ref="A135:B135"/>
    <mergeCell ref="L135:M135"/>
    <mergeCell ref="A136:B136"/>
    <mergeCell ref="L136:M136"/>
    <mergeCell ref="C176:F176"/>
    <mergeCell ref="G176:H176"/>
    <mergeCell ref="A95:E95"/>
    <mergeCell ref="A16:B16"/>
    <mergeCell ref="C16:H16"/>
    <mergeCell ref="A38:B38"/>
    <mergeCell ref="C38:H38"/>
    <mergeCell ref="B268:H268"/>
    <mergeCell ref="A47:B47"/>
    <mergeCell ref="C47:H47"/>
    <mergeCell ref="B266:H266"/>
    <mergeCell ref="F97:H97"/>
    <mergeCell ref="A97:E97"/>
    <mergeCell ref="D121:D122"/>
    <mergeCell ref="A99:E99"/>
    <mergeCell ref="A125:B125"/>
    <mergeCell ref="A126:B126"/>
    <mergeCell ref="A127:B127"/>
    <mergeCell ref="A133:B133"/>
    <mergeCell ref="B262:H262"/>
    <mergeCell ref="B265:H265"/>
    <mergeCell ref="A260:H260"/>
    <mergeCell ref="G189:H189"/>
    <mergeCell ref="A117:B117"/>
    <mergeCell ref="C117:D117"/>
    <mergeCell ref="E117:F117"/>
    <mergeCell ref="C118:D118"/>
    <mergeCell ref="C116:D116"/>
    <mergeCell ref="E116:F116"/>
    <mergeCell ref="G116:H116"/>
    <mergeCell ref="F102:H102"/>
    <mergeCell ref="A98:E98"/>
    <mergeCell ref="C110:D110"/>
    <mergeCell ref="F106:H106"/>
    <mergeCell ref="F104:H104"/>
    <mergeCell ref="G110:H110"/>
    <mergeCell ref="A105:E105"/>
    <mergeCell ref="C111:D111"/>
    <mergeCell ref="E111:F111"/>
    <mergeCell ref="E113:F113"/>
    <mergeCell ref="G113:H113"/>
    <mergeCell ref="A101:E101"/>
    <mergeCell ref="F101:H101"/>
    <mergeCell ref="A102:E102"/>
    <mergeCell ref="A104:E104"/>
    <mergeCell ref="A103:E103"/>
    <mergeCell ref="A100:E100"/>
    <mergeCell ref="F99:H99"/>
    <mergeCell ref="F105:H105"/>
    <mergeCell ref="A115:B115"/>
    <mergeCell ref="A96:E96"/>
    <mergeCell ref="A124:H124"/>
    <mergeCell ref="E121:E122"/>
    <mergeCell ref="G121:H122"/>
    <mergeCell ref="F95:H95"/>
    <mergeCell ref="F100:H100"/>
    <mergeCell ref="C121:C122"/>
    <mergeCell ref="E110:F110"/>
    <mergeCell ref="A110:B110"/>
    <mergeCell ref="F103:H103"/>
    <mergeCell ref="A106:E106"/>
    <mergeCell ref="G118:H118"/>
    <mergeCell ref="C112:D112"/>
    <mergeCell ref="E112:F112"/>
    <mergeCell ref="G112:H112"/>
    <mergeCell ref="F96:H96"/>
    <mergeCell ref="G111:H111"/>
    <mergeCell ref="A118:B118"/>
    <mergeCell ref="C113:D113"/>
    <mergeCell ref="F98:H98"/>
    <mergeCell ref="G117:H117"/>
    <mergeCell ref="C115:D115"/>
    <mergeCell ref="G115:H115"/>
    <mergeCell ref="A111:A11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C49:E49"/>
    <mergeCell ref="C52:E52"/>
    <mergeCell ref="A49:B49"/>
    <mergeCell ref="A41:D41"/>
    <mergeCell ref="A48:B48"/>
    <mergeCell ref="C48:E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83:H286"/>
    <mergeCell ref="A282:B282"/>
    <mergeCell ref="E282:F282"/>
    <mergeCell ref="C282:D282"/>
    <mergeCell ref="G282:H282"/>
    <mergeCell ref="A109:H109"/>
    <mergeCell ref="A107:E107"/>
    <mergeCell ref="F107:H107"/>
    <mergeCell ref="A108:E108"/>
    <mergeCell ref="F108:H108"/>
    <mergeCell ref="A116:B116"/>
    <mergeCell ref="A278:H278"/>
    <mergeCell ref="A114:H114"/>
    <mergeCell ref="A281:H281"/>
    <mergeCell ref="A279:H279"/>
    <mergeCell ref="A140:H140"/>
    <mergeCell ref="G186:H186"/>
    <mergeCell ref="A275:H275"/>
    <mergeCell ref="A276:H276"/>
    <mergeCell ref="E115:F115"/>
    <mergeCell ref="B269:H269"/>
    <mergeCell ref="B272:H272"/>
    <mergeCell ref="G188:H188"/>
    <mergeCell ref="A113:B113"/>
    <mergeCell ref="G48:H48"/>
    <mergeCell ref="G50:H50"/>
    <mergeCell ref="D55:H55"/>
    <mergeCell ref="C50:E50"/>
    <mergeCell ref="A42:D42"/>
    <mergeCell ref="E42:H42"/>
    <mergeCell ref="E43:H43"/>
    <mergeCell ref="E44:H44"/>
    <mergeCell ref="E45:H45"/>
    <mergeCell ref="A43:D43"/>
    <mergeCell ref="A54:H54"/>
    <mergeCell ref="G157:H157"/>
    <mergeCell ref="A158:B158"/>
    <mergeCell ref="G158:H158"/>
    <mergeCell ref="G160:H160"/>
    <mergeCell ref="A55:C55"/>
    <mergeCell ref="A56:C56"/>
    <mergeCell ref="D56:H56"/>
    <mergeCell ref="G52:H52"/>
    <mergeCell ref="A52:B53"/>
    <mergeCell ref="C53:H53"/>
    <mergeCell ref="D60:H60"/>
    <mergeCell ref="E71:F80"/>
    <mergeCell ref="G71:H80"/>
    <mergeCell ref="A79:B79"/>
    <mergeCell ref="A80:B80"/>
    <mergeCell ref="D61:H61"/>
    <mergeCell ref="A77:B77"/>
    <mergeCell ref="A70:B70"/>
    <mergeCell ref="A73:B73"/>
    <mergeCell ref="A69:B69"/>
    <mergeCell ref="A67:B67"/>
    <mergeCell ref="C67:H67"/>
    <mergeCell ref="A75:B75"/>
    <mergeCell ref="A62:C62"/>
    <mergeCell ref="A148:B148"/>
    <mergeCell ref="G148:H148"/>
    <mergeCell ref="G155:H155"/>
    <mergeCell ref="G125:H136"/>
    <mergeCell ref="A145:B145"/>
    <mergeCell ref="G145:H145"/>
    <mergeCell ref="A146:B146"/>
    <mergeCell ref="G146:H146"/>
    <mergeCell ref="A147:B147"/>
    <mergeCell ref="G147:H147"/>
    <mergeCell ref="A134:B134"/>
    <mergeCell ref="A149:B149"/>
    <mergeCell ref="G149:H149"/>
    <mergeCell ref="A137:H137"/>
    <mergeCell ref="A138:B138"/>
    <mergeCell ref="G138:H138"/>
    <mergeCell ref="G141:H141"/>
    <mergeCell ref="B271:H271"/>
    <mergeCell ref="A259:B259"/>
    <mergeCell ref="G259:H259"/>
    <mergeCell ref="B267:H267"/>
    <mergeCell ref="B263:H263"/>
    <mergeCell ref="B261:H261"/>
    <mergeCell ref="E118:F118"/>
    <mergeCell ref="B270:H270"/>
    <mergeCell ref="B264:H264"/>
    <mergeCell ref="A192:B192"/>
    <mergeCell ref="G192:H192"/>
    <mergeCell ref="A160:B160"/>
    <mergeCell ref="A232:B232"/>
    <mergeCell ref="G232:H232"/>
    <mergeCell ref="A123:H123"/>
    <mergeCell ref="A184:H184"/>
    <mergeCell ref="A142:H142"/>
    <mergeCell ref="A143:H143"/>
    <mergeCell ref="A119:H119"/>
    <mergeCell ref="A120:H120"/>
    <mergeCell ref="A154:B154"/>
    <mergeCell ref="G154:H154"/>
    <mergeCell ref="A144:B144"/>
    <mergeCell ref="G144:H144"/>
    <mergeCell ref="G162:H162"/>
    <mergeCell ref="L162:M162"/>
    <mergeCell ref="A163:B163"/>
    <mergeCell ref="G163:H163"/>
    <mergeCell ref="L163:M163"/>
    <mergeCell ref="A280:H280"/>
    <mergeCell ref="A277:H277"/>
    <mergeCell ref="A187:B187"/>
    <mergeCell ref="G187:H187"/>
    <mergeCell ref="A188:B188"/>
    <mergeCell ref="G165:H165"/>
    <mergeCell ref="L165:M165"/>
    <mergeCell ref="A166:B166"/>
    <mergeCell ref="G166:H166"/>
    <mergeCell ref="L166:M166"/>
    <mergeCell ref="A178:B178"/>
    <mergeCell ref="G171:H171"/>
    <mergeCell ref="L171:M171"/>
    <mergeCell ref="A172:B172"/>
    <mergeCell ref="G172:H172"/>
    <mergeCell ref="L172:M172"/>
    <mergeCell ref="A173:B173"/>
    <mergeCell ref="A257:B257"/>
    <mergeCell ref="G257:H257"/>
    <mergeCell ref="L154:M154"/>
    <mergeCell ref="A155:B155"/>
    <mergeCell ref="A150:B150"/>
    <mergeCell ref="L189:M189"/>
    <mergeCell ref="L186:M186"/>
    <mergeCell ref="L187:M187"/>
    <mergeCell ref="L188:M188"/>
    <mergeCell ref="A156:B156"/>
    <mergeCell ref="G156:H156"/>
    <mergeCell ref="L156:M156"/>
    <mergeCell ref="A157:B157"/>
    <mergeCell ref="G150:H150"/>
    <mergeCell ref="L150:M150"/>
    <mergeCell ref="A151:H151"/>
    <mergeCell ref="A152:B152"/>
    <mergeCell ref="G152:H152"/>
    <mergeCell ref="L152:M152"/>
    <mergeCell ref="A153:B153"/>
    <mergeCell ref="G153:H153"/>
    <mergeCell ref="L153:M153"/>
    <mergeCell ref="A161:B161"/>
    <mergeCell ref="G161:H161"/>
    <mergeCell ref="L161:M161"/>
    <mergeCell ref="A162:B162"/>
    <mergeCell ref="L196:M196"/>
    <mergeCell ref="A197:B197"/>
    <mergeCell ref="G197:H197"/>
    <mergeCell ref="L197:M197"/>
    <mergeCell ref="A198:B198"/>
    <mergeCell ref="G198:H198"/>
    <mergeCell ref="L198:M198"/>
    <mergeCell ref="L247:M247"/>
    <mergeCell ref="A248:B248"/>
    <mergeCell ref="G248:H248"/>
    <mergeCell ref="L248:M248"/>
    <mergeCell ref="A240:B240"/>
    <mergeCell ref="G240:H240"/>
    <mergeCell ref="L240:M240"/>
    <mergeCell ref="A241:B241"/>
    <mergeCell ref="G241:H241"/>
    <mergeCell ref="L241:M241"/>
    <mergeCell ref="A245:H245"/>
    <mergeCell ref="A246:B246"/>
    <mergeCell ref="G246:H246"/>
    <mergeCell ref="A242:B242"/>
    <mergeCell ref="G242:H242"/>
    <mergeCell ref="L242:M242"/>
    <mergeCell ref="A243:B243"/>
    <mergeCell ref="L243:M243"/>
    <mergeCell ref="L246:M246"/>
    <mergeCell ref="A247:B247"/>
    <mergeCell ref="G247:H247"/>
    <mergeCell ref="G243:H243"/>
    <mergeCell ref="A244:B244"/>
    <mergeCell ref="L244:M244"/>
    <mergeCell ref="L249:M249"/>
    <mergeCell ref="A250:B250"/>
    <mergeCell ref="G250:H250"/>
    <mergeCell ref="L250:M250"/>
    <mergeCell ref="A251:B251"/>
    <mergeCell ref="G251:H251"/>
    <mergeCell ref="L251:M251"/>
    <mergeCell ref="G256:H256"/>
    <mergeCell ref="A252:B252"/>
    <mergeCell ref="G252:H252"/>
    <mergeCell ref="L252:M252"/>
    <mergeCell ref="L256:M256"/>
    <mergeCell ref="A249:B249"/>
    <mergeCell ref="G249:H249"/>
    <mergeCell ref="L258:M258"/>
    <mergeCell ref="A253:B253"/>
    <mergeCell ref="G253:H253"/>
    <mergeCell ref="L253:M253"/>
    <mergeCell ref="A254:B254"/>
    <mergeCell ref="G254:H254"/>
    <mergeCell ref="L254:M254"/>
    <mergeCell ref="A255:B255"/>
    <mergeCell ref="G255:H255"/>
    <mergeCell ref="L255:M255"/>
    <mergeCell ref="L259:M259"/>
    <mergeCell ref="A256:B256"/>
    <mergeCell ref="L257:M257"/>
    <mergeCell ref="A258:B258"/>
    <mergeCell ref="G258:H258"/>
    <mergeCell ref="D59:H59"/>
    <mergeCell ref="A58:C59"/>
    <mergeCell ref="A81:B81"/>
    <mergeCell ref="C81:H81"/>
    <mergeCell ref="A83:B83"/>
    <mergeCell ref="C83:H83"/>
    <mergeCell ref="A84:B84"/>
    <mergeCell ref="E84:F84"/>
    <mergeCell ref="G84:H84"/>
    <mergeCell ref="D58:H58"/>
    <mergeCell ref="A76:B76"/>
    <mergeCell ref="A74:B74"/>
    <mergeCell ref="E70:F70"/>
    <mergeCell ref="A63:C63"/>
    <mergeCell ref="D63:H63"/>
    <mergeCell ref="A66:C66"/>
    <mergeCell ref="D66:H66"/>
    <mergeCell ref="A64:C64"/>
    <mergeCell ref="D64:H64"/>
    <mergeCell ref="C37:H37"/>
    <mergeCell ref="A65:C65"/>
    <mergeCell ref="D65:H65"/>
    <mergeCell ref="A71:B71"/>
    <mergeCell ref="G70:H70"/>
    <mergeCell ref="A61:C61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78:B78"/>
    <mergeCell ref="D62:H62"/>
    <mergeCell ref="C69:H69"/>
    <mergeCell ref="A72:B72"/>
    <mergeCell ref="C51:H51"/>
    <mergeCell ref="E41:H4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18" max="7" man="1"/>
    <brk id="286" max="16383" man="1"/>
    <brk id="3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52" zoomScale="85" zoomScaleNormal="85" workbookViewId="0">
      <selection activeCell="J10" sqref="J1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8" t="s">
        <v>107</v>
      </c>
      <c r="C3" s="188"/>
      <c r="D3" s="188"/>
      <c r="E3" s="188"/>
      <c r="F3" s="188"/>
      <c r="G3" s="188"/>
      <c r="H3" s="188"/>
    </row>
    <row r="4" spans="1:9" x14ac:dyDescent="0.25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2025-09-09T06:49:02Z</cp:lastPrinted>
  <dcterms:created xsi:type="dcterms:W3CDTF">2019-07-16T09:29:46Z</dcterms:created>
  <dcterms:modified xsi:type="dcterms:W3CDTF">2025-09-09T06:49:43Z</dcterms:modified>
</cp:coreProperties>
</file>