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Report!$A$1:$H$433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5" i="1" l="1"/>
  <c r="A326" i="1" s="1"/>
  <c r="A327" i="1" s="1"/>
  <c r="A328" i="1" s="1"/>
  <c r="A329" i="1" s="1"/>
  <c r="A330" i="1" s="1"/>
  <c r="A331" i="1" s="1"/>
  <c r="A332" i="1" s="1"/>
  <c r="D311" i="1"/>
  <c r="F311" i="1" s="1"/>
  <c r="D332" i="1"/>
  <c r="F332" i="1" s="1"/>
  <c r="D331" i="1"/>
  <c r="F331" i="1" s="1"/>
  <c r="D330" i="1"/>
  <c r="F330" i="1" s="1"/>
  <c r="D329" i="1"/>
  <c r="F329" i="1" s="1"/>
  <c r="D328" i="1"/>
  <c r="F328" i="1" s="1"/>
  <c r="D327" i="1"/>
  <c r="F327" i="1" s="1"/>
  <c r="D326" i="1"/>
  <c r="F326" i="1" s="1"/>
  <c r="D325" i="1"/>
  <c r="F325" i="1" s="1"/>
  <c r="D324" i="1"/>
  <c r="G323" i="1"/>
  <c r="D321" i="1"/>
  <c r="D320" i="1"/>
  <c r="D319" i="1"/>
  <c r="D318" i="1"/>
  <c r="D317" i="1"/>
  <c r="D316" i="1"/>
  <c r="D315" i="1"/>
  <c r="D314" i="1"/>
  <c r="D313" i="1"/>
  <c r="D312" i="1"/>
  <c r="D308" i="1"/>
  <c r="D307" i="1"/>
  <c r="D306" i="1"/>
  <c r="D305" i="1"/>
  <c r="D304" i="1"/>
  <c r="D303" i="1"/>
  <c r="D302" i="1"/>
  <c r="D301" i="1"/>
  <c r="A302" i="1"/>
  <c r="A303" i="1" s="1"/>
  <c r="A304" i="1" s="1"/>
  <c r="A305" i="1" s="1"/>
  <c r="A306" i="1" s="1"/>
  <c r="A307" i="1" s="1"/>
  <c r="A308" i="1" s="1"/>
  <c r="D298" i="1"/>
  <c r="D290" i="1"/>
  <c r="D291" i="1"/>
  <c r="D292" i="1"/>
  <c r="D293" i="1"/>
  <c r="D294" i="1"/>
  <c r="D295" i="1"/>
  <c r="D296" i="1"/>
  <c r="D297" i="1"/>
  <c r="D289" i="1"/>
  <c r="D282" i="1"/>
  <c r="D281" i="1"/>
  <c r="E282" i="1"/>
  <c r="E281" i="1"/>
  <c r="D280" i="1"/>
  <c r="E279" i="1"/>
  <c r="D279" i="1"/>
  <c r="D278" i="1"/>
  <c r="A279" i="1"/>
  <c r="A280" i="1" s="1"/>
  <c r="A281" i="1" s="1"/>
  <c r="A282" i="1" s="1"/>
  <c r="A283" i="1" s="1"/>
  <c r="A284" i="1" s="1"/>
  <c r="A285" i="1" s="1"/>
  <c r="A286" i="1" s="1"/>
  <c r="A287" i="1" s="1"/>
  <c r="D275" i="1"/>
  <c r="D272" i="1"/>
  <c r="D271" i="1"/>
  <c r="D270" i="1"/>
  <c r="D269" i="1"/>
  <c r="D268" i="1"/>
  <c r="D266" i="1"/>
  <c r="D264" i="1"/>
  <c r="D263" i="1"/>
  <c r="D262" i="1"/>
  <c r="D261" i="1"/>
  <c r="D260" i="1"/>
  <c r="D204" i="1"/>
  <c r="F204" i="1" s="1"/>
  <c r="D206" i="1"/>
  <c r="F206" i="1" s="1"/>
  <c r="D205" i="1"/>
  <c r="F205" i="1" s="1"/>
  <c r="D202" i="1"/>
  <c r="F202" i="1" s="1"/>
  <c r="D201" i="1"/>
  <c r="F201" i="1" s="1"/>
  <c r="D200" i="1"/>
  <c r="F200" i="1" s="1"/>
  <c r="G199" i="1"/>
  <c r="D199" i="1"/>
  <c r="F199" i="1" s="1"/>
  <c r="D255" i="1"/>
  <c r="F255" i="1" s="1"/>
  <c r="D254" i="1"/>
  <c r="F254" i="1" s="1"/>
  <c r="D253" i="1"/>
  <c r="F253" i="1" s="1"/>
  <c r="D252" i="1"/>
  <c r="F252" i="1" s="1"/>
  <c r="G251" i="1"/>
  <c r="D251" i="1"/>
  <c r="F251" i="1" s="1"/>
  <c r="D247" i="1"/>
  <c r="D246" i="1"/>
  <c r="D245" i="1"/>
  <c r="D244" i="1"/>
  <c r="D243" i="1"/>
  <c r="D197" i="1"/>
  <c r="D196" i="1"/>
  <c r="D193" i="1"/>
  <c r="D192" i="1"/>
  <c r="D191" i="1"/>
  <c r="D190" i="1"/>
  <c r="D241" i="1"/>
  <c r="F241" i="1" s="1"/>
  <c r="D240" i="1"/>
  <c r="F240" i="1" s="1"/>
  <c r="D239" i="1"/>
  <c r="F239" i="1" s="1"/>
  <c r="D238" i="1"/>
  <c r="F238" i="1" s="1"/>
  <c r="D237" i="1"/>
  <c r="F237" i="1" s="1"/>
  <c r="D236" i="1"/>
  <c r="F236" i="1" s="1"/>
  <c r="D235" i="1"/>
  <c r="F235" i="1" s="1"/>
  <c r="D188" i="1"/>
  <c r="F188" i="1" s="1"/>
  <c r="I184" i="1" s="1"/>
  <c r="D187" i="1"/>
  <c r="F187" i="1" s="1"/>
  <c r="I183" i="1" s="1"/>
  <c r="D186" i="1"/>
  <c r="F186" i="1" s="1"/>
  <c r="I182" i="1" s="1"/>
  <c r="D185" i="1"/>
  <c r="F185" i="1" s="1"/>
  <c r="I181" i="1" s="1"/>
  <c r="D184" i="1"/>
  <c r="F184" i="1" s="1"/>
  <c r="I180" i="1" s="1"/>
  <c r="D183" i="1"/>
  <c r="F183" i="1" s="1"/>
  <c r="D182" i="1"/>
  <c r="F182" i="1" s="1"/>
  <c r="D181" i="1"/>
  <c r="F181" i="1" s="1"/>
  <c r="I177" i="1" s="1"/>
  <c r="D229" i="1"/>
  <c r="D228" i="1"/>
  <c r="D233" i="1"/>
  <c r="D227" i="1"/>
  <c r="C142" i="1" l="1"/>
  <c r="C138" i="1"/>
  <c r="D138" i="1"/>
  <c r="F324" i="1"/>
  <c r="D142" i="1"/>
  <c r="F281" i="1"/>
  <c r="F282" i="1"/>
  <c r="D179" i="1"/>
  <c r="D178" i="1"/>
  <c r="D177" i="1"/>
  <c r="D176" i="1"/>
  <c r="D175" i="1"/>
  <c r="D174" i="1"/>
  <c r="D173" i="1"/>
  <c r="D172" i="1"/>
  <c r="G167" i="1"/>
  <c r="D169" i="1"/>
  <c r="F169" i="1" s="1"/>
  <c r="D168" i="1"/>
  <c r="F168" i="1" s="1"/>
  <c r="D167" i="1"/>
  <c r="I166" i="1"/>
  <c r="D224" i="1"/>
  <c r="D223" i="1"/>
  <c r="D222" i="1"/>
  <c r="D221" i="1"/>
  <c r="D220" i="1"/>
  <c r="D219" i="1"/>
  <c r="D218" i="1"/>
  <c r="D217" i="1"/>
  <c r="D216" i="1"/>
  <c r="D215" i="1"/>
  <c r="D214" i="1"/>
  <c r="D213" i="1"/>
  <c r="D212" i="1"/>
  <c r="D211" i="1"/>
  <c r="D210" i="1"/>
  <c r="D165" i="1"/>
  <c r="D164" i="1"/>
  <c r="D162" i="1"/>
  <c r="D159" i="1"/>
  <c r="D158" i="1"/>
  <c r="D157" i="1"/>
  <c r="D156" i="1"/>
  <c r="D153" i="1"/>
  <c r="C87" i="1"/>
  <c r="C89" i="1" s="1"/>
  <c r="F167" i="1" l="1"/>
  <c r="C136" i="1"/>
  <c r="D136" i="1"/>
  <c r="C126" i="1"/>
  <c r="D126" i="1"/>
  <c r="C88" i="1"/>
  <c r="C101" i="1"/>
  <c r="C73" i="1"/>
  <c r="I163" i="1" l="1"/>
  <c r="J87" i="1"/>
  <c r="J86" i="1"/>
  <c r="J85" i="1"/>
  <c r="J84" i="1"/>
  <c r="E3" i="1"/>
  <c r="H81" i="1"/>
  <c r="D93" i="1" l="1"/>
  <c r="D87" i="1"/>
  <c r="J82" i="1"/>
  <c r="J83" i="1" s="1"/>
  <c r="J88" i="1" s="1"/>
  <c r="J89" i="1" s="1"/>
  <c r="C85" i="1" s="1"/>
  <c r="D85" i="1" s="1"/>
  <c r="D86" i="1"/>
  <c r="J81" i="1"/>
  <c r="C84" i="1" s="1"/>
  <c r="D88" i="1"/>
  <c r="J79" i="1"/>
  <c r="D92" i="1"/>
  <c r="D91" i="1"/>
  <c r="J80" i="1"/>
  <c r="D90" i="1"/>
  <c r="D89" i="1"/>
  <c r="J101" i="1"/>
  <c r="J100" i="1"/>
  <c r="J99" i="1"/>
  <c r="J98" i="1"/>
  <c r="H95" i="1"/>
  <c r="G84" i="1" l="1"/>
  <c r="E84" i="1"/>
  <c r="D84" i="1"/>
  <c r="E98" i="1"/>
  <c r="G98" i="1"/>
  <c r="D107" i="1"/>
  <c r="D103" i="1"/>
  <c r="D99" i="1"/>
  <c r="D101" i="1"/>
  <c r="D100" i="1"/>
  <c r="D106" i="1"/>
  <c r="D102" i="1"/>
  <c r="D98" i="1"/>
  <c r="D105" i="1"/>
  <c r="D104" i="1"/>
  <c r="J94" i="1"/>
  <c r="J95" i="1"/>
  <c r="J93" i="1"/>
  <c r="J96" i="1"/>
  <c r="J97" i="1" s="1"/>
  <c r="J102" i="1" s="1"/>
  <c r="I76" i="1" l="1"/>
  <c r="C82" i="1" s="1"/>
  <c r="J90" i="1"/>
  <c r="J92" i="1" s="1"/>
  <c r="J103" i="1"/>
  <c r="J91" i="1" s="1"/>
  <c r="I90" i="1" l="1"/>
  <c r="I91" i="1"/>
  <c r="I92" i="1" s="1"/>
  <c r="C96" i="1" l="1"/>
  <c r="J73" i="1" l="1"/>
  <c r="J72" i="1"/>
  <c r="H67" i="1"/>
  <c r="D78" i="1" l="1"/>
  <c r="D74" i="1"/>
  <c r="J66" i="1"/>
  <c r="J65" i="1"/>
  <c r="D77" i="1"/>
  <c r="D73" i="1"/>
  <c r="J68" i="1"/>
  <c r="D75" i="1"/>
  <c r="D76" i="1"/>
  <c r="D72" i="1"/>
  <c r="D79" i="1"/>
  <c r="J67" i="1"/>
  <c r="C70" i="1" s="1"/>
  <c r="J69" i="1" l="1"/>
  <c r="J74" i="1" s="1"/>
  <c r="D70" i="1"/>
  <c r="J70" i="1"/>
  <c r="J71" i="1" s="1"/>
  <c r="F224" i="1"/>
  <c r="F223" i="1"/>
  <c r="F222" i="1"/>
  <c r="F221" i="1"/>
  <c r="F220" i="1"/>
  <c r="F219" i="1"/>
  <c r="F218" i="1"/>
  <c r="F217" i="1"/>
  <c r="F216" i="1"/>
  <c r="F215" i="1"/>
  <c r="F214" i="1"/>
  <c r="F213" i="1"/>
  <c r="F211" i="1"/>
  <c r="F210" i="1"/>
  <c r="D209" i="1"/>
  <c r="F209" i="1" l="1"/>
  <c r="F131" i="1" s="1"/>
  <c r="C131" i="1"/>
  <c r="D131" i="1"/>
  <c r="J75" i="1"/>
  <c r="F212" i="1"/>
  <c r="F165" i="1"/>
  <c r="F164" i="1"/>
  <c r="D163" i="1"/>
  <c r="F163" i="1" s="1"/>
  <c r="F162" i="1"/>
  <c r="D161" i="1"/>
  <c r="F161" i="1" s="1"/>
  <c r="D160" i="1"/>
  <c r="F160" i="1" s="1"/>
  <c r="F159" i="1"/>
  <c r="F158" i="1"/>
  <c r="F157" i="1"/>
  <c r="F156" i="1"/>
  <c r="D155" i="1"/>
  <c r="F155" i="1" s="1"/>
  <c r="D154" i="1"/>
  <c r="F154" i="1" s="1"/>
  <c r="F153" i="1"/>
  <c r="D152" i="1"/>
  <c r="F152" i="1" s="1"/>
  <c r="D151" i="1"/>
  <c r="D150" i="1"/>
  <c r="C71" i="1" l="1"/>
  <c r="E70" i="1" s="1"/>
  <c r="I62" i="1" s="1"/>
  <c r="C68" i="1" s="1"/>
  <c r="F151" i="1"/>
  <c r="F125" i="1" s="1"/>
  <c r="C125" i="1"/>
  <c r="C127" i="1" s="1"/>
  <c r="D125" i="1"/>
  <c r="D127" i="1" s="1"/>
  <c r="F150" i="1"/>
  <c r="F130" i="1" s="1"/>
  <c r="D130" i="1"/>
  <c r="C130" i="1"/>
  <c r="F126" i="1"/>
  <c r="F127" i="1" s="1"/>
  <c r="F321" i="1"/>
  <c r="F320" i="1"/>
  <c r="F319" i="1"/>
  <c r="F318" i="1"/>
  <c r="F317" i="1"/>
  <c r="F316" i="1"/>
  <c r="F315" i="1"/>
  <c r="F314" i="1"/>
  <c r="F313" i="1"/>
  <c r="F312" i="1"/>
  <c r="G311" i="1"/>
  <c r="G300" i="1"/>
  <c r="F308" i="1"/>
  <c r="F307" i="1"/>
  <c r="F306" i="1"/>
  <c r="F305" i="1"/>
  <c r="F304" i="1"/>
  <c r="F303" i="1"/>
  <c r="F302" i="1"/>
  <c r="F301" i="1"/>
  <c r="F298" i="1"/>
  <c r="F297" i="1"/>
  <c r="G289" i="1"/>
  <c r="F296" i="1"/>
  <c r="F295" i="1"/>
  <c r="F294" i="1"/>
  <c r="F293" i="1"/>
  <c r="F292" i="1"/>
  <c r="F291" i="1"/>
  <c r="F290" i="1"/>
  <c r="F289" i="1"/>
  <c r="F275" i="1"/>
  <c r="D274" i="1"/>
  <c r="F274" i="1" s="1"/>
  <c r="D273" i="1"/>
  <c r="F273" i="1" s="1"/>
  <c r="F272" i="1"/>
  <c r="F271" i="1"/>
  <c r="F270" i="1"/>
  <c r="F269" i="1"/>
  <c r="F268" i="1"/>
  <c r="D267" i="1"/>
  <c r="F267" i="1" s="1"/>
  <c r="F266" i="1"/>
  <c r="D265" i="1"/>
  <c r="F264" i="1"/>
  <c r="F263" i="1"/>
  <c r="F262" i="1"/>
  <c r="F261" i="1"/>
  <c r="F260" i="1"/>
  <c r="G190" i="1"/>
  <c r="F197" i="1"/>
  <c r="F196" i="1"/>
  <c r="F193" i="1"/>
  <c r="F192" i="1"/>
  <c r="F191" i="1"/>
  <c r="F190" i="1"/>
  <c r="G243" i="1"/>
  <c r="F247" i="1"/>
  <c r="F246" i="1"/>
  <c r="F245" i="1"/>
  <c r="F244" i="1"/>
  <c r="F243" i="1"/>
  <c r="D232" i="1"/>
  <c r="F232" i="1" s="1"/>
  <c r="F233" i="1"/>
  <c r="D231" i="1"/>
  <c r="F231" i="1" s="1"/>
  <c r="D230" i="1"/>
  <c r="F229" i="1"/>
  <c r="F228" i="1"/>
  <c r="F177" i="1"/>
  <c r="I173" i="1" s="1"/>
  <c r="F178" i="1"/>
  <c r="I174" i="1" s="1"/>
  <c r="F179" i="1"/>
  <c r="I175" i="1" s="1"/>
  <c r="F176" i="1"/>
  <c r="F175" i="1"/>
  <c r="I171" i="1" s="1"/>
  <c r="F174" i="1"/>
  <c r="F173" i="1"/>
  <c r="G70" i="1" l="1"/>
  <c r="I172" i="1"/>
  <c r="K172" i="1"/>
  <c r="D71" i="1"/>
  <c r="F265" i="1"/>
  <c r="F132" i="1" s="1"/>
  <c r="F133" i="1" s="1"/>
  <c r="D132" i="1"/>
  <c r="D133" i="1" s="1"/>
  <c r="C132" i="1"/>
  <c r="C133" i="1" s="1"/>
  <c r="F230" i="1"/>
  <c r="D137" i="1"/>
  <c r="D139" i="1" s="1"/>
  <c r="C137" i="1"/>
  <c r="F142" i="1"/>
  <c r="F143" i="1" s="1"/>
  <c r="D143" i="1"/>
  <c r="C143" i="1"/>
  <c r="F280" i="1"/>
  <c r="F278" i="1"/>
  <c r="F172" i="1"/>
  <c r="F136" i="1" s="1"/>
  <c r="F227" i="1"/>
  <c r="F279" i="1"/>
  <c r="F6" i="5"/>
  <c r="G6" i="5" s="1"/>
  <c r="F7" i="5"/>
  <c r="G7" i="5" s="1"/>
  <c r="F8" i="5"/>
  <c r="G8" i="5" s="1"/>
  <c r="F9" i="5"/>
  <c r="G9" i="5" s="1"/>
  <c r="F10" i="5"/>
  <c r="G10" i="5" s="1"/>
  <c r="F11" i="5"/>
  <c r="G11" i="5" s="1"/>
  <c r="F5" i="5"/>
  <c r="G5" i="5" s="1"/>
  <c r="D144" i="1" l="1"/>
  <c r="F138" i="1"/>
  <c r="F137" i="1"/>
  <c r="C139" i="1"/>
  <c r="C144" i="1" s="1"/>
  <c r="I168" i="1"/>
  <c r="G12" i="5"/>
  <c r="F139" i="1" l="1"/>
  <c r="F144" i="1" s="1"/>
  <c r="E7" i="1"/>
  <c r="E41" i="1" l="1"/>
  <c r="D348" i="1" l="1"/>
  <c r="F122" i="1"/>
  <c r="G47" i="1"/>
  <c r="C47" i="1"/>
  <c r="E42" i="1"/>
  <c r="D58"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<sst xmlns="http://schemas.openxmlformats.org/spreadsheetml/2006/main" count="782" uniqueCount="284">
  <si>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</si>
  <si>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</si>
  <si>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</si>
  <si>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</si>
  <si>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</si>
  <si>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</si>
  <si>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</si>
  <si>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</si>
  <si>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</si>
  <si>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</si>
  <si>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</si>
  <si>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</si>
  <si>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</si>
  <si>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</si>
  <si>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</si>
  <si>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</si>
  <si>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</si>
  <si>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</si>
  <si>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</si>
  <si>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</si>
  <si>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</si>
  <si>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</si>
  <si>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</si>
  <si>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</si>
  <si>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</si>
  <si>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</si>
  <si>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</si>
  <si>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</si>
  <si>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</si>
  <si>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</si>
  <si>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</si>
  <si>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</si>
  <si>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</si>
  <si>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</si>
  <si>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</si>
  <si>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</si>
  <si>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</si>
  <si>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</si>
  <si>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</si>
  <si>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</si>
  <si>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</si>
  <si>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</si>
  <si>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</si>
  <si>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</si>
  <si>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</si>
  <si>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</si>
  <si>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</si>
  <si>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</si>
  <si>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</si>
  <si>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</si>
  <si>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</si>
  <si>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</si>
  <si>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</si>
  <si>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</si>
  <si>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</si>
  <si>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</si>
  <si>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</si>
  <si>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</si>
  <si>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</si>
  <si>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</si>
  <si>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</si>
  <si>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</si>
  <si>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</si>
  <si>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</si>
  <si>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</si>
  <si>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</si>
  <si>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</si>
  <si>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</si>
  <si>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</si>
  <si>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</si>
  <si>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</si>
  <si>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</si>
  <si>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</si>
  <si>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</si>
  <si>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</si>
  <si>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</si>
  <si>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</si>
  <si>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</si>
  <si>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</si>
  <si>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</si>
  <si>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</si>
  <si>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</si>
  <si>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</si>
  <si>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</si>
  <si>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</si>
  <si>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</si>
  <si>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</si>
  <si>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</si>
  <si>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</si>
  <si>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</si>
  <si>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</si>
  <si>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</si>
  <si>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</si>
  <si>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</si>
  <si>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</si>
  <si>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</si>
  <si>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</si>
  <si>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</si>
  <si>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</si>
  <si>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</si>
  <si>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</si>
  <si>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</si>
  <si>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</si>
  <si>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</si>
  <si>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</si>
  <si>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</si>
  <si>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</si>
  <si>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</si>
  <si>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</si>
  <si>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</si>
  <si>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</si>
  <si>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</si>
  <si>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</si>
  <si>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</si>
  <si>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</si>
  <si>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</si>
  <si>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</si>
  <si>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</si>
  <si>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</si>
  <si>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</si>
  <si>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</si>
  <si>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</si>
  <si>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</si>
  <si>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</si>
  <si>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</si>
  <si>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</si>
  <si>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</si>
  <si>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</si>
  <si>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</si>
  <si>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</si>
  <si>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</si>
  <si>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</si>
  <si>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</si>
  <si>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</si>
  <si>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Club Charges</t>
  </si>
  <si>
    <t>Legal Services Charges</t>
  </si>
  <si>
    <t>Gas Connection Charges</t>
  </si>
  <si>
    <t>Water, Electricity, Drainages, Sewerage Connection</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</si>
  <si>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</si>
  <si>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</si>
  <si>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</si>
  <si>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</si>
  <si>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</si>
  <si>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</si>
  <si>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</si>
  <si>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</si>
  <si>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</si>
  <si>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</si>
  <si>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</si>
  <si>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</si>
  <si>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</si>
  <si>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</si>
  <si>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</si>
  <si>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</si>
  <si>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</si>
  <si>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</si>
  <si>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</si>
  <si>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</si>
  <si>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</si>
  <si>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Sanpada</t>
  </si>
  <si>
    <t>Domain</t>
  </si>
  <si>
    <t>P51800023311</t>
  </si>
  <si>
    <t>Sale Wing (A &amp; B)
Rehab Wing C</t>
  </si>
  <si>
    <t xml:space="preserve">1(Pt) </t>
  </si>
  <si>
    <t>Red Bricks Housing Complex</t>
  </si>
  <si>
    <t>Slum</t>
  </si>
  <si>
    <t>Upper Class</t>
  </si>
  <si>
    <t>Developed</t>
  </si>
  <si>
    <t>Mumbai</t>
  </si>
  <si>
    <t>Gowandi</t>
  </si>
  <si>
    <t xml:space="preserve">Kurla </t>
  </si>
  <si>
    <t>1.3Km from Gowandi Railway Station</t>
  </si>
  <si>
    <t>M-E/MCGM/0032/20080930/AP/R1</t>
  </si>
  <si>
    <t xml:space="preserve">Cement, Aggregate, Steel, etc </t>
  </si>
  <si>
    <t>Ground Floor for Commercial + Parking</t>
  </si>
  <si>
    <t>Sale Wing A</t>
  </si>
  <si>
    <t>Sale/
Rehab</t>
  </si>
  <si>
    <t>Rehab</t>
  </si>
  <si>
    <t>Shop</t>
  </si>
  <si>
    <t>Ground Floor</t>
  </si>
  <si>
    <t>Sale Wing B</t>
  </si>
  <si>
    <t>Sale</t>
  </si>
  <si>
    <t>1BHK</t>
  </si>
  <si>
    <t>2BHK</t>
  </si>
  <si>
    <t>2nd to 7th, 9th to 14th &amp; 16th to 21st Floor</t>
  </si>
  <si>
    <t>Refuge Area</t>
  </si>
  <si>
    <t>Rehab Wing C</t>
  </si>
  <si>
    <t>1st Floor for  Residential + Amenities</t>
  </si>
  <si>
    <t>2nd Floor for Residential</t>
  </si>
  <si>
    <t>2nd Floor</t>
  </si>
  <si>
    <t>21st, 23rd to 28th Floor</t>
  </si>
  <si>
    <t>Water, MSEB &amp; Development, Mahagas Charges</t>
  </si>
  <si>
    <t>600000/-</t>
  </si>
  <si>
    <t>Approved Plans, CC, Sale Plans, Cost Sheet</t>
  </si>
  <si>
    <t>CTS No</t>
  </si>
  <si>
    <t>Wheather the construction is as per approved Building plan : Under Construction</t>
  </si>
  <si>
    <t>Deonar</t>
  </si>
  <si>
    <t>Proposed S.R. Scheme on Plot Bearing CTS. No.1(Pt). Of Village Deonar at Ghatkopar-Mankhurd Link Road, Deonar, Mumbai - 400043
For Ekta SRA CO-OP. Housing Society</t>
  </si>
  <si>
    <t>Ground Floor + 1st Floor (Duplex Shop) for Commercial and Parking</t>
  </si>
  <si>
    <t>G + 1st (Duplex Shop)</t>
  </si>
  <si>
    <t>Sale Residential Area Details :</t>
  </si>
  <si>
    <t>Sale Commercial Area Details :</t>
  </si>
  <si>
    <t>25/- from 2nd Floor</t>
  </si>
  <si>
    <t>Ghatkopar Mankhurd Road</t>
  </si>
  <si>
    <t>03 Wings</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</si>
  <si>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</si>
  <si>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</si>
  <si>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</si>
  <si>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</si>
  <si>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</si>
  <si>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</si>
  <si>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</si>
  <si>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</si>
  <si>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</si>
  <si>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</si>
  <si>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</si>
  <si>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</si>
  <si>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</si>
  <si>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</si>
  <si>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</si>
  <si>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</si>
  <si>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</si>
  <si>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</si>
  <si>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Rehab Wing C = Gr + 1st to 28th Floor</t>
  </si>
  <si>
    <t>1,50,000/-</t>
  </si>
  <si>
    <t>1,00,000/-</t>
  </si>
  <si>
    <t>2,00,000/-</t>
  </si>
  <si>
    <t>Society Formation Charges + Infrastructure + Maintenance</t>
  </si>
  <si>
    <t>Slab/Floor
Average of Part 1 &amp; 2</t>
  </si>
  <si>
    <t xml:space="preserve">MB/MCGM/0032/20080930/AP/R-1 </t>
  </si>
  <si>
    <t>Latitude, Longitude</t>
  </si>
  <si>
    <t>Location Link</t>
  </si>
  <si>
    <t>19.061472, 72.918311</t>
  </si>
  <si>
    <t>https://goo.gl/maps/bd5pBGSe1aetiTrF6</t>
  </si>
  <si>
    <t>Ghatkpoar-Mankhurd Marg</t>
  </si>
  <si>
    <t>Office No. 1031, Wing J, Akshar Business Park, Plot No. 03 Sector 25, Near APMC Market, Vashi, Navi Mumbai, Maharashtra 400703 TEL: 022-46090378/79/80                                                                                                                     E mail : vsjcapf@gmail.com. Web site : www.vsjadon.com</t>
  </si>
  <si>
    <t xml:space="preserve">Sale </t>
  </si>
  <si>
    <t>-</t>
  </si>
  <si>
    <t>Fitness Centre</t>
  </si>
  <si>
    <t>1st Floor for Residential, Amenties &amp; Part Commercial</t>
  </si>
  <si>
    <t xml:space="preserve">1st Floor for Part Amenties </t>
  </si>
  <si>
    <t>3rd to 7th, 9th to 14th &amp; 16th to 21st, 23rd to 28th, 30th to 33rd Floor for Residential</t>
  </si>
  <si>
    <t>3rd to 7th, 9th to 14th &amp; 16th to 21st, 23rd to 28th, 30th to 31st Floor for Residential</t>
  </si>
  <si>
    <t>8th, 15th &amp; 22nd Floor(Part Refuge Area)</t>
  </si>
  <si>
    <t>8th, 15th, 22nd Floor(Part Refuge Area)</t>
  </si>
  <si>
    <t>29th Floor (Part Refuge Area)</t>
  </si>
  <si>
    <t>29th Floor(Part Refuge Area)</t>
  </si>
  <si>
    <t>Rehab Commercial Area Details :</t>
  </si>
  <si>
    <t>Wing B</t>
  </si>
  <si>
    <t>Wing A</t>
  </si>
  <si>
    <t xml:space="preserve">Wing B </t>
  </si>
  <si>
    <t>Wing C</t>
  </si>
  <si>
    <t>Rehab Residential Area Details :</t>
  </si>
  <si>
    <t xml:space="preserve">Rehab </t>
  </si>
  <si>
    <t>Welfare Centre</t>
  </si>
  <si>
    <t>Health Centre</t>
  </si>
  <si>
    <t>Library</t>
  </si>
  <si>
    <t>8th &amp; 15th Floor(Part Refuge Area)</t>
  </si>
  <si>
    <t>3rd to 7th, 9th to 14th, 16th to 20th Floor</t>
  </si>
  <si>
    <t>22nd Floor(Part Refuge Area)</t>
  </si>
  <si>
    <t>Sale Flats - 471, Rehab Flat - 264
Sale Shops - 4, Rehab Shops - 42</t>
  </si>
  <si>
    <t>Sale Wing A = Gr + 1st to 33rd Floor
Sale Wing B = Gr + 1st to 31st Floor
Rehab Wing C = Gr + 1st to 28th Floor</t>
  </si>
  <si>
    <t>Sale Wing (A &amp; B) = Gr + 1st to 33rd Floor
Rehab Wing C = Gr + 1st to 28th Floor</t>
  </si>
  <si>
    <t>Contact Details ( Name &amp; Contact No.)</t>
  </si>
  <si>
    <t>Sale Wing B = Gr + 1st to 33rd Floor</t>
  </si>
  <si>
    <t>25/08/2023</t>
  </si>
  <si>
    <t xml:space="preserve">Commencement Certificate No.
Valid Up to: </t>
  </si>
  <si>
    <t>21/11/2023</t>
  </si>
  <si>
    <t>This C.C is re-endorsed as per approved amended plan dated 06/11/2023</t>
  </si>
  <si>
    <t>22/03/2024</t>
  </si>
  <si>
    <t>This C.C is further extended upto the top of 24th Floor (i.e. 72.50 mt. height) of sale wing 'A' &amp; upto the top of 19th floor (i.e 58.00 mt. height) of sale wing 'B' of composite building as per approved amended plans dated 10/12/2021</t>
  </si>
  <si>
    <t>This C.C is further extended from 25th to 29th upper floors (i.e 87.30 Mt. height) of sale wing 'A' and 20th to 29th upper floors (i.e.87.30 mt. height) of sale wing 'B' of composite building as per approved amended plans dated 06/11/2023</t>
  </si>
  <si>
    <t>Site Person - Contact Details (Name &amp; Contact No.)</t>
  </si>
  <si>
    <t>Mr. Khan (CRM)</t>
  </si>
  <si>
    <t>Sale Wing A &amp; B = Gr + 1st to 33rd Floor</t>
  </si>
  <si>
    <t>M/s. Build Square</t>
  </si>
  <si>
    <t>Mr. Kiran 7208601516</t>
  </si>
  <si>
    <t>13200 to 14200 sanjay verbal on 05/12/2024.</t>
  </si>
  <si>
    <t>Akash Kadam</t>
  </si>
  <si>
    <t>As per RERA - 30/12/2025</t>
  </si>
  <si>
    <t>Shruti Tathare</t>
  </si>
  <si>
    <t>30/08/2024</t>
  </si>
  <si>
    <t>This C.C is re-endorsed &amp; further extended from 30th to 32nd (Pt.) upper floors for R.C.C frame work only including lift Machine Room (L.M.R) &amp; Over Head Water Tank (O.H.W.T) of Sale Wing 'A' &amp; 'B' of Composite Building by restricting 121.47 Sq.mt. of Sale Wing 'B' on 32nd floor as per approved amended plans dated 08/08/2024.</t>
  </si>
  <si>
    <t>1. Wing A, B &amp; C = Construction work is in process at the time of Visit. (Internal photographs not allowed) (Slow Speed)
2. We considered  Saleable area as per our calculation.
3. We considered Carpet area as per Approved Plan.
4. We considered Gross carpet area = Net carpet + F.B Area.
5. We have considered rate by verifying it from market inquire.
6. Car parking is subjected to authentic documentation.
7. We have updated revised plans (on 27/09/2023).
8. We have updated latest approved CC on 20/06/2024
9. Recommended Rates/Other Charges of the Property have been revised on 05/12/2024.
10. We have updated CC upto 32nd floor on 31/07/2025. Please provide revised CC.
11. Please provide revised approved plans dtd. 08/08/2024.
7. On Site, we meet Mr.Gajanan - 9975666912.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</si>
</sst>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_(* #,##0_);_(* \(#,##0\);_(* &quot;-&quot;??_);_(@_)"/>
    <numFmt numFmtId="167" formatCode="dd\/mm\/yyyy"/>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b/>
      <sz val="11"/>
      <name val="Times New Roman"/>
      <family val="1"/>
    </font>
    <font>
      <sz val="11"/>
      <color rgb="FF000000"/>
      <name val="Times New Roman"/>
      <family val="1"/>
    </font>
    <font>
      <sz val="11"/>
      <color theme="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7" fillId="0" borderId="0"/>
    <xf numFmtId="0" fontId="22" fillId="0" borderId="0" applyNumberFormat="0" applyFill="0" applyBorder="0" applyAlignment="0" applyProtection="0"/>
  </cellStyleXfs>
  <cellXfs count="187">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0" fillId="0" borderId="0" xfId="1" applyFont="1"/>
    <xf numFmtId="0" fontId="13" fillId="0" borderId="0" xfId="1" applyFont="1"/>
    <xf numFmtId="0" fontId="14" fillId="0" borderId="0" xfId="1" applyFont="1"/>
    <xf numFmtId="0" fontId="10" fillId="2" borderId="1" xfId="1" applyFont="1" applyFill="1" applyBorder="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10" fillId="0" borderId="5" xfId="1" applyFont="1" applyBorder="1" applyAlignment="1" applyProtection="1">
      <alignment horizontal="center" vertical="top"/>
      <protection locked="0"/>
    </xf>
    <xf numFmtId="0" fontId="4" fillId="0" borderId="0" xfId="4"/>
    <xf numFmtId="0" fontId="1" fillId="0" borderId="0" xfId="5"/>
    <xf numFmtId="0" fontId="8" fillId="0" borderId="1" xfId="5" applyFont="1" applyBorder="1" applyAlignment="1">
      <alignment horizontal="center" vertical="top" wrapText="1"/>
    </xf>
    <xf numFmtId="0" fontId="16"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5" fillId="0" borderId="1" xfId="5" applyNumberFormat="1" applyFont="1" applyBorder="1" applyAlignment="1">
      <alignment horizontal="center" vertical="center"/>
    </xf>
    <xf numFmtId="0" fontId="4" fillId="0" borderId="1" xfId="4" applyBorder="1" applyAlignment="1">
      <alignment horizontal="center" vertical="center"/>
    </xf>
    <xf numFmtId="0" fontId="10"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0" fillId="0" borderId="0" xfId="1" applyFont="1" applyProtection="1">
      <protection hidden="1"/>
    </xf>
    <xf numFmtId="0" fontId="10" fillId="0" borderId="6"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wrapText="1"/>
      <protection locked="0"/>
    </xf>
    <xf numFmtId="1" fontId="10" fillId="0" borderId="1" xfId="1" applyNumberFormat="1" applyFont="1" applyBorder="1" applyAlignment="1" applyProtection="1">
      <alignment horizontal="center" wrapText="1"/>
      <protection locked="0"/>
    </xf>
    <xf numFmtId="0" fontId="10" fillId="0" borderId="8" xfId="1" applyFont="1" applyBorder="1" applyAlignment="1" applyProtection="1">
      <alignment horizontal="center" wrapText="1"/>
      <protection locked="0"/>
    </xf>
    <xf numFmtId="0" fontId="12" fillId="0" borderId="0" xfId="1" applyFont="1"/>
    <xf numFmtId="0" fontId="10" fillId="0" borderId="0" xfId="2" applyFont="1"/>
    <xf numFmtId="0" fontId="10" fillId="0" borderId="0" xfId="0" applyFont="1" applyAlignment="1">
      <alignment horizontal="center" vertical="center"/>
    </xf>
    <xf numFmtId="0" fontId="11"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 fontId="11" fillId="0" borderId="1" xfId="1" applyNumberFormat="1" applyFont="1" applyBorder="1" applyAlignment="1" applyProtection="1">
      <alignment vertical="top" wrapText="1"/>
      <protection locked="0"/>
    </xf>
    <xf numFmtId="1" fontId="11" fillId="0" borderId="1" xfId="1" applyNumberFormat="1" applyFont="1" applyBorder="1" applyAlignment="1" applyProtection="1">
      <alignment horizontal="center" vertical="top" wrapText="1"/>
      <protection locked="0"/>
    </xf>
    <xf numFmtId="1" fontId="19" fillId="0" borderId="1"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0" fontId="10" fillId="0" borderId="0" xfId="1" applyFont="1" applyAlignment="1">
      <alignment horizontal="center" vertical="center"/>
    </xf>
    <xf numFmtId="0" fontId="10" fillId="0" borderId="1" xfId="1" applyFont="1" applyBorder="1" applyAlignment="1" applyProtection="1">
      <alignment horizontal="center" vertical="center" wrapText="1"/>
      <protection locked="0"/>
    </xf>
    <xf numFmtId="0" fontId="10" fillId="0" borderId="0" xfId="0" applyFont="1"/>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9" fontId="10" fillId="2" borderId="1" xfId="1" applyNumberFormat="1" applyFont="1" applyFill="1" applyBorder="1" applyAlignment="1" applyProtection="1">
      <alignment horizontal="center" vertical="center" wrapText="1"/>
      <protection hidden="1"/>
    </xf>
    <xf numFmtId="9" fontId="10" fillId="2" borderId="8" xfId="1" applyNumberFormat="1" applyFont="1" applyFill="1" applyBorder="1" applyAlignment="1" applyProtection="1">
      <alignment horizontal="center" vertical="center" wrapText="1"/>
      <protection hidden="1"/>
    </xf>
    <xf numFmtId="0" fontId="10" fillId="0" borderId="1" xfId="1" applyFont="1" applyBorder="1" applyAlignment="1" applyProtection="1">
      <alignment horizontal="center" vertical="top"/>
      <protection locked="0"/>
    </xf>
    <xf numFmtId="1" fontId="10" fillId="0" borderId="0" xfId="1" applyNumberFormat="1" applyFont="1" applyAlignment="1">
      <alignment horizontal="center" vertical="center"/>
    </xf>
    <xf numFmtId="0" fontId="6" fillId="0" borderId="12" xfId="1" applyFont="1" applyBorder="1" applyProtection="1">
      <protection hidden="1"/>
    </xf>
    <xf numFmtId="0" fontId="6" fillId="0" borderId="13" xfId="1" applyFont="1" applyBorder="1" applyProtection="1">
      <protection hidden="1"/>
    </xf>
    <xf numFmtId="0" fontId="6" fillId="0" borderId="0" xfId="1" applyFont="1" applyProtection="1">
      <protection hidden="1"/>
    </xf>
    <xf numFmtId="0" fontId="6" fillId="0" borderId="14" xfId="1" applyFont="1" applyBorder="1" applyProtection="1">
      <protection hidden="1"/>
    </xf>
    <xf numFmtId="0" fontId="20" fillId="0" borderId="0" xfId="0" applyFont="1" applyProtection="1">
      <protection hidden="1"/>
    </xf>
    <xf numFmtId="0" fontId="6" fillId="0" borderId="14" xfId="1" applyFont="1" applyBorder="1"/>
    <xf numFmtId="0" fontId="20" fillId="0" borderId="14" xfId="0" applyFont="1" applyBorder="1" applyProtection="1">
      <protection hidden="1"/>
    </xf>
    <xf numFmtId="1" fontId="0" fillId="0" borderId="14" xfId="0" applyNumberFormat="1" applyBorder="1"/>
    <xf numFmtId="2" fontId="0" fillId="0" borderId="0" xfId="0" applyNumberFormat="1"/>
    <xf numFmtId="164" fontId="0" fillId="0" borderId="0" xfId="0" applyNumberFormat="1"/>
    <xf numFmtId="2" fontId="20" fillId="0" borderId="0" xfId="0" applyNumberFormat="1" applyFont="1" applyProtection="1">
      <protection hidden="1"/>
    </xf>
    <xf numFmtId="1" fontId="0" fillId="0" borderId="14" xfId="0" applyNumberFormat="1" applyBorder="1" applyAlignment="1">
      <alignment horizontal="right"/>
    </xf>
    <xf numFmtId="0" fontId="20" fillId="0" borderId="15" xfId="0" applyFont="1" applyBorder="1" applyProtection="1">
      <protection hidden="1"/>
    </xf>
    <xf numFmtId="1" fontId="0" fillId="0" borderId="16" xfId="0" applyNumberFormat="1" applyBorder="1"/>
    <xf numFmtId="0" fontId="10" fillId="0" borderId="1" xfId="1" applyFont="1" applyBorder="1" applyAlignment="1" applyProtection="1">
      <alignment horizontal="center"/>
      <protection locked="0"/>
    </xf>
    <xf numFmtId="0" fontId="21" fillId="0" borderId="33" xfId="0" applyFont="1" applyBorder="1"/>
    <xf numFmtId="0" fontId="21" fillId="0" borderId="11" xfId="0" applyFont="1" applyBorder="1"/>
    <xf numFmtId="0" fontId="21" fillId="0" borderId="6" xfId="0" applyFont="1" applyBorder="1"/>
    <xf numFmtId="0" fontId="10" fillId="0" borderId="8" xfId="1" applyFont="1" applyBorder="1" applyAlignment="1" applyProtection="1">
      <alignment horizontal="center"/>
      <protection locked="0"/>
    </xf>
    <xf numFmtId="1" fontId="10" fillId="0" borderId="1" xfId="1" applyNumberFormat="1" applyFont="1" applyBorder="1" applyAlignment="1" applyProtection="1">
      <alignment horizontal="center"/>
      <protection locked="0"/>
    </xf>
    <xf numFmtId="9" fontId="10" fillId="2" borderId="1" xfId="1" applyNumberFormat="1" applyFont="1" applyFill="1" applyBorder="1" applyAlignment="1" applyProtection="1">
      <alignment horizontal="center" vertical="center" wrapText="1"/>
      <protection hidden="1"/>
    </xf>
    <xf numFmtId="9" fontId="10" fillId="2" borderId="8" xfId="1" applyNumberFormat="1" applyFont="1" applyFill="1" applyBorder="1" applyAlignment="1" applyProtection="1">
      <alignment horizontal="center" vertical="center" wrapText="1"/>
      <protection hidden="1"/>
    </xf>
    <xf numFmtId="0" fontId="10" fillId="0" borderId="5"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0" fontId="11" fillId="0" borderId="0" xfId="0" applyFont="1" applyAlignment="1">
      <alignment horizontal="center" vertical="center"/>
    </xf>
    <xf numFmtId="0" fontId="9" fillId="0" borderId="0" xfId="0" applyFont="1" applyAlignment="1">
      <alignment horizontal="center" vertical="center"/>
    </xf>
    <xf numFmtId="1" fontId="10" fillId="0" borderId="10" xfId="1" applyNumberFormat="1" applyFont="1" applyBorder="1" applyAlignment="1" applyProtection="1">
      <alignment horizontal="center"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10" fillId="2" borderId="1" xfId="1" applyFont="1" applyFill="1" applyBorder="1" applyAlignment="1" applyProtection="1">
      <alignment horizontal="left" vertical="top" wrapText="1"/>
      <protection locked="0"/>
    </xf>
    <xf numFmtId="0" fontId="10" fillId="2" borderId="1" xfId="1" applyFont="1" applyFill="1" applyBorder="1" applyAlignment="1" applyProtection="1">
      <alignment horizontal="left" vertical="top"/>
      <protection locked="0"/>
    </xf>
    <xf numFmtId="49" fontId="10" fillId="0" borderId="1" xfId="1" applyNumberFormat="1" applyFont="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0" fontId="10" fillId="2" borderId="24" xfId="1" applyFont="1" applyFill="1" applyBorder="1" applyAlignment="1" applyProtection="1">
      <alignment horizontal="left" vertical="top" wrapText="1"/>
      <protection locked="0"/>
    </xf>
    <xf numFmtId="0" fontId="10" fillId="2" borderId="11" xfId="1" applyFont="1" applyFill="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1" fillId="0" borderId="32"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5"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0"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34" xfId="1" applyFont="1" applyBorder="1" applyAlignment="1" applyProtection="1">
      <alignment horizontal="left" vertical="top" wrapText="1"/>
      <protection locked="0"/>
    </xf>
    <xf numFmtId="0" fontId="10" fillId="0" borderId="5"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9" fontId="10" fillId="2" borderId="1" xfId="1" applyNumberFormat="1" applyFont="1" applyFill="1" applyBorder="1" applyAlignment="1" applyProtection="1">
      <alignment horizontal="center" vertical="center" wrapText="1"/>
      <protection hidden="1"/>
    </xf>
    <xf numFmtId="9" fontId="10" fillId="2" borderId="8" xfId="1" applyNumberFormat="1" applyFont="1" applyFill="1" applyBorder="1" applyAlignment="1" applyProtection="1">
      <alignment horizontal="center" vertical="center" wrapText="1"/>
      <protection hidden="1"/>
    </xf>
    <xf numFmtId="9" fontId="10" fillId="2" borderId="6" xfId="1" applyNumberFormat="1" applyFont="1" applyFill="1" applyBorder="1" applyAlignment="1" applyProtection="1">
      <alignment horizontal="center" vertical="center" wrapText="1"/>
      <protection hidden="1"/>
    </xf>
    <xf numFmtId="9" fontId="10" fillId="2" borderId="9" xfId="1" applyNumberFormat="1" applyFont="1" applyFill="1" applyBorder="1" applyAlignment="1" applyProtection="1">
      <alignment horizontal="center" vertical="center" wrapText="1"/>
      <protection hidden="1"/>
    </xf>
    <xf numFmtId="0" fontId="10" fillId="0" borderId="7"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0" fillId="0" borderId="10" xfId="1" applyFont="1" applyBorder="1" applyAlignment="1" applyProtection="1">
      <alignment horizontal="center" vertical="top" wrapText="1"/>
      <protection locked="0"/>
    </xf>
    <xf numFmtId="0" fontId="10" fillId="0" borderId="11" xfId="1" applyFont="1" applyBorder="1" applyAlignment="1" applyProtection="1">
      <alignment horizontal="center" vertical="top" wrapText="1"/>
      <protection locked="0"/>
    </xf>
    <xf numFmtId="0" fontId="10" fillId="0" borderId="34" xfId="1" applyFont="1" applyBorder="1" applyAlignment="1" applyProtection="1">
      <alignment horizontal="center" vertical="top" wrapText="1"/>
      <protection locked="0"/>
    </xf>
    <xf numFmtId="0" fontId="11" fillId="0" borderId="25"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1" fillId="0" borderId="27" xfId="1" applyFont="1" applyBorder="1" applyAlignment="1" applyProtection="1">
      <alignment horizontal="left" vertical="top" wrapText="1"/>
      <protection locked="0"/>
    </xf>
    <xf numFmtId="0" fontId="11" fillId="0" borderId="28" xfId="1" applyFont="1" applyBorder="1" applyAlignment="1" applyProtection="1">
      <alignment horizontal="left" vertical="top" wrapText="1"/>
      <protection locked="0"/>
    </xf>
    <xf numFmtId="0" fontId="11" fillId="0" borderId="29"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0" fillId="0" borderId="6" xfId="1" applyFont="1" applyBorder="1" applyAlignment="1" applyProtection="1">
      <alignment horizontal="center" vertical="top" wrapText="1"/>
      <protection locked="0"/>
    </xf>
    <xf numFmtId="1" fontId="10" fillId="0" borderId="10" xfId="1" applyNumberFormat="1" applyFont="1" applyBorder="1" applyAlignment="1" applyProtection="1">
      <alignment horizontal="center" vertical="center" wrapText="1"/>
      <protection locked="0"/>
    </xf>
    <xf numFmtId="1" fontId="10" fillId="0" borderId="11" xfId="1" applyNumberFormat="1" applyFont="1" applyBorder="1" applyAlignment="1" applyProtection="1">
      <alignment horizontal="center" vertical="center" wrapText="1"/>
      <protection locked="0"/>
    </xf>
    <xf numFmtId="1" fontId="10" fillId="0" borderId="10" xfId="0" applyNumberFormat="1" applyFont="1" applyBorder="1" applyAlignment="1" applyProtection="1">
      <alignment horizontal="center" vertical="top" wrapText="1"/>
      <protection locked="0"/>
    </xf>
    <xf numFmtId="1" fontId="10" fillId="0" borderId="24" xfId="0" applyNumberFormat="1" applyFont="1" applyBorder="1" applyAlignment="1" applyProtection="1">
      <alignment horizontal="center" vertical="top" wrapText="1"/>
      <protection locked="0"/>
    </xf>
    <xf numFmtId="1" fontId="10" fillId="0" borderId="1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11" fillId="0" borderId="10" xfId="0" applyNumberFormat="1" applyFont="1" applyBorder="1" applyAlignment="1" applyProtection="1">
      <alignment horizontal="center" vertical="top" wrapText="1"/>
      <protection locked="0"/>
    </xf>
    <xf numFmtId="1" fontId="11" fillId="0" borderId="24" xfId="0" applyNumberFormat="1" applyFont="1" applyBorder="1" applyAlignment="1" applyProtection="1">
      <alignment horizontal="center" vertical="top" wrapText="1"/>
      <protection locked="0"/>
    </xf>
    <xf numFmtId="1" fontId="11" fillId="0" borderId="1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0" fillId="0" borderId="17"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1" fontId="10" fillId="0" borderId="19"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22" xfId="1" applyNumberFormat="1" applyFont="1" applyBorder="1" applyAlignment="1" applyProtection="1">
      <alignment horizontal="center" vertical="center" wrapText="1"/>
      <protection locked="0"/>
    </xf>
    <xf numFmtId="1" fontId="10" fillId="0" borderId="23" xfId="1" applyNumberFormat="1" applyFont="1" applyBorder="1" applyAlignment="1" applyProtection="1">
      <alignment horizontal="center" vertical="center" wrapText="1"/>
      <protection locked="0"/>
    </xf>
    <xf numFmtId="1" fontId="10" fillId="0" borderId="2"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0" fillId="0" borderId="24" xfId="1" applyNumberFormat="1" applyFont="1" applyBorder="1" applyAlignment="1" applyProtection="1">
      <alignment horizontal="center" vertical="center" wrapText="1"/>
      <protection locked="0"/>
    </xf>
    <xf numFmtId="0" fontId="10"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1" fontId="11" fillId="0" borderId="1"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67" fontId="10" fillId="0" borderId="1" xfId="1" applyNumberFormat="1" applyFont="1" applyBorder="1" applyAlignment="1" applyProtection="1">
      <alignment horizontal="left" vertical="top"/>
      <protection locked="0"/>
    </xf>
    <xf numFmtId="0" fontId="18"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center" wrapText="1"/>
      <protection locked="0"/>
    </xf>
    <xf numFmtId="0" fontId="10" fillId="0" borderId="1" xfId="1" applyFont="1" applyBorder="1" applyAlignment="1" applyProtection="1">
      <alignment horizontal="left"/>
      <protection locked="0"/>
    </xf>
    <xf numFmtId="16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protection locked="0"/>
    </xf>
    <xf numFmtId="2" fontId="10"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1" fillId="0" borderId="1" xfId="2"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14" fontId="10"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vertical="top"/>
      <protection locked="0"/>
    </xf>
    <xf numFmtId="0" fontId="10" fillId="0" borderId="10" xfId="1" applyFont="1" applyBorder="1" applyAlignment="1" applyProtection="1">
      <alignment horizontal="left"/>
      <protection locked="0"/>
    </xf>
    <xf numFmtId="0" fontId="10" fillId="0" borderId="24" xfId="1" applyFont="1" applyBorder="1" applyAlignment="1" applyProtection="1">
      <alignment horizontal="left"/>
      <protection locked="0"/>
    </xf>
    <xf numFmtId="0" fontId="10" fillId="0" borderId="11" xfId="1" applyFont="1" applyBorder="1" applyAlignment="1" applyProtection="1">
      <alignment horizontal="left"/>
      <protection locked="0"/>
    </xf>
    <xf numFmtId="0" fontId="22" fillId="0" borderId="10" xfId="8" applyBorder="1" applyAlignment="1" applyProtection="1">
      <alignment horizontal="left"/>
      <protection locked="0"/>
    </xf>
    <xf numFmtId="2" fontId="10"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7" xfId="1" applyFont="1" applyBorder="1" applyAlignment="1" applyProtection="1">
      <alignment horizontal="center" vertical="top" wrapText="1"/>
      <protection locked="0"/>
    </xf>
    <xf numFmtId="0" fontId="10" fillId="0" borderId="8" xfId="1" applyFont="1" applyBorder="1" applyAlignment="1" applyProtection="1">
      <alignment horizontal="center" vertical="top" wrapText="1"/>
      <protection locked="0"/>
    </xf>
    <xf numFmtId="0" fontId="11" fillId="0" borderId="30" xfId="1" applyFont="1" applyBorder="1" applyAlignment="1" applyProtection="1">
      <alignment horizontal="left" vertical="top" wrapText="1"/>
      <protection locked="0"/>
    </xf>
    <xf numFmtId="0" fontId="11" fillId="0" borderId="31" xfId="1" applyFont="1" applyBorder="1" applyAlignment="1" applyProtection="1">
      <alignment horizontal="left" vertical="top" wrapText="1"/>
      <protection locked="0"/>
    </xf>
    <xf numFmtId="1" fontId="10" fillId="0" borderId="1" xfId="1" applyNumberFormat="1" applyFont="1" applyBorder="1" applyAlignment="1" applyProtection="1">
      <alignment horizontal="center"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638733</xdr:colOff>
      <xdr:row>412</xdr:row>
      <xdr:rowOff>20170</xdr:rowOff>
    </xdr:from>
    <xdr:to>
      <xdr:col>7</xdr:col>
      <xdr:colOff>64993</xdr:colOff>
      <xdr:row>431</xdr:row>
      <xdr:rowOff>303</xdr:rowOff>
    </xdr:to>
    <xdr:pic>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38733" y="84053082"/>
          <a:ext cx="5410201" cy="3810000"/>
        </a:xfrm>
        <a:prstGeom prst="rect">
          <a:avLst/>
        </a:prstGeom>
        <a:ln>
          <a:solidFill>
            <a:schemeClr val="tx1"/>
          </a:solidFill>
        </a:ln>
      </xdr:spPr>
    </xdr:pic>
    <xdr:clientData/>
  </xdr:twoCellAnchor>
  <xdr:twoCellAnchor editAs="oneCell">
    <xdr:from>
      <xdr:col>0</xdr:col>
      <xdr:colOff>638735</xdr:colOff>
      <xdr:row>392</xdr:row>
      <xdr:rowOff>168088</xdr:rowOff>
    </xdr:from>
    <xdr:to>
      <xdr:col>7</xdr:col>
      <xdr:colOff>64993</xdr:colOff>
      <xdr:row>411</xdr:row>
      <xdr:rowOff>750</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38735" y="80166882"/>
          <a:ext cx="5410199" cy="3657600"/>
        </a:xfrm>
        <a:prstGeom prst="rect">
          <a:avLst/>
        </a:prstGeom>
        <a:ln>
          <a:solidFill>
            <a:schemeClr val="tx1"/>
          </a:solidFill>
        </a:ln>
      </xdr:spPr>
    </xdr:pic>
    <xdr:clientData/>
  </xdr:twoCellAnchor>
  <xdr:twoCellAnchor editAs="oneCell">
    <xdr:from>
      <xdr:col>12</xdr:col>
      <xdr:colOff>421822</xdr:colOff>
      <xdr:row>77</xdr:row>
      <xdr:rowOff>312965</xdr:rowOff>
    </xdr:from>
    <xdr:to>
      <xdr:col>17</xdr:col>
      <xdr:colOff>353786</xdr:colOff>
      <xdr:row>112</xdr:row>
      <xdr:rowOff>26834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069286" y="18546536"/>
          <a:ext cx="2993571" cy="4349290"/>
        </a:xfrm>
        <a:prstGeom prst="rect">
          <a:avLst/>
        </a:prstGeom>
      </xdr:spPr>
    </xdr:pic>
    <xdr:clientData/>
  </xdr:twoCellAnchor>
  <xdr:twoCellAnchor editAs="oneCell">
    <xdr:from>
      <xdr:col>8</xdr:col>
      <xdr:colOff>281607</xdr:colOff>
      <xdr:row>36</xdr:row>
      <xdr:rowOff>80177</xdr:rowOff>
    </xdr:from>
    <xdr:to>
      <xdr:col>16</xdr:col>
      <xdr:colOff>506989</xdr:colOff>
      <xdr:row>47</xdr:row>
      <xdr:rowOff>195001</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6700629" y="8279960"/>
          <a:ext cx="5915534" cy="2301432"/>
        </a:xfrm>
        <a:prstGeom prst="rect">
          <a:avLst/>
        </a:prstGeom>
      </xdr:spPr>
    </xdr:pic>
    <xdr:clientData/>
  </xdr:twoCellAnchor>
  <xdr:twoCellAnchor editAs="oneCell">
    <xdr:from>
      <xdr:col>8</xdr:col>
      <xdr:colOff>1166603</xdr:colOff>
      <xdr:row>43</xdr:row>
      <xdr:rowOff>141467</xdr:rowOff>
    </xdr:from>
    <xdr:to>
      <xdr:col>18</xdr:col>
      <xdr:colOff>347476</xdr:colOff>
      <xdr:row>49</xdr:row>
      <xdr:rowOff>16475</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a:off x="7576928" y="9780767"/>
          <a:ext cx="6076973" cy="1522833"/>
        </a:xfrm>
        <a:prstGeom prst="rect">
          <a:avLst/>
        </a:prstGeom>
      </xdr:spPr>
    </xdr:pic>
    <xdr:clientData/>
  </xdr:twoCellAnchor>
  <xdr:twoCellAnchor editAs="oneCell">
    <xdr:from>
      <xdr:col>8</xdr:col>
      <xdr:colOff>674203</xdr:colOff>
      <xdr:row>44</xdr:row>
      <xdr:rowOff>70202</xdr:rowOff>
    </xdr:from>
    <xdr:to>
      <xdr:col>15</xdr:col>
      <xdr:colOff>205068</xdr:colOff>
      <xdr:row>50</xdr:row>
      <xdr:rowOff>280431</xdr:rowOff>
    </xdr:to>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7084528" y="9909527"/>
          <a:ext cx="4598165" cy="1858054"/>
        </a:xfrm>
        <a:prstGeom prst="rect">
          <a:avLst/>
        </a:prstGeom>
      </xdr:spPr>
    </xdr:pic>
    <xdr:clientData/>
  </xdr:twoCellAnchor>
  <xdr:twoCellAnchor>
    <xdr:from>
      <xdr:col>0</xdr:col>
      <xdr:colOff>66675</xdr:colOff>
      <xdr:row>348</xdr:row>
      <xdr:rowOff>14856</xdr:rowOff>
    </xdr:from>
    <xdr:to>
      <xdr:col>7</xdr:col>
      <xdr:colOff>762001</xdr:colOff>
      <xdr:row>382</xdr:row>
      <xdr:rowOff>163424</xdr:rowOff>
    </xdr:to>
    <xdr:grpSp>
      <xdr:nvGrpSpPr>
        <xdr:cNvPr id="17" name="Group 16"/>
        <xdr:cNvGrpSpPr/>
      </xdr:nvGrpSpPr>
      <xdr:grpSpPr>
        <a:xfrm>
          <a:off x="66675" y="73147806"/>
          <a:ext cx="6276976" cy="6949418"/>
          <a:chOff x="66675" y="72752726"/>
          <a:chExt cx="6286087" cy="6907176"/>
        </a:xfrm>
      </xdr:grpSpPr>
      <xdr:grpSp>
        <xdr:nvGrpSpPr>
          <xdr:cNvPr id="8" name="Group 7"/>
          <xdr:cNvGrpSpPr/>
        </xdr:nvGrpSpPr>
        <xdr:grpSpPr>
          <a:xfrm>
            <a:off x="66675" y="72827269"/>
            <a:ext cx="6286087" cy="6832633"/>
            <a:chOff x="66675" y="73222349"/>
            <a:chExt cx="6276976" cy="6874875"/>
          </a:xfrm>
        </xdr:grpSpPr>
        <xdr:pic>
          <xdr:nvPicPr>
            <xdr:cNvPr id="33" name="Picture 32" descr="https://vsjcllp.vsjadon.com/upload/insp-246583-1525.jpe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11761" y="78161561"/>
              <a:ext cx="2231890" cy="19246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583-844.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156100" y="73222349"/>
              <a:ext cx="1958700" cy="2611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6583-848.jpe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03975" y="73222349"/>
              <a:ext cx="1958700" cy="2611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6583-849.jpe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994175" y="75908400"/>
              <a:ext cx="1215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6583-850.jpe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6675" y="78158474"/>
              <a:ext cx="2400300" cy="193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6583-852.jpe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3849" y="73222349"/>
              <a:ext cx="1749590" cy="2611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6583-862.jpe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575200" y="78162149"/>
              <a:ext cx="1451306" cy="193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6583-865.jpe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295650" y="75904725"/>
              <a:ext cx="288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6583-868.jpe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89200" y="758988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4" name="TextBox 24">
            <a:extLst>
              <a:ext uri="{FF2B5EF4-FFF2-40B4-BE49-F238E27FC236}">
                <a16:creationId xmlns="" xmlns:a16="http://schemas.microsoft.com/office/drawing/2014/main" id="{16864431-3132-4A52-9B26-BE1B32F97843}"/>
              </a:ext>
            </a:extLst>
          </xdr:cNvPr>
          <xdr:cNvSpPr txBox="1"/>
        </xdr:nvSpPr>
        <xdr:spPr>
          <a:xfrm>
            <a:off x="381414" y="72847356"/>
            <a:ext cx="1277146" cy="36701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A &amp; B</a:t>
            </a:r>
            <a:endParaRPr lang="en-IN" sz="1400" b="1">
              <a:solidFill>
                <a:sysClr val="windowText" lastClr="000000"/>
              </a:solidFill>
            </a:endParaRPr>
          </a:p>
        </xdr:txBody>
      </xdr:sp>
      <xdr:sp macro="" textlink="">
        <xdr:nvSpPr>
          <xdr:cNvPr id="65" name="TextBox 24">
            <a:extLst>
              <a:ext uri="{FF2B5EF4-FFF2-40B4-BE49-F238E27FC236}">
                <a16:creationId xmlns="" xmlns:a16="http://schemas.microsoft.com/office/drawing/2014/main" id="{16864431-3132-4A52-9B26-BE1B32F97843}"/>
              </a:ext>
            </a:extLst>
          </xdr:cNvPr>
          <xdr:cNvSpPr txBox="1"/>
        </xdr:nvSpPr>
        <xdr:spPr>
          <a:xfrm>
            <a:off x="2808219" y="72752726"/>
            <a:ext cx="1277146" cy="36701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C</a:t>
            </a:r>
            <a:endParaRPr lang="en-IN" sz="1400" b="1">
              <a:solidFill>
                <a:sysClr val="windowText" lastClr="000000"/>
              </a:solidFill>
            </a:endParaRPr>
          </a:p>
        </xdr:txBody>
      </xdr:sp>
      <xdr:cxnSp macro="">
        <xdr:nvCxnSpPr>
          <xdr:cNvPr id="10" name="Elbow Connector 9"/>
          <xdr:cNvCxnSpPr/>
        </xdr:nvCxnSpPr>
        <xdr:spPr>
          <a:xfrm rot="16200000" flipH="1">
            <a:off x="3209515" y="73139578"/>
            <a:ext cx="505236" cy="198781"/>
          </a:xfrm>
          <a:prstGeom prst="bentConnector3">
            <a:avLst>
              <a:gd name="adj1" fmla="val 27049"/>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d5pBGSe1aetiTrF6"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1"/>
  <sheetViews>
    <sheetView tabSelected="1" view="pageBreakPreview" topLeftCell="A61" zoomScaleNormal="100" zoomScaleSheetLayoutView="100" zoomScalePageLayoutView="85" workbookViewId="0">
      <selection activeCell="K68" sqref="K67:K68"/>
    </sheetView>
  </sheetViews>
  <sheetFormatPr defaultColWidth="9.140625" defaultRowHeight="15.75" x14ac:dyDescent="0.25"/>
  <cols>
    <col min="1" max="2" width="12.85546875" style="16" customWidth="1"/>
    <col min="3" max="3" width="11.85546875" style="16" customWidth="1"/>
    <col min="4" max="4" width="12.85546875" style="16" customWidth="1"/>
    <col min="5" max="5" width="11" style="16" customWidth="1"/>
    <col min="6" max="6" width="11.7109375" style="16" customWidth="1"/>
    <col min="7" max="7" width="10.5703125" style="16" customWidth="1"/>
    <col min="8" max="8" width="12.42578125" style="16"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11" ht="46.5" customHeight="1" x14ac:dyDescent="0.25">
      <c r="A1" s="157" t="s">
        <v>235</v>
      </c>
      <c r="B1" s="157"/>
      <c r="C1" s="157"/>
      <c r="D1" s="157"/>
      <c r="E1" s="157"/>
      <c r="F1" s="157"/>
      <c r="G1" s="157"/>
      <c r="H1" s="157"/>
      <c r="I1" s="11"/>
      <c r="J1" s="11"/>
      <c r="K1" s="11"/>
    </row>
    <row r="2" spans="1:11" ht="16.5" customHeight="1" x14ac:dyDescent="0.25">
      <c r="A2" s="151" t="s">
        <v>0</v>
      </c>
      <c r="B2" s="151"/>
      <c r="C2" s="151"/>
      <c r="D2" s="151"/>
      <c r="E2" s="151"/>
      <c r="F2" s="151"/>
      <c r="G2" s="151"/>
      <c r="H2" s="151"/>
      <c r="I2" s="11"/>
      <c r="J2" s="11"/>
      <c r="K2" s="11"/>
    </row>
    <row r="3" spans="1:11" x14ac:dyDescent="0.25">
      <c r="A3" s="114" t="s">
        <v>1</v>
      </c>
      <c r="B3" s="114"/>
      <c r="C3" s="114"/>
      <c r="D3" s="114"/>
      <c r="E3" s="158" t="str">
        <f ca="1">TEXT(TODAY(),"DD/MM/YYYY")</f>
        <v>16/09/2025</v>
      </c>
      <c r="F3" s="158"/>
      <c r="G3" s="158"/>
      <c r="H3" s="158"/>
      <c r="I3" s="11"/>
      <c r="J3" s="11"/>
      <c r="K3" s="11"/>
    </row>
    <row r="4" spans="1:11" ht="15" customHeight="1" x14ac:dyDescent="0.25">
      <c r="A4" s="114" t="s">
        <v>2</v>
      </c>
      <c r="B4" s="114"/>
      <c r="C4" s="114"/>
      <c r="D4" s="114"/>
      <c r="E4" s="159" t="s">
        <v>159</v>
      </c>
      <c r="F4" s="159"/>
      <c r="G4" s="159"/>
      <c r="H4" s="159"/>
      <c r="I4" s="11"/>
      <c r="J4" s="11"/>
      <c r="K4" s="11"/>
    </row>
    <row r="5" spans="1:11" x14ac:dyDescent="0.25">
      <c r="A5" s="114" t="s">
        <v>3</v>
      </c>
      <c r="B5" s="114"/>
      <c r="C5" s="114"/>
      <c r="D5" s="114"/>
      <c r="E5" s="156">
        <v>45910</v>
      </c>
      <c r="F5" s="156"/>
      <c r="G5" s="156"/>
      <c r="H5" s="156"/>
      <c r="I5" s="11"/>
      <c r="J5" s="11"/>
      <c r="K5" s="11"/>
    </row>
    <row r="6" spans="1:11" ht="16.5" customHeight="1" x14ac:dyDescent="0.25">
      <c r="A6" s="114" t="s">
        <v>4</v>
      </c>
      <c r="B6" s="114"/>
      <c r="C6" s="114"/>
      <c r="D6" s="114"/>
      <c r="E6" s="155" t="s">
        <v>275</v>
      </c>
      <c r="F6" s="155"/>
      <c r="G6" s="155"/>
      <c r="H6" s="155"/>
      <c r="I6" s="11"/>
      <c r="J6" s="11"/>
      <c r="K6" s="11"/>
    </row>
    <row r="7" spans="1:11" x14ac:dyDescent="0.25">
      <c r="A7" s="114" t="s">
        <v>5</v>
      </c>
      <c r="B7" s="114"/>
      <c r="C7" s="114"/>
      <c r="D7" s="114"/>
      <c r="E7" s="155" t="str">
        <f>E6</f>
        <v>M/s. Build Square</v>
      </c>
      <c r="F7" s="155"/>
      <c r="G7" s="155"/>
      <c r="H7" s="155"/>
      <c r="I7" s="11"/>
      <c r="J7" s="11"/>
      <c r="K7" s="11"/>
    </row>
    <row r="8" spans="1:11" x14ac:dyDescent="0.25">
      <c r="A8" s="114" t="s">
        <v>6</v>
      </c>
      <c r="B8" s="114"/>
      <c r="C8" s="114"/>
      <c r="D8" s="114"/>
      <c r="E8" s="101" t="s">
        <v>160</v>
      </c>
      <c r="F8" s="101"/>
      <c r="G8" s="101"/>
      <c r="H8" s="101"/>
      <c r="I8" s="11"/>
      <c r="J8" s="11"/>
      <c r="K8" s="11"/>
    </row>
    <row r="9" spans="1:11" x14ac:dyDescent="0.25">
      <c r="A9" s="114" t="s">
        <v>263</v>
      </c>
      <c r="B9" s="114"/>
      <c r="C9" s="114"/>
      <c r="D9" s="114"/>
      <c r="E9" s="114" t="s">
        <v>276</v>
      </c>
      <c r="F9" s="114"/>
      <c r="G9" s="114"/>
      <c r="H9" s="114"/>
      <c r="I9" s="11"/>
      <c r="J9" s="11"/>
      <c r="K9" s="11"/>
    </row>
    <row r="10" spans="1:11" hidden="1" x14ac:dyDescent="0.25">
      <c r="A10" s="114" t="s">
        <v>272</v>
      </c>
      <c r="B10" s="114"/>
      <c r="C10" s="114"/>
      <c r="D10" s="114"/>
      <c r="E10" s="114" t="s">
        <v>273</v>
      </c>
      <c r="F10" s="114"/>
      <c r="G10" s="114"/>
      <c r="H10" s="114"/>
      <c r="I10" s="11"/>
      <c r="J10" s="11"/>
      <c r="K10" s="11"/>
    </row>
    <row r="11" spans="1:11" ht="32.25" customHeight="1" x14ac:dyDescent="0.25">
      <c r="A11" s="114" t="s">
        <v>7</v>
      </c>
      <c r="B11" s="114"/>
      <c r="C11" s="114"/>
      <c r="D11" s="114"/>
      <c r="E11" s="155" t="s">
        <v>162</v>
      </c>
      <c r="F11" s="114"/>
      <c r="G11" s="114"/>
      <c r="H11" s="114"/>
      <c r="I11" s="11"/>
      <c r="J11" s="11"/>
      <c r="K11" s="11"/>
    </row>
    <row r="12" spans="1:11" x14ac:dyDescent="0.25">
      <c r="A12" s="114" t="s">
        <v>8</v>
      </c>
      <c r="B12" s="114"/>
      <c r="C12" s="114"/>
      <c r="D12" s="114"/>
      <c r="E12" s="155" t="s">
        <v>193</v>
      </c>
      <c r="F12" s="155"/>
      <c r="G12" s="155"/>
      <c r="H12" s="155"/>
      <c r="I12" s="11"/>
      <c r="J12" s="11"/>
      <c r="K12" s="11"/>
    </row>
    <row r="13" spans="1:11" x14ac:dyDescent="0.25">
      <c r="A13" s="114" t="s">
        <v>9</v>
      </c>
      <c r="B13" s="114"/>
      <c r="C13" s="114"/>
      <c r="D13" s="114"/>
      <c r="E13" s="114" t="s">
        <v>161</v>
      </c>
      <c r="F13" s="114"/>
      <c r="G13" s="114"/>
      <c r="H13" s="114"/>
      <c r="I13" s="11"/>
      <c r="J13" s="11"/>
      <c r="K13" s="11"/>
    </row>
    <row r="14" spans="1:11" ht="48.75" customHeight="1" x14ac:dyDescent="0.25">
      <c r="A14" s="155" t="s">
        <v>10</v>
      </c>
      <c r="B14" s="155"/>
      <c r="C14" s="155" t="s">
        <v>197</v>
      </c>
      <c r="D14" s="155"/>
      <c r="E14" s="155"/>
      <c r="F14" s="155"/>
      <c r="G14" s="155"/>
      <c r="H14" s="155"/>
      <c r="I14" s="11"/>
      <c r="J14" s="11"/>
      <c r="K14" s="11"/>
    </row>
    <row r="15" spans="1:11" ht="15.75" customHeight="1" x14ac:dyDescent="0.25">
      <c r="A15" s="155" t="s">
        <v>194</v>
      </c>
      <c r="B15" s="155"/>
      <c r="C15" s="155" t="s">
        <v>163</v>
      </c>
      <c r="D15" s="155"/>
      <c r="E15" s="155"/>
      <c r="F15" s="155"/>
      <c r="G15" s="155"/>
      <c r="H15" s="155"/>
      <c r="I15" s="11"/>
      <c r="J15" s="11"/>
      <c r="K15" s="11"/>
    </row>
    <row r="16" spans="1:11" ht="15.75" customHeight="1" x14ac:dyDescent="0.25">
      <c r="A16" s="155" t="s">
        <v>11</v>
      </c>
      <c r="B16" s="155"/>
      <c r="C16" s="114" t="s">
        <v>203</v>
      </c>
      <c r="D16" s="114"/>
      <c r="E16" s="155" t="s">
        <v>105</v>
      </c>
      <c r="F16" s="155"/>
      <c r="G16" s="155" t="s">
        <v>196</v>
      </c>
      <c r="H16" s="155"/>
      <c r="I16" s="11"/>
      <c r="J16" s="11"/>
      <c r="K16" s="11"/>
    </row>
    <row r="17" spans="1:11" x14ac:dyDescent="0.25">
      <c r="A17" s="114" t="s">
        <v>13</v>
      </c>
      <c r="B17" s="114"/>
      <c r="C17" s="155" t="s">
        <v>169</v>
      </c>
      <c r="D17" s="155"/>
      <c r="E17" s="155" t="s">
        <v>12</v>
      </c>
      <c r="F17" s="155"/>
      <c r="G17" s="160" t="s">
        <v>168</v>
      </c>
      <c r="H17" s="160"/>
      <c r="I17" s="11"/>
      <c r="J17" s="11"/>
      <c r="K17" s="11"/>
    </row>
    <row r="18" spans="1:11" x14ac:dyDescent="0.25">
      <c r="A18" s="114" t="s">
        <v>106</v>
      </c>
      <c r="B18" s="114"/>
      <c r="C18" s="155" t="s">
        <v>170</v>
      </c>
      <c r="D18" s="155"/>
      <c r="E18" s="155" t="s">
        <v>14</v>
      </c>
      <c r="F18" s="155"/>
      <c r="G18" s="155">
        <v>400043</v>
      </c>
      <c r="H18" s="155"/>
      <c r="I18" s="11"/>
      <c r="J18" s="11"/>
      <c r="K18" s="11"/>
    </row>
    <row r="19" spans="1:11" ht="32.25" customHeight="1" x14ac:dyDescent="0.25">
      <c r="A19" s="114" t="s">
        <v>15</v>
      </c>
      <c r="B19" s="114"/>
      <c r="C19" s="89" t="s">
        <v>164</v>
      </c>
      <c r="D19" s="89"/>
      <c r="E19" s="155" t="s">
        <v>16</v>
      </c>
      <c r="F19" s="155"/>
      <c r="G19" s="155" t="s">
        <v>171</v>
      </c>
      <c r="H19" s="155"/>
      <c r="I19" s="11"/>
      <c r="J19" s="11"/>
      <c r="K19" s="11"/>
    </row>
    <row r="20" spans="1:11" ht="15" customHeight="1" x14ac:dyDescent="0.25">
      <c r="A20" s="155" t="s">
        <v>111</v>
      </c>
      <c r="B20" s="155"/>
      <c r="C20" s="155"/>
      <c r="D20" s="155"/>
      <c r="E20" s="114" t="s">
        <v>17</v>
      </c>
      <c r="F20" s="114"/>
      <c r="G20" s="114"/>
      <c r="H20" s="114"/>
      <c r="I20" s="11"/>
      <c r="J20" s="11"/>
      <c r="K20" s="11"/>
    </row>
    <row r="21" spans="1:11" ht="18.75" customHeight="1" x14ac:dyDescent="0.25">
      <c r="A21" s="155"/>
      <c r="B21" s="155"/>
      <c r="C21" s="155"/>
      <c r="D21" s="155"/>
      <c r="E21" s="114"/>
      <c r="F21" s="114"/>
      <c r="G21" s="114"/>
      <c r="H21" s="114"/>
      <c r="I21" s="11"/>
      <c r="J21" s="11"/>
      <c r="K21" s="11"/>
    </row>
    <row r="22" spans="1:11" ht="15" customHeight="1" x14ac:dyDescent="0.25">
      <c r="A22" s="155" t="s">
        <v>18</v>
      </c>
      <c r="B22" s="155"/>
      <c r="C22" s="155"/>
      <c r="D22" s="155"/>
      <c r="E22" s="155" t="s">
        <v>19</v>
      </c>
      <c r="F22" s="155"/>
      <c r="G22" s="155"/>
      <c r="H22" s="155"/>
      <c r="I22" s="11"/>
      <c r="J22" s="11"/>
      <c r="K22" s="11"/>
    </row>
    <row r="23" spans="1:11" ht="15" customHeight="1" x14ac:dyDescent="0.25">
      <c r="A23" s="114" t="s">
        <v>20</v>
      </c>
      <c r="B23" s="114"/>
      <c r="C23" s="114"/>
      <c r="D23" s="114"/>
      <c r="E23" s="155" t="s">
        <v>166</v>
      </c>
      <c r="F23" s="155"/>
      <c r="G23" s="155"/>
      <c r="H23" s="155"/>
      <c r="I23" s="11"/>
      <c r="J23" s="11"/>
      <c r="K23" s="11"/>
    </row>
    <row r="24" spans="1:11" x14ac:dyDescent="0.25">
      <c r="A24" s="114" t="s">
        <v>21</v>
      </c>
      <c r="B24" s="114"/>
      <c r="C24" s="114"/>
      <c r="D24" s="114"/>
      <c r="E24" s="155" t="s">
        <v>22</v>
      </c>
      <c r="F24" s="155"/>
      <c r="G24" s="155"/>
      <c r="H24" s="155"/>
      <c r="I24" s="11"/>
      <c r="J24" s="11"/>
      <c r="K24" s="11"/>
    </row>
    <row r="25" spans="1:11" x14ac:dyDescent="0.25">
      <c r="A25" s="114" t="s">
        <v>23</v>
      </c>
      <c r="B25" s="114"/>
      <c r="C25" s="114"/>
      <c r="D25" s="114"/>
      <c r="E25" s="155" t="s">
        <v>167</v>
      </c>
      <c r="F25" s="155"/>
      <c r="G25" s="155"/>
      <c r="H25" s="155"/>
      <c r="I25" s="11"/>
      <c r="J25" s="11"/>
      <c r="K25" s="11"/>
    </row>
    <row r="26" spans="1:11" x14ac:dyDescent="0.25">
      <c r="A26" s="114" t="s">
        <v>24</v>
      </c>
      <c r="B26" s="114"/>
      <c r="C26" s="114"/>
      <c r="D26" s="114"/>
      <c r="E26" s="155" t="s">
        <v>25</v>
      </c>
      <c r="F26" s="155"/>
      <c r="G26" s="155"/>
      <c r="H26" s="155"/>
      <c r="I26" s="11"/>
      <c r="J26" s="11"/>
      <c r="K26" s="11"/>
    </row>
    <row r="27" spans="1:11" x14ac:dyDescent="0.25">
      <c r="A27" s="114" t="s">
        <v>118</v>
      </c>
      <c r="B27" s="114"/>
      <c r="C27" s="114"/>
      <c r="D27" s="114"/>
      <c r="E27" s="155" t="s">
        <v>119</v>
      </c>
      <c r="F27" s="155"/>
      <c r="G27" s="155"/>
      <c r="H27" s="155"/>
      <c r="I27" s="11"/>
      <c r="J27" s="11"/>
      <c r="K27" s="11"/>
    </row>
    <row r="28" spans="1:11" ht="15" customHeight="1" x14ac:dyDescent="0.25">
      <c r="A28" s="155" t="s">
        <v>34</v>
      </c>
      <c r="B28" s="155"/>
      <c r="C28" s="155"/>
      <c r="D28" s="155"/>
      <c r="E28" s="159" t="s">
        <v>115</v>
      </c>
      <c r="F28" s="159"/>
      <c r="G28" s="159"/>
      <c r="H28" s="159"/>
      <c r="I28" s="11"/>
      <c r="J28" s="11"/>
      <c r="K28" s="11"/>
    </row>
    <row r="29" spans="1:11" x14ac:dyDescent="0.25">
      <c r="A29" s="155" t="s">
        <v>131</v>
      </c>
      <c r="B29" s="155"/>
      <c r="C29" s="155"/>
      <c r="D29" s="155"/>
      <c r="E29" s="155" t="s">
        <v>35</v>
      </c>
      <c r="F29" s="155"/>
      <c r="G29" s="155"/>
      <c r="H29" s="155"/>
      <c r="I29" s="11"/>
      <c r="J29" s="11"/>
      <c r="K29" s="11"/>
    </row>
    <row r="30" spans="1:11" s="12" customFormat="1" x14ac:dyDescent="0.25">
      <c r="A30" s="167" t="s">
        <v>132</v>
      </c>
      <c r="B30" s="167"/>
      <c r="C30" s="151" t="s">
        <v>30</v>
      </c>
      <c r="D30" s="151"/>
      <c r="E30" s="151"/>
      <c r="F30" s="151" t="s">
        <v>32</v>
      </c>
      <c r="G30" s="151"/>
      <c r="H30" s="151"/>
      <c r="I30" s="11"/>
      <c r="J30" s="11"/>
      <c r="K30" s="11"/>
    </row>
    <row r="31" spans="1:11" s="12" customFormat="1" x14ac:dyDescent="0.25">
      <c r="A31" s="162" t="s">
        <v>26</v>
      </c>
      <c r="B31" s="162" t="s">
        <v>31</v>
      </c>
      <c r="C31" s="106" t="s">
        <v>31</v>
      </c>
      <c r="D31" s="106"/>
      <c r="E31" s="106"/>
      <c r="F31" s="106" t="s">
        <v>164</v>
      </c>
      <c r="G31" s="106"/>
      <c r="H31" s="106"/>
      <c r="I31" s="11"/>
      <c r="J31" s="11"/>
      <c r="K31" s="11"/>
    </row>
    <row r="32" spans="1:11" x14ac:dyDescent="0.25">
      <c r="A32" s="162" t="s">
        <v>27</v>
      </c>
      <c r="B32" s="162" t="s">
        <v>31</v>
      </c>
      <c r="C32" s="106" t="s">
        <v>31</v>
      </c>
      <c r="D32" s="106"/>
      <c r="E32" s="106"/>
      <c r="F32" s="106" t="s">
        <v>165</v>
      </c>
      <c r="G32" s="106"/>
      <c r="H32" s="106"/>
      <c r="I32" s="11"/>
      <c r="J32" s="11"/>
      <c r="K32" s="11"/>
    </row>
    <row r="33" spans="1:11" s="12" customFormat="1" x14ac:dyDescent="0.25">
      <c r="A33" s="162" t="s">
        <v>29</v>
      </c>
      <c r="B33" s="162" t="s">
        <v>31</v>
      </c>
      <c r="C33" s="106" t="s">
        <v>31</v>
      </c>
      <c r="D33" s="106"/>
      <c r="E33" s="106"/>
      <c r="F33" s="106" t="s">
        <v>234</v>
      </c>
      <c r="G33" s="106"/>
      <c r="H33" s="106"/>
      <c r="I33" s="11"/>
      <c r="J33" s="11"/>
      <c r="K33" s="11"/>
    </row>
    <row r="34" spans="1:11" x14ac:dyDescent="0.25">
      <c r="A34" s="162" t="s">
        <v>28</v>
      </c>
      <c r="B34" s="162" t="s">
        <v>31</v>
      </c>
      <c r="C34" s="106" t="s">
        <v>31</v>
      </c>
      <c r="D34" s="106"/>
      <c r="E34" s="106"/>
      <c r="F34" s="106" t="s">
        <v>165</v>
      </c>
      <c r="G34" s="106"/>
      <c r="H34" s="106"/>
      <c r="I34" s="11"/>
      <c r="J34" s="11"/>
      <c r="K34" s="11"/>
    </row>
    <row r="35" spans="1:11" x14ac:dyDescent="0.25">
      <c r="A35" s="114" t="s">
        <v>33</v>
      </c>
      <c r="B35" s="114"/>
      <c r="C35" s="114"/>
      <c r="D35" s="114"/>
      <c r="E35" s="114"/>
      <c r="F35" s="114"/>
      <c r="G35" s="114"/>
      <c r="H35" s="114"/>
      <c r="I35" s="11"/>
      <c r="J35" s="11"/>
      <c r="K35" s="11"/>
    </row>
    <row r="36" spans="1:11" ht="15.75" customHeight="1" x14ac:dyDescent="0.25">
      <c r="A36" s="151" t="s">
        <v>230</v>
      </c>
      <c r="B36" s="151"/>
      <c r="C36" s="172" t="s">
        <v>232</v>
      </c>
      <c r="D36" s="173"/>
      <c r="E36" s="173"/>
      <c r="F36" s="173"/>
      <c r="G36" s="173"/>
      <c r="H36" s="174"/>
      <c r="I36" s="11"/>
      <c r="J36" s="11"/>
      <c r="K36" s="11"/>
    </row>
    <row r="37" spans="1:11" ht="15.75" customHeight="1" x14ac:dyDescent="0.25">
      <c r="A37" s="151" t="s">
        <v>231</v>
      </c>
      <c r="B37" s="151"/>
      <c r="C37" s="175" t="s">
        <v>233</v>
      </c>
      <c r="D37" s="173"/>
      <c r="E37" s="173"/>
      <c r="F37" s="173"/>
      <c r="G37" s="173"/>
      <c r="H37" s="174"/>
      <c r="I37" s="11"/>
      <c r="J37" s="11"/>
      <c r="K37" s="11"/>
    </row>
    <row r="38" spans="1:11" x14ac:dyDescent="0.25">
      <c r="A38" s="101" t="s">
        <v>36</v>
      </c>
      <c r="B38" s="101"/>
      <c r="C38" s="101"/>
      <c r="D38" s="101"/>
      <c r="E38" s="101"/>
      <c r="F38" s="101"/>
      <c r="G38" s="101"/>
      <c r="H38" s="101"/>
      <c r="I38" s="11"/>
      <c r="J38" s="11"/>
      <c r="K38" s="11"/>
    </row>
    <row r="39" spans="1:11" x14ac:dyDescent="0.25">
      <c r="A39" s="114" t="s">
        <v>37</v>
      </c>
      <c r="B39" s="114"/>
      <c r="C39" s="114"/>
      <c r="D39" s="114"/>
      <c r="E39" s="163">
        <v>4450.2299999999996</v>
      </c>
      <c r="F39" s="163"/>
      <c r="G39" s="163"/>
      <c r="H39" s="163"/>
      <c r="I39" s="11"/>
      <c r="J39" s="11"/>
      <c r="K39" s="11"/>
    </row>
    <row r="40" spans="1:11" x14ac:dyDescent="0.25">
      <c r="A40" s="114" t="s">
        <v>38</v>
      </c>
      <c r="B40" s="114"/>
      <c r="C40" s="114"/>
      <c r="D40" s="114"/>
      <c r="E40" s="161">
        <v>4</v>
      </c>
      <c r="F40" s="161"/>
      <c r="G40" s="161"/>
      <c r="H40" s="161"/>
      <c r="I40" s="11"/>
      <c r="J40" s="11"/>
      <c r="K40" s="11"/>
    </row>
    <row r="41" spans="1:11" x14ac:dyDescent="0.25">
      <c r="A41" s="114" t="s">
        <v>39</v>
      </c>
      <c r="B41" s="114"/>
      <c r="C41" s="114"/>
      <c r="D41" s="114"/>
      <c r="E41" s="161">
        <f>E43/E39-E40</f>
        <v>2.5816733067729087</v>
      </c>
      <c r="F41" s="161"/>
      <c r="G41" s="161"/>
      <c r="H41" s="161"/>
      <c r="I41" s="11"/>
      <c r="J41" s="11"/>
      <c r="K41" s="11"/>
    </row>
    <row r="42" spans="1:11" x14ac:dyDescent="0.25">
      <c r="A42" s="114" t="s">
        <v>40</v>
      </c>
      <c r="B42" s="114"/>
      <c r="C42" s="114"/>
      <c r="D42" s="114"/>
      <c r="E42" s="161">
        <f>E40+E41</f>
        <v>6.5816733067729087</v>
      </c>
      <c r="F42" s="161"/>
      <c r="G42" s="161"/>
      <c r="H42" s="161"/>
      <c r="I42" s="11"/>
      <c r="J42" s="11"/>
      <c r="K42" s="11"/>
    </row>
    <row r="43" spans="1:11" x14ac:dyDescent="0.25">
      <c r="A43" s="114" t="s">
        <v>130</v>
      </c>
      <c r="B43" s="114"/>
      <c r="C43" s="114"/>
      <c r="D43" s="114"/>
      <c r="E43" s="176">
        <v>29289.96</v>
      </c>
      <c r="F43" s="176"/>
      <c r="G43" s="176"/>
      <c r="H43" s="176"/>
      <c r="I43" s="11"/>
      <c r="J43" s="11"/>
      <c r="K43" s="11"/>
    </row>
    <row r="44" spans="1:11" x14ac:dyDescent="0.25">
      <c r="A44" s="114" t="s">
        <v>41</v>
      </c>
      <c r="B44" s="114"/>
      <c r="C44" s="114"/>
      <c r="D44" s="114"/>
      <c r="E44" s="114" t="s">
        <v>204</v>
      </c>
      <c r="F44" s="114"/>
      <c r="G44" s="114"/>
      <c r="H44" s="114"/>
      <c r="I44" s="11"/>
      <c r="J44" s="11"/>
      <c r="K44" s="11"/>
    </row>
    <row r="45" spans="1:11" x14ac:dyDescent="0.25">
      <c r="A45" s="101" t="s">
        <v>42</v>
      </c>
      <c r="B45" s="101"/>
      <c r="C45" s="101"/>
      <c r="D45" s="101"/>
      <c r="E45" s="101"/>
      <c r="F45" s="101"/>
      <c r="G45" s="101"/>
      <c r="H45" s="101"/>
      <c r="I45" s="11"/>
      <c r="J45" s="11"/>
      <c r="K45" s="11"/>
    </row>
    <row r="46" spans="1:11" x14ac:dyDescent="0.25">
      <c r="A46" s="155" t="s">
        <v>43</v>
      </c>
      <c r="B46" s="155"/>
      <c r="C46" s="89" t="s">
        <v>172</v>
      </c>
      <c r="D46" s="89"/>
      <c r="E46" s="89"/>
      <c r="F46" s="31" t="s">
        <v>44</v>
      </c>
      <c r="G46" s="170">
        <v>44540</v>
      </c>
      <c r="H46" s="155"/>
      <c r="I46" s="11"/>
      <c r="J46" s="11"/>
      <c r="K46" s="11"/>
    </row>
    <row r="47" spans="1:11" x14ac:dyDescent="0.25">
      <c r="A47" s="155" t="s">
        <v>45</v>
      </c>
      <c r="B47" s="155"/>
      <c r="C47" s="89" t="str">
        <f>C46</f>
        <v>M-E/MCGM/0032/20080930/AP/R1</v>
      </c>
      <c r="D47" s="89"/>
      <c r="E47" s="89"/>
      <c r="F47" s="31" t="s">
        <v>44</v>
      </c>
      <c r="G47" s="170">
        <f>G46</f>
        <v>44540</v>
      </c>
      <c r="H47" s="170"/>
      <c r="I47" s="11"/>
      <c r="J47" s="11"/>
      <c r="K47" s="11"/>
    </row>
    <row r="48" spans="1:11" s="11" customFormat="1" x14ac:dyDescent="0.25">
      <c r="A48" s="155" t="s">
        <v>266</v>
      </c>
      <c r="B48" s="155"/>
      <c r="C48" s="89" t="s">
        <v>229</v>
      </c>
      <c r="D48" s="90"/>
      <c r="E48" s="90"/>
      <c r="F48" s="14" t="s">
        <v>44</v>
      </c>
      <c r="G48" s="91" t="s">
        <v>265</v>
      </c>
      <c r="H48" s="91"/>
    </row>
    <row r="49" spans="1:11" s="11" customFormat="1" ht="51.6" customHeight="1" x14ac:dyDescent="0.25">
      <c r="A49" s="155"/>
      <c r="B49" s="155"/>
      <c r="C49" s="92" t="s">
        <v>270</v>
      </c>
      <c r="D49" s="93"/>
      <c r="E49" s="93"/>
      <c r="F49" s="93"/>
      <c r="G49" s="93"/>
      <c r="H49" s="94"/>
    </row>
    <row r="50" spans="1:11" x14ac:dyDescent="0.25">
      <c r="A50" s="155" t="s">
        <v>266</v>
      </c>
      <c r="B50" s="155"/>
      <c r="C50" s="89" t="s">
        <v>229</v>
      </c>
      <c r="D50" s="90"/>
      <c r="E50" s="90"/>
      <c r="F50" s="14" t="s">
        <v>44</v>
      </c>
      <c r="G50" s="91" t="s">
        <v>267</v>
      </c>
      <c r="H50" s="91"/>
      <c r="I50" s="11"/>
      <c r="J50" s="11"/>
      <c r="K50" s="11"/>
    </row>
    <row r="51" spans="1:11" ht="34.5" customHeight="1" x14ac:dyDescent="0.25">
      <c r="A51" s="155"/>
      <c r="B51" s="155"/>
      <c r="C51" s="92" t="s">
        <v>268</v>
      </c>
      <c r="D51" s="93"/>
      <c r="E51" s="93"/>
      <c r="F51" s="93"/>
      <c r="G51" s="93"/>
      <c r="H51" s="94"/>
      <c r="I51" s="11"/>
      <c r="J51" s="11"/>
      <c r="K51" s="11"/>
    </row>
    <row r="52" spans="1:11" x14ac:dyDescent="0.25">
      <c r="A52" s="155" t="s">
        <v>266</v>
      </c>
      <c r="B52" s="155"/>
      <c r="C52" s="89" t="s">
        <v>229</v>
      </c>
      <c r="D52" s="90"/>
      <c r="E52" s="90"/>
      <c r="F52" s="14" t="s">
        <v>44</v>
      </c>
      <c r="G52" s="91" t="s">
        <v>269</v>
      </c>
      <c r="H52" s="91"/>
      <c r="I52" s="11"/>
      <c r="J52" s="11"/>
      <c r="K52" s="11"/>
    </row>
    <row r="53" spans="1:11" ht="62.25" customHeight="1" x14ac:dyDescent="0.25">
      <c r="A53" s="155"/>
      <c r="B53" s="155"/>
      <c r="C53" s="92" t="s">
        <v>271</v>
      </c>
      <c r="D53" s="93"/>
      <c r="E53" s="93"/>
      <c r="F53" s="93"/>
      <c r="G53" s="93"/>
      <c r="H53" s="94"/>
      <c r="I53" s="11"/>
      <c r="J53" s="11"/>
      <c r="K53" s="11"/>
    </row>
    <row r="54" spans="1:11" x14ac:dyDescent="0.25">
      <c r="A54" s="155" t="s">
        <v>266</v>
      </c>
      <c r="B54" s="155"/>
      <c r="C54" s="89" t="s">
        <v>229</v>
      </c>
      <c r="D54" s="90"/>
      <c r="E54" s="90"/>
      <c r="F54" s="14" t="s">
        <v>44</v>
      </c>
      <c r="G54" s="91" t="s">
        <v>281</v>
      </c>
      <c r="H54" s="91"/>
      <c r="I54" s="11"/>
      <c r="J54" s="11"/>
      <c r="K54" s="11"/>
    </row>
    <row r="55" spans="1:11" ht="81" customHeight="1" x14ac:dyDescent="0.25">
      <c r="A55" s="155"/>
      <c r="B55" s="155"/>
      <c r="C55" s="92" t="s">
        <v>282</v>
      </c>
      <c r="D55" s="93"/>
      <c r="E55" s="93"/>
      <c r="F55" s="93"/>
      <c r="G55" s="93"/>
      <c r="H55" s="94"/>
      <c r="I55" s="11"/>
      <c r="J55" s="11"/>
      <c r="K55" s="11"/>
    </row>
    <row r="56" spans="1:11" x14ac:dyDescent="0.25">
      <c r="A56" s="116" t="s">
        <v>46</v>
      </c>
      <c r="B56" s="116"/>
      <c r="C56" s="169" t="s">
        <v>145</v>
      </c>
      <c r="D56" s="115"/>
      <c r="E56" s="115" t="s">
        <v>47</v>
      </c>
      <c r="F56" s="32" t="s">
        <v>44</v>
      </c>
      <c r="G56" s="102" t="s">
        <v>31</v>
      </c>
      <c r="H56" s="168"/>
      <c r="I56" s="11"/>
      <c r="J56" s="11"/>
      <c r="K56" s="11"/>
    </row>
    <row r="57" spans="1:11" x14ac:dyDescent="0.25">
      <c r="A57" s="171" t="s">
        <v>49</v>
      </c>
      <c r="B57" s="171"/>
      <c r="C57" s="171"/>
      <c r="D57" s="171"/>
      <c r="E57" s="171"/>
      <c r="F57" s="171"/>
      <c r="G57" s="171"/>
      <c r="H57" s="171"/>
      <c r="I57" s="11"/>
      <c r="J57" s="11"/>
      <c r="K57" s="11"/>
    </row>
    <row r="58" spans="1:11" ht="15.75" customHeight="1" x14ac:dyDescent="0.25">
      <c r="A58" s="155" t="s">
        <v>129</v>
      </c>
      <c r="B58" s="155"/>
      <c r="C58" s="155"/>
      <c r="D58" s="114">
        <f>E43</f>
        <v>29289.96</v>
      </c>
      <c r="E58" s="114"/>
      <c r="F58" s="114"/>
      <c r="G58" s="114"/>
      <c r="H58" s="114"/>
      <c r="I58" s="11"/>
      <c r="J58" s="11"/>
      <c r="K58" s="11"/>
    </row>
    <row r="59" spans="1:11" ht="15.75" customHeight="1" x14ac:dyDescent="0.25">
      <c r="A59" s="155" t="s">
        <v>50</v>
      </c>
      <c r="B59" s="114"/>
      <c r="C59" s="114"/>
      <c r="D59" s="155" t="s">
        <v>260</v>
      </c>
      <c r="E59" s="114"/>
      <c r="F59" s="114"/>
      <c r="G59" s="114"/>
      <c r="H59" s="114"/>
      <c r="I59" s="11"/>
      <c r="J59" s="11"/>
      <c r="K59" s="11"/>
    </row>
    <row r="60" spans="1:11" ht="48.75" customHeight="1" x14ac:dyDescent="0.25">
      <c r="A60" s="155" t="s">
        <v>51</v>
      </c>
      <c r="B60" s="114"/>
      <c r="C60" s="114"/>
      <c r="D60" s="155" t="s">
        <v>261</v>
      </c>
      <c r="E60" s="114"/>
      <c r="F60" s="114"/>
      <c r="G60" s="114"/>
      <c r="H60" s="114"/>
      <c r="I60" s="11"/>
      <c r="J60" s="33"/>
      <c r="K60" s="33"/>
    </row>
    <row r="61" spans="1:11" ht="34.5" customHeight="1" thickBot="1" x14ac:dyDescent="0.3">
      <c r="A61" s="155" t="s">
        <v>127</v>
      </c>
      <c r="B61" s="114"/>
      <c r="C61" s="114"/>
      <c r="D61" s="155" t="s">
        <v>262</v>
      </c>
      <c r="E61" s="114"/>
      <c r="F61" s="114"/>
      <c r="G61" s="114"/>
      <c r="H61" s="114"/>
      <c r="I61" s="11"/>
      <c r="J61" s="33"/>
      <c r="K61" s="33"/>
    </row>
    <row r="62" spans="1:11" customFormat="1" ht="15.75" customHeight="1" x14ac:dyDescent="0.25">
      <c r="A62" s="114" t="s">
        <v>48</v>
      </c>
      <c r="B62" s="114"/>
      <c r="C62" s="114"/>
      <c r="D62" s="155" t="s">
        <v>279</v>
      </c>
      <c r="E62" s="155"/>
      <c r="F62" s="155"/>
      <c r="G62" s="155"/>
      <c r="H62" s="155"/>
      <c r="I62" s="59" t="str">
        <f ca="1">(IF(E70&gt;99%,"All work completed. Please provide OC.",IF(E70&gt;89.8%,"Plinth, RCC, Brick, Plaster, Flooring, Painting work Completed. Finishing work is in process.",IF(E70&lt;94%,(IF(C70=0,"Work not yet Started.",IF(D70=25%,"Piling work in process",IF(D70=50%,"Excavation work in process",IF(D70=100%,"Excavation work Completed. ","0")))&amp;(IF(C71=0%,"",IF(C71=J68,"Footing work is process",IF(C71=J69,"Footing work Completed",IF(C71=J70,"1st Basement Completed",IF(C71=J71,"1st &amp; 2nd Basement Completed",IF(C71=J72,"1st to 3rd Basement Completed",IF(C71=J73,"1st to 4th Basement Completed",IF(C71=J74,"Plinth work is process",IF(C71=J75,"Plinth work completed","0")))))))))))&amp;(IF(C72=(D67+F67+H67),", RCC Slab",IF(C72&gt;0,", RCC upto "&amp;C72&amp;" Slab",""))&amp;(IF(C73=H67,", Brickwork",IF(C73&gt;0,", Brickwork upto "&amp;C73&amp;" Floor",""))&amp;(IF(C74=H67,", Internal Plaster",IF(C74&gt;0,", Internal Plaster upto "&amp;C74&amp;" Floor",""))&amp;(IF(C75=H67,", External Plaster",IF(C75&gt;0,", External Plaster upto "&amp;C75&amp;" Floor",""))&amp;(IF(C76=H67,", Flooring",IF(C76&gt;0,", Flooring upto "&amp;C76&amp;" Floor",""))&amp;(IF(C77=H67,", Painting",IF(C77&gt;0,", Painting upto "&amp;C77&amp;" Floor",""))&amp;(IF(C78&gt;0,", Finishing upto "&amp;C78&amp;" Floor","")&amp;(IF(C72&gt;0.5," Completed",""))))))))))))))</f>
        <v>Excavation work Completed. Plinth work completed, RCC Slab, Brickwork, Internal Plaster, External Plaster, Flooring upto 16 Floor, Painting upto 10 Floor Completed</v>
      </c>
      <c r="J62" s="60"/>
    </row>
    <row r="63" spans="1:11" customFormat="1" x14ac:dyDescent="0.25">
      <c r="A63" s="114" t="s">
        <v>124</v>
      </c>
      <c r="B63" s="114"/>
      <c r="C63" s="114"/>
      <c r="D63" s="155" t="s">
        <v>125</v>
      </c>
      <c r="E63" s="155"/>
      <c r="F63" s="155"/>
      <c r="G63" s="155"/>
      <c r="H63" s="155"/>
      <c r="I63" s="61"/>
      <c r="J63" s="62"/>
    </row>
    <row r="64" spans="1:11" customFormat="1" x14ac:dyDescent="0.25">
      <c r="A64" s="114" t="s">
        <v>126</v>
      </c>
      <c r="B64" s="114"/>
      <c r="C64" s="114"/>
      <c r="D64" s="155" t="s">
        <v>25</v>
      </c>
      <c r="E64" s="155"/>
      <c r="F64" s="155"/>
      <c r="G64" s="155"/>
      <c r="H64" s="155"/>
      <c r="I64" s="61" t="s">
        <v>144</v>
      </c>
      <c r="J64" s="62"/>
    </row>
    <row r="65" spans="1:14" customFormat="1" ht="16.5" thickBot="1" x14ac:dyDescent="0.3">
      <c r="A65" s="177" t="s">
        <v>123</v>
      </c>
      <c r="B65" s="177"/>
      <c r="C65" s="177"/>
      <c r="D65" s="178" t="s">
        <v>173</v>
      </c>
      <c r="E65" s="178"/>
      <c r="F65" s="178"/>
      <c r="G65" s="178"/>
      <c r="H65" s="178"/>
      <c r="I65" s="63" t="s">
        <v>207</v>
      </c>
      <c r="J65" s="64">
        <f ca="1">H67*25%</f>
        <v>8.25</v>
      </c>
    </row>
    <row r="66" spans="1:14" customFormat="1" x14ac:dyDescent="0.25">
      <c r="A66" s="120" t="s">
        <v>205</v>
      </c>
      <c r="B66" s="121"/>
      <c r="C66" s="122" t="s">
        <v>274</v>
      </c>
      <c r="D66" s="123"/>
      <c r="E66" s="123"/>
      <c r="F66" s="123"/>
      <c r="G66" s="123"/>
      <c r="H66" s="124"/>
      <c r="I66" s="63" t="s">
        <v>138</v>
      </c>
      <c r="J66" s="65">
        <f ca="1">H67*50%</f>
        <v>16.5</v>
      </c>
    </row>
    <row r="67" spans="1:14" customFormat="1" x14ac:dyDescent="0.25">
      <c r="A67" s="18" t="s">
        <v>102</v>
      </c>
      <c r="B67" s="57">
        <v>0</v>
      </c>
      <c r="C67" s="57" t="s">
        <v>104</v>
      </c>
      <c r="D67" s="57">
        <v>1</v>
      </c>
      <c r="E67" s="57" t="s">
        <v>103</v>
      </c>
      <c r="F67" s="57">
        <v>0</v>
      </c>
      <c r="G67" s="57" t="s">
        <v>117</v>
      </c>
      <c r="H67" s="34">
        <f ca="1">--TRIM(RIGHT(SUBSTITUTE(LEFT(C66,_xlfn.AGGREGATE(16,6,FIND({0,1,2,3,4,5,6,7,8,9},C66,ROW(INDIRECT("1:"&amp;LEN(C66)))),1))," ",REPT(" ",LEN(C66))),LEN(C66)))</f>
        <v>33</v>
      </c>
      <c r="I67" s="63" t="s">
        <v>139</v>
      </c>
      <c r="J67" s="65">
        <f ca="1">H67</f>
        <v>33</v>
      </c>
    </row>
    <row r="68" spans="1:14" customFormat="1" ht="51.75" customHeight="1" x14ac:dyDescent="0.25">
      <c r="A68" s="100" t="s">
        <v>128</v>
      </c>
      <c r="B68" s="101"/>
      <c r="C68" s="116" t="str">
        <f ca="1">I62</f>
        <v>Excavation work Completed. Plinth work completed, RCC Slab, Brickwork, Internal Plaster, External Plaster, Flooring upto 16 Floor, Painting upto 10 Floor Completed</v>
      </c>
      <c r="D68" s="116"/>
      <c r="E68" s="116"/>
      <c r="F68" s="116"/>
      <c r="G68" s="116"/>
      <c r="H68" s="125"/>
      <c r="I68" s="63" t="s">
        <v>140</v>
      </c>
      <c r="J68" s="66">
        <f ca="1">(IF(B67&gt;1,(H67/(B67+2)),H67/4))</f>
        <v>8.25</v>
      </c>
      <c r="L68" s="67"/>
    </row>
    <row r="69" spans="1:14" customFormat="1" ht="15.75" customHeight="1" x14ac:dyDescent="0.25">
      <c r="A69" s="105" t="s">
        <v>52</v>
      </c>
      <c r="B69" s="106"/>
      <c r="C69" s="35" t="s">
        <v>206</v>
      </c>
      <c r="D69" s="35" t="s">
        <v>120</v>
      </c>
      <c r="E69" s="96" t="s">
        <v>122</v>
      </c>
      <c r="F69" s="96"/>
      <c r="G69" s="96" t="s">
        <v>121</v>
      </c>
      <c r="H69" s="126"/>
      <c r="I69" s="63" t="s">
        <v>141</v>
      </c>
      <c r="J69" s="66">
        <f ca="1">(IF(B67&gt;1,(H67/(B67+2)+J68),H67/4+J68))</f>
        <v>16.5</v>
      </c>
      <c r="L69" s="67"/>
    </row>
    <row r="70" spans="1:14" customFormat="1" ht="15.75" customHeight="1" x14ac:dyDescent="0.25">
      <c r="A70" s="105" t="s">
        <v>208</v>
      </c>
      <c r="B70" s="106"/>
      <c r="C70" s="36">
        <f ca="1">J67</f>
        <v>33</v>
      </c>
      <c r="D70" s="55">
        <f ca="1">((100/H67)*C70)/100</f>
        <v>1</v>
      </c>
      <c r="E70" s="107">
        <f ca="1">(((C71/H67*10)+(40/(D67+F67+H67)*C72)+(7.5/(H67)*C73)+(7.5/(H67)*C74)+(10/H67*C75)+(10/H67*C76)+(5/H67*C77)+(5/H67*C78)+(5/H67*C79))/100)</f>
        <v>0.8136363636363636</v>
      </c>
      <c r="F70" s="107"/>
      <c r="G70" s="107">
        <f ca="1">((((C70/H67)*20)+((C71/H67)*25)+(30/(H67+F67+D67)*C72)+(5/H67*C73)+(5/H67*C74)+(5/H67*C75)+(5/H67*C76)+(0/H67*C77)+(0/H67*C78)+(5/H67*C79))/100)</f>
        <v>0.9242424242424242</v>
      </c>
      <c r="H70" s="109"/>
      <c r="I70" s="63" t="s">
        <v>213</v>
      </c>
      <c r="J70" s="66">
        <f>(IF(B67&gt;1,(H67/(B67+2)+J69),0))</f>
        <v>0</v>
      </c>
      <c r="L70" s="68"/>
      <c r="N70" s="67"/>
    </row>
    <row r="71" spans="1:14" customFormat="1" ht="15.75" customHeight="1" x14ac:dyDescent="0.25">
      <c r="A71" s="105" t="s">
        <v>53</v>
      </c>
      <c r="B71" s="106"/>
      <c r="C71" s="37">
        <f ca="1">J75</f>
        <v>33</v>
      </c>
      <c r="D71" s="55">
        <f ca="1">((100/H67)*C71)/100</f>
        <v>1</v>
      </c>
      <c r="E71" s="107"/>
      <c r="F71" s="107"/>
      <c r="G71" s="107"/>
      <c r="H71" s="109"/>
      <c r="I71" s="63" t="s">
        <v>216</v>
      </c>
      <c r="J71" s="66">
        <f>(IF(B67&gt;2,(H67/(B67+2)+J70),0))</f>
        <v>0</v>
      </c>
      <c r="K71" s="69"/>
      <c r="L71" s="68"/>
    </row>
    <row r="72" spans="1:14" customFormat="1" ht="15.75" customHeight="1" x14ac:dyDescent="0.25">
      <c r="A72" s="105" t="s">
        <v>209</v>
      </c>
      <c r="B72" s="106"/>
      <c r="C72" s="37">
        <v>34</v>
      </c>
      <c r="D72" s="55">
        <f ca="1">((100/(D67+F67+H67))*C72)/100</f>
        <v>1</v>
      </c>
      <c r="E72" s="107"/>
      <c r="F72" s="107"/>
      <c r="G72" s="107"/>
      <c r="H72" s="109"/>
      <c r="I72" s="63" t="s">
        <v>218</v>
      </c>
      <c r="J72" s="70">
        <f>(IF(B67&gt;3,(H67/(B67+2)+J71),0))</f>
        <v>0</v>
      </c>
      <c r="K72" s="69"/>
      <c r="L72" s="68"/>
    </row>
    <row r="73" spans="1:14" customFormat="1" ht="15.75" customHeight="1" x14ac:dyDescent="0.25">
      <c r="A73" s="105" t="s">
        <v>210</v>
      </c>
      <c r="B73" s="106" t="s">
        <v>211</v>
      </c>
      <c r="C73" s="37">
        <f>C72-1</f>
        <v>33</v>
      </c>
      <c r="D73" s="55">
        <f ca="1">((100/H67)*C73)/100</f>
        <v>1</v>
      </c>
      <c r="E73" s="107"/>
      <c r="F73" s="107"/>
      <c r="G73" s="107"/>
      <c r="H73" s="109"/>
      <c r="I73" s="63" t="s">
        <v>220</v>
      </c>
      <c r="J73" s="66">
        <f>(IF(B67&gt;4,(H67/(B67+2)+J72),0))</f>
        <v>0</v>
      </c>
      <c r="K73" s="67"/>
      <c r="L73" s="68"/>
    </row>
    <row r="74" spans="1:14" customFormat="1" ht="15.75" customHeight="1" x14ac:dyDescent="0.25">
      <c r="A74" s="105" t="s">
        <v>212</v>
      </c>
      <c r="B74" s="106" t="s">
        <v>211</v>
      </c>
      <c r="C74" s="37">
        <v>33</v>
      </c>
      <c r="D74" s="55">
        <f ca="1">((100/H67)*C74)/100</f>
        <v>1</v>
      </c>
      <c r="E74" s="107"/>
      <c r="F74" s="107"/>
      <c r="G74" s="107"/>
      <c r="H74" s="109"/>
      <c r="I74" s="63" t="s">
        <v>142</v>
      </c>
      <c r="J74" s="66">
        <f ca="1">(IF(B67=1,(H67/(B67+3)+J69),IF(B67=0,(H67/4+J69),IF(B67&gt;1,0))))</f>
        <v>24.75</v>
      </c>
      <c r="K74" s="69"/>
      <c r="L74" s="68"/>
    </row>
    <row r="75" spans="1:14" customFormat="1" ht="16.5" thickBot="1" x14ac:dyDescent="0.3">
      <c r="A75" s="105" t="s">
        <v>214</v>
      </c>
      <c r="B75" s="106" t="s">
        <v>215</v>
      </c>
      <c r="C75" s="37">
        <v>33</v>
      </c>
      <c r="D75" s="55">
        <f ca="1">((100/(H67))*C75)/100</f>
        <v>1</v>
      </c>
      <c r="E75" s="107"/>
      <c r="F75" s="107"/>
      <c r="G75" s="107"/>
      <c r="H75" s="109"/>
      <c r="I75" s="71" t="s">
        <v>143</v>
      </c>
      <c r="J75" s="72">
        <f ca="1">(IF(B67&gt;1.5,(H67/(B67+2)+J69+MAX(0,J70-J69)+MAX(0,J71-J70)+MAX(0,J72-J71)+MAX(0,J73-J72)+MAX(0,J74-J73)),IF(B67=1,(H67/(B67+3)+J74),IF(B67=0,H67/4+J74))))</f>
        <v>33</v>
      </c>
      <c r="K75" s="69"/>
      <c r="L75" s="68"/>
    </row>
    <row r="76" spans="1:14" customFormat="1" ht="15.75" customHeight="1" x14ac:dyDescent="0.25">
      <c r="A76" s="105" t="s">
        <v>217</v>
      </c>
      <c r="B76" s="106" t="s">
        <v>217</v>
      </c>
      <c r="C76" s="36">
        <v>16</v>
      </c>
      <c r="D76" s="55">
        <f ca="1">((100/H67)*C76)/100</f>
        <v>0.48484848484848486</v>
      </c>
      <c r="E76" s="107"/>
      <c r="F76" s="107"/>
      <c r="G76" s="107"/>
      <c r="H76" s="109"/>
      <c r="I76" s="59" t="str">
        <f ca="1">(IF(E84&gt;99%,"All work completed. Please provide OC.",IF(E84&gt;89.8%,"Plinth, RCC, Brick, Plaster, Flooring, Painting work Completed. Finishing work is in process.",IF(E84&lt;94%,(IF(C84=0,"Work not yet Started.",IF(D84=25%,"Piling work in process",IF(D84=50%,"Excavation work in process",IF(D84=100%,"Excavation work Completed. ","0")))&amp;(IF(C85=0%,"",IF(C85=J82,"Footing work is process",IF(C85=J83,"Footing work Completed",IF(C85=J84,"1st Basement Completed",IF(C85=J85,"1st &amp; 2nd Basement Completed",IF(C85=J86,"1st to 3rd Basement Completed",IF(C85=J87,"1st to 4th Basement Completed",IF(C85=J88,"Plinth work is process",IF(C85=J89,"Plinth work completed","0")))))))))))&amp;(IF(C86=(D81+F81+H81),", RCC Slab",IF(C86&gt;0,", RCC upto "&amp;C86&amp;" Slab",""))&amp;(IF(C87=H81,", Brickwork",IF(C87&gt;0,", Brickwork upto "&amp;C87&amp;" Floor",""))&amp;(IF(C88=H81,", Internal Plaster",IF(C88&gt;0,", Internal Plaster upto "&amp;C88&amp;" Floor",""))&amp;(IF(C89=H81,", External Plaster",IF(C89&gt;0,", External Plaster upto "&amp;C89&amp;" Floor",""))&amp;(IF(C90=H81,", Flooring",IF(C90&gt;0,", Flooring upto "&amp;C90&amp;" Floor",""))&amp;(IF(C91=H81,", Painting",IF(C91&gt;0,", Painting upto "&amp;C91&amp;" Floor",""))&amp;(IF(C92&gt;0,", Finishing upto "&amp;C92&amp;" Floor","")&amp;(IF(C86&gt;0.5," Completed",""))))))))))))))</f>
        <v>Excavation work Completed. Plinth work completed, RCC upto 25 Slab, Brickwork upto 24 Floor, Internal Plaster upto 18 Floor, External Plaster upto 16.8 Floor Completed</v>
      </c>
      <c r="J76" s="60"/>
    </row>
    <row r="77" spans="1:14" customFormat="1" x14ac:dyDescent="0.25">
      <c r="A77" s="105" t="s">
        <v>219</v>
      </c>
      <c r="B77" s="106"/>
      <c r="C77" s="36">
        <v>10</v>
      </c>
      <c r="D77" s="55">
        <f ca="1">((100/H67)*C77)/100</f>
        <v>0.30303030303030304</v>
      </c>
      <c r="E77" s="107"/>
      <c r="F77" s="107"/>
      <c r="G77" s="107"/>
      <c r="H77" s="109"/>
      <c r="I77" s="61"/>
      <c r="J77" s="62"/>
    </row>
    <row r="78" spans="1:14" customFormat="1" x14ac:dyDescent="0.25">
      <c r="A78" s="105" t="s">
        <v>221</v>
      </c>
      <c r="B78" s="106" t="s">
        <v>221</v>
      </c>
      <c r="C78" s="36">
        <v>0</v>
      </c>
      <c r="D78" s="55">
        <f ca="1">((100/(H67))*C78)/100</f>
        <v>0</v>
      </c>
      <c r="E78" s="107"/>
      <c r="F78" s="107"/>
      <c r="G78" s="107"/>
      <c r="H78" s="109"/>
      <c r="I78" s="61" t="s">
        <v>144</v>
      </c>
      <c r="J78" s="62"/>
    </row>
    <row r="79" spans="1:14" customFormat="1" ht="16.5" thickBot="1" x14ac:dyDescent="0.3">
      <c r="A79" s="111" t="s">
        <v>222</v>
      </c>
      <c r="B79" s="112"/>
      <c r="C79" s="38">
        <v>0</v>
      </c>
      <c r="D79" s="56">
        <f ca="1">((100/(H67))*C79)/100</f>
        <v>0</v>
      </c>
      <c r="E79" s="108"/>
      <c r="F79" s="108"/>
      <c r="G79" s="108"/>
      <c r="H79" s="110"/>
      <c r="I79" s="63" t="s">
        <v>207</v>
      </c>
      <c r="J79" s="64">
        <f ca="1">H81*25%</f>
        <v>8.25</v>
      </c>
    </row>
    <row r="80" spans="1:14" customFormat="1" hidden="1" x14ac:dyDescent="0.25">
      <c r="A80" s="120" t="s">
        <v>205</v>
      </c>
      <c r="B80" s="121"/>
      <c r="C80" s="122" t="s">
        <v>264</v>
      </c>
      <c r="D80" s="123"/>
      <c r="E80" s="123"/>
      <c r="F80" s="123"/>
      <c r="G80" s="123"/>
      <c r="H80" s="124"/>
      <c r="I80" s="63" t="s">
        <v>138</v>
      </c>
      <c r="J80" s="65">
        <f ca="1">H81*50%</f>
        <v>16.5</v>
      </c>
    </row>
    <row r="81" spans="1:14" customFormat="1" hidden="1" x14ac:dyDescent="0.25">
      <c r="A81" s="81" t="s">
        <v>102</v>
      </c>
      <c r="B81" s="82">
        <v>0</v>
      </c>
      <c r="C81" s="82" t="s">
        <v>104</v>
      </c>
      <c r="D81" s="82">
        <v>1</v>
      </c>
      <c r="E81" s="82" t="s">
        <v>103</v>
      </c>
      <c r="F81" s="82">
        <v>0</v>
      </c>
      <c r="G81" s="82" t="s">
        <v>117</v>
      </c>
      <c r="H81" s="34">
        <f ca="1">--TRIM(RIGHT(SUBSTITUTE(LEFT(C80,_xlfn.AGGREGATE(16,6,FIND({0,1,2,3,4,5,6,7,8,9},C80,ROW(INDIRECT("1:"&amp;LEN(C80)))),1))," ",REPT(" ",LEN(C80))),LEN(C80)))</f>
        <v>33</v>
      </c>
      <c r="I81" s="63" t="s">
        <v>139</v>
      </c>
      <c r="J81" s="65">
        <f ca="1">H81</f>
        <v>33</v>
      </c>
    </row>
    <row r="82" spans="1:14" customFormat="1" ht="48.75" hidden="1" customHeight="1" x14ac:dyDescent="0.25">
      <c r="A82" s="100" t="s">
        <v>128</v>
      </c>
      <c r="B82" s="101"/>
      <c r="C82" s="116" t="str">
        <f ca="1">I76</f>
        <v>Excavation work Completed. Plinth work completed, RCC upto 25 Slab, Brickwork upto 24 Floor, Internal Plaster upto 18 Floor, External Plaster upto 16.8 Floor Completed</v>
      </c>
      <c r="D82" s="116"/>
      <c r="E82" s="116"/>
      <c r="F82" s="116"/>
      <c r="G82" s="116"/>
      <c r="H82" s="125"/>
      <c r="I82" s="63" t="s">
        <v>140</v>
      </c>
      <c r="J82" s="66">
        <f ca="1">(IF(B81&gt;1,(H81/(B81+2)),H81/4))</f>
        <v>8.25</v>
      </c>
      <c r="L82" s="67"/>
    </row>
    <row r="83" spans="1:14" customFormat="1" ht="15.75" hidden="1" customHeight="1" x14ac:dyDescent="0.25">
      <c r="A83" s="105" t="s">
        <v>52</v>
      </c>
      <c r="B83" s="106"/>
      <c r="C83" s="83" t="s">
        <v>206</v>
      </c>
      <c r="D83" s="83" t="s">
        <v>120</v>
      </c>
      <c r="E83" s="96" t="s">
        <v>122</v>
      </c>
      <c r="F83" s="96"/>
      <c r="G83" s="96" t="s">
        <v>121</v>
      </c>
      <c r="H83" s="126"/>
      <c r="I83" s="63" t="s">
        <v>141</v>
      </c>
      <c r="J83" s="66">
        <f ca="1">(IF(B81&gt;1,(H81/(B81+2)+J82),H81/4+J82))</f>
        <v>16.5</v>
      </c>
      <c r="L83" s="67"/>
    </row>
    <row r="84" spans="1:14" customFormat="1" ht="15.75" hidden="1" customHeight="1" x14ac:dyDescent="0.25">
      <c r="A84" s="105" t="s">
        <v>208</v>
      </c>
      <c r="B84" s="106"/>
      <c r="C84" s="36">
        <f ca="1">J81</f>
        <v>33</v>
      </c>
      <c r="D84" s="79">
        <f ca="1">((100/H81)*C84)/100</f>
        <v>1</v>
      </c>
      <c r="E84" s="107">
        <f ca="1">(((C85/H81*10)+(40/(D81+F81+H81)*C86)+(7.5/(H81)*C87)+(7.5/(H81)*C88)+(10/H81*C89)+(10/H81*C90)+(5/H81*C91)+(5/H81*C92)+(5/H81*C93))/100)</f>
        <v>0.54048128342245993</v>
      </c>
      <c r="F84" s="107"/>
      <c r="G84" s="107">
        <f ca="1">((((C84/H81)*20)+((C85/H81)*25)+(30/(H81+F81+D81)*C86)+(5/H81*C87)+(5/H81*C88)+(5/H81*C89)+(5/H81*C90)+(0/H81*C91)+(0/H81*C92)+(5/H81*C93))/100)</f>
        <v>0.75967914438502693</v>
      </c>
      <c r="H84" s="109"/>
      <c r="I84" s="63" t="s">
        <v>213</v>
      </c>
      <c r="J84" s="66">
        <f>(IF(B81&gt;1,(H81/(B81+2)+J83),0))</f>
        <v>0</v>
      </c>
      <c r="L84" s="68"/>
      <c r="N84" s="67"/>
    </row>
    <row r="85" spans="1:14" customFormat="1" ht="15.75" hidden="1" customHeight="1" x14ac:dyDescent="0.25">
      <c r="A85" s="105" t="s">
        <v>53</v>
      </c>
      <c r="B85" s="106"/>
      <c r="C85" s="37">
        <f ca="1">J89</f>
        <v>33</v>
      </c>
      <c r="D85" s="79">
        <f ca="1">((100/H81)*C85)/100</f>
        <v>1</v>
      </c>
      <c r="E85" s="107"/>
      <c r="F85" s="107"/>
      <c r="G85" s="107"/>
      <c r="H85" s="109"/>
      <c r="I85" s="63" t="s">
        <v>216</v>
      </c>
      <c r="J85" s="66">
        <f>(IF(B81&gt;2,(H81/(B81+2)+J84),0))</f>
        <v>0</v>
      </c>
      <c r="K85" s="69"/>
      <c r="L85" s="68"/>
    </row>
    <row r="86" spans="1:14" customFormat="1" ht="15.75" hidden="1" customHeight="1" x14ac:dyDescent="0.25">
      <c r="A86" s="105" t="s">
        <v>209</v>
      </c>
      <c r="B86" s="106"/>
      <c r="C86" s="37">
        <v>25</v>
      </c>
      <c r="D86" s="79">
        <f ca="1">((100/(D81+F81+H81))*C86)/100</f>
        <v>0.73529411764705888</v>
      </c>
      <c r="E86" s="107"/>
      <c r="F86" s="107"/>
      <c r="G86" s="107"/>
      <c r="H86" s="109"/>
      <c r="I86" s="63" t="s">
        <v>218</v>
      </c>
      <c r="J86" s="70">
        <f>(IF(B81&gt;3,(H81/(B81+2)+J85),0))</f>
        <v>0</v>
      </c>
      <c r="K86" s="69"/>
      <c r="L86" s="68"/>
    </row>
    <row r="87" spans="1:14" customFormat="1" ht="15.75" hidden="1" customHeight="1" x14ac:dyDescent="0.25">
      <c r="A87" s="105" t="s">
        <v>210</v>
      </c>
      <c r="B87" s="106" t="s">
        <v>211</v>
      </c>
      <c r="C87" s="37">
        <f>C86-D81</f>
        <v>24</v>
      </c>
      <c r="D87" s="79">
        <f ca="1">((100/H81)*C87)/100</f>
        <v>0.72727272727272718</v>
      </c>
      <c r="E87" s="107"/>
      <c r="F87" s="107"/>
      <c r="G87" s="107"/>
      <c r="H87" s="109"/>
      <c r="I87" s="63" t="s">
        <v>220</v>
      </c>
      <c r="J87" s="66">
        <f>(IF(B81&gt;4,(H81/(B81+2)+J86),0))</f>
        <v>0</v>
      </c>
      <c r="K87" s="67"/>
      <c r="L87" s="68"/>
    </row>
    <row r="88" spans="1:14" customFormat="1" ht="15.75" hidden="1" customHeight="1" x14ac:dyDescent="0.25">
      <c r="A88" s="105" t="s">
        <v>212</v>
      </c>
      <c r="B88" s="106" t="s">
        <v>211</v>
      </c>
      <c r="C88" s="37">
        <f>C87*0.75</f>
        <v>18</v>
      </c>
      <c r="D88" s="79">
        <f ca="1">((100/H81)*C88)/100</f>
        <v>0.54545454545454541</v>
      </c>
      <c r="E88" s="107"/>
      <c r="F88" s="107"/>
      <c r="G88" s="107"/>
      <c r="H88" s="109"/>
      <c r="I88" s="63" t="s">
        <v>142</v>
      </c>
      <c r="J88" s="66">
        <f ca="1">(IF(B81=1,(H81/(B81+3)+J83),IF(B81=0,(H81/4+J83),IF(B81&gt;1,0))))</f>
        <v>24.75</v>
      </c>
      <c r="K88" s="69"/>
      <c r="L88" s="68"/>
    </row>
    <row r="89" spans="1:14" customFormat="1" ht="16.5" hidden="1" thickBot="1" x14ac:dyDescent="0.3">
      <c r="A89" s="105" t="s">
        <v>214</v>
      </c>
      <c r="B89" s="106" t="s">
        <v>215</v>
      </c>
      <c r="C89" s="37">
        <f>C87*0.7</f>
        <v>16.799999999999997</v>
      </c>
      <c r="D89" s="79">
        <f ca="1">((100/(H81))*C89)/100</f>
        <v>0.50909090909090904</v>
      </c>
      <c r="E89" s="107"/>
      <c r="F89" s="107"/>
      <c r="G89" s="107"/>
      <c r="H89" s="109"/>
      <c r="I89" s="71" t="s">
        <v>143</v>
      </c>
      <c r="J89" s="72">
        <f ca="1">(IF(B81&gt;1.5,(H81/(B81+2)+J83+MAX(0,J84-J83)+MAX(0,J85-J84)+MAX(0,J86-J85)+MAX(0,J87-J86)+MAX(0,J88-J87)),IF(B81=1,(H81/(B81+3)+J88),IF(B81=0,H81/4+J88))))</f>
        <v>33</v>
      </c>
      <c r="K89" s="69"/>
      <c r="L89" s="68"/>
    </row>
    <row r="90" spans="1:14" customFormat="1" hidden="1" x14ac:dyDescent="0.25">
      <c r="A90" s="105" t="s">
        <v>217</v>
      </c>
      <c r="B90" s="106" t="s">
        <v>217</v>
      </c>
      <c r="C90" s="36">
        <v>0</v>
      </c>
      <c r="D90" s="79">
        <f ca="1">((100/H81)*C90)/100</f>
        <v>0</v>
      </c>
      <c r="E90" s="107"/>
      <c r="F90" s="107"/>
      <c r="G90" s="107"/>
      <c r="H90" s="109"/>
      <c r="I90" s="59" t="str">
        <f ca="1">(IF(E98&gt;99%,"All work completed. Please provide OC.",IF(E98&gt;89.8%,"Plinth, RCC, Brick, Plaster, Flooring, Painting work Completed. Finishing work is in process.",IF(E98&lt;94%,(IF(C98=0,"Work not yet Started.",IF(D98=25%,"Piling work in process",IF(D98=50%,"Excavation work in process",IF(D98=100%,"Excavation work Completed. ","0")))&amp;(IF(C99=0%,"",IF(C99=J96,"Footing work is process",IF(C99=J97,"Footing work Completed",IF(C99=J98,"1st Basement Completed",IF(C99=J99,"1st &amp; 2nd Basement Completed",IF(C99=J100,"1st to 3rd Basement Completed",IF(C99=J101,"1st to 4th Basement Completed",IF(C99=J102,"Plinth work is process",IF(C99=J103,"Plinth work completed","0")))))))))))&amp;(IF(C100=(D95+F95+H95),", RCC Slab",IF(C100&gt;0,", RCC upto "&amp;C100&amp;" Slab",""))&amp;(IF(C101=H95,", Brickwork",IF(C101&gt;0,", Brickwork upto "&amp;C101&amp;" Floor",""))&amp;(IF(C102=H95,", Internal Plaster",IF(C102&gt;0,", Internal Plaster upto "&amp;C102&amp;" Floor",""))&amp;(IF(C103=H95,", External Plaster",IF(C103&gt;0,", External Plaster upto "&amp;C103&amp;" Floor",""))&amp;(IF(C104=H95,", Flooring",IF(C104&gt;0,", Flooring upto "&amp;C104&amp;" Floor",""))&amp;(IF(C105=H95,", Painting",IF(C105&gt;0,", Painting upto "&amp;C105&amp;" Floor",""))&amp;(IF(C106&gt;0,", Finishing upto "&amp;C106&amp;" Floor","")&amp;(IF(C100&gt;0.5," Completed",""))))))))))))))</f>
        <v>Excavation work Completed. Plinth work completed, RCC Slab, Brickwork, Internal Plaster, External Plaster, Flooring upto 20 Floor, Painting upto 15 Floor Completed</v>
      </c>
      <c r="J90" s="74" t="str">
        <f ca="1">(IF(E100=(D95+F95+H95),"",IF(E100&gt;0,", RCC upto "&amp;E100&amp;" Slab","")))&amp;(IF(E101=H95,"",IF(E101&gt;0,", Brickwork upto "&amp;E101&amp;" Floor","")))&amp;(IF(E102=H95,"",IF(E102&gt;0,", Internal Plaster upto "&amp;E102&amp;" Floor","")))&amp;(IF(E103=H95,"",IF(E103&gt;0,", External Plaster upto "&amp;E103&amp;" Floor","")))&amp;(IF(E104=H95,"",IF(E104&gt;0,", Flooring upto "&amp;E104&amp;" Floor","")))&amp;(IF(E105=H95,"",IF(E105&gt;0,", Painting upto "&amp;E105&amp;" Floor","")))&amp;(IF(E106=H95,"",IF(E106&gt;0,", Finishing upto "&amp;E106&amp;" Floor","")))&amp;(IF(E107=H95,"",IF(E107&gt;0,", Possession upto "&amp;E107&amp;" Floor","")))</f>
        <v/>
      </c>
    </row>
    <row r="91" spans="1:14" customFormat="1" hidden="1" x14ac:dyDescent="0.25">
      <c r="A91" s="105" t="s">
        <v>219</v>
      </c>
      <c r="B91" s="106"/>
      <c r="C91" s="36">
        <v>0</v>
      </c>
      <c r="D91" s="79">
        <f ca="1">((100/H81)*C91)/100</f>
        <v>0</v>
      </c>
      <c r="E91" s="107"/>
      <c r="F91" s="107"/>
      <c r="G91" s="107"/>
      <c r="H91" s="109"/>
      <c r="I91" s="75" t="str">
        <f>IF(F98=100%,"Excavation","")&amp;IF(F99=100%,", Plinth","")&amp;IF(F100=100%,", RCC Slab","")&amp;IF(F101=100%,", Brickwork","")&amp;IF(F102=100%,", Internal Plaster","")&amp;IF(F103=100%,", External Plaster","")&amp;IF(F104=100%,", Flooring","")&amp;IF(F105=100%,", Painting","")&amp;IF(F106=100%,", Building common Amenities","")</f>
        <v/>
      </c>
      <c r="J91" s="76" t="str">
        <f ca="1">(IF(C98=0,"Work not yet Started.",IF(F98=25%,"Piling work in process",IF(F98=50%,"Excavation work in process",IF(F98=100%,"","0")))))&amp;(IF(C99=0%,"",IF(C99=J96,", Footing work is process",IF(C99=J97,", Footing work Completed",IF(C99=J98,", 1st Basement Completed",IF(C99=J99,", 1st &amp; 2nd Basement Completed",IF(C99=J100,", 1st to 3rd Basement Completed",IF(C99=J101,", 1st to 4th Basement Completed",IF(C99=J102,", Plinth work is process",IF(C99=J103,"","0"))))))))))</f>
        <v>0</v>
      </c>
    </row>
    <row r="92" spans="1:14" customFormat="1" hidden="1" x14ac:dyDescent="0.25">
      <c r="A92" s="105" t="s">
        <v>221</v>
      </c>
      <c r="B92" s="106" t="s">
        <v>221</v>
      </c>
      <c r="C92" s="36">
        <v>0</v>
      </c>
      <c r="D92" s="79">
        <f ca="1">((100/(H81))*C92)/100</f>
        <v>0</v>
      </c>
      <c r="E92" s="107"/>
      <c r="F92" s="107"/>
      <c r="G92" s="107"/>
      <c r="H92" s="109"/>
      <c r="I92" s="75" t="str">
        <f>IF(I91&lt;&gt;""," Completed","")</f>
        <v/>
      </c>
      <c r="J92" s="76" t="str">
        <f ca="1">IF(J90&lt;&gt;"","Completed","")</f>
        <v/>
      </c>
    </row>
    <row r="93" spans="1:14" customFormat="1" ht="15.75" hidden="1" customHeight="1" thickBot="1" x14ac:dyDescent="0.3">
      <c r="A93" s="111" t="s">
        <v>222</v>
      </c>
      <c r="B93" s="112"/>
      <c r="C93" s="38">
        <v>0</v>
      </c>
      <c r="D93" s="80">
        <f ca="1">((100/(H81))*C93)/100</f>
        <v>0</v>
      </c>
      <c r="E93" s="108"/>
      <c r="F93" s="108"/>
      <c r="G93" s="108"/>
      <c r="H93" s="110"/>
      <c r="I93" s="63" t="s">
        <v>207</v>
      </c>
      <c r="J93" s="64">
        <f ca="1">H95*25%</f>
        <v>7</v>
      </c>
    </row>
    <row r="94" spans="1:14" customFormat="1" x14ac:dyDescent="0.25">
      <c r="A94" s="181" t="s">
        <v>205</v>
      </c>
      <c r="B94" s="182"/>
      <c r="C94" s="97" t="s">
        <v>223</v>
      </c>
      <c r="D94" s="98"/>
      <c r="E94" s="98"/>
      <c r="F94" s="98"/>
      <c r="G94" s="98"/>
      <c r="H94" s="99"/>
      <c r="I94" s="63" t="s">
        <v>138</v>
      </c>
      <c r="J94" s="65">
        <f ca="1">H95*50%</f>
        <v>14</v>
      </c>
    </row>
    <row r="95" spans="1:14" customFormat="1" x14ac:dyDescent="0.25">
      <c r="A95" s="18" t="s">
        <v>102</v>
      </c>
      <c r="B95" s="57">
        <v>0</v>
      </c>
      <c r="C95" s="57" t="s">
        <v>104</v>
      </c>
      <c r="D95" s="57">
        <v>1</v>
      </c>
      <c r="E95" s="57" t="s">
        <v>103</v>
      </c>
      <c r="F95" s="57">
        <v>0</v>
      </c>
      <c r="G95" s="57" t="s">
        <v>117</v>
      </c>
      <c r="H95" s="34">
        <f ca="1">--TRIM(RIGHT(SUBSTITUTE(LEFT(C94,_xlfn.AGGREGATE(16,6,FIND({0,1,2,3,4,5,6,7,8,9},C94,ROW(INDIRECT("1:"&amp;LEN(C94)))),1))," ",REPT(" ",LEN(C94))),LEN(C94)))</f>
        <v>28</v>
      </c>
      <c r="I95" s="63" t="s">
        <v>139</v>
      </c>
      <c r="J95" s="65">
        <f ca="1">H95</f>
        <v>28</v>
      </c>
    </row>
    <row r="96" spans="1:14" customFormat="1" ht="51" customHeight="1" x14ac:dyDescent="0.25">
      <c r="A96" s="100" t="s">
        <v>128</v>
      </c>
      <c r="B96" s="101"/>
      <c r="C96" s="102" t="str">
        <f ca="1">I90</f>
        <v>Excavation work Completed. Plinth work completed, RCC Slab, Brickwork, Internal Plaster, External Plaster, Flooring upto 20 Floor, Painting upto 15 Floor Completed</v>
      </c>
      <c r="D96" s="103"/>
      <c r="E96" s="103"/>
      <c r="F96" s="103"/>
      <c r="G96" s="103"/>
      <c r="H96" s="104"/>
      <c r="I96" s="63" t="s">
        <v>140</v>
      </c>
      <c r="J96" s="66">
        <f ca="1">(IF(B95&gt;1,(H95/(B95+2)),H95/4))</f>
        <v>7</v>
      </c>
    </row>
    <row r="97" spans="1:11" customFormat="1" x14ac:dyDescent="0.25">
      <c r="A97" s="95" t="s">
        <v>52</v>
      </c>
      <c r="B97" s="96"/>
      <c r="C97" s="87" t="s">
        <v>206</v>
      </c>
      <c r="D97" s="88" t="s">
        <v>120</v>
      </c>
      <c r="E97" s="117" t="s">
        <v>122</v>
      </c>
      <c r="F97" s="118"/>
      <c r="G97" s="117" t="s">
        <v>121</v>
      </c>
      <c r="H97" s="119"/>
      <c r="I97" s="63" t="s">
        <v>141</v>
      </c>
      <c r="J97" s="66">
        <f ca="1">(IF(B95&gt;1,(H95/(B95+2)+J96),H95/4+J96))</f>
        <v>14</v>
      </c>
    </row>
    <row r="98" spans="1:11" customFormat="1" x14ac:dyDescent="0.25">
      <c r="A98" s="95" t="s">
        <v>208</v>
      </c>
      <c r="B98" s="96"/>
      <c r="C98" s="73">
        <v>28</v>
      </c>
      <c r="D98" s="55">
        <f ca="1">((100/H95)*C98)/100</f>
        <v>1</v>
      </c>
      <c r="E98" s="107">
        <f ca="1">(((C99/H95*10)+(40/(D95+F95+H95)*C100)+(7.5/(H95)*C101)+(7.5/(H95)*C102)+(10/H95*C103)+(10/H95*C104)+(5/H95*C105)+(5/H95*C106)+(5/H95*C107))/100)</f>
        <v>0.8482142857142857</v>
      </c>
      <c r="F98" s="107"/>
      <c r="G98" s="107">
        <f ca="1">((((C98/H95)*20)+((C99/H95)*25)+(30/(H95+F95+D95)*C100)+(5/H95*C101)+(5/H95*C102)+(5/H95*C103)+(5/H95*C104)+(0/H95*C105)+(0/H95*C106)+(5/H95*C107))/100)</f>
        <v>0.93571428571428572</v>
      </c>
      <c r="H98" s="109"/>
      <c r="I98" s="63" t="s">
        <v>213</v>
      </c>
      <c r="J98" s="66">
        <f>(IF(B95&gt;1,(H95/(B95+2)+J97),0))</f>
        <v>0</v>
      </c>
    </row>
    <row r="99" spans="1:11" customFormat="1" x14ac:dyDescent="0.25">
      <c r="A99" s="95" t="s">
        <v>53</v>
      </c>
      <c r="B99" s="96"/>
      <c r="C99" s="73">
        <v>28</v>
      </c>
      <c r="D99" s="55">
        <f ca="1">((100/H95)*C99)/100</f>
        <v>1</v>
      </c>
      <c r="E99" s="107"/>
      <c r="F99" s="107"/>
      <c r="G99" s="107"/>
      <c r="H99" s="109"/>
      <c r="I99" s="63" t="s">
        <v>216</v>
      </c>
      <c r="J99" s="66">
        <f>(IF(B95&gt;2,(H95/(B95+2)+J98),0))</f>
        <v>0</v>
      </c>
    </row>
    <row r="100" spans="1:11" customFormat="1" x14ac:dyDescent="0.25">
      <c r="A100" s="95" t="s">
        <v>209</v>
      </c>
      <c r="B100" s="96"/>
      <c r="C100" s="73">
        <v>29</v>
      </c>
      <c r="D100" s="55">
        <f ca="1">((100/(D95+F95+H95))*C100)/100</f>
        <v>1</v>
      </c>
      <c r="E100" s="107"/>
      <c r="F100" s="107"/>
      <c r="G100" s="107"/>
      <c r="H100" s="109"/>
      <c r="I100" s="63" t="s">
        <v>218</v>
      </c>
      <c r="J100" s="70">
        <f>(IF(B95&gt;3,(H95/(B95+2)+J99),0))</f>
        <v>0</v>
      </c>
    </row>
    <row r="101" spans="1:11" customFormat="1" x14ac:dyDescent="0.25">
      <c r="A101" s="95" t="s">
        <v>210</v>
      </c>
      <c r="B101" s="96" t="s">
        <v>211</v>
      </c>
      <c r="C101" s="73">
        <f>C100-1</f>
        <v>28</v>
      </c>
      <c r="D101" s="55">
        <f ca="1">((100/H95)*C101)/100</f>
        <v>1</v>
      </c>
      <c r="E101" s="107"/>
      <c r="F101" s="107"/>
      <c r="G101" s="107"/>
      <c r="H101" s="109"/>
      <c r="I101" s="63" t="s">
        <v>220</v>
      </c>
      <c r="J101" s="66">
        <f>(IF(B95&gt;4,(H95/(B95+2)+J100),0))</f>
        <v>0</v>
      </c>
    </row>
    <row r="102" spans="1:11" customFormat="1" x14ac:dyDescent="0.25">
      <c r="A102" s="95" t="s">
        <v>212</v>
      </c>
      <c r="B102" s="96" t="s">
        <v>211</v>
      </c>
      <c r="C102" s="78">
        <v>28</v>
      </c>
      <c r="D102" s="55">
        <f ca="1">((100/H95)*C102)/100</f>
        <v>1</v>
      </c>
      <c r="E102" s="107"/>
      <c r="F102" s="107"/>
      <c r="G102" s="107"/>
      <c r="H102" s="109"/>
      <c r="I102" s="63" t="s">
        <v>142</v>
      </c>
      <c r="J102" s="66">
        <f ca="1">(IF(B95=1,(H95/(B95+3)+J97),IF(B95=0,(H95/4+J97),IF(B95&gt;1,0))))</f>
        <v>21</v>
      </c>
    </row>
    <row r="103" spans="1:11" customFormat="1" ht="16.5" thickBot="1" x14ac:dyDescent="0.3">
      <c r="A103" s="95" t="s">
        <v>214</v>
      </c>
      <c r="B103" s="96" t="s">
        <v>215</v>
      </c>
      <c r="C103" s="78">
        <v>28</v>
      </c>
      <c r="D103" s="55">
        <f ca="1">((100/(H95))*C103)/100</f>
        <v>1</v>
      </c>
      <c r="E103" s="107"/>
      <c r="F103" s="107"/>
      <c r="G103" s="107"/>
      <c r="H103" s="109"/>
      <c r="I103" s="71" t="s">
        <v>143</v>
      </c>
      <c r="J103" s="72">
        <f ca="1">(IF(B95&gt;1.5,(H95/(B95+2)+J97+MAX(0,J98-J97)+MAX(0,J99-J98)+MAX(0,J100-J99)+MAX(0,J101-J100)+MAX(0,J102-J101)),IF(B95=1,(H95/(B95+3)+J102),IF(B95=0,H95/4+J102))))</f>
        <v>28</v>
      </c>
    </row>
    <row r="104" spans="1:11" x14ac:dyDescent="0.25">
      <c r="A104" s="95" t="s">
        <v>217</v>
      </c>
      <c r="B104" s="96" t="s">
        <v>217</v>
      </c>
      <c r="C104" s="73">
        <v>20</v>
      </c>
      <c r="D104" s="55">
        <f ca="1">((100/H95)*C104)/100</f>
        <v>0.7142857142857143</v>
      </c>
      <c r="E104" s="107"/>
      <c r="F104" s="107"/>
      <c r="G104" s="107"/>
      <c r="H104" s="109"/>
      <c r="I104" s="11"/>
      <c r="J104" s="11"/>
      <c r="K104" s="11"/>
    </row>
    <row r="105" spans="1:11" x14ac:dyDescent="0.25">
      <c r="A105" s="95" t="s">
        <v>219</v>
      </c>
      <c r="B105" s="96"/>
      <c r="C105" s="73">
        <v>15</v>
      </c>
      <c r="D105" s="55">
        <f ca="1">((100/H95)*C105)/100</f>
        <v>0.53571428571428581</v>
      </c>
      <c r="E105" s="107"/>
      <c r="F105" s="107"/>
      <c r="G105" s="107"/>
      <c r="H105" s="109"/>
      <c r="I105" s="11"/>
      <c r="J105" s="11"/>
      <c r="K105" s="11"/>
    </row>
    <row r="106" spans="1:11" ht="15" customHeight="1" x14ac:dyDescent="0.25">
      <c r="A106" s="95" t="s">
        <v>221</v>
      </c>
      <c r="B106" s="96" t="s">
        <v>221</v>
      </c>
      <c r="C106" s="73">
        <v>0</v>
      </c>
      <c r="D106" s="55">
        <f ca="1">((100/(H95))*C106)/100</f>
        <v>0</v>
      </c>
      <c r="E106" s="107"/>
      <c r="F106" s="107"/>
      <c r="G106" s="107"/>
      <c r="H106" s="109"/>
      <c r="I106" s="88" t="s">
        <v>228</v>
      </c>
      <c r="J106" s="11"/>
      <c r="K106" s="11"/>
    </row>
    <row r="107" spans="1:11" ht="16.5" thickBot="1" x14ac:dyDescent="0.3">
      <c r="A107" s="179" t="s">
        <v>222</v>
      </c>
      <c r="B107" s="180"/>
      <c r="C107" s="77">
        <v>0</v>
      </c>
      <c r="D107" s="56">
        <f ca="1">((100/(H95))*C107)/100</f>
        <v>0</v>
      </c>
      <c r="E107" s="108"/>
      <c r="F107" s="108"/>
      <c r="G107" s="108"/>
      <c r="H107" s="110"/>
      <c r="I107" s="11"/>
      <c r="J107" s="11"/>
      <c r="K107" s="11"/>
    </row>
    <row r="108" spans="1:11" x14ac:dyDescent="0.25">
      <c r="A108" s="113" t="s">
        <v>195</v>
      </c>
      <c r="B108" s="113"/>
      <c r="C108" s="113"/>
      <c r="D108" s="113"/>
      <c r="E108" s="113"/>
      <c r="F108" s="113"/>
      <c r="G108" s="113"/>
      <c r="H108" s="113"/>
      <c r="I108" s="11"/>
      <c r="J108" s="11"/>
      <c r="K108" s="11"/>
    </row>
    <row r="109" spans="1:11" x14ac:dyDescent="0.25">
      <c r="A109" s="114" t="s">
        <v>54</v>
      </c>
      <c r="B109" s="114"/>
      <c r="C109" s="114"/>
      <c r="D109" s="114"/>
      <c r="E109" s="114"/>
      <c r="F109" s="114"/>
      <c r="G109" s="114"/>
      <c r="H109" s="114"/>
      <c r="I109" s="11"/>
      <c r="J109" s="11"/>
      <c r="K109" s="11"/>
    </row>
    <row r="110" spans="1:11" s="13" customFormat="1" x14ac:dyDescent="0.25">
      <c r="A110" s="101" t="s">
        <v>107</v>
      </c>
      <c r="B110" s="101"/>
      <c r="C110" s="116" t="s">
        <v>108</v>
      </c>
      <c r="D110" s="116"/>
      <c r="E110" s="116"/>
      <c r="F110" s="116"/>
      <c r="G110" s="116"/>
      <c r="H110" s="116"/>
      <c r="I110" s="39"/>
      <c r="J110" s="39"/>
      <c r="K110" s="39"/>
    </row>
    <row r="111" spans="1:11" s="13" customFormat="1" x14ac:dyDescent="0.25">
      <c r="A111" s="101" t="s">
        <v>55</v>
      </c>
      <c r="B111" s="101"/>
      <c r="C111" s="101"/>
      <c r="D111" s="101"/>
      <c r="E111" s="101"/>
      <c r="F111" s="101"/>
      <c r="G111" s="101"/>
      <c r="H111" s="101"/>
      <c r="I111" s="39"/>
      <c r="J111" s="39"/>
      <c r="K111" s="39"/>
    </row>
    <row r="112" spans="1:11" s="13" customFormat="1" x14ac:dyDescent="0.25">
      <c r="A112" s="114" t="s">
        <v>109</v>
      </c>
      <c r="B112" s="114"/>
      <c r="C112" s="114"/>
      <c r="D112" s="114"/>
      <c r="E112" s="114"/>
      <c r="F112" s="115">
        <v>14200</v>
      </c>
      <c r="G112" s="115"/>
      <c r="H112" s="115"/>
      <c r="I112" s="39" t="s">
        <v>277</v>
      </c>
      <c r="J112" s="39"/>
      <c r="K112" s="39"/>
    </row>
    <row r="113" spans="1:11" s="13" customFormat="1" x14ac:dyDescent="0.25">
      <c r="A113" s="114" t="s">
        <v>116</v>
      </c>
      <c r="B113" s="114"/>
      <c r="C113" s="114"/>
      <c r="D113" s="114"/>
      <c r="E113" s="114"/>
      <c r="F113" s="90">
        <v>25000</v>
      </c>
      <c r="G113" s="90"/>
      <c r="H113" s="90"/>
      <c r="I113" s="39"/>
      <c r="J113" s="39"/>
      <c r="K113" s="39"/>
    </row>
    <row r="114" spans="1:11" s="13" customFormat="1" x14ac:dyDescent="0.25">
      <c r="A114" s="114" t="s">
        <v>133</v>
      </c>
      <c r="B114" s="114"/>
      <c r="C114" s="114"/>
      <c r="D114" s="114"/>
      <c r="E114" s="114"/>
      <c r="F114" s="90" t="s">
        <v>202</v>
      </c>
      <c r="G114" s="90"/>
      <c r="H114" s="90"/>
      <c r="I114" s="39"/>
      <c r="J114" s="39"/>
      <c r="K114" s="39"/>
    </row>
    <row r="115" spans="1:11" s="13" customFormat="1" x14ac:dyDescent="0.25">
      <c r="A115" s="114" t="s">
        <v>191</v>
      </c>
      <c r="B115" s="114"/>
      <c r="C115" s="114"/>
      <c r="D115" s="114"/>
      <c r="E115" s="114"/>
      <c r="F115" s="90" t="s">
        <v>226</v>
      </c>
      <c r="G115" s="90"/>
      <c r="H115" s="90"/>
      <c r="I115" s="39"/>
      <c r="J115" s="39"/>
      <c r="K115" s="39"/>
    </row>
    <row r="116" spans="1:11" s="13" customFormat="1" x14ac:dyDescent="0.25">
      <c r="A116" s="114" t="s">
        <v>134</v>
      </c>
      <c r="B116" s="114"/>
      <c r="C116" s="114"/>
      <c r="D116" s="114"/>
      <c r="E116" s="114"/>
      <c r="F116" s="90" t="s">
        <v>224</v>
      </c>
      <c r="G116" s="90"/>
      <c r="H116" s="90"/>
      <c r="I116" s="39"/>
      <c r="J116" s="39"/>
      <c r="K116" s="39"/>
    </row>
    <row r="117" spans="1:11" hidden="1" x14ac:dyDescent="0.25">
      <c r="A117" s="114" t="s">
        <v>135</v>
      </c>
      <c r="B117" s="114"/>
      <c r="C117" s="114"/>
      <c r="D117" s="114"/>
      <c r="E117" s="114"/>
      <c r="F117" s="90" t="s">
        <v>31</v>
      </c>
      <c r="G117" s="90"/>
      <c r="H117" s="90"/>
      <c r="I117" s="11"/>
      <c r="J117" s="11"/>
      <c r="K117" s="11"/>
    </row>
    <row r="118" spans="1:11" s="9" customFormat="1" hidden="1" x14ac:dyDescent="0.25">
      <c r="A118" s="114" t="s">
        <v>136</v>
      </c>
      <c r="B118" s="114"/>
      <c r="C118" s="114"/>
      <c r="D118" s="114"/>
      <c r="E118" s="114"/>
      <c r="F118" s="90" t="s">
        <v>31</v>
      </c>
      <c r="G118" s="90"/>
      <c r="H118" s="90"/>
      <c r="I118" s="40"/>
      <c r="J118" s="40"/>
      <c r="K118" s="40"/>
    </row>
    <row r="119" spans="1:11" s="1" customFormat="1" ht="15.75" hidden="1" customHeight="1" x14ac:dyDescent="0.25">
      <c r="A119" s="114" t="s">
        <v>137</v>
      </c>
      <c r="B119" s="114"/>
      <c r="C119" s="114"/>
      <c r="D119" s="114"/>
      <c r="E119" s="114"/>
      <c r="F119" s="90" t="s">
        <v>31</v>
      </c>
      <c r="G119" s="90"/>
      <c r="H119" s="90"/>
      <c r="I119" s="41"/>
      <c r="J119" s="41"/>
      <c r="K119" s="41"/>
    </row>
    <row r="120" spans="1:11" s="1" customFormat="1" ht="15.75" customHeight="1" x14ac:dyDescent="0.25">
      <c r="A120" s="114" t="s">
        <v>227</v>
      </c>
      <c r="B120" s="114"/>
      <c r="C120" s="114"/>
      <c r="D120" s="114"/>
      <c r="E120" s="114"/>
      <c r="F120" s="90" t="s">
        <v>225</v>
      </c>
      <c r="G120" s="90"/>
      <c r="H120" s="90"/>
      <c r="I120" s="41"/>
      <c r="J120" s="41"/>
      <c r="K120" s="41"/>
    </row>
    <row r="121" spans="1:11" s="1" customFormat="1" ht="15.75" customHeight="1" x14ac:dyDescent="0.25">
      <c r="A121" s="114" t="s">
        <v>56</v>
      </c>
      <c r="B121" s="114"/>
      <c r="C121" s="114"/>
      <c r="D121" s="114"/>
      <c r="E121" s="114"/>
      <c r="F121" s="89" t="s">
        <v>192</v>
      </c>
      <c r="G121" s="89"/>
      <c r="H121" s="89"/>
      <c r="I121" s="41"/>
      <c r="J121" s="41"/>
      <c r="K121" s="41"/>
    </row>
    <row r="122" spans="1:11" s="1" customFormat="1" ht="15.75" customHeight="1" x14ac:dyDescent="0.25">
      <c r="A122" s="101" t="s">
        <v>57</v>
      </c>
      <c r="B122" s="101"/>
      <c r="C122" s="101"/>
      <c r="D122" s="101"/>
      <c r="E122" s="101"/>
      <c r="F122" s="90">
        <f>F112*0.8</f>
        <v>11360</v>
      </c>
      <c r="G122" s="90"/>
      <c r="H122" s="90"/>
      <c r="I122" s="41"/>
      <c r="J122" s="41"/>
      <c r="K122" s="41"/>
    </row>
    <row r="123" spans="1:11" s="85" customFormat="1" ht="15.75" customHeight="1" x14ac:dyDescent="0.25">
      <c r="A123" s="137" t="s">
        <v>201</v>
      </c>
      <c r="B123" s="137"/>
      <c r="C123" s="137"/>
      <c r="D123" s="137"/>
      <c r="E123" s="137"/>
      <c r="F123" s="137"/>
      <c r="G123" s="137"/>
      <c r="H123" s="137"/>
      <c r="I123" s="84"/>
      <c r="J123" s="84"/>
      <c r="K123" s="84"/>
    </row>
    <row r="124" spans="1:11" s="1" customFormat="1" ht="15.75" customHeight="1" x14ac:dyDescent="0.25">
      <c r="A124" s="132" t="s">
        <v>58</v>
      </c>
      <c r="B124" s="132"/>
      <c r="C124" s="42" t="s">
        <v>113</v>
      </c>
      <c r="D124" s="133" t="s">
        <v>59</v>
      </c>
      <c r="E124" s="133"/>
      <c r="F124" s="132" t="s">
        <v>60</v>
      </c>
      <c r="G124" s="132"/>
      <c r="H124" s="132"/>
      <c r="I124" s="41"/>
      <c r="J124" s="41"/>
      <c r="K124" s="41"/>
    </row>
    <row r="125" spans="1:11" s="1" customFormat="1" ht="15.75" customHeight="1" x14ac:dyDescent="0.25">
      <c r="A125" s="148" t="s">
        <v>249</v>
      </c>
      <c r="B125" s="148"/>
      <c r="C125" s="43">
        <f>COUNT(D151,D163:D164)</f>
        <v>3</v>
      </c>
      <c r="D125" s="148">
        <f>SUM(D151,D163:D164)</f>
        <v>780.57298800000001</v>
      </c>
      <c r="E125" s="153"/>
      <c r="F125" s="129">
        <f>SUM(F151,F163:F164)</f>
        <v>1326.9740795999999</v>
      </c>
      <c r="G125" s="130"/>
      <c r="H125" s="131"/>
      <c r="I125" s="41"/>
      <c r="J125" s="41"/>
      <c r="K125" s="41"/>
    </row>
    <row r="126" spans="1:11" s="1" customFormat="1" ht="15.75" customHeight="1" x14ac:dyDescent="0.25">
      <c r="A126" s="148" t="s">
        <v>248</v>
      </c>
      <c r="B126" s="148"/>
      <c r="C126" s="43">
        <f>COUNT(D212,D222,D215)</f>
        <v>3</v>
      </c>
      <c r="D126" s="148">
        <f>SUM(D212,D222,D215)</f>
        <v>639.17277839999986</v>
      </c>
      <c r="E126" s="153"/>
      <c r="F126" s="129">
        <f>SUM(F212,F222,F215)</f>
        <v>1086.5937232799997</v>
      </c>
      <c r="G126" s="130"/>
      <c r="H126" s="131"/>
      <c r="I126" s="41"/>
      <c r="J126" s="41"/>
      <c r="K126" s="41"/>
    </row>
    <row r="127" spans="1:11" s="1" customFormat="1" ht="15.75" customHeight="1" x14ac:dyDescent="0.25">
      <c r="A127" s="132" t="s">
        <v>62</v>
      </c>
      <c r="B127" s="132"/>
      <c r="C127" s="44">
        <f>SUM(C125:C126)</f>
        <v>6</v>
      </c>
      <c r="D127" s="132">
        <f>SUM(D125:D126)</f>
        <v>1419.7457663999999</v>
      </c>
      <c r="E127" s="133"/>
      <c r="F127" s="132">
        <f>SUM(F125:F126)</f>
        <v>2413.5678028799994</v>
      </c>
      <c r="G127" s="132"/>
      <c r="H127" s="132"/>
      <c r="I127" s="41"/>
      <c r="J127" s="41"/>
      <c r="K127" s="41"/>
    </row>
    <row r="128" spans="1:11" s="1" customFormat="1" ht="15.75" customHeight="1" x14ac:dyDescent="0.25">
      <c r="A128" s="137" t="s">
        <v>247</v>
      </c>
      <c r="B128" s="137"/>
      <c r="C128" s="137"/>
      <c r="D128" s="137"/>
      <c r="E128" s="137"/>
      <c r="F128" s="137"/>
      <c r="G128" s="137"/>
      <c r="H128" s="137"/>
      <c r="I128" s="41"/>
      <c r="J128" s="41"/>
      <c r="K128" s="41"/>
    </row>
    <row r="129" spans="1:14" s="85" customFormat="1" ht="15.75" customHeight="1" x14ac:dyDescent="0.25">
      <c r="A129" s="132" t="s">
        <v>58</v>
      </c>
      <c r="B129" s="132"/>
      <c r="C129" s="42" t="s">
        <v>113</v>
      </c>
      <c r="D129" s="133" t="s">
        <v>59</v>
      </c>
      <c r="E129" s="133"/>
      <c r="F129" s="132" t="s">
        <v>60</v>
      </c>
      <c r="G129" s="132"/>
      <c r="H129" s="132"/>
      <c r="I129" s="84"/>
      <c r="J129" s="84"/>
      <c r="K129" s="84"/>
    </row>
    <row r="130" spans="1:14" s="1" customFormat="1" x14ac:dyDescent="0.25">
      <c r="A130" s="148" t="s">
        <v>249</v>
      </c>
      <c r="B130" s="148"/>
      <c r="C130" s="43">
        <f>COUNT(D150,D152:D162,D165)</f>
        <v>13</v>
      </c>
      <c r="D130" s="148">
        <f>SUM(D150,D152:D162,D165)</f>
        <v>4276.4080320000003</v>
      </c>
      <c r="E130" s="153"/>
      <c r="F130" s="129">
        <f>SUM(F150,F152:F162,F165)</f>
        <v>7269.8936544000007</v>
      </c>
      <c r="G130" s="130"/>
      <c r="H130" s="131"/>
      <c r="I130" s="41"/>
      <c r="J130" s="41"/>
      <c r="K130" s="41"/>
    </row>
    <row r="131" spans="1:14" s="1" customFormat="1" x14ac:dyDescent="0.25">
      <c r="A131" s="148" t="s">
        <v>248</v>
      </c>
      <c r="B131" s="148"/>
      <c r="C131" s="43">
        <f>COUNT(D209:D211,D213:D214,D216:D221,D223:D224)</f>
        <v>13</v>
      </c>
      <c r="D131" s="148">
        <f>SUM(D209:D211,D213:D214,D216:D221,D223:D224)</f>
        <v>3672.1278360000001</v>
      </c>
      <c r="E131" s="153"/>
      <c r="F131" s="129">
        <f>SUM(F209:F211,F213:F214,F216:F221,F223:F224)</f>
        <v>6242.6173212000012</v>
      </c>
      <c r="G131" s="130"/>
      <c r="H131" s="131"/>
      <c r="I131" s="41"/>
      <c r="J131" s="41"/>
      <c r="K131" s="41"/>
    </row>
    <row r="132" spans="1:14" s="1" customFormat="1" x14ac:dyDescent="0.25">
      <c r="A132" s="148" t="s">
        <v>251</v>
      </c>
      <c r="B132" s="148"/>
      <c r="C132" s="43">
        <f>COUNT(D260:D275)</f>
        <v>16</v>
      </c>
      <c r="D132" s="148">
        <f>SUM(D260:D275)</f>
        <v>2070.9623843999998</v>
      </c>
      <c r="E132" s="153"/>
      <c r="F132" s="129">
        <f>SUM(F260:F275)</f>
        <v>3520.6360534800001</v>
      </c>
      <c r="G132" s="130"/>
      <c r="H132" s="131"/>
      <c r="I132" s="41"/>
      <c r="J132" s="41"/>
      <c r="K132" s="41"/>
    </row>
    <row r="133" spans="1:14" s="1" customFormat="1" x14ac:dyDescent="0.25">
      <c r="A133" s="132" t="s">
        <v>62</v>
      </c>
      <c r="B133" s="132"/>
      <c r="C133" s="44">
        <f>SUM(C130:C132)</f>
        <v>42</v>
      </c>
      <c r="D133" s="132">
        <f>SUM(D130:D132)</f>
        <v>10019.498252400001</v>
      </c>
      <c r="E133" s="133"/>
      <c r="F133" s="132">
        <f>SUM(F130:F132)</f>
        <v>17033.147029080003</v>
      </c>
      <c r="G133" s="132"/>
      <c r="H133" s="132"/>
      <c r="I133" s="41"/>
      <c r="J133" s="41"/>
      <c r="K133" s="41"/>
    </row>
    <row r="134" spans="1:14" s="1" customFormat="1" x14ac:dyDescent="0.25">
      <c r="A134" s="137" t="s">
        <v>200</v>
      </c>
      <c r="B134" s="137"/>
      <c r="C134" s="137"/>
      <c r="D134" s="137"/>
      <c r="E134" s="137"/>
      <c r="F134" s="137"/>
      <c r="G134" s="137"/>
      <c r="H134" s="137"/>
      <c r="I134" s="41"/>
      <c r="J134" s="41"/>
      <c r="K134" s="41"/>
    </row>
    <row r="135" spans="1:14" s="1" customFormat="1" x14ac:dyDescent="0.25">
      <c r="A135" s="132" t="s">
        <v>58</v>
      </c>
      <c r="B135" s="132"/>
      <c r="C135" s="42" t="s">
        <v>113</v>
      </c>
      <c r="D135" s="133" t="s">
        <v>59</v>
      </c>
      <c r="E135" s="133"/>
      <c r="F135" s="132" t="s">
        <v>60</v>
      </c>
      <c r="G135" s="132"/>
      <c r="H135" s="132"/>
      <c r="I135" s="41"/>
    </row>
    <row r="136" spans="1:14" s="1" customFormat="1" x14ac:dyDescent="0.25">
      <c r="A136" s="138" t="s">
        <v>249</v>
      </c>
      <c r="B136" s="138"/>
      <c r="C136" s="43">
        <f>COUNT(D167:D169,D172:D179)+COUNT(D181:D188)*27+COUNT(D190:D193,D196:D197)*3+COUNT(D199:D202,D204:D206)</f>
        <v>252</v>
      </c>
      <c r="D136" s="148">
        <f t="shared" ref="D136" si="0">SUM(D167:D169,D172:D179)+SUM(D181:D188)*27+SUM(D190:D193,D196:D197)*3+SUM(D199:D202,D204:D206)</f>
        <v>100314.57271679999</v>
      </c>
      <c r="E136" s="148"/>
      <c r="F136" s="129">
        <f>SUM(F167:F169,F172:F179)+SUM(F181:F188)*27+SUM(F190:F193,F196:F197)*3+SUM(F199:F202,F204:F206)</f>
        <v>165519.04498271996</v>
      </c>
      <c r="G136" s="130"/>
      <c r="H136" s="131"/>
      <c r="I136" s="41"/>
      <c r="J136" s="41"/>
      <c r="K136" s="41"/>
    </row>
    <row r="137" spans="1:14" s="1" customFormat="1" x14ac:dyDescent="0.25">
      <c r="A137" s="138" t="s">
        <v>250</v>
      </c>
      <c r="B137" s="138"/>
      <c r="C137" s="43">
        <f>COUNT(D227:D233)+COUNT(D235:D241)*27+COUNT(D243:D247)*3+COUNT(D251:D255)</f>
        <v>216</v>
      </c>
      <c r="D137" s="148">
        <f>SUM(D227:D233)+SUM(D235:D241)*27+SUM(D243:D247)*3+SUM(D251:D255)</f>
        <v>65898.069119999986</v>
      </c>
      <c r="E137" s="148"/>
      <c r="F137" s="129">
        <f>SUM(F227:F233)+SUM(F235:F241)*27+SUM(F243:F247)*3+SUM(F251:F255)</f>
        <v>108731.81404799999</v>
      </c>
      <c r="G137" s="130"/>
      <c r="H137" s="131"/>
      <c r="I137" s="41"/>
      <c r="J137" s="41"/>
      <c r="K137" s="41"/>
    </row>
    <row r="138" spans="1:14" s="1" customFormat="1" x14ac:dyDescent="0.25">
      <c r="A138" s="138" t="s">
        <v>251</v>
      </c>
      <c r="B138" s="138"/>
      <c r="C138" s="43">
        <f>COUNT(D278:D280)</f>
        <v>3</v>
      </c>
      <c r="D138" s="148">
        <f>SUM(D278:D280)</f>
        <v>895.2214283999997</v>
      </c>
      <c r="E138" s="148"/>
      <c r="F138" s="129">
        <f>SUM(F278:F280)</f>
        <v>1503.1642368599996</v>
      </c>
      <c r="G138" s="130"/>
      <c r="H138" s="131"/>
      <c r="I138" s="41"/>
      <c r="J138" s="41"/>
      <c r="K138" s="41"/>
    </row>
    <row r="139" spans="1:14" s="1" customFormat="1" x14ac:dyDescent="0.25">
      <c r="A139" s="132" t="s">
        <v>62</v>
      </c>
      <c r="B139" s="132"/>
      <c r="C139" s="44">
        <f>SUM(C136:C138)</f>
        <v>471</v>
      </c>
      <c r="D139" s="132">
        <f>SUM(D136:D138)</f>
        <v>167107.86326519997</v>
      </c>
      <c r="E139" s="133"/>
      <c r="F139" s="132">
        <f>SUM(F136:F138)</f>
        <v>275754.02326757996</v>
      </c>
      <c r="G139" s="132"/>
      <c r="H139" s="132"/>
      <c r="I139" s="41"/>
    </row>
    <row r="140" spans="1:14" s="1" customFormat="1" x14ac:dyDescent="0.25">
      <c r="A140" s="137" t="s">
        <v>252</v>
      </c>
      <c r="B140" s="137"/>
      <c r="C140" s="137"/>
      <c r="D140" s="137"/>
      <c r="E140" s="137"/>
      <c r="F140" s="137"/>
      <c r="G140" s="137"/>
      <c r="H140" s="137"/>
      <c r="I140" s="41"/>
    </row>
    <row r="141" spans="1:14" s="9" customFormat="1" x14ac:dyDescent="0.25">
      <c r="A141" s="132" t="s">
        <v>58</v>
      </c>
      <c r="B141" s="132"/>
      <c r="C141" s="42" t="s">
        <v>113</v>
      </c>
      <c r="D141" s="133" t="s">
        <v>59</v>
      </c>
      <c r="E141" s="133"/>
      <c r="F141" s="132" t="s">
        <v>60</v>
      </c>
      <c r="G141" s="132"/>
      <c r="H141" s="132"/>
      <c r="I141" s="40"/>
    </row>
    <row r="142" spans="1:14" x14ac:dyDescent="0.25">
      <c r="A142" s="138" t="s">
        <v>251</v>
      </c>
      <c r="B142" s="138"/>
      <c r="C142" s="43">
        <f>COUNT(D281:D282)+COUNT(D289:D298)*16+COUNT(D301:D308)*2+COUNT(D311:D321)*7+COUNT(D324:D332)</f>
        <v>264</v>
      </c>
      <c r="D142" s="148">
        <f>SUM(D281:D282)+SUM(D289:D298)*16+SUM(D301:D308)*2+SUM(D311:D321)*7+SUM(D324:D332)</f>
        <v>78784.387624799958</v>
      </c>
      <c r="E142" s="148"/>
      <c r="F142" s="129">
        <f>SUM(F281:F282)+SUM(F289:F298)*16+SUM(F301:F308)*2+SUM(F311:F321)*7+SUM(F324:F332)</f>
        <v>130046.33734091998</v>
      </c>
      <c r="G142" s="130"/>
      <c r="H142" s="131"/>
      <c r="I142" s="11"/>
    </row>
    <row r="143" spans="1:14" x14ac:dyDescent="0.25">
      <c r="A143" s="132" t="s">
        <v>62</v>
      </c>
      <c r="B143" s="132"/>
      <c r="C143" s="44">
        <f>SUM(C142)</f>
        <v>264</v>
      </c>
      <c r="D143" s="132">
        <f>SUM(D142)</f>
        <v>78784.387624799958</v>
      </c>
      <c r="E143" s="133"/>
      <c r="F143" s="132">
        <f>SUM(F142)</f>
        <v>130046.33734091998</v>
      </c>
      <c r="G143" s="132"/>
      <c r="H143" s="132"/>
      <c r="I143" s="49"/>
      <c r="J143" s="2"/>
      <c r="K143" s="2"/>
      <c r="L143" s="2"/>
      <c r="M143" s="2"/>
      <c r="N143" s="2"/>
    </row>
    <row r="144" spans="1:14" s="2" customFormat="1" x14ac:dyDescent="0.25">
      <c r="A144" s="132" t="s">
        <v>62</v>
      </c>
      <c r="B144" s="132"/>
      <c r="C144" s="44">
        <f>SUM(C127,C133,C139,C143)</f>
        <v>783</v>
      </c>
      <c r="D144" s="132">
        <f>SUM(D127,D133,D139,D143)</f>
        <v>257331.49490879994</v>
      </c>
      <c r="E144" s="133"/>
      <c r="F144" s="134">
        <f>SUM(F127,F133,F139,F143)</f>
        <v>425247.07544045994</v>
      </c>
      <c r="G144" s="135"/>
      <c r="H144" s="136"/>
      <c r="I144" s="49"/>
    </row>
    <row r="145" spans="1:11" s="2" customFormat="1" x14ac:dyDescent="0.25">
      <c r="A145" s="151" t="s">
        <v>63</v>
      </c>
      <c r="B145" s="151"/>
      <c r="C145" s="151"/>
      <c r="D145" s="151"/>
      <c r="E145" s="151"/>
      <c r="F145" s="151"/>
      <c r="G145" s="151"/>
      <c r="H145" s="151"/>
      <c r="I145" s="49"/>
      <c r="J145" s="49"/>
      <c r="K145" s="49"/>
    </row>
    <row r="146" spans="1:11" s="2" customFormat="1" ht="15.75" customHeight="1" x14ac:dyDescent="0.25">
      <c r="A146" s="151" t="s">
        <v>64</v>
      </c>
      <c r="B146" s="151"/>
      <c r="C146" s="151"/>
      <c r="D146" s="151"/>
      <c r="E146" s="151"/>
      <c r="F146" s="151"/>
      <c r="G146" s="151"/>
      <c r="H146" s="151"/>
      <c r="I146" s="49"/>
      <c r="J146" s="49"/>
      <c r="K146" s="49"/>
    </row>
    <row r="147" spans="1:11" s="2" customFormat="1" ht="42.75" x14ac:dyDescent="0.25">
      <c r="A147" s="45" t="s">
        <v>110</v>
      </c>
      <c r="B147" s="45" t="s">
        <v>176</v>
      </c>
      <c r="C147" s="46" t="s">
        <v>65</v>
      </c>
      <c r="D147" s="46" t="s">
        <v>66</v>
      </c>
      <c r="E147" s="47" t="s">
        <v>67</v>
      </c>
      <c r="F147" s="46" t="s">
        <v>68</v>
      </c>
      <c r="G147" s="152" t="s">
        <v>69</v>
      </c>
      <c r="H147" s="152"/>
      <c r="I147" s="49"/>
      <c r="J147" s="49"/>
      <c r="K147" s="49"/>
    </row>
    <row r="148" spans="1:11" s="2" customFormat="1" x14ac:dyDescent="0.25">
      <c r="A148" s="139" t="s">
        <v>175</v>
      </c>
      <c r="B148" s="139"/>
      <c r="C148" s="139"/>
      <c r="D148" s="139"/>
      <c r="E148" s="139"/>
      <c r="F148" s="139"/>
      <c r="G148" s="139"/>
      <c r="H148" s="139"/>
      <c r="I148" s="49"/>
      <c r="J148" s="49"/>
      <c r="K148" s="49"/>
    </row>
    <row r="149" spans="1:11" s="2" customFormat="1" x14ac:dyDescent="0.25">
      <c r="A149" s="139" t="s">
        <v>198</v>
      </c>
      <c r="B149" s="139"/>
      <c r="C149" s="139"/>
      <c r="D149" s="139"/>
      <c r="E149" s="139"/>
      <c r="F149" s="139"/>
      <c r="G149" s="139"/>
      <c r="H149" s="139"/>
      <c r="I149" s="49"/>
      <c r="J149" s="49"/>
      <c r="K149" s="49"/>
    </row>
    <row r="150" spans="1:11" s="2" customFormat="1" x14ac:dyDescent="0.25">
      <c r="A150" s="48">
        <v>1</v>
      </c>
      <c r="B150" s="48" t="s">
        <v>177</v>
      </c>
      <c r="C150" s="48" t="s">
        <v>178</v>
      </c>
      <c r="D150" s="48">
        <f>(2.47*3.95+2.55*1.28)*10.764*2</f>
        <v>280.30532399999998</v>
      </c>
      <c r="E150" s="48">
        <v>0</v>
      </c>
      <c r="F150" s="48">
        <f>D150*1.7+E150</f>
        <v>476.51905079999995</v>
      </c>
      <c r="G150" s="127" t="s">
        <v>199</v>
      </c>
      <c r="H150" s="128"/>
      <c r="I150" s="49"/>
      <c r="J150" s="49"/>
      <c r="K150" s="49"/>
    </row>
    <row r="151" spans="1:11" s="2" customFormat="1" x14ac:dyDescent="0.25">
      <c r="A151" s="48">
        <v>2</v>
      </c>
      <c r="B151" s="48" t="s">
        <v>181</v>
      </c>
      <c r="C151" s="48" t="s">
        <v>178</v>
      </c>
      <c r="D151" s="48">
        <f>(2*2.9+2.15*2.25)*10.764*2</f>
        <v>229.00409999999997</v>
      </c>
      <c r="E151" s="48">
        <v>0</v>
      </c>
      <c r="F151" s="48">
        <f t="shared" ref="F151:F165" si="1">D151*1.7+E151</f>
        <v>389.30696999999992</v>
      </c>
      <c r="G151" s="127" t="s">
        <v>199</v>
      </c>
      <c r="H151" s="128"/>
      <c r="I151" s="49"/>
      <c r="J151" s="49"/>
      <c r="K151" s="49"/>
    </row>
    <row r="152" spans="1:11" s="2" customFormat="1" x14ac:dyDescent="0.25">
      <c r="A152" s="48">
        <v>3</v>
      </c>
      <c r="B152" s="48" t="s">
        <v>177</v>
      </c>
      <c r="C152" s="48" t="s">
        <v>178</v>
      </c>
      <c r="D152" s="48">
        <f>(2.97*5.15)*10.764*2</f>
        <v>329.28152400000005</v>
      </c>
      <c r="E152" s="48">
        <v>0</v>
      </c>
      <c r="F152" s="48">
        <f t="shared" si="1"/>
        <v>559.77859080000007</v>
      </c>
      <c r="G152" s="127" t="s">
        <v>199</v>
      </c>
      <c r="H152" s="128"/>
      <c r="I152" s="49"/>
      <c r="J152" s="49"/>
      <c r="K152" s="49"/>
    </row>
    <row r="153" spans="1:11" s="2" customFormat="1" ht="15.75" customHeight="1" x14ac:dyDescent="0.25">
      <c r="A153" s="48">
        <v>4</v>
      </c>
      <c r="B153" s="48" t="s">
        <v>177</v>
      </c>
      <c r="C153" s="48" t="s">
        <v>178</v>
      </c>
      <c r="D153" s="48">
        <f>(2.69*2.9+2.85*2.25)*10.764*2</f>
        <v>305.98822799999999</v>
      </c>
      <c r="E153" s="48">
        <v>0</v>
      </c>
      <c r="F153" s="48">
        <f t="shared" si="1"/>
        <v>520.1799876</v>
      </c>
      <c r="G153" s="127" t="s">
        <v>199</v>
      </c>
      <c r="H153" s="128"/>
      <c r="I153" s="49"/>
      <c r="J153" s="49"/>
      <c r="K153" s="49"/>
    </row>
    <row r="154" spans="1:11" s="2" customFormat="1" ht="15.75" customHeight="1" x14ac:dyDescent="0.25">
      <c r="A154" s="48">
        <v>5</v>
      </c>
      <c r="B154" s="48" t="s">
        <v>177</v>
      </c>
      <c r="C154" s="48" t="s">
        <v>178</v>
      </c>
      <c r="D154" s="48">
        <f>(3.31*2.9+3.39*2.25)*10.764*2</f>
        <v>370.85209200000003</v>
      </c>
      <c r="E154" s="48">
        <v>0</v>
      </c>
      <c r="F154" s="48">
        <f t="shared" si="1"/>
        <v>630.44855640000003</v>
      </c>
      <c r="G154" s="127" t="s">
        <v>199</v>
      </c>
      <c r="H154" s="128"/>
      <c r="I154" s="49"/>
      <c r="J154" s="49"/>
      <c r="K154" s="49"/>
    </row>
    <row r="155" spans="1:11" s="2" customFormat="1" x14ac:dyDescent="0.25">
      <c r="A155" s="48">
        <v>6</v>
      </c>
      <c r="B155" s="48" t="s">
        <v>177</v>
      </c>
      <c r="C155" s="48" t="s">
        <v>178</v>
      </c>
      <c r="D155" s="48">
        <f>(2.97*5.15*10.764)*2</f>
        <v>329.28152400000005</v>
      </c>
      <c r="E155" s="48">
        <v>0</v>
      </c>
      <c r="F155" s="48">
        <f t="shared" si="1"/>
        <v>559.77859080000007</v>
      </c>
      <c r="G155" s="127" t="s">
        <v>199</v>
      </c>
      <c r="H155" s="128"/>
      <c r="I155" s="49"/>
      <c r="J155" s="49"/>
      <c r="K155" s="49"/>
    </row>
    <row r="156" spans="1:11" s="2" customFormat="1" x14ac:dyDescent="0.25">
      <c r="A156" s="48">
        <v>7</v>
      </c>
      <c r="B156" s="48" t="s">
        <v>177</v>
      </c>
      <c r="C156" s="48" t="s">
        <v>178</v>
      </c>
      <c r="D156" s="48">
        <f>(3.07*2.9+3.22*2.25)*10.764*2</f>
        <v>347.63414399999999</v>
      </c>
      <c r="E156" s="48">
        <v>0</v>
      </c>
      <c r="F156" s="48">
        <f t="shared" si="1"/>
        <v>590.97804480000002</v>
      </c>
      <c r="G156" s="127" t="s">
        <v>199</v>
      </c>
      <c r="H156" s="128"/>
      <c r="I156" s="49"/>
      <c r="J156" s="49"/>
      <c r="K156" s="49"/>
    </row>
    <row r="157" spans="1:11" s="2" customFormat="1" x14ac:dyDescent="0.25">
      <c r="A157" s="48">
        <v>8</v>
      </c>
      <c r="B157" s="48" t="s">
        <v>177</v>
      </c>
      <c r="C157" s="48" t="s">
        <v>178</v>
      </c>
      <c r="D157" s="48">
        <f>(3.15*5.15)*10.764*2</f>
        <v>349.23797999999999</v>
      </c>
      <c r="E157" s="48">
        <v>0</v>
      </c>
      <c r="F157" s="48">
        <f t="shared" si="1"/>
        <v>593.704566</v>
      </c>
      <c r="G157" s="127" t="s">
        <v>199</v>
      </c>
      <c r="H157" s="128"/>
      <c r="I157" s="49"/>
      <c r="J157" s="49"/>
      <c r="K157" s="49"/>
    </row>
    <row r="158" spans="1:11" s="2" customFormat="1" x14ac:dyDescent="0.25">
      <c r="A158" s="48">
        <v>9</v>
      </c>
      <c r="B158" s="48" t="s">
        <v>177</v>
      </c>
      <c r="C158" s="48" t="s">
        <v>178</v>
      </c>
      <c r="D158" s="48">
        <f>(1.96*5.15*10.764)*2</f>
        <v>217.30363200000002</v>
      </c>
      <c r="E158" s="48">
        <v>0</v>
      </c>
      <c r="F158" s="48">
        <f t="shared" si="1"/>
        <v>369.41617440000005</v>
      </c>
      <c r="G158" s="127" t="s">
        <v>199</v>
      </c>
      <c r="H158" s="128"/>
      <c r="I158" s="49"/>
      <c r="J158" s="49"/>
      <c r="K158" s="49"/>
    </row>
    <row r="159" spans="1:11" s="2" customFormat="1" x14ac:dyDescent="0.25">
      <c r="A159" s="48">
        <v>10</v>
      </c>
      <c r="B159" s="48" t="s">
        <v>177</v>
      </c>
      <c r="C159" s="48" t="s">
        <v>178</v>
      </c>
      <c r="D159" s="48">
        <f>(2.51*5.15)*10.764*2</f>
        <v>278.28169199999996</v>
      </c>
      <c r="E159" s="48">
        <v>0</v>
      </c>
      <c r="F159" s="48">
        <f t="shared" si="1"/>
        <v>473.0788763999999</v>
      </c>
      <c r="G159" s="127" t="s">
        <v>199</v>
      </c>
      <c r="H159" s="128"/>
      <c r="I159" s="49"/>
      <c r="J159" s="49"/>
      <c r="K159" s="49"/>
    </row>
    <row r="160" spans="1:11" s="2" customFormat="1" x14ac:dyDescent="0.25">
      <c r="A160" s="48">
        <v>11</v>
      </c>
      <c r="B160" s="48" t="s">
        <v>177</v>
      </c>
      <c r="C160" s="48" t="s">
        <v>178</v>
      </c>
      <c r="D160" s="48">
        <f>(2.97*2.9+3.13*2.25)*10.764*2</f>
        <v>337.03160399999996</v>
      </c>
      <c r="E160" s="48">
        <v>0</v>
      </c>
      <c r="F160" s="48">
        <f t="shared" si="1"/>
        <v>572.95372679999991</v>
      </c>
      <c r="G160" s="127" t="s">
        <v>199</v>
      </c>
      <c r="H160" s="128"/>
      <c r="I160" s="49"/>
      <c r="J160" s="49"/>
      <c r="K160" s="49"/>
    </row>
    <row r="161" spans="1:11" s="2" customFormat="1" x14ac:dyDescent="0.25">
      <c r="A161" s="48">
        <v>12</v>
      </c>
      <c r="B161" s="48" t="s">
        <v>177</v>
      </c>
      <c r="C161" s="48" t="s">
        <v>178</v>
      </c>
      <c r="D161" s="48">
        <f>2.4*5.15*10.764*2</f>
        <v>266.08608000000004</v>
      </c>
      <c r="E161" s="48">
        <v>0</v>
      </c>
      <c r="F161" s="48">
        <f t="shared" si="1"/>
        <v>452.34633600000006</v>
      </c>
      <c r="G161" s="127" t="s">
        <v>199</v>
      </c>
      <c r="H161" s="128"/>
      <c r="I161" s="49"/>
      <c r="J161" s="49"/>
      <c r="K161" s="49"/>
    </row>
    <row r="162" spans="1:11" s="2" customFormat="1" x14ac:dyDescent="0.25">
      <c r="A162" s="48">
        <v>13</v>
      </c>
      <c r="B162" s="48" t="s">
        <v>177</v>
      </c>
      <c r="C162" s="48" t="s">
        <v>178</v>
      </c>
      <c r="D162" s="48">
        <f>(3.6*2.9+3.76*2.25)*10.764*2</f>
        <v>406.87919999999997</v>
      </c>
      <c r="E162" s="48">
        <v>0</v>
      </c>
      <c r="F162" s="48">
        <f t="shared" si="1"/>
        <v>691.69463999999994</v>
      </c>
      <c r="G162" s="127" t="s">
        <v>199</v>
      </c>
      <c r="H162" s="128"/>
      <c r="I162" s="49"/>
      <c r="J162" s="49"/>
      <c r="K162" s="49"/>
    </row>
    <row r="163" spans="1:11" s="2" customFormat="1" x14ac:dyDescent="0.25">
      <c r="A163" s="48">
        <v>14</v>
      </c>
      <c r="B163" s="48" t="s">
        <v>236</v>
      </c>
      <c r="C163" s="48" t="s">
        <v>178</v>
      </c>
      <c r="D163" s="48">
        <f>2.97*5.15*10.764*2</f>
        <v>329.28152400000005</v>
      </c>
      <c r="E163" s="48">
        <v>0</v>
      </c>
      <c r="F163" s="48">
        <f t="shared" si="1"/>
        <v>559.77859080000007</v>
      </c>
      <c r="G163" s="127" t="s">
        <v>199</v>
      </c>
      <c r="H163" s="128"/>
      <c r="I163" s="58">
        <f>6514200/F167</f>
        <v>12788.192510262723</v>
      </c>
      <c r="J163" s="49"/>
      <c r="K163" s="49"/>
    </row>
    <row r="164" spans="1:11" s="2" customFormat="1" x14ac:dyDescent="0.25">
      <c r="A164" s="48">
        <v>15</v>
      </c>
      <c r="B164" s="48" t="s">
        <v>236</v>
      </c>
      <c r="C164" s="48" t="s">
        <v>178</v>
      </c>
      <c r="D164" s="48">
        <f>(1.97*2.9+2.05*2.25)*10.764*2</f>
        <v>222.287364</v>
      </c>
      <c r="E164" s="48">
        <v>0</v>
      </c>
      <c r="F164" s="48">
        <f t="shared" si="1"/>
        <v>377.88851879999999</v>
      </c>
      <c r="G164" s="127" t="s">
        <v>199</v>
      </c>
      <c r="H164" s="128"/>
      <c r="I164" s="58"/>
      <c r="J164" s="49"/>
      <c r="K164" s="49"/>
    </row>
    <row r="165" spans="1:11" s="2" customFormat="1" x14ac:dyDescent="0.25">
      <c r="A165" s="48">
        <v>16</v>
      </c>
      <c r="B165" s="48" t="s">
        <v>177</v>
      </c>
      <c r="C165" s="48" t="s">
        <v>178</v>
      </c>
      <c r="D165" s="48">
        <f>(2.5*3.97+2.65*1.18+2.52*0.23+3.68*2.08)*10.764*2</f>
        <v>458.24500799999998</v>
      </c>
      <c r="E165" s="48">
        <v>0</v>
      </c>
      <c r="F165" s="48">
        <f t="shared" si="1"/>
        <v>779.01651359999994</v>
      </c>
      <c r="G165" s="127" t="s">
        <v>199</v>
      </c>
      <c r="H165" s="128"/>
      <c r="I165" s="58"/>
      <c r="J165" s="49"/>
      <c r="K165" s="49"/>
    </row>
    <row r="166" spans="1:11" s="2" customFormat="1" x14ac:dyDescent="0.25">
      <c r="A166" s="139" t="s">
        <v>239</v>
      </c>
      <c r="B166" s="139"/>
      <c r="C166" s="139"/>
      <c r="D166" s="139"/>
      <c r="E166" s="139"/>
      <c r="F166" s="139"/>
      <c r="G166" s="139"/>
      <c r="H166" s="139"/>
      <c r="I166" s="58" t="e">
        <f t="shared" ref="I166" si="2">6514200/F170</f>
        <v>#DIV/0!</v>
      </c>
      <c r="J166" s="49"/>
      <c r="K166" s="49"/>
    </row>
    <row r="167" spans="1:11" s="2" customFormat="1" x14ac:dyDescent="0.25">
      <c r="A167" s="127">
        <v>1</v>
      </c>
      <c r="B167" s="128"/>
      <c r="C167" s="48" t="s">
        <v>182</v>
      </c>
      <c r="D167" s="48">
        <f>((2.75*3.95+2.2*2.32+2.6*2.97+1.85*1.2+1.2*1.85+0.85*0.65))*10.764</f>
        <v>308.72228399999995</v>
      </c>
      <c r="E167" s="48">
        <v>0</v>
      </c>
      <c r="F167" s="48">
        <f t="shared" ref="F167:F169" si="3">D167*1.65+E167</f>
        <v>509.39176859999986</v>
      </c>
      <c r="G167" s="140" t="str">
        <f>A166</f>
        <v>1st Floor for Residential, Amenties &amp; Part Commercial</v>
      </c>
      <c r="H167" s="141"/>
      <c r="I167" s="49"/>
      <c r="J167" s="49"/>
      <c r="K167" s="49"/>
    </row>
    <row r="168" spans="1:11" s="2" customFormat="1" x14ac:dyDescent="0.25">
      <c r="A168" s="127">
        <v>2</v>
      </c>
      <c r="B168" s="128"/>
      <c r="C168" s="48" t="s">
        <v>182</v>
      </c>
      <c r="D168" s="48">
        <f>((2.75*3.66+1*0.56+2.2*2.42+3*2.44+1.2*1.85+1.85*1.28+0.98*0.59))*10.764</f>
        <v>306.07649279999998</v>
      </c>
      <c r="E168" s="48">
        <v>0</v>
      </c>
      <c r="F168" s="48">
        <f t="shared" si="3"/>
        <v>505.02621311999997</v>
      </c>
      <c r="G168" s="142"/>
      <c r="H168" s="143"/>
      <c r="I168" s="58">
        <f>6514200/F172</f>
        <v>12788.192510262723</v>
      </c>
      <c r="J168" s="49"/>
      <c r="K168" s="49"/>
    </row>
    <row r="169" spans="1:11" s="2" customFormat="1" x14ac:dyDescent="0.25">
      <c r="A169" s="127">
        <v>3</v>
      </c>
      <c r="B169" s="128"/>
      <c r="C169" s="48" t="s">
        <v>182</v>
      </c>
      <c r="D169" s="48">
        <f>((2.75*3.66+1*0.56+2.2*2.42+3*2.44+1.2*1.85+1.85*1.28+0.98*0.59))*10.764</f>
        <v>306.07649279999998</v>
      </c>
      <c r="E169" s="48">
        <v>0</v>
      </c>
      <c r="F169" s="48">
        <f t="shared" si="3"/>
        <v>505.02621311999997</v>
      </c>
      <c r="G169" s="142"/>
      <c r="H169" s="143"/>
      <c r="I169" s="58"/>
      <c r="J169" s="49"/>
      <c r="K169" s="49"/>
    </row>
    <row r="170" spans="1:11" s="2" customFormat="1" x14ac:dyDescent="0.25">
      <c r="A170" s="127">
        <v>4</v>
      </c>
      <c r="B170" s="128"/>
      <c r="C170" s="127" t="s">
        <v>238</v>
      </c>
      <c r="D170" s="149"/>
      <c r="E170" s="149"/>
      <c r="F170" s="128"/>
      <c r="G170" s="142"/>
      <c r="H170" s="143"/>
      <c r="I170" s="58"/>
      <c r="J170" s="49"/>
      <c r="K170" s="49"/>
    </row>
    <row r="171" spans="1:11" s="2" customFormat="1" x14ac:dyDescent="0.25">
      <c r="A171" s="139" t="s">
        <v>188</v>
      </c>
      <c r="B171" s="139"/>
      <c r="C171" s="139"/>
      <c r="D171" s="139"/>
      <c r="E171" s="139"/>
      <c r="F171" s="139"/>
      <c r="G171" s="139"/>
      <c r="H171" s="139"/>
      <c r="I171" s="58">
        <f t="shared" ref="I171" si="4">6514200/F175</f>
        <v>12788.192510262723</v>
      </c>
      <c r="J171" s="49"/>
      <c r="K171" s="49"/>
    </row>
    <row r="172" spans="1:11" s="2" customFormat="1" x14ac:dyDescent="0.25">
      <c r="A172" s="127">
        <v>1</v>
      </c>
      <c r="B172" s="128" t="s">
        <v>181</v>
      </c>
      <c r="C172" s="48" t="s">
        <v>182</v>
      </c>
      <c r="D172" s="48">
        <f>((2.75*3.95+2.2*2.32+2.6*2.97+1.85*1.2+1.2*1.85+0.85*0.65))*10.764</f>
        <v>308.72228399999995</v>
      </c>
      <c r="E172" s="48">
        <v>0</v>
      </c>
      <c r="F172" s="48">
        <f t="shared" ref="F172:F175" si="5">D172*1.65+E172</f>
        <v>509.39176859999986</v>
      </c>
      <c r="G172" s="140" t="s">
        <v>184</v>
      </c>
      <c r="H172" s="141"/>
      <c r="I172" s="58">
        <f>10553400/F176</f>
        <v>12888.595070835407</v>
      </c>
      <c r="J172" s="49"/>
      <c r="K172" s="49">
        <f>F176/D176</f>
        <v>1.65</v>
      </c>
    </row>
    <row r="173" spans="1:11" s="2" customFormat="1" x14ac:dyDescent="0.25">
      <c r="A173" s="127">
        <v>2</v>
      </c>
      <c r="B173" s="128" t="s">
        <v>181</v>
      </c>
      <c r="C173" s="48" t="s">
        <v>182</v>
      </c>
      <c r="D173" s="48">
        <f>((2.75*3.66+1*0.56+2.2*2.42+3*2.44+1.2*1.85+1.85*1.28+0.98*0.59))*10.764</f>
        <v>306.07649279999998</v>
      </c>
      <c r="E173" s="48">
        <v>0</v>
      </c>
      <c r="F173" s="48">
        <f t="shared" si="5"/>
        <v>505.02621311999997</v>
      </c>
      <c r="G173" s="142"/>
      <c r="H173" s="143"/>
      <c r="I173" s="58">
        <f t="shared" ref="I173:I175" si="6">10553400/F177</f>
        <v>12888.595070835407</v>
      </c>
      <c r="J173" s="49"/>
      <c r="K173" s="49"/>
    </row>
    <row r="174" spans="1:11" s="2" customFormat="1" x14ac:dyDescent="0.25">
      <c r="A174" s="127">
        <v>3</v>
      </c>
      <c r="B174" s="128" t="s">
        <v>181</v>
      </c>
      <c r="C174" s="48" t="s">
        <v>182</v>
      </c>
      <c r="D174" s="48">
        <f>((2.75*3.66+1*0.56+2.2*2.42+3*2.44+1.2*1.85+1.85*1.28+0.98*0.59))*10.764</f>
        <v>306.07649279999998</v>
      </c>
      <c r="E174" s="48">
        <v>0</v>
      </c>
      <c r="F174" s="48">
        <f t="shared" si="5"/>
        <v>505.02621311999997</v>
      </c>
      <c r="G174" s="142"/>
      <c r="H174" s="143"/>
      <c r="I174" s="58">
        <f t="shared" si="6"/>
        <v>12888.595070835407</v>
      </c>
      <c r="J174" s="49"/>
      <c r="K174" s="49"/>
    </row>
    <row r="175" spans="1:11" s="2" customFormat="1" x14ac:dyDescent="0.25">
      <c r="A175" s="127">
        <v>4</v>
      </c>
      <c r="B175" s="128" t="s">
        <v>181</v>
      </c>
      <c r="C175" s="48" t="s">
        <v>182</v>
      </c>
      <c r="D175" s="48">
        <f>((2.75*3.95+2.2*2.32+2.6*2.97+1.85*1.2+1.2*1.85+0.85*0.65))*10.764</f>
        <v>308.72228399999995</v>
      </c>
      <c r="E175" s="48">
        <v>0</v>
      </c>
      <c r="F175" s="48">
        <f t="shared" si="5"/>
        <v>509.39176859999986</v>
      </c>
      <c r="G175" s="142"/>
      <c r="H175" s="143"/>
      <c r="I175" s="58">
        <f t="shared" si="6"/>
        <v>12888.595070835407</v>
      </c>
      <c r="J175" s="49"/>
      <c r="K175" s="49"/>
    </row>
    <row r="176" spans="1:11" s="2" customFormat="1" ht="15.75" customHeight="1" x14ac:dyDescent="0.25">
      <c r="A176" s="127">
        <v>5</v>
      </c>
      <c r="B176" s="128" t="s">
        <v>181</v>
      </c>
      <c r="C176" s="48" t="s">
        <v>183</v>
      </c>
      <c r="D176" s="48">
        <f>((3*4.55+2.1*2.6+2.44*3.65+3*3.65+2.1*1.2+2.1*1.2+2.33*0.9))*10.764</f>
        <v>496.25269199999997</v>
      </c>
      <c r="E176" s="48">
        <v>0</v>
      </c>
      <c r="F176" s="48">
        <f>D176*1.65+E176</f>
        <v>818.81694179999988</v>
      </c>
      <c r="G176" s="142"/>
      <c r="H176" s="143"/>
      <c r="I176" s="49"/>
      <c r="J176" s="49"/>
      <c r="K176" s="49"/>
    </row>
    <row r="177" spans="1:11" s="2" customFormat="1" x14ac:dyDescent="0.25">
      <c r="A177" s="127">
        <v>6</v>
      </c>
      <c r="B177" s="128" t="s">
        <v>181</v>
      </c>
      <c r="C177" s="48" t="s">
        <v>183</v>
      </c>
      <c r="D177" s="48">
        <f>((3*4.55+2.1*2.6+2.44*3.65+3*3.65+2.1*1.2+2.1*1.2+2.33*0.9))*10.764</f>
        <v>496.25269199999997</v>
      </c>
      <c r="E177" s="48">
        <v>0</v>
      </c>
      <c r="F177" s="48">
        <f t="shared" ref="F177:F193" si="7">D177*1.65+E177</f>
        <v>818.81694179999988</v>
      </c>
      <c r="G177" s="142"/>
      <c r="H177" s="143"/>
      <c r="I177" s="58">
        <f>6514200/F181</f>
        <v>12788.192510262723</v>
      </c>
      <c r="J177" s="49"/>
      <c r="K177" s="49"/>
    </row>
    <row r="178" spans="1:11" s="2" customFormat="1" x14ac:dyDescent="0.25">
      <c r="A178" s="127">
        <v>7</v>
      </c>
      <c r="B178" s="128" t="s">
        <v>181</v>
      </c>
      <c r="C178" s="48" t="s">
        <v>183</v>
      </c>
      <c r="D178" s="48">
        <f>((3*4.55+2.1*2.6+2.44*3.65+3*3.65+2.1*1.2+2.1*1.2+2.33*0.9))*10.764</f>
        <v>496.25269199999997</v>
      </c>
      <c r="E178" s="48">
        <v>0</v>
      </c>
      <c r="F178" s="48">
        <f t="shared" si="7"/>
        <v>818.81694179999988</v>
      </c>
      <c r="G178" s="142"/>
      <c r="H178" s="143"/>
      <c r="I178" s="58"/>
      <c r="J178" s="49"/>
      <c r="K178" s="49"/>
    </row>
    <row r="179" spans="1:11" s="2" customFormat="1" x14ac:dyDescent="0.25">
      <c r="A179" s="127">
        <v>8</v>
      </c>
      <c r="B179" s="128" t="s">
        <v>181</v>
      </c>
      <c r="C179" s="48" t="s">
        <v>183</v>
      </c>
      <c r="D179" s="48">
        <f>((3*4.55+2.1*2.6+2.44*3.65+3*3.65+2.1*1.2+2.1*1.2+2.33*0.9))*10.764</f>
        <v>496.25269199999997</v>
      </c>
      <c r="E179" s="48">
        <v>0</v>
      </c>
      <c r="F179" s="48">
        <f t="shared" si="7"/>
        <v>818.81694179999988</v>
      </c>
      <c r="G179" s="144"/>
      <c r="H179" s="145"/>
      <c r="I179" s="58"/>
      <c r="J179" s="49"/>
      <c r="K179" s="49"/>
    </row>
    <row r="180" spans="1:11" s="2" customFormat="1" x14ac:dyDescent="0.25">
      <c r="A180" s="139" t="s">
        <v>241</v>
      </c>
      <c r="B180" s="139"/>
      <c r="C180" s="139"/>
      <c r="D180" s="139"/>
      <c r="E180" s="139"/>
      <c r="F180" s="139"/>
      <c r="G180" s="139"/>
      <c r="H180" s="139"/>
      <c r="I180" s="58">
        <f t="shared" ref="I180" si="8">6514200/F184</f>
        <v>12788.192510262723</v>
      </c>
      <c r="J180" s="49"/>
      <c r="K180" s="49"/>
    </row>
    <row r="181" spans="1:11" s="2" customFormat="1" x14ac:dyDescent="0.25">
      <c r="A181" s="127">
        <v>1</v>
      </c>
      <c r="B181" s="128" t="s">
        <v>181</v>
      </c>
      <c r="C181" s="48" t="s">
        <v>182</v>
      </c>
      <c r="D181" s="48">
        <f>((2.75*3.95+2.2*2.32+2.6*2.97+1.85*1.2+1.2*1.85+0.85*0.65))*10.764</f>
        <v>308.72228399999995</v>
      </c>
      <c r="E181" s="48">
        <v>0</v>
      </c>
      <c r="F181" s="48">
        <f t="shared" ref="F181:F184" si="9">D181*1.65+E181</f>
        <v>509.39176859999986</v>
      </c>
      <c r="G181" s="140" t="s">
        <v>184</v>
      </c>
      <c r="H181" s="141"/>
      <c r="I181" s="58">
        <f>10553400/F185</f>
        <v>12888.595070835407</v>
      </c>
      <c r="J181" s="49"/>
      <c r="K181" s="49"/>
    </row>
    <row r="182" spans="1:11" s="2" customFormat="1" x14ac:dyDescent="0.25">
      <c r="A182" s="127">
        <v>2</v>
      </c>
      <c r="B182" s="128" t="s">
        <v>181</v>
      </c>
      <c r="C182" s="48" t="s">
        <v>182</v>
      </c>
      <c r="D182" s="48">
        <f>((2.75*3.66+1*0.56+2.2*2.42+3*2.44+1.2*1.85+1.85*1.28+0.98*0.59))*10.764</f>
        <v>306.07649279999998</v>
      </c>
      <c r="E182" s="48">
        <v>0</v>
      </c>
      <c r="F182" s="48">
        <f t="shared" si="9"/>
        <v>505.02621311999997</v>
      </c>
      <c r="G182" s="142"/>
      <c r="H182" s="143"/>
      <c r="I182" s="58">
        <f t="shared" ref="I182:I184" si="10">10553400/F186</f>
        <v>12888.595070835407</v>
      </c>
      <c r="J182" s="49"/>
      <c r="K182" s="49"/>
    </row>
    <row r="183" spans="1:11" s="2" customFormat="1" x14ac:dyDescent="0.25">
      <c r="A183" s="127">
        <v>3</v>
      </c>
      <c r="B183" s="128" t="s">
        <v>181</v>
      </c>
      <c r="C183" s="48" t="s">
        <v>182</v>
      </c>
      <c r="D183" s="48">
        <f>((2.75*3.66+1*0.56+2.2*2.42+3*2.44+1.2*1.85+1.85*1.28+0.98*0.59))*10.764</f>
        <v>306.07649279999998</v>
      </c>
      <c r="E183" s="48">
        <v>0</v>
      </c>
      <c r="F183" s="48">
        <f t="shared" si="9"/>
        <v>505.02621311999997</v>
      </c>
      <c r="G183" s="142"/>
      <c r="H183" s="143"/>
      <c r="I183" s="58">
        <f t="shared" si="10"/>
        <v>12888.595070835407</v>
      </c>
      <c r="J183" s="49"/>
      <c r="K183" s="49"/>
    </row>
    <row r="184" spans="1:11" s="2" customFormat="1" x14ac:dyDescent="0.25">
      <c r="A184" s="127">
        <v>4</v>
      </c>
      <c r="B184" s="128" t="s">
        <v>181</v>
      </c>
      <c r="C184" s="48" t="s">
        <v>182</v>
      </c>
      <c r="D184" s="48">
        <f>((2.75*3.95+2.2*2.32+2.6*2.97+1.85*1.2+1.2*1.85+0.85*0.65))*10.764</f>
        <v>308.72228399999995</v>
      </c>
      <c r="E184" s="48">
        <v>0</v>
      </c>
      <c r="F184" s="48">
        <f t="shared" si="9"/>
        <v>509.39176859999986</v>
      </c>
      <c r="G184" s="142"/>
      <c r="H184" s="143"/>
      <c r="I184" s="58">
        <f t="shared" si="10"/>
        <v>12888.595070835407</v>
      </c>
      <c r="J184" s="49"/>
      <c r="K184" s="49"/>
    </row>
    <row r="185" spans="1:11" s="2" customFormat="1" x14ac:dyDescent="0.25">
      <c r="A185" s="127">
        <v>5</v>
      </c>
      <c r="B185" s="128" t="s">
        <v>181</v>
      </c>
      <c r="C185" s="48" t="s">
        <v>183</v>
      </c>
      <c r="D185" s="48">
        <f>((3*4.55+2.1*2.6+2.44*3.65+3*3.65+2.1*1.2+2.1*1.2+2.33*0.9))*10.764</f>
        <v>496.25269199999997</v>
      </c>
      <c r="E185" s="48">
        <v>0</v>
      </c>
      <c r="F185" s="48">
        <f>D185*1.65+E185</f>
        <v>818.81694179999988</v>
      </c>
      <c r="G185" s="142"/>
      <c r="H185" s="143"/>
      <c r="I185" s="49"/>
      <c r="J185" s="49"/>
      <c r="K185" s="49"/>
    </row>
    <row r="186" spans="1:11" s="2" customFormat="1" x14ac:dyDescent="0.25">
      <c r="A186" s="127">
        <v>6</v>
      </c>
      <c r="B186" s="128" t="s">
        <v>181</v>
      </c>
      <c r="C186" s="48" t="s">
        <v>183</v>
      </c>
      <c r="D186" s="48">
        <f>((3*4.55+2.1*2.6+2.44*3.65+3*3.65+2.1*1.2+2.1*1.2+2.33*0.9))*10.764</f>
        <v>496.25269199999997</v>
      </c>
      <c r="E186" s="48">
        <v>0</v>
      </c>
      <c r="F186" s="48">
        <f t="shared" ref="F186:F188" si="11">D186*1.65+E186</f>
        <v>818.81694179999988</v>
      </c>
      <c r="G186" s="142"/>
      <c r="H186" s="143"/>
      <c r="I186" s="49"/>
      <c r="J186" s="49"/>
      <c r="K186" s="49"/>
    </row>
    <row r="187" spans="1:11" s="2" customFormat="1" x14ac:dyDescent="0.25">
      <c r="A187" s="127">
        <v>7</v>
      </c>
      <c r="B187" s="128" t="s">
        <v>181</v>
      </c>
      <c r="C187" s="48" t="s">
        <v>183</v>
      </c>
      <c r="D187" s="48">
        <f>((3*4.55+2.1*2.6+2.44*3.65+3*3.65+2.1*1.2+2.1*1.2+2.33*0.9))*10.764</f>
        <v>496.25269199999997</v>
      </c>
      <c r="E187" s="48">
        <v>0</v>
      </c>
      <c r="F187" s="48">
        <f t="shared" si="11"/>
        <v>818.81694179999988</v>
      </c>
      <c r="G187" s="142"/>
      <c r="H187" s="143"/>
      <c r="I187" s="49"/>
      <c r="J187" s="49"/>
      <c r="K187" s="49"/>
    </row>
    <row r="188" spans="1:11" s="2" customFormat="1" x14ac:dyDescent="0.25">
      <c r="A188" s="127">
        <v>8</v>
      </c>
      <c r="B188" s="128" t="s">
        <v>181</v>
      </c>
      <c r="C188" s="48" t="s">
        <v>183</v>
      </c>
      <c r="D188" s="48">
        <f>((3*4.55+2.1*2.6+2.44*3.65+3*3.65+2.1*1.2+2.1*1.2+2.33*0.9))*10.764</f>
        <v>496.25269199999997</v>
      </c>
      <c r="E188" s="48">
        <v>0</v>
      </c>
      <c r="F188" s="48">
        <f t="shared" si="11"/>
        <v>818.81694179999988</v>
      </c>
      <c r="G188" s="144"/>
      <c r="H188" s="145"/>
      <c r="I188" s="49"/>
      <c r="J188" s="49"/>
      <c r="K188" s="49"/>
    </row>
    <row r="189" spans="1:11" s="2" customFormat="1" x14ac:dyDescent="0.25">
      <c r="A189" s="139" t="s">
        <v>243</v>
      </c>
      <c r="B189" s="139"/>
      <c r="C189" s="139"/>
      <c r="D189" s="139"/>
      <c r="E189" s="139"/>
      <c r="F189" s="139"/>
      <c r="G189" s="139"/>
      <c r="H189" s="139"/>
      <c r="I189" s="49"/>
      <c r="J189" s="49"/>
      <c r="K189" s="49"/>
    </row>
    <row r="190" spans="1:11" s="2" customFormat="1" x14ac:dyDescent="0.25">
      <c r="A190" s="127">
        <v>1</v>
      </c>
      <c r="B190" s="128" t="s">
        <v>181</v>
      </c>
      <c r="C190" s="48" t="s">
        <v>182</v>
      </c>
      <c r="D190" s="48">
        <f>((2.75*3.95+2.2*2.32+2.6*2.97+1.85*1.2+1.2*1.85+0.85*0.65))*10.764</f>
        <v>308.72228399999995</v>
      </c>
      <c r="E190" s="48">
        <v>0</v>
      </c>
      <c r="F190" s="48">
        <f t="shared" si="7"/>
        <v>509.39176859999986</v>
      </c>
      <c r="G190" s="140" t="str">
        <f>A189</f>
        <v>8th, 15th &amp; 22nd Floor(Part Refuge Area)</v>
      </c>
      <c r="H190" s="141"/>
      <c r="I190" s="49"/>
      <c r="J190" s="49"/>
      <c r="K190" s="49"/>
    </row>
    <row r="191" spans="1:11" s="2" customFormat="1" x14ac:dyDescent="0.25">
      <c r="A191" s="127">
        <v>2</v>
      </c>
      <c r="B191" s="128" t="s">
        <v>181</v>
      </c>
      <c r="C191" s="48" t="s">
        <v>182</v>
      </c>
      <c r="D191" s="48">
        <f>((2.75*3.66+1*0.56+2.2*2.42+3*2.44+1.2*1.85+1.85*1.28+0.98*0.59))*10.764</f>
        <v>306.07649279999998</v>
      </c>
      <c r="E191" s="48">
        <v>0</v>
      </c>
      <c r="F191" s="48">
        <f t="shared" si="7"/>
        <v>505.02621311999997</v>
      </c>
      <c r="G191" s="142"/>
      <c r="H191" s="143"/>
      <c r="I191" s="49"/>
      <c r="J191" s="49"/>
      <c r="K191" s="49"/>
    </row>
    <row r="192" spans="1:11" s="2" customFormat="1" x14ac:dyDescent="0.25">
      <c r="A192" s="127">
        <v>3</v>
      </c>
      <c r="B192" s="128" t="s">
        <v>181</v>
      </c>
      <c r="C192" s="48" t="s">
        <v>182</v>
      </c>
      <c r="D192" s="48">
        <f>((2.75*3.66+1*0.56+2.2*2.42+3*2.44+1.2*1.85+1.85*1.28+0.98*0.59))*10.764</f>
        <v>306.07649279999998</v>
      </c>
      <c r="E192" s="48">
        <v>0</v>
      </c>
      <c r="F192" s="48">
        <f t="shared" si="7"/>
        <v>505.02621311999997</v>
      </c>
      <c r="G192" s="142"/>
      <c r="H192" s="143"/>
      <c r="I192" s="49"/>
      <c r="J192" s="49"/>
      <c r="K192" s="49"/>
    </row>
    <row r="193" spans="1:11" s="2" customFormat="1" x14ac:dyDescent="0.25">
      <c r="A193" s="127">
        <v>4</v>
      </c>
      <c r="B193" s="128" t="s">
        <v>181</v>
      </c>
      <c r="C193" s="48" t="s">
        <v>182</v>
      </c>
      <c r="D193" s="48">
        <f>((2.75*3.95+2.2*2.32+2.6*2.97+1.85*1.2+1.2*1.85+0.85*0.65))*10.764</f>
        <v>308.72228399999995</v>
      </c>
      <c r="E193" s="48">
        <v>0</v>
      </c>
      <c r="F193" s="48">
        <f t="shared" si="7"/>
        <v>509.39176859999986</v>
      </c>
      <c r="G193" s="142"/>
      <c r="H193" s="143"/>
      <c r="I193" s="49"/>
      <c r="J193" s="49"/>
      <c r="K193" s="49"/>
    </row>
    <row r="194" spans="1:11" s="2" customFormat="1" ht="15.75" customHeight="1" x14ac:dyDescent="0.25">
      <c r="A194" s="127">
        <v>5</v>
      </c>
      <c r="B194" s="128" t="s">
        <v>181</v>
      </c>
      <c r="C194" s="140" t="s">
        <v>185</v>
      </c>
      <c r="D194" s="146"/>
      <c r="E194" s="146"/>
      <c r="F194" s="141"/>
      <c r="G194" s="142"/>
      <c r="H194" s="143"/>
      <c r="I194" s="49"/>
      <c r="J194" s="49"/>
      <c r="K194" s="49"/>
    </row>
    <row r="195" spans="1:11" s="2" customFormat="1" ht="15.75" customHeight="1" x14ac:dyDescent="0.25">
      <c r="A195" s="127">
        <v>6</v>
      </c>
      <c r="B195" s="128" t="s">
        <v>181</v>
      </c>
      <c r="C195" s="144"/>
      <c r="D195" s="147"/>
      <c r="E195" s="147"/>
      <c r="F195" s="145"/>
      <c r="G195" s="142"/>
      <c r="H195" s="143"/>
      <c r="I195" s="49"/>
      <c r="J195" s="49"/>
      <c r="K195" s="49"/>
    </row>
    <row r="196" spans="1:11" s="2" customFormat="1" x14ac:dyDescent="0.25">
      <c r="A196" s="127">
        <v>7</v>
      </c>
      <c r="B196" s="128" t="s">
        <v>181</v>
      </c>
      <c r="C196" s="48" t="s">
        <v>183</v>
      </c>
      <c r="D196" s="48">
        <f>((3*4.55+2.1*2.6+2.44*3.65+3*3.65+2.1*1.2+2.1*1.2+2.33*0.9))*10.764</f>
        <v>496.25269199999997</v>
      </c>
      <c r="E196" s="48">
        <v>0</v>
      </c>
      <c r="F196" s="48">
        <f t="shared" ref="F196:F197" si="12">D196*1.65+E196</f>
        <v>818.81694179999988</v>
      </c>
      <c r="G196" s="142"/>
      <c r="H196" s="143"/>
      <c r="I196" s="49"/>
      <c r="J196" s="49"/>
      <c r="K196" s="49"/>
    </row>
    <row r="197" spans="1:11" s="2" customFormat="1" x14ac:dyDescent="0.25">
      <c r="A197" s="127">
        <v>8</v>
      </c>
      <c r="B197" s="128" t="s">
        <v>181</v>
      </c>
      <c r="C197" s="48" t="s">
        <v>183</v>
      </c>
      <c r="D197" s="48">
        <f>((3*4.55+2.1*2.6+2.44*3.65+3*3.65+2.1*1.2+2.1*1.2+2.33*0.9))*10.764</f>
        <v>496.25269199999997</v>
      </c>
      <c r="E197" s="48">
        <v>0</v>
      </c>
      <c r="F197" s="48">
        <f t="shared" si="12"/>
        <v>818.81694179999988</v>
      </c>
      <c r="G197" s="144"/>
      <c r="H197" s="145"/>
      <c r="I197" s="49"/>
      <c r="J197" s="49"/>
      <c r="K197" s="49"/>
    </row>
    <row r="198" spans="1:11" s="2" customFormat="1" x14ac:dyDescent="0.25">
      <c r="A198" s="139" t="s">
        <v>246</v>
      </c>
      <c r="B198" s="139"/>
      <c r="C198" s="139"/>
      <c r="D198" s="139"/>
      <c r="E198" s="139"/>
      <c r="F198" s="139"/>
      <c r="G198" s="139"/>
      <c r="H198" s="139"/>
      <c r="I198" s="49"/>
      <c r="J198" s="49"/>
      <c r="K198" s="49"/>
    </row>
    <row r="199" spans="1:11" s="2" customFormat="1" x14ac:dyDescent="0.25">
      <c r="A199" s="127">
        <v>1</v>
      </c>
      <c r="B199" s="128" t="s">
        <v>181</v>
      </c>
      <c r="C199" s="48" t="s">
        <v>182</v>
      </c>
      <c r="D199" s="48">
        <f>((2.75*3.95+2.2*2.32+2.6*2.97+1.85*1.2+1.2*1.85+0.85*0.65))*10.764</f>
        <v>308.72228399999995</v>
      </c>
      <c r="E199" s="48">
        <v>0</v>
      </c>
      <c r="F199" s="48">
        <f t="shared" ref="F199:F202" si="13">D199*1.65+E199</f>
        <v>509.39176859999986</v>
      </c>
      <c r="G199" s="140" t="str">
        <f>A198</f>
        <v>29th Floor(Part Refuge Area)</v>
      </c>
      <c r="H199" s="141"/>
      <c r="I199" s="49"/>
      <c r="J199" s="49"/>
      <c r="K199" s="49"/>
    </row>
    <row r="200" spans="1:11" s="2" customFormat="1" x14ac:dyDescent="0.25">
      <c r="A200" s="127">
        <v>2</v>
      </c>
      <c r="B200" s="128" t="s">
        <v>181</v>
      </c>
      <c r="C200" s="48" t="s">
        <v>182</v>
      </c>
      <c r="D200" s="48">
        <f>((2.75*3.66+1*0.56+2.2*2.42+3*2.44+1.2*1.85+1.85*1.28+0.98*0.59))*10.764</f>
        <v>306.07649279999998</v>
      </c>
      <c r="E200" s="48">
        <v>0</v>
      </c>
      <c r="F200" s="48">
        <f t="shared" si="13"/>
        <v>505.02621311999997</v>
      </c>
      <c r="G200" s="142"/>
      <c r="H200" s="143"/>
      <c r="I200" s="49"/>
      <c r="J200" s="49"/>
      <c r="K200" s="49"/>
    </row>
    <row r="201" spans="1:11" s="2" customFormat="1" x14ac:dyDescent="0.25">
      <c r="A201" s="127">
        <v>3</v>
      </c>
      <c r="B201" s="128" t="s">
        <v>181</v>
      </c>
      <c r="C201" s="48" t="s">
        <v>182</v>
      </c>
      <c r="D201" s="48">
        <f>((2.75*3.66+1*0.56+2.2*2.42+3*2.44+1.2*1.85+1.85*1.28+0.98*0.59))*10.764</f>
        <v>306.07649279999998</v>
      </c>
      <c r="E201" s="48">
        <v>0</v>
      </c>
      <c r="F201" s="48">
        <f t="shared" si="13"/>
        <v>505.02621311999997</v>
      </c>
      <c r="G201" s="142"/>
      <c r="H201" s="143"/>
      <c r="I201" s="49"/>
      <c r="J201" s="49"/>
      <c r="K201" s="49"/>
    </row>
    <row r="202" spans="1:11" s="2" customFormat="1" x14ac:dyDescent="0.25">
      <c r="A202" s="127">
        <v>4</v>
      </c>
      <c r="B202" s="128" t="s">
        <v>181</v>
      </c>
      <c r="C202" s="48" t="s">
        <v>182</v>
      </c>
      <c r="D202" s="48">
        <f>((2.75*3.95+2.2*2.32+2.6*2.97+1.85*1.2+1.2*1.85+0.85*0.65))*10.764</f>
        <v>308.72228399999995</v>
      </c>
      <c r="E202" s="48">
        <v>0</v>
      </c>
      <c r="F202" s="48">
        <f t="shared" si="13"/>
        <v>509.39176859999986</v>
      </c>
      <c r="G202" s="142"/>
      <c r="H202" s="143"/>
      <c r="I202" s="49"/>
      <c r="J202" s="49"/>
      <c r="K202" s="49"/>
    </row>
    <row r="203" spans="1:11" s="2" customFormat="1" x14ac:dyDescent="0.25">
      <c r="A203" s="127">
        <v>5</v>
      </c>
      <c r="B203" s="128" t="s">
        <v>181</v>
      </c>
      <c r="C203" s="140" t="s">
        <v>185</v>
      </c>
      <c r="D203" s="146"/>
      <c r="E203" s="146"/>
      <c r="F203" s="141"/>
      <c r="G203" s="142"/>
      <c r="H203" s="143"/>
      <c r="I203" s="49"/>
      <c r="J203" s="49"/>
      <c r="K203" s="49"/>
    </row>
    <row r="204" spans="1:11" s="2" customFormat="1" ht="15.75" customHeight="1" x14ac:dyDescent="0.25">
      <c r="A204" s="127">
        <v>6</v>
      </c>
      <c r="B204" s="128" t="s">
        <v>181</v>
      </c>
      <c r="C204" s="48" t="s">
        <v>183</v>
      </c>
      <c r="D204" s="48">
        <f>((3*4.55+2.1*2.6+2.44*3.65+3*3.65+2.1*1.2+2.1*1.2+2.33*0.9))*10.764</f>
        <v>496.25269199999997</v>
      </c>
      <c r="E204" s="48">
        <v>0</v>
      </c>
      <c r="F204" s="48">
        <f t="shared" ref="F204" si="14">D204*1.65+E204</f>
        <v>818.81694179999988</v>
      </c>
      <c r="G204" s="142"/>
      <c r="H204" s="143"/>
      <c r="I204" s="49"/>
      <c r="J204" s="49"/>
      <c r="K204" s="49"/>
    </row>
    <row r="205" spans="1:11" s="2" customFormat="1" ht="15.75" customHeight="1" x14ac:dyDescent="0.25">
      <c r="A205" s="127">
        <v>7</v>
      </c>
      <c r="B205" s="128" t="s">
        <v>181</v>
      </c>
      <c r="C205" s="48" t="s">
        <v>183</v>
      </c>
      <c r="D205" s="48">
        <f>((3*4.55+2.1*2.6+2.44*3.65+3*3.65+2.1*1.2+2.1*1.2+2.33*0.9))*10.764</f>
        <v>496.25269199999997</v>
      </c>
      <c r="E205" s="48">
        <v>0</v>
      </c>
      <c r="F205" s="48">
        <f t="shared" ref="F205:F206" si="15">D205*1.65+E205</f>
        <v>818.81694179999988</v>
      </c>
      <c r="G205" s="142"/>
      <c r="H205" s="143"/>
      <c r="I205" s="49"/>
      <c r="J205" s="49"/>
      <c r="K205" s="49"/>
    </row>
    <row r="206" spans="1:11" s="2" customFormat="1" x14ac:dyDescent="0.25">
      <c r="A206" s="127">
        <v>8</v>
      </c>
      <c r="B206" s="128" t="s">
        <v>181</v>
      </c>
      <c r="C206" s="48" t="s">
        <v>183</v>
      </c>
      <c r="D206" s="48">
        <f>((3*4.55+2.1*2.6+2.44*3.65+3*3.65+2.1*1.2+2.1*1.2+2.33*0.9))*10.764</f>
        <v>496.25269199999997</v>
      </c>
      <c r="E206" s="48">
        <v>0</v>
      </c>
      <c r="F206" s="48">
        <f t="shared" si="15"/>
        <v>818.81694179999988</v>
      </c>
      <c r="G206" s="144"/>
      <c r="H206" s="145"/>
      <c r="I206" s="49"/>
      <c r="J206" s="49"/>
      <c r="K206" s="49"/>
    </row>
    <row r="207" spans="1:11" s="2" customFormat="1" x14ac:dyDescent="0.25">
      <c r="A207" s="139" t="s">
        <v>180</v>
      </c>
      <c r="B207" s="139"/>
      <c r="C207" s="139"/>
      <c r="D207" s="139"/>
      <c r="E207" s="139"/>
      <c r="F207" s="139"/>
      <c r="G207" s="139"/>
      <c r="H207" s="139"/>
      <c r="I207" s="49"/>
      <c r="J207" s="49"/>
      <c r="K207" s="49"/>
    </row>
    <row r="208" spans="1:11" s="2" customFormat="1" x14ac:dyDescent="0.25">
      <c r="A208" s="139" t="s">
        <v>198</v>
      </c>
      <c r="B208" s="139"/>
      <c r="C208" s="139"/>
      <c r="D208" s="139"/>
      <c r="E208" s="139"/>
      <c r="F208" s="139"/>
      <c r="G208" s="139"/>
      <c r="H208" s="139"/>
      <c r="I208" s="49"/>
      <c r="J208" s="49"/>
      <c r="K208" s="49"/>
    </row>
    <row r="209" spans="1:11" s="2" customFormat="1" x14ac:dyDescent="0.25">
      <c r="A209" s="50">
        <v>17</v>
      </c>
      <c r="B209" s="48" t="s">
        <v>177</v>
      </c>
      <c r="C209" s="48" t="s">
        <v>178</v>
      </c>
      <c r="D209" s="48">
        <f>2.3*5.53*10.764*2</f>
        <v>273.81463199999996</v>
      </c>
      <c r="E209" s="48">
        <v>0</v>
      </c>
      <c r="F209" s="48">
        <f>D209*1.7+E209</f>
        <v>465.48487439999991</v>
      </c>
      <c r="G209" s="127" t="s">
        <v>199</v>
      </c>
      <c r="H209" s="128"/>
      <c r="I209" s="49"/>
      <c r="J209" s="49"/>
      <c r="K209" s="49"/>
    </row>
    <row r="210" spans="1:11" s="2" customFormat="1" x14ac:dyDescent="0.25">
      <c r="A210" s="48">
        <v>18</v>
      </c>
      <c r="B210" s="48" t="s">
        <v>177</v>
      </c>
      <c r="C210" s="48" t="s">
        <v>178</v>
      </c>
      <c r="D210" s="48">
        <f>(2.43*1.79+2.58*2.9)*10.764*2</f>
        <v>254.71283760000003</v>
      </c>
      <c r="E210" s="48">
        <v>0</v>
      </c>
      <c r="F210" s="48">
        <f t="shared" ref="F210:F224" si="16">D210*1.7+E210</f>
        <v>433.01182392000004</v>
      </c>
      <c r="G210" s="127" t="s">
        <v>199</v>
      </c>
      <c r="H210" s="128"/>
      <c r="I210" s="49"/>
      <c r="J210" s="49"/>
      <c r="K210" s="49"/>
    </row>
    <row r="211" spans="1:11" s="2" customFormat="1" x14ac:dyDescent="0.25">
      <c r="A211" s="48">
        <v>19</v>
      </c>
      <c r="B211" s="48" t="s">
        <v>177</v>
      </c>
      <c r="C211" s="48" t="s">
        <v>178</v>
      </c>
      <c r="D211" s="48">
        <f>2.75*4.69*10.764*2</f>
        <v>277.65737999999999</v>
      </c>
      <c r="E211" s="48">
        <v>0</v>
      </c>
      <c r="F211" s="48">
        <f t="shared" si="16"/>
        <v>472.01754599999998</v>
      </c>
      <c r="G211" s="127" t="s">
        <v>199</v>
      </c>
      <c r="H211" s="128"/>
      <c r="I211" s="49"/>
      <c r="J211" s="49"/>
      <c r="K211" s="49"/>
    </row>
    <row r="212" spans="1:11" s="2" customFormat="1" x14ac:dyDescent="0.25">
      <c r="A212" s="48">
        <v>20</v>
      </c>
      <c r="B212" s="48" t="s">
        <v>181</v>
      </c>
      <c r="C212" s="48" t="s">
        <v>178</v>
      </c>
      <c r="D212" s="48">
        <f>(2.52*1.8+2.67*1.53+2.59*1.36)*10.764*2</f>
        <v>261.42526799999996</v>
      </c>
      <c r="E212" s="48">
        <v>0</v>
      </c>
      <c r="F212" s="48">
        <f t="shared" si="16"/>
        <v>444.42295559999991</v>
      </c>
      <c r="G212" s="127" t="s">
        <v>199</v>
      </c>
      <c r="H212" s="128"/>
      <c r="I212" s="49"/>
      <c r="J212" s="49"/>
      <c r="K212" s="49"/>
    </row>
    <row r="213" spans="1:11" s="2" customFormat="1" x14ac:dyDescent="0.25">
      <c r="A213" s="48">
        <v>21</v>
      </c>
      <c r="B213" s="48" t="s">
        <v>177</v>
      </c>
      <c r="C213" s="48" t="s">
        <v>178</v>
      </c>
      <c r="D213" s="48">
        <f>(3.14*1.8+3.29*2.89)*10.764*2</f>
        <v>326.36663279999999</v>
      </c>
      <c r="E213" s="48">
        <v>0</v>
      </c>
      <c r="F213" s="48">
        <f t="shared" si="16"/>
        <v>554.82327576</v>
      </c>
      <c r="G213" s="127" t="s">
        <v>199</v>
      </c>
      <c r="H213" s="128"/>
      <c r="I213" s="49"/>
      <c r="J213" s="49"/>
      <c r="K213" s="49"/>
    </row>
    <row r="214" spans="1:11" s="2" customFormat="1" x14ac:dyDescent="0.25">
      <c r="A214" s="48">
        <v>22</v>
      </c>
      <c r="B214" s="48" t="s">
        <v>177</v>
      </c>
      <c r="C214" s="48" t="s">
        <v>178</v>
      </c>
      <c r="D214" s="48">
        <f>(3.23*4.69)*10.764*2</f>
        <v>326.12121360000003</v>
      </c>
      <c r="E214" s="48">
        <v>0</v>
      </c>
      <c r="F214" s="48">
        <f t="shared" si="16"/>
        <v>554.40606312</v>
      </c>
      <c r="G214" s="127" t="s">
        <v>199</v>
      </c>
      <c r="H214" s="128"/>
      <c r="I214" s="49"/>
      <c r="J214" s="49"/>
      <c r="K214" s="49"/>
    </row>
    <row r="215" spans="1:11" s="2" customFormat="1" x14ac:dyDescent="0.25">
      <c r="A215" s="48">
        <v>23</v>
      </c>
      <c r="B215" s="48" t="s">
        <v>181</v>
      </c>
      <c r="C215" s="48" t="s">
        <v>178</v>
      </c>
      <c r="D215" s="48">
        <f>(2.27*4.69)*10.764*2</f>
        <v>229.19354639999997</v>
      </c>
      <c r="E215" s="48">
        <v>0</v>
      </c>
      <c r="F215" s="48">
        <f t="shared" si="16"/>
        <v>389.62902887999996</v>
      </c>
      <c r="G215" s="127" t="s">
        <v>199</v>
      </c>
      <c r="H215" s="128"/>
      <c r="I215" s="49"/>
      <c r="J215" s="49"/>
      <c r="K215" s="49"/>
    </row>
    <row r="216" spans="1:11" s="2" customFormat="1" x14ac:dyDescent="0.25">
      <c r="A216" s="48">
        <v>24</v>
      </c>
      <c r="B216" s="48" t="s">
        <v>177</v>
      </c>
      <c r="C216" s="48" t="s">
        <v>178</v>
      </c>
      <c r="D216" s="48">
        <f>(2.37*1.8+2.52*2.89+2.43*1.38+0.91*1.13)*10.764*2</f>
        <v>342.95180399999998</v>
      </c>
      <c r="E216" s="48">
        <v>0</v>
      </c>
      <c r="F216" s="48">
        <f t="shared" si="16"/>
        <v>583.01806679999993</v>
      </c>
      <c r="G216" s="127" t="s">
        <v>199</v>
      </c>
      <c r="H216" s="128"/>
      <c r="I216" s="49"/>
      <c r="J216" s="49"/>
      <c r="K216" s="49"/>
    </row>
    <row r="217" spans="1:11" s="2" customFormat="1" x14ac:dyDescent="0.25">
      <c r="A217" s="48">
        <v>25</v>
      </c>
      <c r="B217" s="48" t="s">
        <v>177</v>
      </c>
      <c r="C217" s="48" t="s">
        <v>178</v>
      </c>
      <c r="D217" s="48">
        <f>(2.44*1.22+2.36*4.85)*10.764*2</f>
        <v>310.49403839999997</v>
      </c>
      <c r="E217" s="48">
        <v>0</v>
      </c>
      <c r="F217" s="48">
        <f t="shared" si="16"/>
        <v>527.83986527999991</v>
      </c>
      <c r="G217" s="127" t="s">
        <v>199</v>
      </c>
      <c r="H217" s="128"/>
      <c r="I217" s="49"/>
      <c r="J217" s="49"/>
      <c r="K217" s="49"/>
    </row>
    <row r="218" spans="1:11" s="2" customFormat="1" x14ac:dyDescent="0.25">
      <c r="A218" s="48">
        <v>26</v>
      </c>
      <c r="B218" s="48" t="s">
        <v>177</v>
      </c>
      <c r="C218" s="48" t="s">
        <v>178</v>
      </c>
      <c r="D218" s="48">
        <f>(0.33*2.36+2.28*1.85+2.65*2.36)*10.764*2</f>
        <v>242.20722239999998</v>
      </c>
      <c r="E218" s="48">
        <v>0</v>
      </c>
      <c r="F218" s="48">
        <f t="shared" si="16"/>
        <v>411.75227807999994</v>
      </c>
      <c r="G218" s="127" t="s">
        <v>199</v>
      </c>
      <c r="H218" s="128"/>
      <c r="I218" s="49"/>
      <c r="J218" s="49"/>
      <c r="K218" s="49"/>
    </row>
    <row r="219" spans="1:11" s="2" customFormat="1" x14ac:dyDescent="0.25">
      <c r="A219" s="48">
        <v>27</v>
      </c>
      <c r="B219" s="48" t="s">
        <v>177</v>
      </c>
      <c r="C219" s="48" t="s">
        <v>178</v>
      </c>
      <c r="D219" s="48">
        <f>(0.33*2.6+1.6*2.52+2.9*2.6)*10.764*2</f>
        <v>267.59303999999997</v>
      </c>
      <c r="E219" s="48">
        <v>0</v>
      </c>
      <c r="F219" s="48">
        <f t="shared" si="16"/>
        <v>454.90816799999993</v>
      </c>
      <c r="G219" s="127" t="s">
        <v>199</v>
      </c>
      <c r="H219" s="128"/>
      <c r="I219" s="49"/>
      <c r="J219" s="49"/>
      <c r="K219" s="49"/>
    </row>
    <row r="220" spans="1:11" s="2" customFormat="1" x14ac:dyDescent="0.25">
      <c r="A220" s="48">
        <v>28</v>
      </c>
      <c r="B220" s="48" t="s">
        <v>177</v>
      </c>
      <c r="C220" s="48" t="s">
        <v>178</v>
      </c>
      <c r="D220" s="48">
        <f>(3.95*2.75+1.33*2.83)*10.764*2</f>
        <v>314.87713919999999</v>
      </c>
      <c r="E220" s="48">
        <v>0</v>
      </c>
      <c r="F220" s="48">
        <f t="shared" si="16"/>
        <v>535.29113663999999</v>
      </c>
      <c r="G220" s="127" t="s">
        <v>199</v>
      </c>
      <c r="H220" s="128"/>
      <c r="I220" s="49"/>
      <c r="J220" s="49"/>
      <c r="K220" s="49"/>
    </row>
    <row r="221" spans="1:11" s="2" customFormat="1" x14ac:dyDescent="0.25">
      <c r="A221" s="48">
        <v>29</v>
      </c>
      <c r="B221" s="48" t="s">
        <v>177</v>
      </c>
      <c r="C221" s="48" t="s">
        <v>178</v>
      </c>
      <c r="D221" s="48">
        <f>(3.73*2.2)*10.764*2</f>
        <v>176.65876800000001</v>
      </c>
      <c r="E221" s="48">
        <v>0</v>
      </c>
      <c r="F221" s="48">
        <f t="shared" si="16"/>
        <v>300.31990560000003</v>
      </c>
      <c r="G221" s="127" t="s">
        <v>199</v>
      </c>
      <c r="H221" s="128"/>
      <c r="I221" s="49"/>
      <c r="J221" s="49"/>
      <c r="K221" s="49"/>
    </row>
    <row r="222" spans="1:11" s="2" customFormat="1" ht="15.75" customHeight="1" x14ac:dyDescent="0.25">
      <c r="A222" s="48">
        <v>30</v>
      </c>
      <c r="B222" s="48" t="s">
        <v>181</v>
      </c>
      <c r="C222" s="48" t="s">
        <v>178</v>
      </c>
      <c r="D222" s="48">
        <f>(3.73*1.85)*10.764*2</f>
        <v>148.55396399999998</v>
      </c>
      <c r="E222" s="48">
        <v>0</v>
      </c>
      <c r="F222" s="48">
        <f t="shared" si="16"/>
        <v>252.54173879999996</v>
      </c>
      <c r="G222" s="127" t="s">
        <v>199</v>
      </c>
      <c r="H222" s="128"/>
      <c r="I222" s="49"/>
      <c r="J222" s="49"/>
      <c r="K222" s="49"/>
    </row>
    <row r="223" spans="1:11" s="2" customFormat="1" x14ac:dyDescent="0.25">
      <c r="A223" s="48">
        <v>31</v>
      </c>
      <c r="B223" s="48" t="s">
        <v>177</v>
      </c>
      <c r="C223" s="48" t="s">
        <v>178</v>
      </c>
      <c r="D223" s="48">
        <f>(1.18*2.39+1.61*2.24+2.85*2.39)*10.764*2</f>
        <v>284.98981680000003</v>
      </c>
      <c r="E223" s="48">
        <v>0</v>
      </c>
      <c r="F223" s="48">
        <f t="shared" si="16"/>
        <v>484.48268856000004</v>
      </c>
      <c r="G223" s="127" t="s">
        <v>199</v>
      </c>
      <c r="H223" s="128"/>
      <c r="I223" s="49"/>
      <c r="J223" s="49"/>
      <c r="K223" s="49"/>
    </row>
    <row r="224" spans="1:11" s="2" customFormat="1" x14ac:dyDescent="0.25">
      <c r="A224" s="48">
        <v>32</v>
      </c>
      <c r="B224" s="48" t="s">
        <v>177</v>
      </c>
      <c r="C224" s="48" t="s">
        <v>178</v>
      </c>
      <c r="D224" s="48">
        <f>(0.55*2.57+3.32*2.49+1.18*2.57)*10.764*2</f>
        <v>273.68331119999993</v>
      </c>
      <c r="E224" s="48">
        <v>0</v>
      </c>
      <c r="F224" s="48">
        <f t="shared" si="16"/>
        <v>465.26162903999989</v>
      </c>
      <c r="G224" s="127" t="s">
        <v>199</v>
      </c>
      <c r="H224" s="128"/>
      <c r="I224" s="49"/>
      <c r="J224" s="49"/>
      <c r="K224" s="49"/>
    </row>
    <row r="225" spans="1:11" s="2" customFormat="1" x14ac:dyDescent="0.25">
      <c r="A225" s="139" t="s">
        <v>240</v>
      </c>
      <c r="B225" s="139"/>
      <c r="C225" s="139"/>
      <c r="D225" s="139"/>
      <c r="E225" s="139"/>
      <c r="F225" s="139"/>
      <c r="G225" s="139"/>
      <c r="H225" s="139"/>
      <c r="I225" s="49"/>
      <c r="J225" s="49"/>
      <c r="K225" s="49"/>
    </row>
    <row r="226" spans="1:11" s="2" customFormat="1" x14ac:dyDescent="0.25">
      <c r="A226" s="139" t="s">
        <v>188</v>
      </c>
      <c r="B226" s="139"/>
      <c r="C226" s="139"/>
      <c r="D226" s="139"/>
      <c r="E226" s="139"/>
      <c r="F226" s="139"/>
      <c r="G226" s="139"/>
      <c r="H226" s="139"/>
      <c r="I226" s="49"/>
      <c r="J226" s="49"/>
      <c r="K226" s="49"/>
    </row>
    <row r="227" spans="1:11" s="2" customFormat="1" x14ac:dyDescent="0.25">
      <c r="A227" s="127">
        <v>1</v>
      </c>
      <c r="B227" s="128" t="s">
        <v>181</v>
      </c>
      <c r="C227" s="48" t="s">
        <v>182</v>
      </c>
      <c r="D227" s="48">
        <f>((2.75*3.91+2.2*2.54+2.6*2.97+1.85*1.2+1.2*1.85+0.85*0.43))*10.764</f>
        <v>310.73515200000003</v>
      </c>
      <c r="E227" s="48">
        <v>0</v>
      </c>
      <c r="F227" s="48">
        <f t="shared" ref="F227:F233" si="17">D227*1.65+E227</f>
        <v>512.71300080000003</v>
      </c>
      <c r="G227" s="140" t="s">
        <v>184</v>
      </c>
      <c r="H227" s="141"/>
      <c r="I227" s="49"/>
      <c r="J227" s="49"/>
      <c r="K227" s="49"/>
    </row>
    <row r="228" spans="1:11" s="2" customFormat="1" x14ac:dyDescent="0.25">
      <c r="A228" s="127">
        <v>2</v>
      </c>
      <c r="B228" s="128" t="s">
        <v>181</v>
      </c>
      <c r="C228" s="48" t="s">
        <v>182</v>
      </c>
      <c r="D228" s="48">
        <f>((3.95*2.75+2.35*2.2+3*2.6+1.2*1.85+1.85*1.2+0.65*0.85))*10.764</f>
        <v>310.27229999999997</v>
      </c>
      <c r="E228" s="48">
        <v>0</v>
      </c>
      <c r="F228" s="48">
        <f t="shared" si="17"/>
        <v>511.94929499999995</v>
      </c>
      <c r="G228" s="142"/>
      <c r="H228" s="143"/>
      <c r="I228" s="49"/>
      <c r="J228" s="49"/>
      <c r="K228" s="49"/>
    </row>
    <row r="229" spans="1:11" s="2" customFormat="1" x14ac:dyDescent="0.25">
      <c r="A229" s="127">
        <v>3</v>
      </c>
      <c r="B229" s="128" t="s">
        <v>181</v>
      </c>
      <c r="C229" s="48" t="s">
        <v>182</v>
      </c>
      <c r="D229" s="48">
        <f>((3.6*2.75+2.35*2.2+3*2.6+1.2*1.85+1.85*1.2+0.65*0.85))*10.764</f>
        <v>299.91194999999993</v>
      </c>
      <c r="E229" s="48">
        <v>0</v>
      </c>
      <c r="F229" s="48">
        <f t="shared" si="17"/>
        <v>494.85471749999988</v>
      </c>
      <c r="G229" s="142"/>
      <c r="H229" s="143"/>
      <c r="I229" s="49"/>
      <c r="J229" s="49"/>
      <c r="K229" s="49"/>
    </row>
    <row r="230" spans="1:11" s="2" customFormat="1" x14ac:dyDescent="0.25">
      <c r="A230" s="127">
        <v>4</v>
      </c>
      <c r="B230" s="128" t="s">
        <v>181</v>
      </c>
      <c r="C230" s="48" t="s">
        <v>182</v>
      </c>
      <c r="D230" s="48">
        <f>(3.65*2.75+2.35*2.2+3*2.6+1.2*1.85+1.85*1.2+0.65*0.85)*10.764</f>
        <v>301.39199999999994</v>
      </c>
      <c r="E230" s="48">
        <v>0</v>
      </c>
      <c r="F230" s="48">
        <f t="shared" si="17"/>
        <v>497.29679999999985</v>
      </c>
      <c r="G230" s="142"/>
      <c r="H230" s="143"/>
      <c r="I230" s="49"/>
      <c r="J230" s="49"/>
      <c r="K230" s="49"/>
    </row>
    <row r="231" spans="1:11" s="2" customFormat="1" x14ac:dyDescent="0.25">
      <c r="A231" s="127">
        <v>5</v>
      </c>
      <c r="B231" s="128" t="s">
        <v>181</v>
      </c>
      <c r="C231" s="48" t="s">
        <v>182</v>
      </c>
      <c r="D231" s="48">
        <f>(2.75*3.65+2.2*2.35+2.6*3+1.85*1.2+1.2*1.85+0.85*0.65)*10.764</f>
        <v>301.39199999999994</v>
      </c>
      <c r="E231" s="48">
        <v>0</v>
      </c>
      <c r="F231" s="48">
        <f t="shared" si="17"/>
        <v>497.29679999999985</v>
      </c>
      <c r="G231" s="142"/>
      <c r="H231" s="143"/>
      <c r="I231" s="49"/>
      <c r="J231" s="49"/>
      <c r="K231" s="49"/>
    </row>
    <row r="232" spans="1:11" s="2" customFormat="1" x14ac:dyDescent="0.25">
      <c r="A232" s="127">
        <v>6</v>
      </c>
      <c r="B232" s="128" t="s">
        <v>181</v>
      </c>
      <c r="C232" s="48" t="s">
        <v>182</v>
      </c>
      <c r="D232" s="48">
        <f>(2.75*3.65+2.2*2.35+2.6*3+1.85*1.2+1.2*1.85+0.85*0.65)*10.764</f>
        <v>301.39199999999994</v>
      </c>
      <c r="E232" s="48">
        <v>0</v>
      </c>
      <c r="F232" s="48">
        <f t="shared" si="17"/>
        <v>497.29679999999985</v>
      </c>
      <c r="G232" s="142"/>
      <c r="H232" s="143"/>
      <c r="I232" s="49"/>
      <c r="J232" s="49"/>
      <c r="K232" s="49"/>
    </row>
    <row r="233" spans="1:11" s="2" customFormat="1" x14ac:dyDescent="0.25">
      <c r="A233" s="127">
        <v>7</v>
      </c>
      <c r="B233" s="128" t="s">
        <v>181</v>
      </c>
      <c r="C233" s="48" t="s">
        <v>182</v>
      </c>
      <c r="D233" s="48">
        <f>((2.75*3.91+2.2*2.54+2.6*2.97+1.85*1.2+1.2*1.85+0.85*0.43))*10.764</f>
        <v>310.73515200000003</v>
      </c>
      <c r="E233" s="48">
        <v>0</v>
      </c>
      <c r="F233" s="48">
        <f t="shared" si="17"/>
        <v>512.71300080000003</v>
      </c>
      <c r="G233" s="144"/>
      <c r="H233" s="145"/>
      <c r="I233" s="49"/>
      <c r="J233" s="49"/>
      <c r="K233" s="49"/>
    </row>
    <row r="234" spans="1:11" s="2" customFormat="1" x14ac:dyDescent="0.25">
      <c r="A234" s="139" t="s">
        <v>242</v>
      </c>
      <c r="B234" s="139"/>
      <c r="C234" s="139"/>
      <c r="D234" s="139"/>
      <c r="E234" s="139"/>
      <c r="F234" s="139"/>
      <c r="G234" s="139"/>
      <c r="H234" s="139"/>
      <c r="I234" s="49"/>
      <c r="J234" s="49"/>
      <c r="K234" s="49"/>
    </row>
    <row r="235" spans="1:11" s="2" customFormat="1" x14ac:dyDescent="0.25">
      <c r="A235" s="127">
        <v>1</v>
      </c>
      <c r="B235" s="128" t="s">
        <v>181</v>
      </c>
      <c r="C235" s="48" t="s">
        <v>182</v>
      </c>
      <c r="D235" s="48">
        <f>((2.75*3.91+2.2*2.54+2.6*2.97+1.85*1.2+1.2*1.85+0.85*0.43))*10.764</f>
        <v>310.73515200000003</v>
      </c>
      <c r="E235" s="48">
        <v>0</v>
      </c>
      <c r="F235" s="48">
        <f t="shared" ref="F235:F241" si="18">D235*1.65+E235</f>
        <v>512.71300080000003</v>
      </c>
      <c r="G235" s="140" t="s">
        <v>184</v>
      </c>
      <c r="H235" s="141"/>
      <c r="I235" s="49"/>
      <c r="J235" s="49"/>
      <c r="K235" s="49"/>
    </row>
    <row r="236" spans="1:11" s="2" customFormat="1" x14ac:dyDescent="0.25">
      <c r="A236" s="127">
        <v>2</v>
      </c>
      <c r="B236" s="128" t="s">
        <v>181</v>
      </c>
      <c r="C236" s="48" t="s">
        <v>182</v>
      </c>
      <c r="D236" s="48">
        <f>((3.95*2.75+2.35*2.2+3*2.6+1.2*1.85+1.85*1.2+0.65*0.85))*10.764</f>
        <v>310.27229999999997</v>
      </c>
      <c r="E236" s="48">
        <v>0</v>
      </c>
      <c r="F236" s="48">
        <f t="shared" si="18"/>
        <v>511.94929499999995</v>
      </c>
      <c r="G236" s="142"/>
      <c r="H236" s="143"/>
      <c r="I236" s="49"/>
      <c r="J236" s="49"/>
      <c r="K236" s="49"/>
    </row>
    <row r="237" spans="1:11" s="2" customFormat="1" x14ac:dyDescent="0.25">
      <c r="A237" s="127">
        <v>3</v>
      </c>
      <c r="B237" s="128" t="s">
        <v>181</v>
      </c>
      <c r="C237" s="48" t="s">
        <v>182</v>
      </c>
      <c r="D237" s="48">
        <f>((3.6*2.75+2.35*2.2+3*2.6+1.2*1.85+1.85*1.2+0.65*0.85))*10.764</f>
        <v>299.91194999999993</v>
      </c>
      <c r="E237" s="48">
        <v>0</v>
      </c>
      <c r="F237" s="48">
        <f t="shared" si="18"/>
        <v>494.85471749999988</v>
      </c>
      <c r="G237" s="142"/>
      <c r="H237" s="143"/>
      <c r="I237" s="49"/>
      <c r="J237" s="49"/>
      <c r="K237" s="49"/>
    </row>
    <row r="238" spans="1:11" s="2" customFormat="1" x14ac:dyDescent="0.25">
      <c r="A238" s="127">
        <v>4</v>
      </c>
      <c r="B238" s="128" t="s">
        <v>181</v>
      </c>
      <c r="C238" s="48" t="s">
        <v>182</v>
      </c>
      <c r="D238" s="48">
        <f>(3.65*2.75+2.35*2.2+3*2.6+1.2*1.85+1.85*1.2+0.65*0.85)*10.764</f>
        <v>301.39199999999994</v>
      </c>
      <c r="E238" s="48">
        <v>0</v>
      </c>
      <c r="F238" s="48">
        <f t="shared" si="18"/>
        <v>497.29679999999985</v>
      </c>
      <c r="G238" s="142"/>
      <c r="H238" s="143"/>
      <c r="I238" s="49"/>
      <c r="J238" s="49"/>
      <c r="K238" s="49"/>
    </row>
    <row r="239" spans="1:11" s="2" customFormat="1" x14ac:dyDescent="0.25">
      <c r="A239" s="127">
        <v>5</v>
      </c>
      <c r="B239" s="128" t="s">
        <v>181</v>
      </c>
      <c r="C239" s="48" t="s">
        <v>182</v>
      </c>
      <c r="D239" s="48">
        <f>(2.75*3.65+2.2*2.35+2.6*3+1.85*1.2+1.2*1.85+0.85*0.65)*10.764</f>
        <v>301.39199999999994</v>
      </c>
      <c r="E239" s="48">
        <v>0</v>
      </c>
      <c r="F239" s="48">
        <f t="shared" si="18"/>
        <v>497.29679999999985</v>
      </c>
      <c r="G239" s="142"/>
      <c r="H239" s="143"/>
      <c r="I239" s="49"/>
      <c r="J239" s="49"/>
      <c r="K239" s="49"/>
    </row>
    <row r="240" spans="1:11" s="2" customFormat="1" x14ac:dyDescent="0.25">
      <c r="A240" s="127">
        <v>6</v>
      </c>
      <c r="B240" s="128" t="s">
        <v>181</v>
      </c>
      <c r="C240" s="48" t="s">
        <v>182</v>
      </c>
      <c r="D240" s="48">
        <f>(2.75*3.65+2.2*2.35+2.6*3+1.85*1.2+1.2*1.85+0.85*0.65)*10.764</f>
        <v>301.39199999999994</v>
      </c>
      <c r="E240" s="48">
        <v>0</v>
      </c>
      <c r="F240" s="48">
        <f t="shared" si="18"/>
        <v>497.29679999999985</v>
      </c>
      <c r="G240" s="142"/>
      <c r="H240" s="143"/>
      <c r="I240" s="49"/>
      <c r="J240" s="49"/>
      <c r="K240" s="49"/>
    </row>
    <row r="241" spans="1:11" s="2" customFormat="1" x14ac:dyDescent="0.25">
      <c r="A241" s="127">
        <v>7</v>
      </c>
      <c r="B241" s="128" t="s">
        <v>181</v>
      </c>
      <c r="C241" s="48" t="s">
        <v>182</v>
      </c>
      <c r="D241" s="48">
        <f>((2.75*3.91+2.2*2.54+2.6*2.97+1.85*1.2+1.2*1.85+0.85*0.43))*10.764</f>
        <v>310.73515200000003</v>
      </c>
      <c r="E241" s="48">
        <v>0</v>
      </c>
      <c r="F241" s="48">
        <f t="shared" si="18"/>
        <v>512.71300080000003</v>
      </c>
      <c r="G241" s="144"/>
      <c r="H241" s="145"/>
      <c r="I241" s="49"/>
      <c r="J241" s="49"/>
      <c r="K241" s="49"/>
    </row>
    <row r="242" spans="1:11" s="2" customFormat="1" x14ac:dyDescent="0.25">
      <c r="A242" s="139" t="s">
        <v>244</v>
      </c>
      <c r="B242" s="139"/>
      <c r="C242" s="139"/>
      <c r="D242" s="139"/>
      <c r="E242" s="139"/>
      <c r="F242" s="139"/>
      <c r="G242" s="139"/>
      <c r="H242" s="139"/>
      <c r="I242" s="49"/>
      <c r="J242" s="49"/>
      <c r="K242" s="49"/>
    </row>
    <row r="243" spans="1:11" s="2" customFormat="1" x14ac:dyDescent="0.25">
      <c r="A243" s="127">
        <v>1</v>
      </c>
      <c r="B243" s="128" t="s">
        <v>181</v>
      </c>
      <c r="C243" s="48" t="s">
        <v>182</v>
      </c>
      <c r="D243" s="48">
        <f>((2.75*3.91+2.2*2.54+2.6*2.97+1.85*1.2+1.2*1.85+0.85*0.43))*10.764</f>
        <v>310.73515200000003</v>
      </c>
      <c r="E243" s="48">
        <v>0</v>
      </c>
      <c r="F243" s="48">
        <f t="shared" ref="F243:F247" si="19">D243*1.65+E243</f>
        <v>512.71300080000003</v>
      </c>
      <c r="G243" s="140" t="str">
        <f>A242</f>
        <v>8th, 15th, 22nd Floor(Part Refuge Area)</v>
      </c>
      <c r="H243" s="141"/>
      <c r="I243" s="49"/>
      <c r="J243" s="49"/>
      <c r="K243" s="49"/>
    </row>
    <row r="244" spans="1:11" s="2" customFormat="1" x14ac:dyDescent="0.25">
      <c r="A244" s="127">
        <v>2</v>
      </c>
      <c r="B244" s="128" t="s">
        <v>181</v>
      </c>
      <c r="C244" s="48" t="s">
        <v>182</v>
      </c>
      <c r="D244" s="48">
        <f>((3.95*2.75+2.35*2.2+3*2.6+1.2*1.85+1.85*1.2+0.65*0.85))*10.764</f>
        <v>310.27229999999997</v>
      </c>
      <c r="E244" s="48">
        <v>0</v>
      </c>
      <c r="F244" s="48">
        <f t="shared" si="19"/>
        <v>511.94929499999995</v>
      </c>
      <c r="G244" s="142"/>
      <c r="H244" s="143"/>
      <c r="I244" s="49"/>
      <c r="J244" s="49"/>
      <c r="K244" s="49"/>
    </row>
    <row r="245" spans="1:11" s="2" customFormat="1" x14ac:dyDescent="0.25">
      <c r="A245" s="127">
        <v>3</v>
      </c>
      <c r="B245" s="128" t="s">
        <v>181</v>
      </c>
      <c r="C245" s="48" t="s">
        <v>182</v>
      </c>
      <c r="D245" s="48">
        <f>((3.6*2.75+2.35*2.2+3*2.6+1.2*1.85+1.85*1.2+0.65*0.85))*10.764</f>
        <v>299.91194999999993</v>
      </c>
      <c r="E245" s="48">
        <v>0</v>
      </c>
      <c r="F245" s="48">
        <f t="shared" si="19"/>
        <v>494.85471749999988</v>
      </c>
      <c r="G245" s="142"/>
      <c r="H245" s="143"/>
      <c r="I245" s="49"/>
      <c r="J245" s="49"/>
      <c r="K245" s="49"/>
    </row>
    <row r="246" spans="1:11" s="2" customFormat="1" x14ac:dyDescent="0.25">
      <c r="A246" s="127">
        <v>4</v>
      </c>
      <c r="B246" s="128" t="s">
        <v>181</v>
      </c>
      <c r="C246" s="48" t="s">
        <v>182</v>
      </c>
      <c r="D246" s="48">
        <f>(3.65*2.75+2.35*2.2+3*2.6+1.2*1.85+1.85*1.2+0.65*0.85)*10.764</f>
        <v>301.39199999999994</v>
      </c>
      <c r="E246" s="48">
        <v>0</v>
      </c>
      <c r="F246" s="48">
        <f t="shared" si="19"/>
        <v>497.29679999999985</v>
      </c>
      <c r="G246" s="142"/>
      <c r="H246" s="143"/>
      <c r="I246" s="49"/>
      <c r="J246" s="49"/>
      <c r="K246" s="49"/>
    </row>
    <row r="247" spans="1:11" s="2" customFormat="1" x14ac:dyDescent="0.25">
      <c r="A247" s="127">
        <v>5</v>
      </c>
      <c r="B247" s="128" t="s">
        <v>181</v>
      </c>
      <c r="C247" s="48" t="s">
        <v>182</v>
      </c>
      <c r="D247" s="48">
        <f>(2.75*3.65+2.2*2.35+2.6*3+1.85*1.2+1.2*1.85+0.85*0.65)*10.764</f>
        <v>301.39199999999994</v>
      </c>
      <c r="E247" s="48">
        <v>0</v>
      </c>
      <c r="F247" s="48">
        <f t="shared" si="19"/>
        <v>497.29679999999985</v>
      </c>
      <c r="G247" s="142"/>
      <c r="H247" s="143"/>
      <c r="I247" s="49"/>
      <c r="J247" s="49"/>
      <c r="K247" s="49"/>
    </row>
    <row r="248" spans="1:11" s="2" customFormat="1" x14ac:dyDescent="0.25">
      <c r="A248" s="127">
        <v>6</v>
      </c>
      <c r="B248" s="128" t="s">
        <v>181</v>
      </c>
      <c r="C248" s="146" t="s">
        <v>185</v>
      </c>
      <c r="D248" s="146"/>
      <c r="E248" s="146"/>
      <c r="F248" s="141"/>
      <c r="G248" s="142"/>
      <c r="H248" s="143"/>
      <c r="I248" s="49"/>
      <c r="J248" s="49"/>
      <c r="K248" s="49"/>
    </row>
    <row r="249" spans="1:11" s="2" customFormat="1" x14ac:dyDescent="0.25">
      <c r="A249" s="127">
        <v>7</v>
      </c>
      <c r="B249" s="128" t="s">
        <v>181</v>
      </c>
      <c r="C249" s="147"/>
      <c r="D249" s="147"/>
      <c r="E249" s="147"/>
      <c r="F249" s="145"/>
      <c r="G249" s="144"/>
      <c r="H249" s="145"/>
      <c r="I249" s="49"/>
      <c r="J249" s="49"/>
      <c r="K249" s="49"/>
    </row>
    <row r="250" spans="1:11" s="2" customFormat="1" x14ac:dyDescent="0.25">
      <c r="A250" s="139" t="s">
        <v>245</v>
      </c>
      <c r="B250" s="139"/>
      <c r="C250" s="139"/>
      <c r="D250" s="139"/>
      <c r="E250" s="139"/>
      <c r="F250" s="139"/>
      <c r="G250" s="139"/>
      <c r="H250" s="139"/>
      <c r="I250" s="49"/>
      <c r="J250" s="49"/>
      <c r="K250" s="49"/>
    </row>
    <row r="251" spans="1:11" s="2" customFormat="1" x14ac:dyDescent="0.25">
      <c r="A251" s="127">
        <v>1</v>
      </c>
      <c r="B251" s="128" t="s">
        <v>181</v>
      </c>
      <c r="C251" s="48" t="s">
        <v>182</v>
      </c>
      <c r="D251" s="48">
        <f>((2.75*3.91+2.2*2.54+2.6*2.97+1.85*1.2+1.2*1.85+0.85*0.43))*10.764</f>
        <v>310.73515200000003</v>
      </c>
      <c r="E251" s="48">
        <v>0</v>
      </c>
      <c r="F251" s="48">
        <f t="shared" ref="F251:F255" si="20">D251*1.65+E251</f>
        <v>512.71300080000003</v>
      </c>
      <c r="G251" s="140" t="str">
        <f>A250</f>
        <v>29th Floor (Part Refuge Area)</v>
      </c>
      <c r="H251" s="141"/>
      <c r="I251" s="49"/>
      <c r="J251" s="49"/>
      <c r="K251" s="49"/>
    </row>
    <row r="252" spans="1:11" s="2" customFormat="1" x14ac:dyDescent="0.25">
      <c r="A252" s="127">
        <v>2</v>
      </c>
      <c r="B252" s="128" t="s">
        <v>181</v>
      </c>
      <c r="C252" s="48" t="s">
        <v>182</v>
      </c>
      <c r="D252" s="48">
        <f>((3.95*2.75+2.35*2.2+3*2.6+1.2*1.85+1.85*1.2+0.65*0.85))*10.764</f>
        <v>310.27229999999997</v>
      </c>
      <c r="E252" s="48">
        <v>0</v>
      </c>
      <c r="F252" s="48">
        <f t="shared" si="20"/>
        <v>511.94929499999995</v>
      </c>
      <c r="G252" s="142"/>
      <c r="H252" s="143"/>
      <c r="I252" s="49"/>
      <c r="J252" s="49"/>
      <c r="K252" s="49"/>
    </row>
    <row r="253" spans="1:11" s="2" customFormat="1" x14ac:dyDescent="0.25">
      <c r="A253" s="127">
        <v>3</v>
      </c>
      <c r="B253" s="128" t="s">
        <v>181</v>
      </c>
      <c r="C253" s="48" t="s">
        <v>182</v>
      </c>
      <c r="D253" s="48">
        <f>((3.6*2.75+2.35*2.2+3*2.6+1.2*1.85+1.85*1.2+0.65*0.85))*10.764</f>
        <v>299.91194999999993</v>
      </c>
      <c r="E253" s="48">
        <v>0</v>
      </c>
      <c r="F253" s="48">
        <f t="shared" si="20"/>
        <v>494.85471749999988</v>
      </c>
      <c r="G253" s="142"/>
      <c r="H253" s="143"/>
      <c r="I253" s="49"/>
      <c r="J253" s="49"/>
      <c r="K253" s="49"/>
    </row>
    <row r="254" spans="1:11" s="2" customFormat="1" x14ac:dyDescent="0.25">
      <c r="A254" s="127">
        <v>4</v>
      </c>
      <c r="B254" s="128" t="s">
        <v>181</v>
      </c>
      <c r="C254" s="48" t="s">
        <v>182</v>
      </c>
      <c r="D254" s="48">
        <f>(3.65*2.75+2.35*2.2+3*2.6+1.2*1.85+1.85*1.2+0.65*0.85)*10.764</f>
        <v>301.39199999999994</v>
      </c>
      <c r="E254" s="48">
        <v>0</v>
      </c>
      <c r="F254" s="48">
        <f t="shared" si="20"/>
        <v>497.29679999999985</v>
      </c>
      <c r="G254" s="142"/>
      <c r="H254" s="143"/>
      <c r="I254" s="49"/>
      <c r="J254" s="49"/>
      <c r="K254" s="49"/>
    </row>
    <row r="255" spans="1:11" s="2" customFormat="1" x14ac:dyDescent="0.25">
      <c r="A255" s="127">
        <v>5</v>
      </c>
      <c r="B255" s="128" t="s">
        <v>181</v>
      </c>
      <c r="C255" s="48" t="s">
        <v>182</v>
      </c>
      <c r="D255" s="48">
        <f>(2.75*3.65+2.2*2.35+2.6*3+1.85*1.2+1.2*1.85+0.85*0.65)*10.764</f>
        <v>301.39199999999994</v>
      </c>
      <c r="E255" s="48">
        <v>0</v>
      </c>
      <c r="F255" s="48">
        <f t="shared" si="20"/>
        <v>497.29679999999985</v>
      </c>
      <c r="G255" s="142"/>
      <c r="H255" s="143"/>
      <c r="I255" s="49"/>
      <c r="J255" s="49"/>
      <c r="K255" s="49"/>
    </row>
    <row r="256" spans="1:11" s="2" customFormat="1" x14ac:dyDescent="0.25">
      <c r="A256" s="127">
        <v>6</v>
      </c>
      <c r="B256" s="128" t="s">
        <v>181</v>
      </c>
      <c r="C256" s="146" t="s">
        <v>185</v>
      </c>
      <c r="D256" s="146"/>
      <c r="E256" s="146"/>
      <c r="F256" s="141"/>
      <c r="G256" s="142"/>
      <c r="H256" s="143"/>
      <c r="I256" s="49"/>
      <c r="J256" s="49"/>
      <c r="K256" s="49"/>
    </row>
    <row r="257" spans="1:11" s="2" customFormat="1" x14ac:dyDescent="0.25">
      <c r="A257" s="127">
        <v>7</v>
      </c>
      <c r="B257" s="128" t="s">
        <v>181</v>
      </c>
      <c r="C257" s="147"/>
      <c r="D257" s="147"/>
      <c r="E257" s="147"/>
      <c r="F257" s="145"/>
      <c r="G257" s="144"/>
      <c r="H257" s="145"/>
      <c r="I257" s="49"/>
      <c r="J257" s="49"/>
      <c r="K257" s="49"/>
    </row>
    <row r="258" spans="1:11" s="2" customFormat="1" x14ac:dyDescent="0.25">
      <c r="A258" s="139" t="s">
        <v>186</v>
      </c>
      <c r="B258" s="139"/>
      <c r="C258" s="139"/>
      <c r="D258" s="139"/>
      <c r="E258" s="139"/>
      <c r="F258" s="139"/>
      <c r="G258" s="139"/>
      <c r="H258" s="139"/>
      <c r="I258" s="49"/>
      <c r="J258" s="49"/>
      <c r="K258" s="49"/>
    </row>
    <row r="259" spans="1:11" s="2" customFormat="1" x14ac:dyDescent="0.25">
      <c r="A259" s="139" t="s">
        <v>174</v>
      </c>
      <c r="B259" s="139"/>
      <c r="C259" s="139"/>
      <c r="D259" s="139"/>
      <c r="E259" s="139"/>
      <c r="F259" s="139"/>
      <c r="G259" s="139"/>
      <c r="H259" s="139"/>
      <c r="I259" s="49"/>
      <c r="J259" s="49"/>
      <c r="K259" s="49"/>
    </row>
    <row r="260" spans="1:11" s="2" customFormat="1" x14ac:dyDescent="0.25">
      <c r="A260" s="48">
        <v>33</v>
      </c>
      <c r="B260" s="48" t="s">
        <v>177</v>
      </c>
      <c r="C260" s="48" t="s">
        <v>178</v>
      </c>
      <c r="D260" s="48">
        <f>(1.05*2.65+4.81*2.4+2.26*2+2*0.63+3*2.8)*10.764</f>
        <v>306.84396599999997</v>
      </c>
      <c r="E260" s="48">
        <v>0</v>
      </c>
      <c r="F260" s="48">
        <f>D260*1.7+E260</f>
        <v>521.63474219999989</v>
      </c>
      <c r="G260" s="140" t="s">
        <v>179</v>
      </c>
      <c r="H260" s="141"/>
      <c r="I260" s="49"/>
      <c r="J260" s="49"/>
      <c r="K260" s="49"/>
    </row>
    <row r="261" spans="1:11" s="2" customFormat="1" x14ac:dyDescent="0.25">
      <c r="A261" s="48">
        <v>34</v>
      </c>
      <c r="B261" s="48" t="s">
        <v>177</v>
      </c>
      <c r="C261" s="48" t="s">
        <v>178</v>
      </c>
      <c r="D261" s="48">
        <f>(4.72*2.65+1.55*3.38+3.15*3.23+2*0.68)*10.764</f>
        <v>315.18606599999998</v>
      </c>
      <c r="E261" s="48">
        <v>0</v>
      </c>
      <c r="F261" s="48">
        <f t="shared" ref="F261:F275" si="21">D261*1.7+E261</f>
        <v>535.81631219999997</v>
      </c>
      <c r="G261" s="142"/>
      <c r="H261" s="143"/>
      <c r="I261" s="49"/>
      <c r="J261" s="49"/>
      <c r="K261" s="49"/>
    </row>
    <row r="262" spans="1:11" s="2" customFormat="1" x14ac:dyDescent="0.25">
      <c r="A262" s="48">
        <v>35</v>
      </c>
      <c r="B262" s="48" t="s">
        <v>177</v>
      </c>
      <c r="C262" s="48" t="s">
        <v>178</v>
      </c>
      <c r="D262" s="48">
        <f>(3.03*2.19)*10.764</f>
        <v>71.426674799999986</v>
      </c>
      <c r="E262" s="48">
        <v>0</v>
      </c>
      <c r="F262" s="48">
        <f t="shared" si="21"/>
        <v>121.42534715999997</v>
      </c>
      <c r="G262" s="142"/>
      <c r="H262" s="143"/>
      <c r="I262" s="49"/>
      <c r="J262" s="49"/>
      <c r="K262" s="49"/>
    </row>
    <row r="263" spans="1:11" s="2" customFormat="1" x14ac:dyDescent="0.25">
      <c r="A263" s="48">
        <v>36</v>
      </c>
      <c r="B263" s="48" t="s">
        <v>177</v>
      </c>
      <c r="C263" s="48" t="s">
        <v>178</v>
      </c>
      <c r="D263" s="48">
        <f>(1.05*1.54+1.97*1.34)*10.764</f>
        <v>45.820195200000001</v>
      </c>
      <c r="E263" s="48">
        <v>0</v>
      </c>
      <c r="F263" s="48">
        <f t="shared" si="21"/>
        <v>77.894331839999992</v>
      </c>
      <c r="G263" s="142"/>
      <c r="H263" s="143"/>
      <c r="I263" s="49"/>
      <c r="J263" s="49"/>
      <c r="K263" s="49"/>
    </row>
    <row r="264" spans="1:11" s="2" customFormat="1" x14ac:dyDescent="0.25">
      <c r="A264" s="48">
        <v>37</v>
      </c>
      <c r="B264" s="48" t="s">
        <v>177</v>
      </c>
      <c r="C264" s="48" t="s">
        <v>178</v>
      </c>
      <c r="D264" s="48">
        <f>(5.73*2.33+2.5*0.65)*10.764</f>
        <v>161.20058760000001</v>
      </c>
      <c r="E264" s="48">
        <v>0</v>
      </c>
      <c r="F264" s="48">
        <f t="shared" si="21"/>
        <v>274.04099891999999</v>
      </c>
      <c r="G264" s="142"/>
      <c r="H264" s="143"/>
      <c r="I264" s="49"/>
      <c r="J264" s="49"/>
      <c r="K264" s="49"/>
    </row>
    <row r="265" spans="1:11" s="2" customFormat="1" x14ac:dyDescent="0.25">
      <c r="A265" s="48">
        <v>38</v>
      </c>
      <c r="B265" s="48" t="s">
        <v>177</v>
      </c>
      <c r="C265" s="48" t="s">
        <v>178</v>
      </c>
      <c r="D265" s="48">
        <f>(5.72*1.71)*10.764</f>
        <v>105.28483679999999</v>
      </c>
      <c r="E265" s="48">
        <v>0</v>
      </c>
      <c r="F265" s="48">
        <f t="shared" si="21"/>
        <v>178.98422255999998</v>
      </c>
      <c r="G265" s="142"/>
      <c r="H265" s="143"/>
      <c r="I265" s="49"/>
      <c r="J265" s="49"/>
      <c r="K265" s="49"/>
    </row>
    <row r="266" spans="1:11" s="2" customFormat="1" x14ac:dyDescent="0.25">
      <c r="A266" s="48">
        <v>39</v>
      </c>
      <c r="B266" s="48" t="s">
        <v>177</v>
      </c>
      <c r="C266" s="48" t="s">
        <v>178</v>
      </c>
      <c r="D266" s="48">
        <f>(1.05*1.9+2.73*1.7)*10.764</f>
        <v>71.429903999999993</v>
      </c>
      <c r="E266" s="48">
        <v>0</v>
      </c>
      <c r="F266" s="48">
        <f t="shared" si="21"/>
        <v>121.43083679999998</v>
      </c>
      <c r="G266" s="142"/>
      <c r="H266" s="143"/>
      <c r="I266" s="49"/>
      <c r="J266" s="49"/>
      <c r="K266" s="49"/>
    </row>
    <row r="267" spans="1:11" s="2" customFormat="1" x14ac:dyDescent="0.25">
      <c r="A267" s="48">
        <v>40</v>
      </c>
      <c r="B267" s="48" t="s">
        <v>177</v>
      </c>
      <c r="C267" s="48" t="s">
        <v>178</v>
      </c>
      <c r="D267" s="48">
        <f>(1.79*1.75*10.764)</f>
        <v>33.718229999999998</v>
      </c>
      <c r="E267" s="48">
        <v>0</v>
      </c>
      <c r="F267" s="48">
        <f t="shared" si="21"/>
        <v>57.320990999999992</v>
      </c>
      <c r="G267" s="142"/>
      <c r="H267" s="143"/>
      <c r="I267" s="49"/>
      <c r="J267" s="49"/>
      <c r="K267" s="49"/>
    </row>
    <row r="268" spans="1:11" s="2" customFormat="1" x14ac:dyDescent="0.25">
      <c r="A268" s="48">
        <v>41</v>
      </c>
      <c r="B268" s="48" t="s">
        <v>177</v>
      </c>
      <c r="C268" s="48" t="s">
        <v>178</v>
      </c>
      <c r="D268" s="48">
        <f>(2.14*6.05+3.04*2.44)*10.764</f>
        <v>219.20455440000001</v>
      </c>
      <c r="E268" s="48">
        <v>0</v>
      </c>
      <c r="F268" s="48">
        <f t="shared" si="21"/>
        <v>372.64774247999998</v>
      </c>
      <c r="G268" s="142"/>
      <c r="H268" s="143"/>
      <c r="I268" s="49"/>
      <c r="J268" s="49"/>
      <c r="K268" s="49"/>
    </row>
    <row r="269" spans="1:11" s="2" customFormat="1" x14ac:dyDescent="0.25">
      <c r="A269" s="48">
        <v>42</v>
      </c>
      <c r="B269" s="48" t="s">
        <v>177</v>
      </c>
      <c r="C269" s="48" t="s">
        <v>178</v>
      </c>
      <c r="D269" s="48">
        <f>(2.89*3.46)*10.764</f>
        <v>107.63354159999999</v>
      </c>
      <c r="E269" s="48">
        <v>0</v>
      </c>
      <c r="F269" s="48">
        <f t="shared" si="21"/>
        <v>182.97702071999998</v>
      </c>
      <c r="G269" s="142"/>
      <c r="H269" s="143"/>
      <c r="I269" s="49"/>
      <c r="J269" s="49"/>
      <c r="K269" s="49"/>
    </row>
    <row r="270" spans="1:11" s="2" customFormat="1" x14ac:dyDescent="0.25">
      <c r="A270" s="48">
        <v>43</v>
      </c>
      <c r="B270" s="48" t="s">
        <v>177</v>
      </c>
      <c r="C270" s="48" t="s">
        <v>178</v>
      </c>
      <c r="D270" s="48">
        <f>(2.25*4.68+2.05*0.15+2.41*0.9)*10.764</f>
        <v>140.00196599999998</v>
      </c>
      <c r="E270" s="48">
        <v>0</v>
      </c>
      <c r="F270" s="48">
        <f t="shared" si="21"/>
        <v>238.00334219999996</v>
      </c>
      <c r="G270" s="142"/>
      <c r="H270" s="143"/>
      <c r="I270" s="49"/>
      <c r="J270" s="49"/>
      <c r="K270" s="49"/>
    </row>
    <row r="271" spans="1:11" s="2" customFormat="1" x14ac:dyDescent="0.25">
      <c r="A271" s="48">
        <v>44</v>
      </c>
      <c r="B271" s="48" t="s">
        <v>177</v>
      </c>
      <c r="C271" s="48" t="s">
        <v>178</v>
      </c>
      <c r="D271" s="48">
        <f>(2.72*4.53+2.46*0.15)*10.764</f>
        <v>136.60161840000001</v>
      </c>
      <c r="E271" s="48">
        <v>0</v>
      </c>
      <c r="F271" s="48">
        <f t="shared" si="21"/>
        <v>232.22275128000001</v>
      </c>
      <c r="G271" s="142"/>
      <c r="H271" s="143"/>
      <c r="I271" s="49"/>
      <c r="J271" s="49"/>
      <c r="K271" s="49"/>
    </row>
    <row r="272" spans="1:11" s="2" customFormat="1" x14ac:dyDescent="0.25">
      <c r="A272" s="48">
        <v>45</v>
      </c>
      <c r="B272" s="48" t="s">
        <v>177</v>
      </c>
      <c r="C272" s="48" t="s">
        <v>178</v>
      </c>
      <c r="D272" s="48">
        <f>(2.31*4.82)*10.764</f>
        <v>119.84852880000001</v>
      </c>
      <c r="E272" s="48">
        <v>0</v>
      </c>
      <c r="F272" s="48">
        <f t="shared" si="21"/>
        <v>203.74249896000001</v>
      </c>
      <c r="G272" s="142"/>
      <c r="H272" s="143"/>
      <c r="I272" s="49"/>
      <c r="J272" s="49"/>
      <c r="K272" s="49"/>
    </row>
    <row r="273" spans="1:11" s="2" customFormat="1" x14ac:dyDescent="0.25">
      <c r="A273" s="48">
        <v>46</v>
      </c>
      <c r="B273" s="48" t="s">
        <v>177</v>
      </c>
      <c r="C273" s="48" t="s">
        <v>178</v>
      </c>
      <c r="D273" s="48">
        <f>1.61*4.67*10.764</f>
        <v>80.931286799999995</v>
      </c>
      <c r="E273" s="48">
        <v>0</v>
      </c>
      <c r="F273" s="48">
        <f t="shared" si="21"/>
        <v>137.58318756</v>
      </c>
      <c r="G273" s="142"/>
      <c r="H273" s="143"/>
      <c r="I273" s="49"/>
      <c r="J273" s="49"/>
      <c r="K273" s="49"/>
    </row>
    <row r="274" spans="1:11" s="2" customFormat="1" x14ac:dyDescent="0.25">
      <c r="A274" s="48">
        <v>47</v>
      </c>
      <c r="B274" s="48" t="s">
        <v>177</v>
      </c>
      <c r="C274" s="48" t="s">
        <v>178</v>
      </c>
      <c r="D274" s="48">
        <f>1.61*4.67*10.764</f>
        <v>80.931286799999995</v>
      </c>
      <c r="E274" s="48">
        <v>0</v>
      </c>
      <c r="F274" s="48">
        <f t="shared" si="21"/>
        <v>137.58318756</v>
      </c>
      <c r="G274" s="142"/>
      <c r="H274" s="143"/>
      <c r="I274" s="49"/>
      <c r="J274" s="49"/>
      <c r="K274" s="49"/>
    </row>
    <row r="275" spans="1:11" s="2" customFormat="1" x14ac:dyDescent="0.25">
      <c r="A275" s="48">
        <v>48</v>
      </c>
      <c r="B275" s="48" t="s">
        <v>177</v>
      </c>
      <c r="C275" s="48" t="s">
        <v>178</v>
      </c>
      <c r="D275" s="48">
        <f>1.49*4.67*10.764</f>
        <v>74.899141199999988</v>
      </c>
      <c r="E275" s="48">
        <v>0</v>
      </c>
      <c r="F275" s="48">
        <f t="shared" si="21"/>
        <v>127.32854003999998</v>
      </c>
      <c r="G275" s="142"/>
      <c r="H275" s="143"/>
      <c r="I275" s="49"/>
      <c r="J275" s="49"/>
      <c r="K275" s="49"/>
    </row>
    <row r="276" spans="1:11" s="2" customFormat="1" x14ac:dyDescent="0.25">
      <c r="A276" s="139" t="s">
        <v>187</v>
      </c>
      <c r="B276" s="139"/>
      <c r="C276" s="139"/>
      <c r="D276" s="139"/>
      <c r="E276" s="139"/>
      <c r="F276" s="139"/>
      <c r="G276" s="139"/>
      <c r="H276" s="139"/>
      <c r="I276" s="49"/>
      <c r="J276" s="49"/>
      <c r="K276" s="49"/>
    </row>
    <row r="277" spans="1:11" s="2" customFormat="1" x14ac:dyDescent="0.25">
      <c r="A277" s="139" t="s">
        <v>188</v>
      </c>
      <c r="B277" s="139"/>
      <c r="C277" s="139"/>
      <c r="D277" s="139"/>
      <c r="E277" s="139"/>
      <c r="F277" s="139"/>
      <c r="G277" s="139"/>
      <c r="H277" s="139"/>
      <c r="I277" s="49"/>
      <c r="J277" s="49"/>
      <c r="K277" s="49"/>
    </row>
    <row r="278" spans="1:11" s="2" customFormat="1" x14ac:dyDescent="0.25">
      <c r="A278" s="48">
        <v>1</v>
      </c>
      <c r="B278" s="48" t="s">
        <v>181</v>
      </c>
      <c r="C278" s="48" t="s">
        <v>182</v>
      </c>
      <c r="D278" s="48">
        <f>((4.53*2.72+2.13*2.15+3.48*2.42+1.2*0.9+1.2*1.1))*10.764</f>
        <v>298.40714279999992</v>
      </c>
      <c r="E278" s="48">
        <v>0</v>
      </c>
      <c r="F278" s="48">
        <f t="shared" ref="F278:F280" si="22">D278*1.65+E278</f>
        <v>492.37178561999986</v>
      </c>
      <c r="G278" s="140" t="s">
        <v>189</v>
      </c>
      <c r="H278" s="141"/>
      <c r="I278" s="49"/>
      <c r="J278" s="49"/>
      <c r="K278" s="49"/>
    </row>
    <row r="279" spans="1:11" s="2" customFormat="1" x14ac:dyDescent="0.25">
      <c r="A279" s="48">
        <f>A278+1</f>
        <v>2</v>
      </c>
      <c r="B279" s="48" t="s">
        <v>181</v>
      </c>
      <c r="C279" s="48" t="s">
        <v>182</v>
      </c>
      <c r="D279" s="48">
        <f>((4.53*2.72+2.13*2.15+3.48*2.42+1.2*0.9+1.2*1.1))*10.764</f>
        <v>298.40714279999992</v>
      </c>
      <c r="E279" s="48">
        <f>(2.42*1)*10.764</f>
        <v>26.048879999999997</v>
      </c>
      <c r="F279" s="48">
        <f t="shared" si="22"/>
        <v>518.42066561999991</v>
      </c>
      <c r="G279" s="142"/>
      <c r="H279" s="143"/>
      <c r="I279" s="49"/>
      <c r="J279" s="49"/>
      <c r="K279" s="49"/>
    </row>
    <row r="280" spans="1:11" s="2" customFormat="1" x14ac:dyDescent="0.25">
      <c r="A280" s="48">
        <f t="shared" ref="A280:A286" si="23">A279+1</f>
        <v>3</v>
      </c>
      <c r="B280" s="48" t="s">
        <v>181</v>
      </c>
      <c r="C280" s="48" t="s">
        <v>182</v>
      </c>
      <c r="D280" s="48">
        <f>((4.53*2.72+2.13*2.15+3.48*2.42+1.2*0.9+1.2*1.1))*10.764</f>
        <v>298.40714279999992</v>
      </c>
      <c r="E280" s="48">
        <v>0</v>
      </c>
      <c r="F280" s="48">
        <f t="shared" si="22"/>
        <v>492.37178561999986</v>
      </c>
      <c r="G280" s="142"/>
      <c r="H280" s="143"/>
      <c r="I280" s="49"/>
      <c r="J280" s="49"/>
      <c r="K280" s="49"/>
    </row>
    <row r="281" spans="1:11" s="2" customFormat="1" x14ac:dyDescent="0.25">
      <c r="A281" s="48">
        <f t="shared" si="23"/>
        <v>4</v>
      </c>
      <c r="B281" s="48" t="s">
        <v>253</v>
      </c>
      <c r="C281" s="48" t="s">
        <v>182</v>
      </c>
      <c r="D281" s="48">
        <f t="shared" ref="D281:D282" si="24">((4.53*2.72+2.13*2.15+3.48*2.42+1.2*0.9+1.2*1.1))*10.764</f>
        <v>298.40714279999992</v>
      </c>
      <c r="E281" s="48">
        <f t="shared" ref="E281:E282" si="25">(2.42*1)*10.764</f>
        <v>26.048879999999997</v>
      </c>
      <c r="F281" s="48">
        <f t="shared" ref="F281:F282" si="26">D281*1.65+E281</f>
        <v>518.42066561999991</v>
      </c>
      <c r="G281" s="142"/>
      <c r="H281" s="143"/>
      <c r="I281" s="49"/>
      <c r="J281" s="49"/>
      <c r="K281" s="49"/>
    </row>
    <row r="282" spans="1:11" s="2" customFormat="1" x14ac:dyDescent="0.25">
      <c r="A282" s="48">
        <f t="shared" si="23"/>
        <v>5</v>
      </c>
      <c r="B282" s="48" t="s">
        <v>253</v>
      </c>
      <c r="C282" s="48" t="s">
        <v>182</v>
      </c>
      <c r="D282" s="48">
        <f t="shared" si="24"/>
        <v>298.40714279999992</v>
      </c>
      <c r="E282" s="48">
        <f t="shared" si="25"/>
        <v>26.048879999999997</v>
      </c>
      <c r="F282" s="48">
        <f t="shared" si="26"/>
        <v>518.42066561999991</v>
      </c>
      <c r="G282" s="142"/>
      <c r="H282" s="143"/>
      <c r="I282" s="49"/>
      <c r="J282" s="49"/>
      <c r="K282" s="49"/>
    </row>
    <row r="283" spans="1:11" s="2" customFormat="1" x14ac:dyDescent="0.25">
      <c r="A283" s="48">
        <f t="shared" si="23"/>
        <v>6</v>
      </c>
      <c r="B283" s="48" t="s">
        <v>237</v>
      </c>
      <c r="C283" s="127" t="s">
        <v>254</v>
      </c>
      <c r="D283" s="149"/>
      <c r="E283" s="149"/>
      <c r="F283" s="128"/>
      <c r="G283" s="142"/>
      <c r="H283" s="143"/>
      <c r="I283" s="49"/>
      <c r="J283" s="49"/>
      <c r="K283" s="49"/>
    </row>
    <row r="284" spans="1:11" s="2" customFormat="1" x14ac:dyDescent="0.25">
      <c r="A284" s="48">
        <f t="shared" si="23"/>
        <v>7</v>
      </c>
      <c r="B284" s="48" t="s">
        <v>237</v>
      </c>
      <c r="C284" s="127" t="s">
        <v>255</v>
      </c>
      <c r="D284" s="149"/>
      <c r="E284" s="149"/>
      <c r="F284" s="128"/>
      <c r="G284" s="142"/>
      <c r="H284" s="143"/>
      <c r="I284" s="49"/>
      <c r="J284" s="49"/>
      <c r="K284" s="49"/>
    </row>
    <row r="285" spans="1:11" s="2" customFormat="1" ht="15.75" customHeight="1" x14ac:dyDescent="0.25">
      <c r="A285" s="48">
        <f t="shared" si="23"/>
        <v>8</v>
      </c>
      <c r="B285" s="48" t="s">
        <v>237</v>
      </c>
      <c r="C285" s="127" t="s">
        <v>255</v>
      </c>
      <c r="D285" s="149"/>
      <c r="E285" s="149"/>
      <c r="F285" s="128"/>
      <c r="G285" s="142"/>
      <c r="H285" s="143"/>
      <c r="I285" s="49"/>
      <c r="J285" s="49"/>
      <c r="K285" s="49"/>
    </row>
    <row r="286" spans="1:11" s="2" customFormat="1" x14ac:dyDescent="0.25">
      <c r="A286" s="48">
        <f t="shared" si="23"/>
        <v>9</v>
      </c>
      <c r="B286" s="48" t="s">
        <v>237</v>
      </c>
      <c r="C286" s="127" t="s">
        <v>256</v>
      </c>
      <c r="D286" s="149"/>
      <c r="E286" s="149"/>
      <c r="F286" s="128"/>
      <c r="G286" s="142"/>
      <c r="H286" s="143"/>
      <c r="I286" s="49"/>
      <c r="J286" s="49"/>
      <c r="K286" s="49"/>
    </row>
    <row r="287" spans="1:11" s="2" customFormat="1" x14ac:dyDescent="0.25">
      <c r="A287" s="48">
        <f t="shared" ref="A287" si="27">A286+1</f>
        <v>10</v>
      </c>
      <c r="B287" s="48" t="s">
        <v>237</v>
      </c>
      <c r="C287" s="127" t="s">
        <v>256</v>
      </c>
      <c r="D287" s="149"/>
      <c r="E287" s="149"/>
      <c r="F287" s="128"/>
      <c r="G287" s="144"/>
      <c r="H287" s="145"/>
      <c r="I287" s="49"/>
      <c r="J287" s="49"/>
      <c r="K287" s="49"/>
    </row>
    <row r="288" spans="1:11" s="2" customFormat="1" x14ac:dyDescent="0.25">
      <c r="A288" s="139" t="s">
        <v>258</v>
      </c>
      <c r="B288" s="139"/>
      <c r="C288" s="139"/>
      <c r="D288" s="139"/>
      <c r="E288" s="139"/>
      <c r="F288" s="139"/>
      <c r="G288" s="139"/>
      <c r="H288" s="139"/>
      <c r="I288" s="49"/>
      <c r="J288" s="49"/>
      <c r="K288" s="49"/>
    </row>
    <row r="289" spans="1:11" s="2" customFormat="1" x14ac:dyDescent="0.25">
      <c r="A289" s="48">
        <v>1</v>
      </c>
      <c r="B289" s="48" t="s">
        <v>177</v>
      </c>
      <c r="C289" s="48" t="s">
        <v>182</v>
      </c>
      <c r="D289" s="48">
        <f>((4.53*2.72+2.13*2.15+3.48*2.42+1.2*0.9+1.2*1.1))*10.764</f>
        <v>298.40714279999992</v>
      </c>
      <c r="E289" s="48">
        <v>0</v>
      </c>
      <c r="F289" s="48">
        <f t="shared" ref="F289:F298" si="28">D289*1.65+E289</f>
        <v>492.37178561999986</v>
      </c>
      <c r="G289" s="140" t="str">
        <f>A288</f>
        <v>3rd to 7th, 9th to 14th, 16th to 20th Floor</v>
      </c>
      <c r="H289" s="141"/>
      <c r="I289" s="49"/>
      <c r="J289" s="49"/>
      <c r="K289" s="49"/>
    </row>
    <row r="290" spans="1:11" s="2" customFormat="1" x14ac:dyDescent="0.25">
      <c r="A290" s="48">
        <v>2</v>
      </c>
      <c r="B290" s="48" t="s">
        <v>177</v>
      </c>
      <c r="C290" s="48" t="s">
        <v>182</v>
      </c>
      <c r="D290" s="48">
        <f t="shared" ref="D290:D297" si="29">((4.53*2.72+2.13*2.15+3.48*2.42+1.2*0.9+1.2*1.1))*10.764</f>
        <v>298.40714279999992</v>
      </c>
      <c r="E290" s="48">
        <v>0</v>
      </c>
      <c r="F290" s="48">
        <f t="shared" si="28"/>
        <v>492.37178561999986</v>
      </c>
      <c r="G290" s="142"/>
      <c r="H290" s="143"/>
      <c r="I290" s="49"/>
      <c r="J290" s="49"/>
      <c r="K290" s="49"/>
    </row>
    <row r="291" spans="1:11" s="2" customFormat="1" x14ac:dyDescent="0.25">
      <c r="A291" s="48">
        <v>3</v>
      </c>
      <c r="B291" s="48" t="s">
        <v>177</v>
      </c>
      <c r="C291" s="48" t="s">
        <v>182</v>
      </c>
      <c r="D291" s="48">
        <f t="shared" si="29"/>
        <v>298.40714279999992</v>
      </c>
      <c r="E291" s="48">
        <v>0</v>
      </c>
      <c r="F291" s="48">
        <f t="shared" si="28"/>
        <v>492.37178561999986</v>
      </c>
      <c r="G291" s="142"/>
      <c r="H291" s="143"/>
      <c r="I291" s="49"/>
      <c r="J291" s="49"/>
      <c r="K291" s="49"/>
    </row>
    <row r="292" spans="1:11" s="2" customFormat="1" x14ac:dyDescent="0.25">
      <c r="A292" s="48">
        <v>4</v>
      </c>
      <c r="B292" s="48" t="s">
        <v>177</v>
      </c>
      <c r="C292" s="48" t="s">
        <v>182</v>
      </c>
      <c r="D292" s="48">
        <f t="shared" si="29"/>
        <v>298.40714279999992</v>
      </c>
      <c r="E292" s="48">
        <v>0</v>
      </c>
      <c r="F292" s="48">
        <f t="shared" si="28"/>
        <v>492.37178561999986</v>
      </c>
      <c r="G292" s="142"/>
      <c r="H292" s="143"/>
      <c r="I292" s="49"/>
      <c r="J292" s="49"/>
      <c r="K292" s="49"/>
    </row>
    <row r="293" spans="1:11" s="2" customFormat="1" x14ac:dyDescent="0.25">
      <c r="A293" s="48">
        <v>5</v>
      </c>
      <c r="B293" s="48" t="s">
        <v>177</v>
      </c>
      <c r="C293" s="48" t="s">
        <v>182</v>
      </c>
      <c r="D293" s="48">
        <f t="shared" si="29"/>
        <v>298.40714279999992</v>
      </c>
      <c r="E293" s="48">
        <v>0</v>
      </c>
      <c r="F293" s="48">
        <f t="shared" si="28"/>
        <v>492.37178561999986</v>
      </c>
      <c r="G293" s="142"/>
      <c r="H293" s="143"/>
      <c r="I293" s="49"/>
      <c r="J293" s="49"/>
      <c r="K293" s="49"/>
    </row>
    <row r="294" spans="1:11" s="2" customFormat="1" x14ac:dyDescent="0.25">
      <c r="A294" s="48">
        <v>6</v>
      </c>
      <c r="B294" s="48" t="s">
        <v>177</v>
      </c>
      <c r="C294" s="48" t="s">
        <v>182</v>
      </c>
      <c r="D294" s="48">
        <f t="shared" si="29"/>
        <v>298.40714279999992</v>
      </c>
      <c r="E294" s="48">
        <v>0</v>
      </c>
      <c r="F294" s="48">
        <f t="shared" si="28"/>
        <v>492.37178561999986</v>
      </c>
      <c r="G294" s="142"/>
      <c r="H294" s="143"/>
      <c r="I294" s="49"/>
      <c r="J294" s="49"/>
      <c r="K294" s="49"/>
    </row>
    <row r="295" spans="1:11" s="2" customFormat="1" x14ac:dyDescent="0.25">
      <c r="A295" s="48">
        <v>7</v>
      </c>
      <c r="B295" s="48" t="s">
        <v>177</v>
      </c>
      <c r="C295" s="48" t="s">
        <v>182</v>
      </c>
      <c r="D295" s="48">
        <f t="shared" si="29"/>
        <v>298.40714279999992</v>
      </c>
      <c r="E295" s="48">
        <v>0</v>
      </c>
      <c r="F295" s="48">
        <f t="shared" si="28"/>
        <v>492.37178561999986</v>
      </c>
      <c r="G295" s="142"/>
      <c r="H295" s="143"/>
      <c r="I295" s="49"/>
      <c r="J295" s="49"/>
      <c r="K295" s="49"/>
    </row>
    <row r="296" spans="1:11" s="2" customFormat="1" x14ac:dyDescent="0.25">
      <c r="A296" s="48">
        <v>8</v>
      </c>
      <c r="B296" s="48" t="s">
        <v>177</v>
      </c>
      <c r="C296" s="48" t="s">
        <v>182</v>
      </c>
      <c r="D296" s="48">
        <f t="shared" si="29"/>
        <v>298.40714279999992</v>
      </c>
      <c r="E296" s="48">
        <v>0</v>
      </c>
      <c r="F296" s="48">
        <f t="shared" si="28"/>
        <v>492.37178561999986</v>
      </c>
      <c r="G296" s="142"/>
      <c r="H296" s="143"/>
      <c r="I296" s="49"/>
      <c r="J296" s="49"/>
      <c r="K296" s="49"/>
    </row>
    <row r="297" spans="1:11" s="2" customFormat="1" x14ac:dyDescent="0.25">
      <c r="A297" s="48">
        <v>9</v>
      </c>
      <c r="B297" s="48" t="s">
        <v>177</v>
      </c>
      <c r="C297" s="48" t="s">
        <v>182</v>
      </c>
      <c r="D297" s="48">
        <f t="shared" si="29"/>
        <v>298.40714279999992</v>
      </c>
      <c r="E297" s="48">
        <v>0</v>
      </c>
      <c r="F297" s="48">
        <f t="shared" si="28"/>
        <v>492.37178561999986</v>
      </c>
      <c r="G297" s="142"/>
      <c r="H297" s="143"/>
      <c r="I297" s="49"/>
      <c r="J297" s="49"/>
      <c r="K297" s="49"/>
    </row>
    <row r="298" spans="1:11" s="2" customFormat="1" x14ac:dyDescent="0.25">
      <c r="A298" s="48">
        <v>10</v>
      </c>
      <c r="B298" s="48" t="s">
        <v>177</v>
      </c>
      <c r="C298" s="48" t="s">
        <v>182</v>
      </c>
      <c r="D298" s="48">
        <f>((2.75*4.5+2.15*2.1+3.45*2.45+0.9*1.2+1.1*1.2))*10.764</f>
        <v>298.62027</v>
      </c>
      <c r="E298" s="48">
        <v>0</v>
      </c>
      <c r="F298" s="48">
        <f t="shared" si="28"/>
        <v>492.72344549999997</v>
      </c>
      <c r="G298" s="144"/>
      <c r="H298" s="145"/>
      <c r="I298" s="49"/>
      <c r="J298" s="49"/>
      <c r="K298" s="49"/>
    </row>
    <row r="299" spans="1:11" s="2" customFormat="1" x14ac:dyDescent="0.25">
      <c r="A299" s="139" t="s">
        <v>257</v>
      </c>
      <c r="B299" s="139"/>
      <c r="C299" s="139"/>
      <c r="D299" s="139"/>
      <c r="E299" s="139"/>
      <c r="F299" s="139"/>
      <c r="G299" s="139"/>
      <c r="H299" s="139"/>
      <c r="I299" s="49"/>
      <c r="J299" s="49"/>
      <c r="K299" s="49"/>
    </row>
    <row r="300" spans="1:11" s="2" customFormat="1" x14ac:dyDescent="0.25">
      <c r="A300" s="48" t="s">
        <v>237</v>
      </c>
      <c r="B300" s="86" t="s">
        <v>237</v>
      </c>
      <c r="C300" s="183" t="s">
        <v>185</v>
      </c>
      <c r="D300" s="183"/>
      <c r="E300" s="183"/>
      <c r="F300" s="183"/>
      <c r="G300" s="140" t="str">
        <f>A299</f>
        <v>8th &amp; 15th Floor(Part Refuge Area)</v>
      </c>
      <c r="H300" s="141"/>
      <c r="I300" s="49"/>
      <c r="J300" s="49"/>
      <c r="K300" s="49"/>
    </row>
    <row r="301" spans="1:11" s="2" customFormat="1" x14ac:dyDescent="0.25">
      <c r="A301" s="48">
        <v>1</v>
      </c>
      <c r="B301" s="48" t="s">
        <v>177</v>
      </c>
      <c r="C301" s="48" t="s">
        <v>182</v>
      </c>
      <c r="D301" s="48">
        <f t="shared" ref="D301:D308" si="30">((4.53*2.72+2.13*2.15+3.48*2.42+1.2*0.9+1.2*1.1))*10.764</f>
        <v>298.40714279999992</v>
      </c>
      <c r="E301" s="48">
        <v>0</v>
      </c>
      <c r="F301" s="48">
        <f t="shared" ref="F301:F308" si="31">D301*1.65+E301</f>
        <v>492.37178561999986</v>
      </c>
      <c r="G301" s="142"/>
      <c r="H301" s="143"/>
      <c r="I301" s="49"/>
      <c r="J301" s="49"/>
      <c r="K301" s="49"/>
    </row>
    <row r="302" spans="1:11" s="2" customFormat="1" x14ac:dyDescent="0.25">
      <c r="A302" s="48">
        <f>A301+1</f>
        <v>2</v>
      </c>
      <c r="B302" s="48" t="s">
        <v>177</v>
      </c>
      <c r="C302" s="48" t="s">
        <v>182</v>
      </c>
      <c r="D302" s="48">
        <f t="shared" si="30"/>
        <v>298.40714279999992</v>
      </c>
      <c r="E302" s="48">
        <v>0</v>
      </c>
      <c r="F302" s="48">
        <f t="shared" si="31"/>
        <v>492.37178561999986</v>
      </c>
      <c r="G302" s="142"/>
      <c r="H302" s="143"/>
      <c r="I302" s="49"/>
      <c r="J302" s="49"/>
      <c r="K302" s="49"/>
    </row>
    <row r="303" spans="1:11" s="2" customFormat="1" x14ac:dyDescent="0.25">
      <c r="A303" s="48">
        <f t="shared" ref="A303:A308" si="32">A302+1</f>
        <v>3</v>
      </c>
      <c r="B303" s="48" t="s">
        <v>177</v>
      </c>
      <c r="C303" s="48" t="s">
        <v>182</v>
      </c>
      <c r="D303" s="48">
        <f t="shared" si="30"/>
        <v>298.40714279999992</v>
      </c>
      <c r="E303" s="48">
        <v>0</v>
      </c>
      <c r="F303" s="48">
        <f t="shared" si="31"/>
        <v>492.37178561999986</v>
      </c>
      <c r="G303" s="142"/>
      <c r="H303" s="143"/>
      <c r="I303" s="49"/>
      <c r="J303" s="49"/>
      <c r="K303" s="49"/>
    </row>
    <row r="304" spans="1:11" s="2" customFormat="1" x14ac:dyDescent="0.25">
      <c r="A304" s="48">
        <f t="shared" si="32"/>
        <v>4</v>
      </c>
      <c r="B304" s="48" t="s">
        <v>177</v>
      </c>
      <c r="C304" s="48" t="s">
        <v>182</v>
      </c>
      <c r="D304" s="48">
        <f t="shared" si="30"/>
        <v>298.40714279999992</v>
      </c>
      <c r="E304" s="48">
        <v>0</v>
      </c>
      <c r="F304" s="48">
        <f t="shared" si="31"/>
        <v>492.37178561999986</v>
      </c>
      <c r="G304" s="142"/>
      <c r="H304" s="143"/>
      <c r="I304" s="49"/>
      <c r="J304" s="49"/>
      <c r="K304" s="49"/>
    </row>
    <row r="305" spans="1:11" s="2" customFormat="1" x14ac:dyDescent="0.25">
      <c r="A305" s="48">
        <f t="shared" si="32"/>
        <v>5</v>
      </c>
      <c r="B305" s="48" t="s">
        <v>177</v>
      </c>
      <c r="C305" s="48" t="s">
        <v>182</v>
      </c>
      <c r="D305" s="48">
        <f t="shared" si="30"/>
        <v>298.40714279999992</v>
      </c>
      <c r="E305" s="48">
        <v>0</v>
      </c>
      <c r="F305" s="48">
        <f t="shared" si="31"/>
        <v>492.37178561999986</v>
      </c>
      <c r="G305" s="142"/>
      <c r="H305" s="143"/>
      <c r="I305" s="49"/>
      <c r="J305" s="49"/>
      <c r="K305" s="49"/>
    </row>
    <row r="306" spans="1:11" s="2" customFormat="1" x14ac:dyDescent="0.25">
      <c r="A306" s="48">
        <f t="shared" si="32"/>
        <v>6</v>
      </c>
      <c r="B306" s="48" t="s">
        <v>177</v>
      </c>
      <c r="C306" s="48" t="s">
        <v>182</v>
      </c>
      <c r="D306" s="48">
        <f t="shared" si="30"/>
        <v>298.40714279999992</v>
      </c>
      <c r="E306" s="48">
        <v>0</v>
      </c>
      <c r="F306" s="48">
        <f t="shared" si="31"/>
        <v>492.37178561999986</v>
      </c>
      <c r="G306" s="142"/>
      <c r="H306" s="143"/>
      <c r="I306" s="49"/>
      <c r="J306" s="49"/>
      <c r="K306" s="49"/>
    </row>
    <row r="307" spans="1:11" s="2" customFormat="1" ht="15.75" customHeight="1" x14ac:dyDescent="0.25">
      <c r="A307" s="48">
        <f t="shared" si="32"/>
        <v>7</v>
      </c>
      <c r="B307" s="48" t="s">
        <v>177</v>
      </c>
      <c r="C307" s="48" t="s">
        <v>182</v>
      </c>
      <c r="D307" s="48">
        <f t="shared" si="30"/>
        <v>298.40714279999992</v>
      </c>
      <c r="E307" s="48">
        <v>0</v>
      </c>
      <c r="F307" s="48">
        <f t="shared" si="31"/>
        <v>492.37178561999986</v>
      </c>
      <c r="G307" s="142"/>
      <c r="H307" s="143"/>
      <c r="I307" s="49"/>
      <c r="J307" s="49"/>
      <c r="K307" s="49"/>
    </row>
    <row r="308" spans="1:11" s="2" customFormat="1" x14ac:dyDescent="0.25">
      <c r="A308" s="48">
        <f t="shared" si="32"/>
        <v>8</v>
      </c>
      <c r="B308" s="48" t="s">
        <v>177</v>
      </c>
      <c r="C308" s="48" t="s">
        <v>182</v>
      </c>
      <c r="D308" s="48">
        <f t="shared" si="30"/>
        <v>298.40714279999992</v>
      </c>
      <c r="E308" s="48">
        <v>0</v>
      </c>
      <c r="F308" s="48">
        <f t="shared" si="31"/>
        <v>492.37178561999986</v>
      </c>
      <c r="G308" s="142"/>
      <c r="H308" s="143"/>
      <c r="I308" s="49"/>
      <c r="J308" s="49"/>
      <c r="K308" s="49"/>
    </row>
    <row r="309" spans="1:11" s="2" customFormat="1" x14ac:dyDescent="0.25">
      <c r="A309" s="48" t="s">
        <v>237</v>
      </c>
      <c r="B309" s="86" t="s">
        <v>237</v>
      </c>
      <c r="C309" s="183" t="s">
        <v>185</v>
      </c>
      <c r="D309" s="183"/>
      <c r="E309" s="183"/>
      <c r="F309" s="183"/>
      <c r="G309" s="144"/>
      <c r="H309" s="145"/>
      <c r="I309" s="49"/>
      <c r="J309" s="49"/>
      <c r="K309" s="49"/>
    </row>
    <row r="310" spans="1:11" s="2" customFormat="1" x14ac:dyDescent="0.25">
      <c r="A310" s="139" t="s">
        <v>190</v>
      </c>
      <c r="B310" s="139"/>
      <c r="C310" s="139"/>
      <c r="D310" s="139"/>
      <c r="E310" s="139"/>
      <c r="F310" s="139"/>
      <c r="G310" s="139"/>
      <c r="H310" s="139"/>
      <c r="I310" s="49"/>
      <c r="J310" s="49"/>
      <c r="K310" s="49"/>
    </row>
    <row r="311" spans="1:11" s="2" customFormat="1" x14ac:dyDescent="0.25">
      <c r="A311" s="48">
        <v>1</v>
      </c>
      <c r="B311" s="48" t="s">
        <v>177</v>
      </c>
      <c r="C311" s="48" t="s">
        <v>182</v>
      </c>
      <c r="D311" s="48">
        <f t="shared" ref="D311:D320" si="33">((4.53*2.72+2.13*2.15+3.48*2.42+1.2*0.9+1.2*1.1))*10.764</f>
        <v>298.40714279999992</v>
      </c>
      <c r="E311" s="48">
        <v>0</v>
      </c>
      <c r="F311" s="48">
        <f t="shared" ref="F311:F321" si="34">D311*1.65+E311</f>
        <v>492.37178561999986</v>
      </c>
      <c r="G311" s="140" t="str">
        <f>A310</f>
        <v>21st, 23rd to 28th Floor</v>
      </c>
      <c r="H311" s="141"/>
      <c r="I311" s="49"/>
      <c r="J311" s="49"/>
      <c r="K311" s="49"/>
    </row>
    <row r="312" spans="1:11" s="2" customFormat="1" x14ac:dyDescent="0.25">
      <c r="A312" s="48">
        <v>2</v>
      </c>
      <c r="B312" s="48" t="s">
        <v>177</v>
      </c>
      <c r="C312" s="48" t="s">
        <v>182</v>
      </c>
      <c r="D312" s="48">
        <f t="shared" si="33"/>
        <v>298.40714279999992</v>
      </c>
      <c r="E312" s="48">
        <v>0</v>
      </c>
      <c r="F312" s="48">
        <f t="shared" si="34"/>
        <v>492.37178561999986</v>
      </c>
      <c r="G312" s="142"/>
      <c r="H312" s="143"/>
      <c r="I312" s="49"/>
      <c r="J312" s="49"/>
      <c r="K312" s="49"/>
    </row>
    <row r="313" spans="1:11" s="2" customFormat="1" x14ac:dyDescent="0.25">
      <c r="A313" s="48">
        <v>2</v>
      </c>
      <c r="B313" s="48" t="s">
        <v>177</v>
      </c>
      <c r="C313" s="48" t="s">
        <v>182</v>
      </c>
      <c r="D313" s="48">
        <f t="shared" si="33"/>
        <v>298.40714279999992</v>
      </c>
      <c r="E313" s="48">
        <v>0</v>
      </c>
      <c r="F313" s="48">
        <f t="shared" si="34"/>
        <v>492.37178561999986</v>
      </c>
      <c r="G313" s="142"/>
      <c r="H313" s="143"/>
      <c r="I313" s="49"/>
      <c r="J313" s="49"/>
      <c r="K313" s="49"/>
    </row>
    <row r="314" spans="1:11" s="2" customFormat="1" x14ac:dyDescent="0.25">
      <c r="A314" s="48">
        <v>4</v>
      </c>
      <c r="B314" s="48" t="s">
        <v>177</v>
      </c>
      <c r="C314" s="48" t="s">
        <v>182</v>
      </c>
      <c r="D314" s="48">
        <f t="shared" si="33"/>
        <v>298.40714279999992</v>
      </c>
      <c r="E314" s="48">
        <v>0</v>
      </c>
      <c r="F314" s="48">
        <f t="shared" si="34"/>
        <v>492.37178561999986</v>
      </c>
      <c r="G314" s="142"/>
      <c r="H314" s="143"/>
      <c r="I314" s="49"/>
      <c r="J314" s="49"/>
      <c r="K314" s="49"/>
    </row>
    <row r="315" spans="1:11" s="2" customFormat="1" x14ac:dyDescent="0.25">
      <c r="A315" s="48">
        <v>5</v>
      </c>
      <c r="B315" s="48" t="s">
        <v>177</v>
      </c>
      <c r="C315" s="48" t="s">
        <v>182</v>
      </c>
      <c r="D315" s="48">
        <f t="shared" si="33"/>
        <v>298.40714279999992</v>
      </c>
      <c r="E315" s="48">
        <v>0</v>
      </c>
      <c r="F315" s="48">
        <f t="shared" si="34"/>
        <v>492.37178561999986</v>
      </c>
      <c r="G315" s="142"/>
      <c r="H315" s="143"/>
      <c r="I315" s="49"/>
      <c r="J315" s="49"/>
      <c r="K315" s="49"/>
    </row>
    <row r="316" spans="1:11" s="2" customFormat="1" x14ac:dyDescent="0.25">
      <c r="A316" s="48">
        <v>6</v>
      </c>
      <c r="B316" s="48" t="s">
        <v>177</v>
      </c>
      <c r="C316" s="48" t="s">
        <v>182</v>
      </c>
      <c r="D316" s="48">
        <f t="shared" si="33"/>
        <v>298.40714279999992</v>
      </c>
      <c r="E316" s="48">
        <v>0</v>
      </c>
      <c r="F316" s="48">
        <f t="shared" si="34"/>
        <v>492.37178561999986</v>
      </c>
      <c r="G316" s="142"/>
      <c r="H316" s="143"/>
      <c r="I316" s="49"/>
      <c r="J316" s="49"/>
      <c r="K316" s="49"/>
    </row>
    <row r="317" spans="1:11" s="2" customFormat="1" x14ac:dyDescent="0.25">
      <c r="A317" s="48">
        <v>7</v>
      </c>
      <c r="B317" s="48" t="s">
        <v>177</v>
      </c>
      <c r="C317" s="48" t="s">
        <v>182</v>
      </c>
      <c r="D317" s="48">
        <f t="shared" si="33"/>
        <v>298.40714279999992</v>
      </c>
      <c r="E317" s="48">
        <v>0</v>
      </c>
      <c r="F317" s="48">
        <f t="shared" si="34"/>
        <v>492.37178561999986</v>
      </c>
      <c r="G317" s="142"/>
      <c r="H317" s="143"/>
      <c r="I317" s="49"/>
      <c r="J317" s="49"/>
      <c r="K317" s="49"/>
    </row>
    <row r="318" spans="1:11" s="2" customFormat="1" x14ac:dyDescent="0.25">
      <c r="A318" s="48">
        <v>8</v>
      </c>
      <c r="B318" s="48" t="s">
        <v>177</v>
      </c>
      <c r="C318" s="48" t="s">
        <v>182</v>
      </c>
      <c r="D318" s="48">
        <f t="shared" si="33"/>
        <v>298.40714279999992</v>
      </c>
      <c r="E318" s="48">
        <v>0</v>
      </c>
      <c r="F318" s="48">
        <f t="shared" si="34"/>
        <v>492.37178561999986</v>
      </c>
      <c r="G318" s="142"/>
      <c r="H318" s="143"/>
      <c r="I318" s="49"/>
      <c r="J318" s="49"/>
      <c r="K318" s="49"/>
    </row>
    <row r="319" spans="1:11" s="2" customFormat="1" ht="15.75" customHeight="1" x14ac:dyDescent="0.25">
      <c r="A319" s="48">
        <v>9</v>
      </c>
      <c r="B319" s="48" t="s">
        <v>177</v>
      </c>
      <c r="C319" s="48" t="s">
        <v>182</v>
      </c>
      <c r="D319" s="48">
        <f t="shared" si="33"/>
        <v>298.40714279999992</v>
      </c>
      <c r="E319" s="48">
        <v>0</v>
      </c>
      <c r="F319" s="48">
        <f t="shared" si="34"/>
        <v>492.37178561999986</v>
      </c>
      <c r="G319" s="142"/>
      <c r="H319" s="143"/>
      <c r="I319" s="49"/>
      <c r="J319" s="49"/>
      <c r="K319" s="49"/>
    </row>
    <row r="320" spans="1:11" s="2" customFormat="1" x14ac:dyDescent="0.25">
      <c r="A320" s="48">
        <v>10</v>
      </c>
      <c r="B320" s="48" t="s">
        <v>177</v>
      </c>
      <c r="C320" s="48" t="s">
        <v>182</v>
      </c>
      <c r="D320" s="48">
        <f t="shared" si="33"/>
        <v>298.40714279999992</v>
      </c>
      <c r="E320" s="48">
        <v>0</v>
      </c>
      <c r="F320" s="48">
        <f t="shared" si="34"/>
        <v>492.37178561999986</v>
      </c>
      <c r="G320" s="142"/>
      <c r="H320" s="143"/>
      <c r="I320" s="49"/>
      <c r="J320" s="49"/>
      <c r="K320" s="49"/>
    </row>
    <row r="321" spans="1:11" s="2" customFormat="1" x14ac:dyDescent="0.25">
      <c r="A321" s="48">
        <v>11</v>
      </c>
      <c r="B321" s="48" t="s">
        <v>177</v>
      </c>
      <c r="C321" s="48" t="s">
        <v>182</v>
      </c>
      <c r="D321" s="48">
        <f>((2.75*4.5+2.15*2.1+3.45*2.45+0.9*1.2+1.1*1.2))*10.764</f>
        <v>298.62027</v>
      </c>
      <c r="E321" s="48">
        <v>0</v>
      </c>
      <c r="F321" s="48">
        <f t="shared" si="34"/>
        <v>492.72344549999997</v>
      </c>
      <c r="G321" s="144"/>
      <c r="H321" s="145"/>
      <c r="I321" s="49"/>
      <c r="J321" s="49"/>
      <c r="K321" s="49"/>
    </row>
    <row r="322" spans="1:11" s="2" customFormat="1" x14ac:dyDescent="0.25">
      <c r="A322" s="139" t="s">
        <v>259</v>
      </c>
      <c r="B322" s="139"/>
      <c r="C322" s="139"/>
      <c r="D322" s="139"/>
      <c r="E322" s="139"/>
      <c r="F322" s="139"/>
      <c r="G322" s="139"/>
      <c r="H322" s="139"/>
      <c r="I322" s="49"/>
      <c r="J322" s="49"/>
      <c r="K322" s="49"/>
    </row>
    <row r="323" spans="1:11" s="2" customFormat="1" x14ac:dyDescent="0.25">
      <c r="A323" s="48" t="s">
        <v>237</v>
      </c>
      <c r="B323" s="86" t="s">
        <v>237</v>
      </c>
      <c r="C323" s="183" t="s">
        <v>185</v>
      </c>
      <c r="D323" s="183"/>
      <c r="E323" s="183"/>
      <c r="F323" s="183"/>
      <c r="G323" s="140" t="str">
        <f>A322</f>
        <v>22nd Floor(Part Refuge Area)</v>
      </c>
      <c r="H323" s="141"/>
      <c r="I323" s="49"/>
      <c r="J323" s="49"/>
      <c r="K323" s="49"/>
    </row>
    <row r="324" spans="1:11" s="2" customFormat="1" x14ac:dyDescent="0.25">
      <c r="A324" s="48">
        <v>1</v>
      </c>
      <c r="B324" s="48" t="s">
        <v>177</v>
      </c>
      <c r="C324" s="48" t="s">
        <v>182</v>
      </c>
      <c r="D324" s="48">
        <f t="shared" ref="D324:D332" si="35">((4.53*2.72+2.13*2.15+3.48*2.42+1.2*0.9+1.2*1.1))*10.764</f>
        <v>298.40714279999992</v>
      </c>
      <c r="E324" s="48">
        <v>0</v>
      </c>
      <c r="F324" s="48">
        <f t="shared" ref="F324:F332" si="36">D324*1.65+E324</f>
        <v>492.37178561999986</v>
      </c>
      <c r="G324" s="142"/>
      <c r="H324" s="143"/>
      <c r="I324" s="49"/>
      <c r="J324" s="49"/>
      <c r="K324" s="49"/>
    </row>
    <row r="325" spans="1:11" s="2" customFormat="1" x14ac:dyDescent="0.25">
      <c r="A325" s="48">
        <f>A324+1</f>
        <v>2</v>
      </c>
      <c r="B325" s="48" t="s">
        <v>177</v>
      </c>
      <c r="C325" s="48" t="s">
        <v>182</v>
      </c>
      <c r="D325" s="48">
        <f t="shared" si="35"/>
        <v>298.40714279999992</v>
      </c>
      <c r="E325" s="48">
        <v>0</v>
      </c>
      <c r="F325" s="48">
        <f t="shared" si="36"/>
        <v>492.37178561999986</v>
      </c>
      <c r="G325" s="142"/>
      <c r="H325" s="143"/>
      <c r="I325" s="49"/>
      <c r="J325" s="49"/>
      <c r="K325" s="49"/>
    </row>
    <row r="326" spans="1:11" s="2" customFormat="1" x14ac:dyDescent="0.25">
      <c r="A326" s="48">
        <f t="shared" ref="A326:A332" si="37">A325+1</f>
        <v>3</v>
      </c>
      <c r="B326" s="48" t="s">
        <v>177</v>
      </c>
      <c r="C326" s="48" t="s">
        <v>182</v>
      </c>
      <c r="D326" s="48">
        <f t="shared" si="35"/>
        <v>298.40714279999992</v>
      </c>
      <c r="E326" s="48">
        <v>0</v>
      </c>
      <c r="F326" s="48">
        <f t="shared" si="36"/>
        <v>492.37178561999986</v>
      </c>
      <c r="G326" s="142"/>
      <c r="H326" s="143"/>
      <c r="I326" s="49"/>
      <c r="J326" s="49"/>
      <c r="K326" s="49"/>
    </row>
    <row r="327" spans="1:11" s="2" customFormat="1" x14ac:dyDescent="0.25">
      <c r="A327" s="48">
        <f t="shared" si="37"/>
        <v>4</v>
      </c>
      <c r="B327" s="48" t="s">
        <v>177</v>
      </c>
      <c r="C327" s="48" t="s">
        <v>182</v>
      </c>
      <c r="D327" s="48">
        <f t="shared" si="35"/>
        <v>298.40714279999992</v>
      </c>
      <c r="E327" s="48">
        <v>0</v>
      </c>
      <c r="F327" s="48">
        <f t="shared" si="36"/>
        <v>492.37178561999986</v>
      </c>
      <c r="G327" s="142"/>
      <c r="H327" s="143"/>
      <c r="I327" s="49"/>
      <c r="J327" s="49"/>
      <c r="K327" s="49"/>
    </row>
    <row r="328" spans="1:11" s="2" customFormat="1" x14ac:dyDescent="0.25">
      <c r="A328" s="48">
        <f t="shared" si="37"/>
        <v>5</v>
      </c>
      <c r="B328" s="48" t="s">
        <v>177</v>
      </c>
      <c r="C328" s="48" t="s">
        <v>182</v>
      </c>
      <c r="D328" s="48">
        <f t="shared" si="35"/>
        <v>298.40714279999992</v>
      </c>
      <c r="E328" s="48">
        <v>0</v>
      </c>
      <c r="F328" s="48">
        <f t="shared" si="36"/>
        <v>492.37178561999986</v>
      </c>
      <c r="G328" s="142"/>
      <c r="H328" s="143"/>
      <c r="I328" s="49"/>
      <c r="J328" s="49"/>
      <c r="K328" s="49"/>
    </row>
    <row r="329" spans="1:11" s="2" customFormat="1" x14ac:dyDescent="0.25">
      <c r="A329" s="48">
        <f t="shared" si="37"/>
        <v>6</v>
      </c>
      <c r="B329" s="48" t="s">
        <v>177</v>
      </c>
      <c r="C329" s="48" t="s">
        <v>182</v>
      </c>
      <c r="D329" s="48">
        <f t="shared" si="35"/>
        <v>298.40714279999992</v>
      </c>
      <c r="E329" s="48">
        <v>0</v>
      </c>
      <c r="F329" s="48">
        <f t="shared" si="36"/>
        <v>492.37178561999986</v>
      </c>
      <c r="G329" s="142"/>
      <c r="H329" s="143"/>
      <c r="I329" s="49"/>
      <c r="J329" s="49"/>
      <c r="K329" s="49"/>
    </row>
    <row r="330" spans="1:11" s="1" customFormat="1" x14ac:dyDescent="0.25">
      <c r="A330" s="48">
        <f t="shared" si="37"/>
        <v>7</v>
      </c>
      <c r="B330" s="48" t="s">
        <v>177</v>
      </c>
      <c r="C330" s="48" t="s">
        <v>182</v>
      </c>
      <c r="D330" s="48">
        <f t="shared" si="35"/>
        <v>298.40714279999992</v>
      </c>
      <c r="E330" s="48">
        <v>0</v>
      </c>
      <c r="F330" s="48">
        <f t="shared" si="36"/>
        <v>492.37178561999986</v>
      </c>
      <c r="G330" s="142"/>
      <c r="H330" s="143"/>
      <c r="I330" s="41"/>
      <c r="J330" s="41"/>
      <c r="K330" s="41"/>
    </row>
    <row r="331" spans="1:11" s="10" customFormat="1" x14ac:dyDescent="0.25">
      <c r="A331" s="48">
        <f t="shared" si="37"/>
        <v>8</v>
      </c>
      <c r="B331" s="48" t="s">
        <v>177</v>
      </c>
      <c r="C331" s="48" t="s">
        <v>182</v>
      </c>
      <c r="D331" s="48">
        <f t="shared" si="35"/>
        <v>298.40714279999992</v>
      </c>
      <c r="E331" s="48">
        <v>0</v>
      </c>
      <c r="F331" s="48">
        <f t="shared" si="36"/>
        <v>492.37178561999986</v>
      </c>
      <c r="G331" s="142"/>
      <c r="H331" s="143"/>
      <c r="I331" s="51"/>
      <c r="J331" s="51"/>
      <c r="K331" s="51"/>
    </row>
    <row r="332" spans="1:11" x14ac:dyDescent="0.25">
      <c r="A332" s="48">
        <f t="shared" si="37"/>
        <v>9</v>
      </c>
      <c r="B332" s="48" t="s">
        <v>177</v>
      </c>
      <c r="C332" s="48" t="s">
        <v>182</v>
      </c>
      <c r="D332" s="48">
        <f t="shared" si="35"/>
        <v>298.40714279999992</v>
      </c>
      <c r="E332" s="48">
        <v>0</v>
      </c>
      <c r="F332" s="48">
        <f t="shared" si="36"/>
        <v>492.37178561999986</v>
      </c>
      <c r="G332" s="142"/>
      <c r="H332" s="143"/>
      <c r="I332" s="11"/>
      <c r="J332" s="11"/>
      <c r="K332" s="11"/>
    </row>
    <row r="333" spans="1:11" x14ac:dyDescent="0.25">
      <c r="A333" s="48" t="s">
        <v>237</v>
      </c>
      <c r="B333" s="86" t="s">
        <v>237</v>
      </c>
      <c r="C333" s="183" t="s">
        <v>185</v>
      </c>
      <c r="D333" s="183"/>
      <c r="E333" s="183"/>
      <c r="F333" s="183"/>
      <c r="G333" s="144"/>
      <c r="H333" s="145"/>
      <c r="I333" s="11"/>
      <c r="J333" s="11"/>
      <c r="K333" s="11"/>
    </row>
    <row r="334" spans="1:11" ht="15.75" customHeight="1" x14ac:dyDescent="0.25">
      <c r="A334" s="154" t="s">
        <v>79</v>
      </c>
      <c r="B334" s="154"/>
      <c r="C334" s="154"/>
      <c r="D334" s="154"/>
      <c r="E334" s="154"/>
      <c r="F334" s="154"/>
      <c r="G334" s="154"/>
      <c r="H334" s="154"/>
      <c r="I334" s="11"/>
      <c r="J334" s="11"/>
      <c r="K334" s="11"/>
    </row>
    <row r="335" spans="1:11" ht="192.75" customHeight="1" x14ac:dyDescent="0.25">
      <c r="A335" s="166" t="s">
        <v>283</v>
      </c>
      <c r="B335" s="166"/>
      <c r="C335" s="166"/>
      <c r="D335" s="166"/>
      <c r="E335" s="166"/>
      <c r="F335" s="166"/>
      <c r="G335" s="166"/>
      <c r="H335" s="166"/>
      <c r="I335" s="11"/>
      <c r="J335" s="11"/>
      <c r="K335" s="11"/>
    </row>
    <row r="336" spans="1:11" x14ac:dyDescent="0.25">
      <c r="A336" s="150" t="s">
        <v>70</v>
      </c>
      <c r="B336" s="150"/>
      <c r="C336" s="150"/>
      <c r="D336" s="150"/>
      <c r="E336" s="150"/>
      <c r="F336" s="150"/>
      <c r="G336" s="150"/>
      <c r="H336" s="150"/>
      <c r="I336" s="11"/>
      <c r="J336" s="11"/>
      <c r="K336" s="11"/>
    </row>
    <row r="337" spans="1:11" hidden="1" x14ac:dyDescent="0.25">
      <c r="A337" s="114" t="s">
        <v>71</v>
      </c>
      <c r="B337" s="114"/>
      <c r="C337" s="114"/>
      <c r="D337" s="114"/>
      <c r="E337" s="114"/>
      <c r="F337" s="114"/>
      <c r="G337" s="114"/>
      <c r="H337" s="114"/>
      <c r="I337" s="11"/>
      <c r="J337" s="11"/>
      <c r="K337" s="11"/>
    </row>
    <row r="338" spans="1:11" hidden="1" x14ac:dyDescent="0.25">
      <c r="A338" s="150" t="s">
        <v>72</v>
      </c>
      <c r="B338" s="150"/>
      <c r="C338" s="150"/>
      <c r="D338" s="150"/>
      <c r="E338" s="150"/>
      <c r="F338" s="150"/>
      <c r="G338" s="150"/>
      <c r="H338" s="150"/>
      <c r="I338" s="11"/>
      <c r="J338" s="11"/>
      <c r="K338" s="11"/>
    </row>
    <row r="339" spans="1:11" x14ac:dyDescent="0.25">
      <c r="A339" s="114" t="s">
        <v>73</v>
      </c>
      <c r="B339" s="114"/>
      <c r="C339" s="114"/>
      <c r="D339" s="114"/>
      <c r="E339" s="114"/>
      <c r="F339" s="114"/>
      <c r="G339" s="114"/>
      <c r="H339" s="114"/>
      <c r="I339" s="11"/>
      <c r="J339" s="11"/>
      <c r="K339" s="11"/>
    </row>
    <row r="340" spans="1:11" x14ac:dyDescent="0.25">
      <c r="A340" s="114" t="s">
        <v>74</v>
      </c>
      <c r="B340" s="114"/>
      <c r="C340" s="114"/>
      <c r="D340" s="114"/>
      <c r="E340" s="114"/>
      <c r="F340" s="114"/>
      <c r="G340" s="114"/>
      <c r="H340" s="114"/>
      <c r="I340" s="11"/>
      <c r="J340" s="11"/>
      <c r="K340" s="11"/>
    </row>
    <row r="341" spans="1:11" x14ac:dyDescent="0.25">
      <c r="A341" s="114" t="s">
        <v>75</v>
      </c>
      <c r="B341" s="114"/>
      <c r="C341" s="114"/>
      <c r="D341" s="114"/>
      <c r="E341" s="114"/>
      <c r="F341" s="114"/>
      <c r="G341" s="114"/>
      <c r="H341" s="114"/>
      <c r="I341" s="11"/>
      <c r="J341" s="11"/>
      <c r="K341" s="11"/>
    </row>
    <row r="342" spans="1:11" x14ac:dyDescent="0.25">
      <c r="A342" s="155" t="s">
        <v>76</v>
      </c>
      <c r="B342" s="155"/>
      <c r="C342" s="155"/>
      <c r="D342" s="155"/>
      <c r="E342" s="155"/>
      <c r="F342" s="155"/>
      <c r="G342" s="155"/>
      <c r="H342" s="155"/>
      <c r="I342" s="11"/>
      <c r="J342" s="11"/>
      <c r="K342" s="11"/>
    </row>
    <row r="343" spans="1:11" x14ac:dyDescent="0.25">
      <c r="A343" s="165" t="s">
        <v>112</v>
      </c>
      <c r="B343" s="165"/>
      <c r="C343" s="165" t="s">
        <v>278</v>
      </c>
      <c r="D343" s="165"/>
      <c r="E343" s="165" t="s">
        <v>146</v>
      </c>
      <c r="F343" s="165"/>
      <c r="G343" s="165" t="s">
        <v>280</v>
      </c>
      <c r="H343" s="165"/>
      <c r="I343" s="11"/>
      <c r="J343" s="11"/>
      <c r="K343" s="11"/>
    </row>
    <row r="344" spans="1:11" x14ac:dyDescent="0.25">
      <c r="A344" s="164" t="s">
        <v>114</v>
      </c>
      <c r="B344" s="164"/>
      <c r="C344" s="164"/>
      <c r="D344" s="164"/>
      <c r="E344" s="164"/>
      <c r="F344" s="164"/>
      <c r="G344" s="164"/>
      <c r="H344" s="164"/>
      <c r="I344" s="11"/>
      <c r="J344" s="11"/>
      <c r="K344" s="11"/>
    </row>
    <row r="345" spans="1:11" x14ac:dyDescent="0.25">
      <c r="A345" s="164"/>
      <c r="B345" s="164"/>
      <c r="C345" s="164"/>
      <c r="D345" s="164"/>
      <c r="E345" s="164"/>
      <c r="F345" s="164"/>
      <c r="G345" s="164"/>
      <c r="H345" s="164"/>
    </row>
    <row r="346" spans="1:11" x14ac:dyDescent="0.25">
      <c r="A346" s="164"/>
      <c r="B346" s="164"/>
      <c r="C346" s="164"/>
      <c r="D346" s="164"/>
      <c r="E346" s="164"/>
      <c r="F346" s="164"/>
      <c r="G346" s="164"/>
      <c r="H346" s="164"/>
    </row>
    <row r="347" spans="1:11" ht="15" customHeight="1" x14ac:dyDescent="0.25">
      <c r="A347" s="164"/>
      <c r="B347" s="164"/>
      <c r="C347" s="164"/>
      <c r="D347" s="164"/>
      <c r="E347" s="164"/>
      <c r="F347" s="164"/>
      <c r="G347" s="164"/>
      <c r="H347" s="164"/>
    </row>
    <row r="348" spans="1:11" x14ac:dyDescent="0.25">
      <c r="A348" s="52" t="s">
        <v>77</v>
      </c>
      <c r="B348" s="53"/>
      <c r="C348" s="53"/>
      <c r="D348" s="52" t="str">
        <f>E8</f>
        <v>Domain</v>
      </c>
      <c r="E348" s="54"/>
      <c r="F348" s="53"/>
      <c r="G348" s="53"/>
      <c r="H348" s="53"/>
    </row>
    <row r="349" spans="1:11" x14ac:dyDescent="0.25">
      <c r="A349" s="15"/>
      <c r="B349" s="15"/>
      <c r="C349" s="15"/>
      <c r="D349" s="15"/>
      <c r="E349" s="15"/>
      <c r="F349" s="15"/>
      <c r="G349" s="15"/>
      <c r="H349" s="15"/>
    </row>
    <row r="350" spans="1:11" x14ac:dyDescent="0.25">
      <c r="A350" s="15"/>
      <c r="B350" s="15"/>
      <c r="C350" s="15"/>
      <c r="D350" s="15"/>
      <c r="E350" s="15"/>
      <c r="F350" s="15"/>
      <c r="G350" s="15"/>
      <c r="H350" s="15"/>
    </row>
    <row r="391" spans="1:1" x14ac:dyDescent="0.25">
      <c r="A391" s="17" t="s">
        <v>78</v>
      </c>
    </row>
  </sheetData>
  <mergeCells count="444">
    <mergeCell ref="G156:H156"/>
    <mergeCell ref="G157:H157"/>
    <mergeCell ref="G158:H158"/>
    <mergeCell ref="A225:H225"/>
    <mergeCell ref="A226:H226"/>
    <mergeCell ref="G227:H233"/>
    <mergeCell ref="A242:H242"/>
    <mergeCell ref="A207:H207"/>
    <mergeCell ref="G217:H217"/>
    <mergeCell ref="G218:H218"/>
    <mergeCell ref="G219:H219"/>
    <mergeCell ref="G220:H220"/>
    <mergeCell ref="G221:H221"/>
    <mergeCell ref="G222:H222"/>
    <mergeCell ref="G209:H209"/>
    <mergeCell ref="G211:H211"/>
    <mergeCell ref="G223:H223"/>
    <mergeCell ref="G224:H224"/>
    <mergeCell ref="G160:H160"/>
    <mergeCell ref="G161:H161"/>
    <mergeCell ref="G162:H162"/>
    <mergeCell ref="G163:H163"/>
    <mergeCell ref="G164:H164"/>
    <mergeCell ref="A208:H208"/>
    <mergeCell ref="A171:H171"/>
    <mergeCell ref="G172:H179"/>
    <mergeCell ref="G323:H333"/>
    <mergeCell ref="C323:F323"/>
    <mergeCell ref="C333:F333"/>
    <mergeCell ref="C283:F283"/>
    <mergeCell ref="C284:F284"/>
    <mergeCell ref="C285:F285"/>
    <mergeCell ref="C286:F286"/>
    <mergeCell ref="C287:F287"/>
    <mergeCell ref="G278:H287"/>
    <mergeCell ref="A288:H288"/>
    <mergeCell ref="G300:H309"/>
    <mergeCell ref="G289:H298"/>
    <mergeCell ref="A299:H299"/>
    <mergeCell ref="G311:H321"/>
    <mergeCell ref="C309:F309"/>
    <mergeCell ref="C300:F300"/>
    <mergeCell ref="G212:H212"/>
    <mergeCell ref="G213:H213"/>
    <mergeCell ref="G214:H214"/>
    <mergeCell ref="G215:H215"/>
    <mergeCell ref="G216:H216"/>
    <mergeCell ref="C248:F249"/>
    <mergeCell ref="A128:H128"/>
    <mergeCell ref="A129:B129"/>
    <mergeCell ref="D129:E129"/>
    <mergeCell ref="F129:H129"/>
    <mergeCell ref="A126:B126"/>
    <mergeCell ref="D126:E126"/>
    <mergeCell ref="F126:H126"/>
    <mergeCell ref="A127:B127"/>
    <mergeCell ref="D127:E127"/>
    <mergeCell ref="F127:H127"/>
    <mergeCell ref="A130:B130"/>
    <mergeCell ref="D130:E130"/>
    <mergeCell ref="F130:H130"/>
    <mergeCell ref="A131:B131"/>
    <mergeCell ref="D131:E131"/>
    <mergeCell ref="F131:H131"/>
    <mergeCell ref="A133:B133"/>
    <mergeCell ref="D133:E133"/>
    <mergeCell ref="F133:H133"/>
    <mergeCell ref="A132:B132"/>
    <mergeCell ref="D132:E132"/>
    <mergeCell ref="F132:H132"/>
    <mergeCell ref="A243:B243"/>
    <mergeCell ref="A244:B244"/>
    <mergeCell ref="A245:B245"/>
    <mergeCell ref="A246:B246"/>
    <mergeCell ref="A247:B247"/>
    <mergeCell ref="A248:B248"/>
    <mergeCell ref="A249:B249"/>
    <mergeCell ref="A227:B227"/>
    <mergeCell ref="A228:B228"/>
    <mergeCell ref="A229:B229"/>
    <mergeCell ref="A230:B230"/>
    <mergeCell ref="A231:B231"/>
    <mergeCell ref="A232:B232"/>
    <mergeCell ref="A233:B233"/>
    <mergeCell ref="A234:H234"/>
    <mergeCell ref="A235:B235"/>
    <mergeCell ref="G235:H241"/>
    <mergeCell ref="A236:B236"/>
    <mergeCell ref="A237:B237"/>
    <mergeCell ref="A238:B238"/>
    <mergeCell ref="A239:B239"/>
    <mergeCell ref="A240:B240"/>
    <mergeCell ref="A241:B241"/>
    <mergeCell ref="D65:H65"/>
    <mergeCell ref="A106:B106"/>
    <mergeCell ref="A107:B107"/>
    <mergeCell ref="A74:B74"/>
    <mergeCell ref="F113:H113"/>
    <mergeCell ref="A113:E113"/>
    <mergeCell ref="A66:B66"/>
    <mergeCell ref="C66:H66"/>
    <mergeCell ref="A68:B68"/>
    <mergeCell ref="C68:H68"/>
    <mergeCell ref="A69:B69"/>
    <mergeCell ref="E69:F69"/>
    <mergeCell ref="G69:H69"/>
    <mergeCell ref="A70:B70"/>
    <mergeCell ref="A101:B101"/>
    <mergeCell ref="E83:F83"/>
    <mergeCell ref="A75:B75"/>
    <mergeCell ref="A76:B76"/>
    <mergeCell ref="A77:B77"/>
    <mergeCell ref="A78:B78"/>
    <mergeCell ref="A79:B79"/>
    <mergeCell ref="A94:B94"/>
    <mergeCell ref="A99:B99"/>
    <mergeCell ref="C33:E33"/>
    <mergeCell ref="C34:E34"/>
    <mergeCell ref="E43:H43"/>
    <mergeCell ref="E44:H44"/>
    <mergeCell ref="A42:D42"/>
    <mergeCell ref="A43:D43"/>
    <mergeCell ref="A44:D44"/>
    <mergeCell ref="A45:H45"/>
    <mergeCell ref="G46:H46"/>
    <mergeCell ref="G47:H47"/>
    <mergeCell ref="A47:B47"/>
    <mergeCell ref="A57:H57"/>
    <mergeCell ref="A58:C58"/>
    <mergeCell ref="A64:C64"/>
    <mergeCell ref="A36:B36"/>
    <mergeCell ref="A48:B49"/>
    <mergeCell ref="D60:H60"/>
    <mergeCell ref="A60:C60"/>
    <mergeCell ref="C49:H49"/>
    <mergeCell ref="G48:H48"/>
    <mergeCell ref="C36:H36"/>
    <mergeCell ref="A37:B37"/>
    <mergeCell ref="C37:H37"/>
    <mergeCell ref="D64:H64"/>
    <mergeCell ref="A50:B51"/>
    <mergeCell ref="C50:E50"/>
    <mergeCell ref="G50:H50"/>
    <mergeCell ref="C51:H51"/>
    <mergeCell ref="A52:B53"/>
    <mergeCell ref="C52:E52"/>
    <mergeCell ref="G52:H52"/>
    <mergeCell ref="C53:H53"/>
    <mergeCell ref="A54:B55"/>
    <mergeCell ref="A30:B30"/>
    <mergeCell ref="G56:H56"/>
    <mergeCell ref="A56:B56"/>
    <mergeCell ref="C56:E56"/>
    <mergeCell ref="A62:C62"/>
    <mergeCell ref="A63:C63"/>
    <mergeCell ref="D62:H62"/>
    <mergeCell ref="D63:H63"/>
    <mergeCell ref="C47:E47"/>
    <mergeCell ref="C48:E48"/>
    <mergeCell ref="A46:B46"/>
    <mergeCell ref="C46:E46"/>
    <mergeCell ref="A41:D41"/>
    <mergeCell ref="E41:H41"/>
    <mergeCell ref="E42:H42"/>
    <mergeCell ref="C31:E31"/>
    <mergeCell ref="A32:B32"/>
    <mergeCell ref="C32:E32"/>
    <mergeCell ref="A33:B33"/>
    <mergeCell ref="A61:C61"/>
    <mergeCell ref="D61:H61"/>
    <mergeCell ref="A59:C59"/>
    <mergeCell ref="D59:H59"/>
    <mergeCell ref="D58:H58"/>
    <mergeCell ref="A344:H347"/>
    <mergeCell ref="A343:B343"/>
    <mergeCell ref="E343:F343"/>
    <mergeCell ref="C343:D343"/>
    <mergeCell ref="G343:H343"/>
    <mergeCell ref="A123:H123"/>
    <mergeCell ref="A121:E121"/>
    <mergeCell ref="F121:H121"/>
    <mergeCell ref="A122:E122"/>
    <mergeCell ref="F122:H122"/>
    <mergeCell ref="D139:E139"/>
    <mergeCell ref="F139:H139"/>
    <mergeCell ref="A148:H148"/>
    <mergeCell ref="A139:B139"/>
    <mergeCell ref="D124:E124"/>
    <mergeCell ref="F124:H124"/>
    <mergeCell ref="A134:H134"/>
    <mergeCell ref="A338:H338"/>
    <mergeCell ref="A339:H339"/>
    <mergeCell ref="A340:H340"/>
    <mergeCell ref="A341:H341"/>
    <mergeCell ref="A342:H342"/>
    <mergeCell ref="A149:H149"/>
    <mergeCell ref="A335:H335"/>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0:D10"/>
    <mergeCell ref="E10:H10"/>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336:H336"/>
    <mergeCell ref="A337:H337"/>
    <mergeCell ref="A146:H146"/>
    <mergeCell ref="A145:H145"/>
    <mergeCell ref="A135:B135"/>
    <mergeCell ref="D135:E135"/>
    <mergeCell ref="G147:H147"/>
    <mergeCell ref="F120:H120"/>
    <mergeCell ref="G243:H249"/>
    <mergeCell ref="A189:H189"/>
    <mergeCell ref="G190:H197"/>
    <mergeCell ref="A198:H198"/>
    <mergeCell ref="G199:H206"/>
    <mergeCell ref="A120:E120"/>
    <mergeCell ref="F135:H135"/>
    <mergeCell ref="A124:B124"/>
    <mergeCell ref="D125:E125"/>
    <mergeCell ref="F125:H125"/>
    <mergeCell ref="A138:B138"/>
    <mergeCell ref="D138:E138"/>
    <mergeCell ref="A334:H334"/>
    <mergeCell ref="A322:H322"/>
    <mergeCell ref="A310:H310"/>
    <mergeCell ref="A125:B125"/>
    <mergeCell ref="A116:E116"/>
    <mergeCell ref="F116:H116"/>
    <mergeCell ref="A117:E117"/>
    <mergeCell ref="F117:H117"/>
    <mergeCell ref="A118:E118"/>
    <mergeCell ref="A119:E119"/>
    <mergeCell ref="F119:H119"/>
    <mergeCell ref="A114:E114"/>
    <mergeCell ref="F114:H114"/>
    <mergeCell ref="A115:E115"/>
    <mergeCell ref="F115:H115"/>
    <mergeCell ref="F118:H118"/>
    <mergeCell ref="A250:H250"/>
    <mergeCell ref="A258:H258"/>
    <mergeCell ref="A259:H259"/>
    <mergeCell ref="A276:H276"/>
    <mergeCell ref="G260:H275"/>
    <mergeCell ref="A277:H277"/>
    <mergeCell ref="A251:B251"/>
    <mergeCell ref="G251:H257"/>
    <mergeCell ref="A252:B252"/>
    <mergeCell ref="A253:B253"/>
    <mergeCell ref="A254:B254"/>
    <mergeCell ref="A255:B255"/>
    <mergeCell ref="A256:B256"/>
    <mergeCell ref="C256:F257"/>
    <mergeCell ref="A257:B257"/>
    <mergeCell ref="A136:B136"/>
    <mergeCell ref="D136:E136"/>
    <mergeCell ref="F136:H136"/>
    <mergeCell ref="A137:B137"/>
    <mergeCell ref="D137:E137"/>
    <mergeCell ref="G159:H159"/>
    <mergeCell ref="G210:H210"/>
    <mergeCell ref="A199:B199"/>
    <mergeCell ref="A200:B200"/>
    <mergeCell ref="A201:B201"/>
    <mergeCell ref="A202:B202"/>
    <mergeCell ref="A203:B203"/>
    <mergeCell ref="A204:B204"/>
    <mergeCell ref="A205:B205"/>
    <mergeCell ref="A206:B206"/>
    <mergeCell ref="C203:F203"/>
    <mergeCell ref="D142:E142"/>
    <mergeCell ref="A166:H166"/>
    <mergeCell ref="G167:H170"/>
    <mergeCell ref="C170:F170"/>
    <mergeCell ref="A191:B191"/>
    <mergeCell ref="A192:B192"/>
    <mergeCell ref="A193:B193"/>
    <mergeCell ref="F142:H142"/>
    <mergeCell ref="A196:B196"/>
    <mergeCell ref="A167:B167"/>
    <mergeCell ref="A168:B168"/>
    <mergeCell ref="A169:B169"/>
    <mergeCell ref="A170:B170"/>
    <mergeCell ref="A172:B172"/>
    <mergeCell ref="A173:B173"/>
    <mergeCell ref="A174:B174"/>
    <mergeCell ref="A197:B197"/>
    <mergeCell ref="A180:H180"/>
    <mergeCell ref="A181:B181"/>
    <mergeCell ref="G181:H188"/>
    <mergeCell ref="A182:B182"/>
    <mergeCell ref="A183:B183"/>
    <mergeCell ref="A184:B184"/>
    <mergeCell ref="A185:B185"/>
    <mergeCell ref="A186:B186"/>
    <mergeCell ref="A187:B187"/>
    <mergeCell ref="C194:F195"/>
    <mergeCell ref="A188:B188"/>
    <mergeCell ref="A175:B175"/>
    <mergeCell ref="A176:B176"/>
    <mergeCell ref="A190:B190"/>
    <mergeCell ref="A177:B177"/>
    <mergeCell ref="A178:B178"/>
    <mergeCell ref="A179:B179"/>
    <mergeCell ref="F137:H137"/>
    <mergeCell ref="A144:B144"/>
    <mergeCell ref="D144:E144"/>
    <mergeCell ref="F144:H144"/>
    <mergeCell ref="A194:B194"/>
    <mergeCell ref="A195:B195"/>
    <mergeCell ref="A140:H140"/>
    <mergeCell ref="A143:B143"/>
    <mergeCell ref="D143:E143"/>
    <mergeCell ref="F143:H143"/>
    <mergeCell ref="A141:B141"/>
    <mergeCell ref="D141:E141"/>
    <mergeCell ref="F141:H141"/>
    <mergeCell ref="G165:H165"/>
    <mergeCell ref="F138:H138"/>
    <mergeCell ref="G150:H150"/>
    <mergeCell ref="A142:B142"/>
    <mergeCell ref="G151:H151"/>
    <mergeCell ref="G152:H152"/>
    <mergeCell ref="G153:H153"/>
    <mergeCell ref="G154:H154"/>
    <mergeCell ref="G155:H155"/>
    <mergeCell ref="A108:H108"/>
    <mergeCell ref="A111:H111"/>
    <mergeCell ref="A112:E112"/>
    <mergeCell ref="F112:H112"/>
    <mergeCell ref="A109:H109"/>
    <mergeCell ref="A110:B110"/>
    <mergeCell ref="C110:H110"/>
    <mergeCell ref="G70:H79"/>
    <mergeCell ref="A71:B71"/>
    <mergeCell ref="A72:B72"/>
    <mergeCell ref="A73:B73"/>
    <mergeCell ref="A97:B97"/>
    <mergeCell ref="A98:B98"/>
    <mergeCell ref="E70:F79"/>
    <mergeCell ref="E97:F97"/>
    <mergeCell ref="G97:H97"/>
    <mergeCell ref="E98:F107"/>
    <mergeCell ref="G98:H107"/>
    <mergeCell ref="A80:B80"/>
    <mergeCell ref="C80:H80"/>
    <mergeCell ref="A82:B82"/>
    <mergeCell ref="C82:H82"/>
    <mergeCell ref="A83:B83"/>
    <mergeCell ref="G83:H83"/>
    <mergeCell ref="C54:E54"/>
    <mergeCell ref="G54:H54"/>
    <mergeCell ref="C55:H55"/>
    <mergeCell ref="A102:B102"/>
    <mergeCell ref="A103:B103"/>
    <mergeCell ref="A104:B104"/>
    <mergeCell ref="A105:B105"/>
    <mergeCell ref="C94:H94"/>
    <mergeCell ref="A96:B96"/>
    <mergeCell ref="C96:H96"/>
    <mergeCell ref="A100:B100"/>
    <mergeCell ref="A84:B84"/>
    <mergeCell ref="E84:F93"/>
    <mergeCell ref="G84:H93"/>
    <mergeCell ref="A85:B85"/>
    <mergeCell ref="A86:B86"/>
    <mergeCell ref="A87:B87"/>
    <mergeCell ref="A88:B88"/>
    <mergeCell ref="A89:B89"/>
    <mergeCell ref="A90:B90"/>
    <mergeCell ref="A91:B91"/>
    <mergeCell ref="A92:B92"/>
    <mergeCell ref="A93:B93"/>
    <mergeCell ref="A65:C65"/>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5" manualBreakCount="5">
    <brk id="65" max="7" man="1"/>
    <brk id="206" max="7" man="1"/>
    <brk id="333" max="7" man="1"/>
    <brk id="347" max="7" man="1"/>
    <brk id="390"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31" workbookViewId="0">
      <selection activeCell="M197" sqref="M197"/>
    </sheetView>
  </sheetViews>
  <sheetFormatPr defaultRowHeight="15" x14ac:dyDescent="0.25"/>
  <cols>
    <col min="2" max="2" width="12.28515625" customWidth="1"/>
  </cols>
  <sheetData>
    <row r="2" spans="1:12" x14ac:dyDescent="0.25">
      <c r="B2" s="3" t="s">
        <v>80</v>
      </c>
      <c r="C2" s="184"/>
      <c r="D2" s="184"/>
    </row>
    <row r="3" spans="1:12" x14ac:dyDescent="0.25">
      <c r="D3" s="4"/>
      <c r="E3" s="4"/>
      <c r="F3" s="4"/>
      <c r="G3" s="4"/>
      <c r="H3" s="4"/>
      <c r="I3" s="4"/>
    </row>
    <row r="4" spans="1:12" x14ac:dyDescent="0.25">
      <c r="A4" s="3" t="s">
        <v>81</v>
      </c>
      <c r="B4" s="5" t="s">
        <v>82</v>
      </c>
      <c r="C4" s="185" t="s">
        <v>83</v>
      </c>
      <c r="D4" s="185"/>
      <c r="E4" s="185"/>
      <c r="F4" s="6"/>
      <c r="G4" s="185" t="s">
        <v>84</v>
      </c>
      <c r="H4" s="185"/>
      <c r="I4" s="185"/>
      <c r="J4" s="185" t="s">
        <v>85</v>
      </c>
      <c r="K4" s="185"/>
      <c r="L4" s="185"/>
    </row>
    <row r="5" spans="1:12" x14ac:dyDescent="0.25">
      <c r="A5" s="3">
        <v>202</v>
      </c>
      <c r="B5" s="5"/>
      <c r="C5" s="5" t="s">
        <v>86</v>
      </c>
      <c r="D5" s="5" t="s">
        <v>87</v>
      </c>
      <c r="E5" s="5" t="s">
        <v>61</v>
      </c>
      <c r="F5" s="5"/>
      <c r="G5" s="5" t="s">
        <v>86</v>
      </c>
      <c r="H5" s="5" t="s">
        <v>87</v>
      </c>
      <c r="I5" s="5" t="s">
        <v>61</v>
      </c>
      <c r="J5" s="5" t="s">
        <v>86</v>
      </c>
      <c r="K5" s="5" t="s">
        <v>87</v>
      </c>
      <c r="L5" s="5" t="s">
        <v>61</v>
      </c>
    </row>
    <row r="6" spans="1:12" x14ac:dyDescent="0.25">
      <c r="B6" s="7" t="s">
        <v>88</v>
      </c>
      <c r="C6" s="7">
        <v>4.5</v>
      </c>
      <c r="D6" s="7">
        <v>2.9</v>
      </c>
      <c r="E6" s="7">
        <f>C6*D6</f>
        <v>13.049999999999999</v>
      </c>
      <c r="F6" s="7" t="s">
        <v>89</v>
      </c>
      <c r="G6" s="7"/>
      <c r="H6" s="7"/>
      <c r="I6" s="7">
        <f>G6*H6</f>
        <v>0</v>
      </c>
      <c r="J6" s="7"/>
      <c r="K6" s="7"/>
      <c r="L6" s="7">
        <f>J6*K6</f>
        <v>0</v>
      </c>
    </row>
    <row r="7" spans="1:12" x14ac:dyDescent="0.25">
      <c r="B7" s="7"/>
      <c r="C7" s="7"/>
      <c r="D7" s="7"/>
      <c r="E7" s="7">
        <f t="shared" ref="E7:E33" si="0">C7*D7</f>
        <v>0</v>
      </c>
      <c r="F7" s="7" t="s">
        <v>90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91</v>
      </c>
      <c r="C9" s="7">
        <v>1.88</v>
      </c>
      <c r="D9" s="7">
        <v>2.13</v>
      </c>
      <c r="E9" s="7">
        <f t="shared" si="0"/>
        <v>4.0043999999999995</v>
      </c>
      <c r="F9" s="7" t="s">
        <v>89</v>
      </c>
      <c r="G9" s="7"/>
      <c r="H9" s="7"/>
      <c r="I9" s="7">
        <f t="shared" si="1"/>
        <v>0</v>
      </c>
      <c r="J9" s="7"/>
      <c r="K9" s="7"/>
      <c r="L9" s="7">
        <f t="shared" si="2"/>
        <v>0</v>
      </c>
    </row>
    <row r="10" spans="1:12" x14ac:dyDescent="0.25">
      <c r="B10" s="7"/>
      <c r="C10" s="7"/>
      <c r="D10" s="7"/>
      <c r="E10" s="7">
        <f t="shared" si="0"/>
        <v>0</v>
      </c>
      <c r="F10" s="7" t="s">
        <v>90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92</v>
      </c>
      <c r="C13" s="7"/>
      <c r="D13" s="7"/>
      <c r="E13" s="7">
        <f t="shared" si="0"/>
        <v>0</v>
      </c>
      <c r="F13" s="7" t="s">
        <v>89</v>
      </c>
      <c r="G13" s="7"/>
      <c r="H13" s="7"/>
      <c r="I13" s="7">
        <f t="shared" si="1"/>
        <v>0</v>
      </c>
      <c r="J13" s="7"/>
      <c r="K13" s="7"/>
      <c r="L13" s="7">
        <f t="shared" si="2"/>
        <v>0</v>
      </c>
    </row>
    <row r="14" spans="1:12" x14ac:dyDescent="0.25">
      <c r="B14" s="7"/>
      <c r="C14" s="7"/>
      <c r="D14" s="7"/>
      <c r="E14" s="7">
        <f t="shared" si="0"/>
        <v>0</v>
      </c>
      <c r="F14" s="7" t="s">
        <v>90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93</v>
      </c>
      <c r="C17" s="7"/>
      <c r="D17" s="7"/>
      <c r="E17" s="7">
        <f t="shared" si="0"/>
        <v>0</v>
      </c>
      <c r="F17" s="7" t="s">
        <v>89</v>
      </c>
      <c r="G17" s="7"/>
      <c r="H17" s="7"/>
      <c r="I17" s="7">
        <f t="shared" si="1"/>
        <v>0</v>
      </c>
      <c r="J17" s="7"/>
      <c r="K17" s="7"/>
      <c r="L17" s="7">
        <f t="shared" si="2"/>
        <v>0</v>
      </c>
    </row>
    <row r="18" spans="2:12" x14ac:dyDescent="0.25">
      <c r="B18" s="7"/>
      <c r="C18" s="7"/>
      <c r="D18" s="7"/>
      <c r="E18" s="7">
        <f t="shared" si="0"/>
        <v>0</v>
      </c>
      <c r="F18" s="7" t="s">
        <v>90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93</v>
      </c>
      <c r="C20" s="7"/>
      <c r="D20" s="7"/>
      <c r="E20" s="7">
        <f t="shared" si="0"/>
        <v>0</v>
      </c>
      <c r="F20" s="7" t="s">
        <v>89</v>
      </c>
      <c r="G20" s="7"/>
      <c r="H20" s="7"/>
      <c r="I20" s="7">
        <f t="shared" si="1"/>
        <v>0</v>
      </c>
      <c r="J20" s="7"/>
      <c r="K20" s="7"/>
      <c r="L20" s="7">
        <f t="shared" si="2"/>
        <v>0</v>
      </c>
    </row>
    <row r="21" spans="2:12" x14ac:dyDescent="0.25">
      <c r="B21" s="7"/>
      <c r="C21" s="7"/>
      <c r="D21" s="7"/>
      <c r="E21" s="7">
        <f t="shared" si="0"/>
        <v>0</v>
      </c>
      <c r="F21" s="7" t="s">
        <v>90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94</v>
      </c>
      <c r="C23" s="7">
        <v>1.9</v>
      </c>
      <c r="D23" s="7">
        <v>1.07</v>
      </c>
      <c r="E23" s="7">
        <f t="shared" si="0"/>
        <v>2.0329999999999999</v>
      </c>
      <c r="F23" s="7" t="s">
        <v>95</v>
      </c>
      <c r="G23" s="7"/>
      <c r="H23" s="7"/>
      <c r="I23" s="7">
        <f t="shared" si="1"/>
        <v>0</v>
      </c>
      <c r="J23" s="7"/>
      <c r="K23" s="7"/>
      <c r="L23" s="7">
        <f t="shared" si="2"/>
        <v>0</v>
      </c>
    </row>
    <row r="24" spans="2:12" x14ac:dyDescent="0.25">
      <c r="B24" s="7" t="s">
        <v>96</v>
      </c>
      <c r="C24" s="7"/>
      <c r="D24" s="7"/>
      <c r="E24" s="7">
        <f t="shared" si="0"/>
        <v>0</v>
      </c>
      <c r="F24" s="7" t="s">
        <v>95</v>
      </c>
      <c r="G24" s="7"/>
      <c r="H24" s="7"/>
      <c r="I24" s="7">
        <f t="shared" si="1"/>
        <v>0</v>
      </c>
      <c r="J24" s="7"/>
      <c r="K24" s="7"/>
      <c r="L24" s="7">
        <f t="shared" si="2"/>
        <v>0</v>
      </c>
    </row>
    <row r="25" spans="2:12" x14ac:dyDescent="0.25">
      <c r="B25" s="7" t="s">
        <v>97</v>
      </c>
      <c r="C25" s="7"/>
      <c r="D25" s="7"/>
      <c r="E25" s="7">
        <f t="shared" si="0"/>
        <v>0</v>
      </c>
      <c r="F25" s="7" t="s">
        <v>95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98</v>
      </c>
      <c r="C27" s="7"/>
      <c r="D27" s="7"/>
      <c r="E27" s="7">
        <f t="shared" si="0"/>
        <v>0</v>
      </c>
      <c r="F27" s="7"/>
      <c r="G27" s="7"/>
      <c r="H27" s="7"/>
      <c r="I27" s="7">
        <f t="shared" si="1"/>
        <v>0</v>
      </c>
      <c r="J27" s="7"/>
      <c r="K27" s="7"/>
      <c r="L27" s="7">
        <f t="shared" si="2"/>
        <v>0</v>
      </c>
    </row>
    <row r="28" spans="2:12" x14ac:dyDescent="0.25">
      <c r="B28" s="7" t="s">
        <v>99</v>
      </c>
      <c r="C28" s="7"/>
      <c r="D28" s="7"/>
      <c r="E28" s="7">
        <f t="shared" si="0"/>
        <v>0</v>
      </c>
      <c r="F28" s="7"/>
      <c r="G28" s="7"/>
      <c r="H28" s="7"/>
      <c r="I28" s="7">
        <f t="shared" si="1"/>
        <v>0</v>
      </c>
      <c r="J28" s="7"/>
      <c r="K28" s="7"/>
      <c r="L28" s="7">
        <f t="shared" si="2"/>
        <v>0</v>
      </c>
    </row>
    <row r="29" spans="2:12" x14ac:dyDescent="0.25">
      <c r="B29" s="7" t="s">
        <v>100</v>
      </c>
      <c r="C29" s="7"/>
      <c r="D29" s="7"/>
      <c r="E29" s="7">
        <f t="shared" si="0"/>
        <v>0</v>
      </c>
      <c r="F29" s="7"/>
      <c r="G29" s="7"/>
      <c r="H29" s="7"/>
      <c r="I29" s="7">
        <f t="shared" si="1"/>
        <v>0</v>
      </c>
      <c r="J29" s="7"/>
      <c r="K29" s="7"/>
      <c r="L29" s="7">
        <f t="shared" si="2"/>
        <v>0</v>
      </c>
    </row>
    <row r="30" spans="2:12" x14ac:dyDescent="0.25">
      <c r="B30" s="7" t="s">
        <v>101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activeCell="H16" sqref="H16"/>
    </sheetView>
  </sheetViews>
  <sheetFormatPr defaultColWidth="8.7109375" defaultRowHeight="15" x14ac:dyDescent="0.25"/>
  <cols>
    <col min="1" max="1" width="8.7109375" style="19"/>
    <col min="2" max="2" width="22.140625" style="19" customWidth="1"/>
    <col min="3" max="3" width="37" style="19" customWidth="1"/>
    <col min="4" max="5" width="11.42578125" style="19" customWidth="1"/>
    <col min="6" max="6" width="14" style="19" customWidth="1"/>
    <col min="7" max="7" width="20" style="19" customWidth="1"/>
    <col min="8" max="8" width="16.42578125" style="19" customWidth="1"/>
    <col min="9" max="16384" width="8.7109375" style="19"/>
  </cols>
  <sheetData>
    <row r="1" spans="1:9" ht="15" customHeight="1" x14ac:dyDescent="0.25"/>
    <row r="2" spans="1:9" ht="15" customHeight="1" x14ac:dyDescent="0.25">
      <c r="A2" s="20"/>
      <c r="B2" s="20"/>
      <c r="C2" s="20"/>
      <c r="D2" s="20"/>
      <c r="E2" s="20"/>
      <c r="F2" s="20"/>
      <c r="G2" s="20"/>
      <c r="H2" s="20"/>
    </row>
    <row r="3" spans="1:9" ht="15.75" customHeight="1" x14ac:dyDescent="0.25">
      <c r="A3" s="20"/>
      <c r="B3" s="186" t="s">
        <v>147</v>
      </c>
      <c r="C3" s="186"/>
      <c r="D3" s="186"/>
      <c r="E3" s="186"/>
      <c r="F3" s="186"/>
      <c r="G3" s="186"/>
      <c r="H3" s="186"/>
    </row>
    <row r="4" spans="1:9" x14ac:dyDescent="0.25">
      <c r="A4" s="20"/>
      <c r="B4" s="21" t="s">
        <v>148</v>
      </c>
      <c r="C4" s="21" t="s">
        <v>149</v>
      </c>
      <c r="D4" s="21" t="s">
        <v>81</v>
      </c>
      <c r="E4" s="21" t="s">
        <v>150</v>
      </c>
      <c r="F4" s="21" t="s">
        <v>157</v>
      </c>
      <c r="G4" s="21" t="s">
        <v>158</v>
      </c>
      <c r="H4" s="21" t="s">
        <v>151</v>
      </c>
    </row>
    <row r="5" spans="1:9" ht="15" customHeight="1" x14ac:dyDescent="0.25">
      <c r="A5" s="20"/>
      <c r="B5" s="23" t="s">
        <v>152</v>
      </c>
      <c r="C5" s="24"/>
      <c r="D5" s="23" t="s">
        <v>153</v>
      </c>
      <c r="E5" s="23">
        <v>1106</v>
      </c>
      <c r="F5" s="25">
        <f>E5*1.6</f>
        <v>1769.6000000000001</v>
      </c>
      <c r="G5" s="25">
        <f>H5/F5</f>
        <v>31532.549728752259</v>
      </c>
      <c r="H5" s="26">
        <v>55800000</v>
      </c>
    </row>
    <row r="6" spans="1:9" x14ac:dyDescent="0.25">
      <c r="A6" s="20"/>
      <c r="B6" s="23" t="s">
        <v>152</v>
      </c>
      <c r="C6" s="27"/>
      <c r="D6" s="23"/>
      <c r="E6" s="23"/>
      <c r="F6" s="25">
        <f t="shared" ref="F6:F11" si="0">E6*1.6</f>
        <v>0</v>
      </c>
      <c r="G6" s="25" t="e">
        <f t="shared" ref="G6:G11" si="1">H6/F6</f>
        <v>#DIV/0!</v>
      </c>
      <c r="H6" s="26"/>
    </row>
    <row r="7" spans="1:9" ht="15" customHeight="1" x14ac:dyDescent="0.25">
      <c r="A7" s="20"/>
      <c r="B7" s="23" t="s">
        <v>152</v>
      </c>
      <c r="C7" s="24"/>
      <c r="D7" s="23"/>
      <c r="E7" s="23"/>
      <c r="F7" s="25">
        <f t="shared" si="0"/>
        <v>0</v>
      </c>
      <c r="G7" s="25" t="e">
        <f t="shared" si="1"/>
        <v>#DIV/0!</v>
      </c>
      <c r="H7" s="26"/>
    </row>
    <row r="8" spans="1:9" x14ac:dyDescent="0.25">
      <c r="A8" s="20"/>
      <c r="B8" s="23" t="s">
        <v>152</v>
      </c>
      <c r="C8" s="27"/>
      <c r="D8" s="23"/>
      <c r="E8" s="23"/>
      <c r="F8" s="25">
        <f t="shared" si="0"/>
        <v>0</v>
      </c>
      <c r="G8" s="25" t="e">
        <f t="shared" si="1"/>
        <v>#DIV/0!</v>
      </c>
      <c r="H8" s="26"/>
    </row>
    <row r="9" spans="1:9" ht="15" customHeight="1" x14ac:dyDescent="0.25">
      <c r="A9" s="20"/>
      <c r="B9" s="23" t="s">
        <v>152</v>
      </c>
      <c r="C9" s="27"/>
      <c r="D9" s="23"/>
      <c r="E9" s="23"/>
      <c r="F9" s="25">
        <f t="shared" si="0"/>
        <v>0</v>
      </c>
      <c r="G9" s="25" t="e">
        <f t="shared" si="1"/>
        <v>#DIV/0!</v>
      </c>
      <c r="H9" s="26"/>
    </row>
    <row r="10" spans="1:9" ht="15" customHeight="1" x14ac:dyDescent="0.25">
      <c r="A10" s="20"/>
      <c r="B10" s="23" t="s">
        <v>154</v>
      </c>
      <c r="C10" s="24"/>
      <c r="D10" s="23"/>
      <c r="E10" s="23"/>
      <c r="F10" s="25">
        <f t="shared" si="0"/>
        <v>0</v>
      </c>
      <c r="G10" s="25" t="e">
        <f t="shared" si="1"/>
        <v>#DIV/0!</v>
      </c>
      <c r="H10" s="26"/>
    </row>
    <row r="11" spans="1:9" ht="15" customHeight="1" x14ac:dyDescent="0.25">
      <c r="A11" s="20"/>
      <c r="B11" s="23" t="s">
        <v>154</v>
      </c>
      <c r="C11" s="24"/>
      <c r="D11" s="23"/>
      <c r="E11" s="23"/>
      <c r="F11" s="25">
        <f t="shared" si="0"/>
        <v>0</v>
      </c>
      <c r="G11" s="25" t="e">
        <f t="shared" si="1"/>
        <v>#DIV/0!</v>
      </c>
      <c r="H11" s="26"/>
    </row>
    <row r="12" spans="1:9" ht="15" customHeight="1" x14ac:dyDescent="0.25">
      <c r="A12" s="20"/>
      <c r="B12" s="28" t="s">
        <v>155</v>
      </c>
      <c r="C12" s="23"/>
      <c r="D12" s="23"/>
      <c r="E12" s="23"/>
      <c r="F12" s="23"/>
      <c r="G12" s="29" t="e">
        <f>AVERAGE(G5:G11)</f>
        <v>#DIV/0!</v>
      </c>
      <c r="H12" s="23"/>
    </row>
    <row r="13" spans="1:9" ht="15" customHeight="1" x14ac:dyDescent="0.25">
      <c r="B13" s="28" t="s">
        <v>156</v>
      </c>
      <c r="C13" s="23"/>
      <c r="D13" s="23"/>
      <c r="E13" s="23"/>
      <c r="F13" s="30"/>
      <c r="G13" s="28"/>
      <c r="H13" s="28"/>
      <c r="I13" s="22"/>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2025-07-31T12:06:43Z</cp:lastPrinted>
  <dcterms:created xsi:type="dcterms:W3CDTF">2019-07-16T09:29:46Z</dcterms:created>
  <dcterms:modified xsi:type="dcterms:W3CDTF">2025-09-16T08:02:57Z</dcterms:modified>
</cp:coreProperties>
</file>