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Report (2)" sheetId="7" r:id="rId5"/>
  </sheets>
  <definedNames>
    <definedName name="_xlnm.Print_Area" localSheetId="0">Report!$A$1:$H$440</definedName>
    <definedName name="_xlnm.Print_Area" localSheetId="4">'Report (2)'!$A$1:$H$419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1" i="1" l="1"/>
  <c r="C100" i="1"/>
  <c r="C99" i="1" l="1"/>
  <c r="D217" i="1" l="1"/>
  <c r="F217" i="1" s="1"/>
  <c r="H217" i="1" s="1"/>
  <c r="I217" i="1"/>
  <c r="J224" i="1"/>
  <c r="I224" i="1"/>
  <c r="D220" i="1"/>
  <c r="F220" i="1" s="1"/>
  <c r="H220" i="1" s="1"/>
  <c r="J217" i="1"/>
  <c r="D224" i="1"/>
  <c r="F224" i="1" s="1"/>
  <c r="H224" i="1" s="1"/>
  <c r="D223" i="1"/>
  <c r="F223" i="1" s="1"/>
  <c r="H223" i="1" s="1"/>
  <c r="D215" i="1"/>
  <c r="F215" i="1" s="1"/>
  <c r="H215" i="1" s="1"/>
  <c r="D214" i="1"/>
  <c r="D212" i="1"/>
  <c r="F212" i="1" s="1"/>
  <c r="H212" i="1" s="1"/>
  <c r="D211" i="1"/>
  <c r="C129" i="1" s="1"/>
  <c r="D209" i="1"/>
  <c r="F209" i="1" s="1"/>
  <c r="H209" i="1" s="1"/>
  <c r="D208" i="1"/>
  <c r="F208" i="1" s="1"/>
  <c r="H208" i="1" s="1"/>
  <c r="J205" i="1"/>
  <c r="I205" i="1"/>
  <c r="D206" i="1"/>
  <c r="F206" i="1" s="1"/>
  <c r="H206" i="1" s="1"/>
  <c r="D205" i="1"/>
  <c r="C134" i="1" s="1"/>
  <c r="A206" i="1"/>
  <c r="E43" i="1"/>
  <c r="C77" i="1"/>
  <c r="C92" i="1"/>
  <c r="H78" i="1"/>
  <c r="K217" i="1" l="1"/>
  <c r="K224" i="1"/>
  <c r="K205" i="1"/>
  <c r="F214" i="1"/>
  <c r="C138" i="1"/>
  <c r="C139" i="1" s="1"/>
  <c r="F205" i="1"/>
  <c r="E134" i="1" s="1"/>
  <c r="F211" i="1"/>
  <c r="J77" i="1"/>
  <c r="J79" i="1" s="1"/>
  <c r="D89" i="1"/>
  <c r="D85" i="1"/>
  <c r="J81" i="1"/>
  <c r="D88" i="1"/>
  <c r="D84" i="1"/>
  <c r="D83" i="1"/>
  <c r="J82" i="1"/>
  <c r="C81" i="1" s="1"/>
  <c r="J80" i="1"/>
  <c r="D90" i="1"/>
  <c r="I77" i="1" s="1"/>
  <c r="C79" i="1" s="1"/>
  <c r="D86" i="1"/>
  <c r="D87" i="1"/>
  <c r="B78" i="1"/>
  <c r="D291" i="7"/>
  <c r="B270" i="7"/>
  <c r="B269" i="7"/>
  <c r="H266" i="7"/>
  <c r="F266" i="7"/>
  <c r="F265" i="7"/>
  <c r="H265" i="7" s="1"/>
  <c r="F264" i="7"/>
  <c r="H264" i="7" s="1"/>
  <c r="F263" i="7"/>
  <c r="H263" i="7" s="1"/>
  <c r="F262" i="7"/>
  <c r="H262" i="7" s="1"/>
  <c r="F260" i="7"/>
  <c r="H260" i="7" s="1"/>
  <c r="H259" i="7"/>
  <c r="F259" i="7"/>
  <c r="F258" i="7"/>
  <c r="H258" i="7" s="1"/>
  <c r="F257" i="7"/>
  <c r="H257" i="7" s="1"/>
  <c r="F256" i="7"/>
  <c r="H256" i="7" s="1"/>
  <c r="F254" i="7"/>
  <c r="H254" i="7" s="1"/>
  <c r="F253" i="7"/>
  <c r="H253" i="7" s="1"/>
  <c r="F252" i="7"/>
  <c r="H252" i="7" s="1"/>
  <c r="F251" i="7"/>
  <c r="H251" i="7" s="1"/>
  <c r="F250" i="7"/>
  <c r="H250" i="7" s="1"/>
  <c r="F248" i="7"/>
  <c r="H248" i="7" s="1"/>
  <c r="F247" i="7"/>
  <c r="H247" i="7" s="1"/>
  <c r="F246" i="7"/>
  <c r="H246" i="7" s="1"/>
  <c r="F245" i="7"/>
  <c r="H245" i="7" s="1"/>
  <c r="F244" i="7"/>
  <c r="H244" i="7" s="1"/>
  <c r="A244" i="7"/>
  <c r="A245" i="7" s="1"/>
  <c r="A246" i="7" s="1"/>
  <c r="A247" i="7" s="1"/>
  <c r="A248" i="7" s="1"/>
  <c r="F242" i="7"/>
  <c r="H242" i="7" s="1"/>
  <c r="F241" i="7"/>
  <c r="H241" i="7" s="1"/>
  <c r="F240" i="7"/>
  <c r="H240" i="7" s="1"/>
  <c r="A240" i="7"/>
  <c r="A241" i="7" s="1"/>
  <c r="A242" i="7" s="1"/>
  <c r="F239" i="7"/>
  <c r="H239" i="7" s="1"/>
  <c r="D236" i="7"/>
  <c r="F236" i="7" s="1"/>
  <c r="H236" i="7" s="1"/>
  <c r="F235" i="7"/>
  <c r="H235" i="7" s="1"/>
  <c r="D235" i="7"/>
  <c r="F234" i="7"/>
  <c r="H234" i="7" s="1"/>
  <c r="D234" i="7"/>
  <c r="D233" i="7"/>
  <c r="F233" i="7" s="1"/>
  <c r="H233" i="7" s="1"/>
  <c r="A233" i="7"/>
  <c r="A234" i="7" s="1"/>
  <c r="A235" i="7" s="1"/>
  <c r="A236" i="7" s="1"/>
  <c r="D231" i="7"/>
  <c r="F231" i="7" s="1"/>
  <c r="H231" i="7" s="1"/>
  <c r="D230" i="7"/>
  <c r="F230" i="7" s="1"/>
  <c r="H230" i="7" s="1"/>
  <c r="D229" i="7"/>
  <c r="F229" i="7" s="1"/>
  <c r="H229" i="7" s="1"/>
  <c r="D228" i="7"/>
  <c r="F228" i="7" s="1"/>
  <c r="H228" i="7" s="1"/>
  <c r="A228" i="7"/>
  <c r="A229" i="7" s="1"/>
  <c r="A230" i="7" s="1"/>
  <c r="A231" i="7" s="1"/>
  <c r="D226" i="7"/>
  <c r="F226" i="7" s="1"/>
  <c r="H226" i="7" s="1"/>
  <c r="D225" i="7"/>
  <c r="F225" i="7" s="1"/>
  <c r="H225" i="7" s="1"/>
  <c r="D224" i="7"/>
  <c r="F224" i="7" s="1"/>
  <c r="H224" i="7" s="1"/>
  <c r="A223" i="7"/>
  <c r="A224" i="7" s="1"/>
  <c r="A225" i="7" s="1"/>
  <c r="A226" i="7" s="1"/>
  <c r="D221" i="7"/>
  <c r="F221" i="7" s="1"/>
  <c r="D220" i="7"/>
  <c r="F220" i="7" s="1"/>
  <c r="H220" i="7" s="1"/>
  <c r="D219" i="7"/>
  <c r="F219" i="7" s="1"/>
  <c r="H219" i="7" s="1"/>
  <c r="A219" i="7"/>
  <c r="A220" i="7" s="1"/>
  <c r="A221" i="7" s="1"/>
  <c r="D218" i="7"/>
  <c r="F218" i="7" s="1"/>
  <c r="H218" i="7" s="1"/>
  <c r="D216" i="7"/>
  <c r="F216" i="7" s="1"/>
  <c r="H216" i="7" s="1"/>
  <c r="D215" i="7"/>
  <c r="F215" i="7" s="1"/>
  <c r="H215" i="7" s="1"/>
  <c r="D214" i="7"/>
  <c r="F214" i="7" s="1"/>
  <c r="H214" i="7" s="1"/>
  <c r="D213" i="7"/>
  <c r="F213" i="7" s="1"/>
  <c r="H213" i="7" s="1"/>
  <c r="A213" i="7"/>
  <c r="A214" i="7" s="1"/>
  <c r="A215" i="7" s="1"/>
  <c r="A216" i="7" s="1"/>
  <c r="D211" i="7"/>
  <c r="F211" i="7" s="1"/>
  <c r="H211" i="7" s="1"/>
  <c r="D210" i="7"/>
  <c r="F210" i="7" s="1"/>
  <c r="H210" i="7" s="1"/>
  <c r="D209" i="7"/>
  <c r="F209" i="7" s="1"/>
  <c r="H209" i="7" s="1"/>
  <c r="D208" i="7"/>
  <c r="F208" i="7" s="1"/>
  <c r="H208" i="7" s="1"/>
  <c r="A208" i="7"/>
  <c r="A209" i="7" s="1"/>
  <c r="A210" i="7" s="1"/>
  <c r="A211" i="7" s="1"/>
  <c r="D206" i="7"/>
  <c r="F206" i="7" s="1"/>
  <c r="H206" i="7" s="1"/>
  <c r="D205" i="7"/>
  <c r="F205" i="7" s="1"/>
  <c r="H205" i="7" s="1"/>
  <c r="D204" i="7"/>
  <c r="F204" i="7" s="1"/>
  <c r="H204" i="7" s="1"/>
  <c r="D203" i="7"/>
  <c r="F203" i="7" s="1"/>
  <c r="H203" i="7" s="1"/>
  <c r="A203" i="7"/>
  <c r="A204" i="7" s="1"/>
  <c r="A205" i="7" s="1"/>
  <c r="A206" i="7" s="1"/>
  <c r="F201" i="7"/>
  <c r="H201" i="7" s="1"/>
  <c r="D201" i="7"/>
  <c r="F200" i="7"/>
  <c r="H200" i="7" s="1"/>
  <c r="E200" i="7"/>
  <c r="D200" i="7"/>
  <c r="E199" i="7"/>
  <c r="D199" i="7"/>
  <c r="F199" i="7" s="1"/>
  <c r="A198" i="7"/>
  <c r="A199" i="7" s="1"/>
  <c r="A200" i="7" s="1"/>
  <c r="A201" i="7" s="1"/>
  <c r="E189" i="7"/>
  <c r="D189" i="7"/>
  <c r="E188" i="7"/>
  <c r="D188" i="7"/>
  <c r="A188" i="7"/>
  <c r="A189" i="7" s="1"/>
  <c r="E186" i="7"/>
  <c r="D186" i="7"/>
  <c r="E185" i="7"/>
  <c r="F185" i="7" s="1"/>
  <c r="H185" i="7" s="1"/>
  <c r="D185" i="7"/>
  <c r="A185" i="7"/>
  <c r="A186" i="7" s="1"/>
  <c r="E183" i="7"/>
  <c r="D183" i="7"/>
  <c r="E182" i="7"/>
  <c r="D182" i="7"/>
  <c r="A182" i="7"/>
  <c r="A183" i="7" s="1"/>
  <c r="E180" i="7"/>
  <c r="D180" i="7"/>
  <c r="E179" i="7"/>
  <c r="D179" i="7"/>
  <c r="A179" i="7"/>
  <c r="A180" i="7" s="1"/>
  <c r="F177" i="7"/>
  <c r="H177" i="7" s="1"/>
  <c r="D177" i="7"/>
  <c r="A177" i="7"/>
  <c r="E176" i="7"/>
  <c r="D176" i="7"/>
  <c r="A176" i="7"/>
  <c r="E174" i="7"/>
  <c r="D174" i="7"/>
  <c r="I173" i="7"/>
  <c r="E173" i="7"/>
  <c r="D173" i="7"/>
  <c r="F173" i="7" s="1"/>
  <c r="H173" i="7" s="1"/>
  <c r="A173" i="7"/>
  <c r="A174" i="7" s="1"/>
  <c r="E171" i="7"/>
  <c r="D171" i="7"/>
  <c r="D170" i="7"/>
  <c r="F170" i="7" s="1"/>
  <c r="H170" i="7" s="1"/>
  <c r="E169" i="7"/>
  <c r="D169" i="7"/>
  <c r="F169" i="7" s="1"/>
  <c r="A169" i="7"/>
  <c r="A170" i="7" s="1"/>
  <c r="A171" i="7" s="1"/>
  <c r="E167" i="7"/>
  <c r="D167" i="7"/>
  <c r="E166" i="7"/>
  <c r="D166" i="7"/>
  <c r="F166" i="7" s="1"/>
  <c r="H166" i="7" s="1"/>
  <c r="E164" i="7"/>
  <c r="D164" i="7"/>
  <c r="F164" i="7" s="1"/>
  <c r="H164" i="7" s="1"/>
  <c r="E163" i="7"/>
  <c r="D163" i="7"/>
  <c r="A163" i="7"/>
  <c r="A164" i="7" s="1"/>
  <c r="E161" i="7"/>
  <c r="D161" i="7"/>
  <c r="D160" i="7"/>
  <c r="F160" i="7" s="1"/>
  <c r="H160" i="7" s="1"/>
  <c r="E159" i="7"/>
  <c r="D159" i="7"/>
  <c r="F159" i="7" s="1"/>
  <c r="H159" i="7" s="1"/>
  <c r="A159" i="7"/>
  <c r="A160" i="7" s="1"/>
  <c r="A161" i="7" s="1"/>
  <c r="D157" i="7"/>
  <c r="F157" i="7" s="1"/>
  <c r="H157" i="7" s="1"/>
  <c r="D156" i="7"/>
  <c r="F156" i="7" s="1"/>
  <c r="H156" i="7" s="1"/>
  <c r="I155" i="7"/>
  <c r="D155" i="7"/>
  <c r="F155" i="7" s="1"/>
  <c r="H155" i="7" s="1"/>
  <c r="A155" i="7"/>
  <c r="A156" i="7" s="1"/>
  <c r="A157" i="7" s="1"/>
  <c r="I153" i="7"/>
  <c r="E153" i="7"/>
  <c r="F153" i="7" s="1"/>
  <c r="H153" i="7" s="1"/>
  <c r="D153" i="7"/>
  <c r="I152" i="7"/>
  <c r="E152" i="7"/>
  <c r="D152" i="7"/>
  <c r="A152" i="7"/>
  <c r="A153" i="7" s="1"/>
  <c r="F141" i="7"/>
  <c r="H141" i="7" s="1"/>
  <c r="A141" i="7"/>
  <c r="H140" i="7"/>
  <c r="F140" i="7"/>
  <c r="A140" i="7"/>
  <c r="F139" i="7"/>
  <c r="H139" i="7" s="1"/>
  <c r="A139" i="7"/>
  <c r="F138" i="7"/>
  <c r="H138" i="7" s="1"/>
  <c r="F116" i="7"/>
  <c r="C90" i="7"/>
  <c r="C76" i="7"/>
  <c r="B77" i="7" s="1"/>
  <c r="D70" i="7"/>
  <c r="D64" i="7"/>
  <c r="G51" i="7"/>
  <c r="C51" i="7"/>
  <c r="E44" i="7"/>
  <c r="E45" i="7" s="1"/>
  <c r="I43" i="7"/>
  <c r="S33" i="7"/>
  <c r="E31" i="7"/>
  <c r="E28" i="7"/>
  <c r="E26" i="7"/>
  <c r="C16" i="7"/>
  <c r="I15" i="7"/>
  <c r="Z13" i="7"/>
  <c r="E8" i="7"/>
  <c r="E3" i="7"/>
  <c r="A262" i="7"/>
  <c r="A166" i="7"/>
  <c r="A250" i="7"/>
  <c r="H91" i="7"/>
  <c r="A256" i="7"/>
  <c r="F176" i="7" l="1"/>
  <c r="H176" i="7" s="1"/>
  <c r="F180" i="7"/>
  <c r="H180" i="7" s="1"/>
  <c r="F152" i="7"/>
  <c r="F174" i="7"/>
  <c r="H174" i="7" s="1"/>
  <c r="J174" i="7" s="1"/>
  <c r="F183" i="7"/>
  <c r="H183" i="7" s="1"/>
  <c r="F188" i="7"/>
  <c r="H188" i="7" s="1"/>
  <c r="F171" i="7"/>
  <c r="H171" i="7" s="1"/>
  <c r="F163" i="7"/>
  <c r="H163" i="7" s="1"/>
  <c r="H211" i="1"/>
  <c r="G129" i="1" s="1"/>
  <c r="E129" i="1"/>
  <c r="H205" i="1"/>
  <c r="G134" i="1" s="1"/>
  <c r="H214" i="1"/>
  <c r="G138" i="1" s="1"/>
  <c r="G139" i="1" s="1"/>
  <c r="E138" i="1"/>
  <c r="E139" i="1" s="1"/>
  <c r="J85" i="1"/>
  <c r="J88" i="1"/>
  <c r="J87" i="1"/>
  <c r="J83" i="1"/>
  <c r="J84" i="1" s="1"/>
  <c r="J89" i="1" s="1"/>
  <c r="J90" i="1" s="1"/>
  <c r="J86" i="1"/>
  <c r="D81" i="1"/>
  <c r="F167" i="7"/>
  <c r="H167" i="7" s="1"/>
  <c r="F179" i="7"/>
  <c r="H179" i="7" s="1"/>
  <c r="F161" i="7"/>
  <c r="H161" i="7" s="1"/>
  <c r="F182" i="7"/>
  <c r="H182" i="7" s="1"/>
  <c r="F186" i="7"/>
  <c r="H186" i="7" s="1"/>
  <c r="J186" i="7" s="1"/>
  <c r="J105" i="7" s="1"/>
  <c r="F189" i="7"/>
  <c r="H189" i="7" s="1"/>
  <c r="D102" i="7"/>
  <c r="D100" i="7"/>
  <c r="D98" i="7"/>
  <c r="D96" i="7"/>
  <c r="J94" i="7"/>
  <c r="J95" i="7"/>
  <c r="C94" i="7" s="1"/>
  <c r="D94" i="7" s="1"/>
  <c r="J93" i="7"/>
  <c r="J90" i="7"/>
  <c r="J92" i="7" s="1"/>
  <c r="D103" i="7"/>
  <c r="D101" i="7"/>
  <c r="D99" i="7"/>
  <c r="D97" i="7"/>
  <c r="J87" i="7"/>
  <c r="J85" i="7"/>
  <c r="J86" i="7"/>
  <c r="J84" i="7"/>
  <c r="H152" i="7"/>
  <c r="H169" i="7"/>
  <c r="E124" i="7"/>
  <c r="C124" i="7"/>
  <c r="C125" i="7"/>
  <c r="H221" i="7"/>
  <c r="E125" i="7"/>
  <c r="G124" i="7"/>
  <c r="G125" i="7"/>
  <c r="E130" i="7"/>
  <c r="H199" i="7"/>
  <c r="G130" i="7" s="1"/>
  <c r="C130" i="7"/>
  <c r="B91" i="7"/>
  <c r="E197" i="1"/>
  <c r="D197" i="1"/>
  <c r="E196" i="1"/>
  <c r="D196" i="1"/>
  <c r="E194" i="1"/>
  <c r="D194" i="1"/>
  <c r="E193" i="1"/>
  <c r="D193" i="1"/>
  <c r="E191" i="1"/>
  <c r="D191" i="1"/>
  <c r="E190" i="1"/>
  <c r="D190" i="1"/>
  <c r="E188" i="1"/>
  <c r="D188" i="1"/>
  <c r="E187" i="1"/>
  <c r="D187" i="1"/>
  <c r="D185" i="1"/>
  <c r="F185" i="1" s="1"/>
  <c r="H185" i="1" s="1"/>
  <c r="D184" i="1"/>
  <c r="E184" i="1"/>
  <c r="E182" i="1"/>
  <c r="D182" i="1"/>
  <c r="E181" i="1"/>
  <c r="D181" i="1"/>
  <c r="E179" i="1"/>
  <c r="D179" i="1"/>
  <c r="D178" i="1"/>
  <c r="F178" i="1" s="1"/>
  <c r="H178" i="1" s="1"/>
  <c r="E177" i="1"/>
  <c r="D177" i="1"/>
  <c r="E175" i="1"/>
  <c r="D175" i="1"/>
  <c r="E174" i="1"/>
  <c r="D174" i="1"/>
  <c r="E172" i="1"/>
  <c r="D172" i="1"/>
  <c r="E171" i="1"/>
  <c r="D171" i="1"/>
  <c r="E169" i="1"/>
  <c r="D169" i="1"/>
  <c r="D168" i="1"/>
  <c r="F168" i="1" s="1"/>
  <c r="E167" i="1"/>
  <c r="D167" i="1"/>
  <c r="D165" i="1"/>
  <c r="F165" i="1" s="1"/>
  <c r="H165" i="1" s="1"/>
  <c r="D164" i="1"/>
  <c r="D163" i="1"/>
  <c r="F163" i="1" s="1"/>
  <c r="H163" i="1" s="1"/>
  <c r="E161" i="1"/>
  <c r="D161" i="1"/>
  <c r="E160" i="1"/>
  <c r="D160" i="1"/>
  <c r="A196" i="1"/>
  <c r="A197" i="1" s="1"/>
  <c r="A193" i="1"/>
  <c r="A194" i="1" s="1"/>
  <c r="A190" i="1"/>
  <c r="A191" i="1" s="1"/>
  <c r="A187" i="1"/>
  <c r="A188" i="1" s="1"/>
  <c r="A184" i="1"/>
  <c r="A185" i="1" s="1"/>
  <c r="I181" i="1"/>
  <c r="A181" i="1"/>
  <c r="A182" i="1" s="1"/>
  <c r="A177" i="1"/>
  <c r="A178" i="1" s="1"/>
  <c r="A179" i="1" s="1"/>
  <c r="A171" i="1"/>
  <c r="A172" i="1" s="1"/>
  <c r="A167" i="1"/>
  <c r="A168" i="1" s="1"/>
  <c r="A169" i="1" s="1"/>
  <c r="F164" i="1"/>
  <c r="H164" i="1" s="1"/>
  <c r="I163" i="1"/>
  <c r="I160" i="1"/>
  <c r="I161" i="1"/>
  <c r="A163" i="1"/>
  <c r="A164" i="1" s="1"/>
  <c r="A165" i="1" s="1"/>
  <c r="A251" i="7"/>
  <c r="A257" i="7"/>
  <c r="A167" i="7"/>
  <c r="A174" i="1"/>
  <c r="H77" i="7"/>
  <c r="A263" i="7"/>
  <c r="C82" i="1" l="1"/>
  <c r="E81" i="1" s="1"/>
  <c r="C91" i="1" s="1"/>
  <c r="J91" i="1"/>
  <c r="F190" i="1"/>
  <c r="H190" i="1" s="1"/>
  <c r="G129" i="7"/>
  <c r="G131" i="7" s="1"/>
  <c r="E129" i="7"/>
  <c r="E131" i="7" s="1"/>
  <c r="H168" i="1"/>
  <c r="C129" i="7"/>
  <c r="D88" i="7"/>
  <c r="D86" i="7"/>
  <c r="D84" i="7"/>
  <c r="D82" i="7"/>
  <c r="J80" i="7"/>
  <c r="J81" i="7"/>
  <c r="C80" i="7" s="1"/>
  <c r="D80" i="7" s="1"/>
  <c r="J79" i="7"/>
  <c r="J76" i="7"/>
  <c r="J78" i="7" s="1"/>
  <c r="D89" i="7"/>
  <c r="D87" i="7"/>
  <c r="D85" i="7"/>
  <c r="D83" i="7"/>
  <c r="J82" i="7"/>
  <c r="J83" i="7" s="1"/>
  <c r="J88" i="7" s="1"/>
  <c r="J89" i="7" s="1"/>
  <c r="C81" i="7" s="1"/>
  <c r="G126" i="7"/>
  <c r="G132" i="7" s="1"/>
  <c r="C126" i="7"/>
  <c r="C131" i="7"/>
  <c r="E126" i="7"/>
  <c r="J100" i="7"/>
  <c r="J98" i="7"/>
  <c r="J96" i="7"/>
  <c r="J97" i="7" s="1"/>
  <c r="J102" i="7" s="1"/>
  <c r="J103" i="7" s="1"/>
  <c r="C95" i="7" s="1"/>
  <c r="G94" i="7" s="1"/>
  <c r="J101" i="7"/>
  <c r="J99" i="7"/>
  <c r="F179" i="1"/>
  <c r="H179" i="1" s="1"/>
  <c r="F188" i="1"/>
  <c r="H188" i="1" s="1"/>
  <c r="F175" i="1"/>
  <c r="H175" i="1" s="1"/>
  <c r="F197" i="1"/>
  <c r="H197" i="1" s="1"/>
  <c r="F181" i="1"/>
  <c r="H181" i="1" s="1"/>
  <c r="F191" i="1"/>
  <c r="H191" i="1" s="1"/>
  <c r="F177" i="1"/>
  <c r="H177" i="1" s="1"/>
  <c r="F193" i="1"/>
  <c r="H193" i="1" s="1"/>
  <c r="F196" i="1"/>
  <c r="H196" i="1" s="1"/>
  <c r="F174" i="1"/>
  <c r="H174" i="1" s="1"/>
  <c r="F194" i="1"/>
  <c r="H194" i="1" s="1"/>
  <c r="J194" i="1" s="1"/>
  <c r="F187" i="1"/>
  <c r="H187" i="1" s="1"/>
  <c r="F184" i="1"/>
  <c r="H184" i="1" s="1"/>
  <c r="F182" i="1"/>
  <c r="H182" i="1" s="1"/>
  <c r="J182" i="1" s="1"/>
  <c r="F172" i="1"/>
  <c r="H172" i="1" s="1"/>
  <c r="F167" i="1"/>
  <c r="H167" i="1" s="1"/>
  <c r="F171" i="1"/>
  <c r="H171" i="1" s="1"/>
  <c r="F169" i="1"/>
  <c r="H169" i="1" s="1"/>
  <c r="F161" i="1"/>
  <c r="H161" i="1" s="1"/>
  <c r="F160" i="1"/>
  <c r="A160" i="1"/>
  <c r="A161" i="1" s="1"/>
  <c r="I43" i="1"/>
  <c r="A258" i="7"/>
  <c r="A175" i="1"/>
  <c r="A252" i="7"/>
  <c r="A264" i="7"/>
  <c r="J78" i="1" l="1"/>
  <c r="G81" i="1"/>
  <c r="G91" i="1" s="1"/>
  <c r="D82" i="1"/>
  <c r="I78" i="1" s="1"/>
  <c r="I79" i="1" s="1"/>
  <c r="E132" i="7"/>
  <c r="E128" i="1"/>
  <c r="E130" i="1" s="1"/>
  <c r="C128" i="1"/>
  <c r="C130" i="1" s="1"/>
  <c r="E133" i="1"/>
  <c r="E135" i="1" s="1"/>
  <c r="C133" i="1"/>
  <c r="C135" i="1" s="1"/>
  <c r="G128" i="1"/>
  <c r="G130" i="1" s="1"/>
  <c r="J107" i="1"/>
  <c r="E80" i="7"/>
  <c r="D81" i="7"/>
  <c r="I77" i="7" s="1"/>
  <c r="I78" i="7" s="1"/>
  <c r="E94" i="7"/>
  <c r="D95" i="7"/>
  <c r="I91" i="7" s="1"/>
  <c r="J91" i="7"/>
  <c r="C132" i="7"/>
  <c r="G80" i="7"/>
  <c r="D74" i="7" s="1"/>
  <c r="J77" i="7"/>
  <c r="H160" i="1"/>
  <c r="G133" i="1" s="1"/>
  <c r="G135" i="1" s="1"/>
  <c r="B256" i="1"/>
  <c r="A253" i="7"/>
  <c r="A259" i="7"/>
  <c r="A265" i="7"/>
  <c r="G140" i="1" l="1"/>
  <c r="C140" i="1"/>
  <c r="E140" i="1"/>
  <c r="I76" i="7"/>
  <c r="C78" i="7" s="1"/>
  <c r="F75" i="7"/>
  <c r="D75" i="7"/>
  <c r="I92" i="7"/>
  <c r="I90" i="7" s="1"/>
  <c r="C92" i="7" s="1"/>
  <c r="F147" i="1"/>
  <c r="H147" i="1" s="1"/>
  <c r="F148" i="1"/>
  <c r="H148" i="1" s="1"/>
  <c r="F149" i="1"/>
  <c r="H149" i="1" s="1"/>
  <c r="F146" i="1"/>
  <c r="H146" i="1" s="1"/>
  <c r="A260" i="7"/>
  <c r="A266" i="7"/>
  <c r="A254" i="7"/>
  <c r="S33" i="1" l="1"/>
  <c r="F11" i="5" l="1"/>
  <c r="G11" i="5" s="1"/>
  <c r="F10" i="5"/>
  <c r="G10" i="5" s="1"/>
  <c r="F9" i="5"/>
  <c r="G9" i="5" s="1"/>
  <c r="F8" i="5"/>
  <c r="G8" i="5" s="1"/>
  <c r="F7" i="5"/>
  <c r="G7" i="5" s="1"/>
  <c r="F6" i="5"/>
  <c r="G6" i="5" s="1"/>
  <c r="F5" i="5"/>
  <c r="G5" i="5" s="1"/>
  <c r="G12" i="5" s="1"/>
  <c r="D285" i="1"/>
  <c r="B257" i="1"/>
  <c r="F253" i="1"/>
  <c r="H253" i="1" s="1"/>
  <c r="F252" i="1"/>
  <c r="H252" i="1" s="1"/>
  <c r="F251" i="1"/>
  <c r="H251" i="1" s="1"/>
  <c r="F250" i="1"/>
  <c r="H250" i="1" s="1"/>
  <c r="F249" i="1"/>
  <c r="H249" i="1" s="1"/>
  <c r="F247" i="1"/>
  <c r="H247" i="1" s="1"/>
  <c r="F246" i="1"/>
  <c r="H246" i="1" s="1"/>
  <c r="F245" i="1"/>
  <c r="H245" i="1" s="1"/>
  <c r="F244" i="1"/>
  <c r="H244" i="1" s="1"/>
  <c r="F243" i="1"/>
  <c r="H243" i="1" s="1"/>
  <c r="F241" i="1"/>
  <c r="H241" i="1" s="1"/>
  <c r="F240" i="1"/>
  <c r="H240" i="1" s="1"/>
  <c r="F239" i="1"/>
  <c r="H239" i="1" s="1"/>
  <c r="F238" i="1"/>
  <c r="H238" i="1" s="1"/>
  <c r="F237" i="1"/>
  <c r="H237" i="1" s="1"/>
  <c r="F235" i="1"/>
  <c r="H235" i="1" s="1"/>
  <c r="F234" i="1"/>
  <c r="H234" i="1" s="1"/>
  <c r="F233" i="1"/>
  <c r="H233" i="1" s="1"/>
  <c r="F232" i="1"/>
  <c r="H232" i="1" s="1"/>
  <c r="F231" i="1"/>
  <c r="H231" i="1" s="1"/>
  <c r="A231" i="1"/>
  <c r="A232" i="1" s="1"/>
  <c r="A233" i="1" s="1"/>
  <c r="A234" i="1" s="1"/>
  <c r="A235" i="1" s="1"/>
  <c r="F229" i="1"/>
  <c r="H229" i="1" s="1"/>
  <c r="F228" i="1"/>
  <c r="H228" i="1" s="1"/>
  <c r="F227" i="1"/>
  <c r="H227" i="1" s="1"/>
  <c r="A227" i="1"/>
  <c r="A228" i="1" s="1"/>
  <c r="A229" i="1" s="1"/>
  <c r="F226" i="1"/>
  <c r="H226" i="1" s="1"/>
  <c r="A147" i="1"/>
  <c r="A148" i="1" s="1"/>
  <c r="A149" i="1" s="1"/>
  <c r="F120" i="1"/>
  <c r="D65" i="1"/>
  <c r="G52" i="1"/>
  <c r="C52" i="1"/>
  <c r="E44" i="1"/>
  <c r="E45" i="1" s="1"/>
  <c r="E31" i="1"/>
  <c r="E28" i="1"/>
  <c r="E26" i="1"/>
  <c r="C16" i="1"/>
  <c r="I15" i="1"/>
  <c r="Z13" i="1"/>
  <c r="E8" i="1"/>
  <c r="E3" i="1"/>
  <c r="D71" i="1" s="1"/>
  <c r="A237" i="1"/>
  <c r="A249" i="1"/>
  <c r="A243" i="1"/>
  <c r="H93" i="1"/>
  <c r="J92" i="1" l="1"/>
  <c r="J94" i="1" s="1"/>
  <c r="J95" i="1"/>
  <c r="J96" i="1"/>
  <c r="J97" i="1"/>
  <c r="C96" i="1" s="1"/>
  <c r="D100" i="1"/>
  <c r="D102" i="1"/>
  <c r="D101" i="1"/>
  <c r="D105" i="1"/>
  <c r="D99" i="1"/>
  <c r="D104" i="1"/>
  <c r="D98" i="1"/>
  <c r="D103" i="1"/>
  <c r="B93" i="1"/>
  <c r="J98" i="1" s="1"/>
  <c r="A244" i="1"/>
  <c r="A238" i="1"/>
  <c r="A250" i="1"/>
  <c r="D96" i="1" l="1"/>
  <c r="J102" i="1"/>
  <c r="J100" i="1"/>
  <c r="J101" i="1"/>
  <c r="J99" i="1"/>
  <c r="J104" i="1" s="1"/>
  <c r="J105" i="1" s="1"/>
  <c r="C97" i="1" s="1"/>
  <c r="G96" i="1" s="1"/>
  <c r="J103" i="1"/>
  <c r="A239" i="1"/>
  <c r="A245" i="1"/>
  <c r="A251" i="1"/>
  <c r="J93" i="1" l="1"/>
  <c r="E96" i="1"/>
  <c r="D97" i="1"/>
  <c r="I93" i="1" s="1"/>
  <c r="D75" i="1"/>
  <c r="A252" i="1"/>
  <c r="A246" i="1"/>
  <c r="A240" i="1"/>
  <c r="F76" i="1" l="1"/>
  <c r="D76" i="1"/>
  <c r="I94" i="1"/>
  <c r="I92" i="1" s="1"/>
  <c r="C94" i="1" s="1"/>
  <c r="A241" i="1"/>
  <c r="A247" i="1"/>
  <c r="A253"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8" authorId="1" shapeId="0">
      <text>
        <r>
          <rPr>
            <b/>
            <sz val="9"/>
            <color indexed="81"/>
            <rFont val="Tahoma"/>
            <family val="2"/>
          </rPr>
          <t>SACHIN:</t>
        </r>
        <r>
          <rPr>
            <sz val="9"/>
            <color indexed="81"/>
            <rFont val="Tahoma"/>
            <family val="2"/>
          </rPr>
          <t xml:space="preserve">
Floor with height</t>
        </r>
      </text>
    </comment>
    <comment ref="C60" authorId="1" shapeId="0">
      <text>
        <r>
          <rPr>
            <b/>
            <sz val="9"/>
            <color indexed="81"/>
            <rFont val="Tahoma"/>
            <family val="2"/>
          </rPr>
          <t>SACHIN:</t>
        </r>
        <r>
          <rPr>
            <sz val="9"/>
            <color indexed="81"/>
            <rFont val="Tahoma"/>
            <family val="2"/>
          </rPr>
          <t xml:space="preserve">
Survey Nos.</t>
        </r>
      </text>
    </comment>
    <comment ref="C62" authorId="1" shapeId="0">
      <text>
        <r>
          <rPr>
            <b/>
            <sz val="9"/>
            <color indexed="81"/>
            <rFont val="Tahoma"/>
            <family val="2"/>
          </rPr>
          <t>SACHIN:</t>
        </r>
        <r>
          <rPr>
            <sz val="9"/>
            <color indexed="81"/>
            <rFont val="Tahoma"/>
            <family val="2"/>
          </rPr>
          <t xml:space="preserve">
Height from AMSL</t>
        </r>
      </text>
    </comment>
    <comment ref="D6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1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comments3.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4" authorId="1" shapeId="0">
      <text>
        <r>
          <rPr>
            <b/>
            <sz val="9"/>
            <color indexed="81"/>
            <rFont val="Tahoma"/>
            <family val="2"/>
          </rPr>
          <t>SACHIN:</t>
        </r>
        <r>
          <rPr>
            <sz val="9"/>
            <color indexed="81"/>
            <rFont val="Tahoma"/>
            <family val="2"/>
          </rPr>
          <t xml:space="preserve">
Give loading of 50% for A Category</t>
        </r>
      </text>
    </comment>
  </commentList>
</comments>
</file>

<file path=xl/sharedStrings.xml><?xml version="1.0" encoding="utf-8"?>
<sst xmlns="http://schemas.openxmlformats.org/spreadsheetml/2006/main" count="1324" uniqueCount="441">
  <si>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</si>
  <si>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</si>
  <si>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</si>
  <si>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</si>
  <si>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</si>
  <si>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</si>
  <si>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</si>
  <si>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</si>
  <si>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</si>
  <si>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</si>
  <si>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</si>
  <si>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</si>
  <si>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</si>
  <si>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</si>
  <si>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</si>
  <si>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</si>
  <si>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</si>
  <si>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</si>
  <si>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</si>
  <si>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</si>
  <si>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</si>
  <si>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</si>
  <si>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</si>
  <si>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</si>
  <si>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</si>
  <si>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</si>
  <si>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</si>
  <si>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</si>
  <si>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</si>
  <si>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</si>
  <si>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</si>
  <si>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</si>
  <si>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</si>
  <si>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</si>
  <si>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</si>
  <si>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</si>
  <si>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</si>
  <si>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</si>
  <si>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</si>
  <si>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</si>
  <si>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</si>
  <si>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</si>
  <si>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</si>
  <si>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</si>
  <si>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</si>
  <si>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</si>
  <si>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</si>
  <si>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</si>
  <si>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</si>
  <si>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</si>
  <si>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</si>
  <si>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</si>
  <si>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</si>
  <si>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</si>
  <si>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</si>
  <si>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</si>
  <si>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</si>
  <si>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</si>
  <si>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</si>
  <si>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</si>
  <si>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</si>
  <si>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</si>
  <si>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</si>
  <si>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</si>
  <si>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</si>
  <si>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</si>
  <si>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</si>
  <si>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</si>
  <si>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</si>
  <si>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</si>
  <si>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</si>
  <si>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</si>
  <si>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</si>
  <si>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</si>
  <si>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</si>
  <si>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</si>
  <si>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</si>
  <si>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</si>
  <si>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</si>
  <si>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</si>
  <si>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</si>
  <si>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</si>
  <si>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</si>
  <si>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</si>
  <si>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</si>
  <si>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</si>
  <si>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</si>
  <si>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</si>
  <si>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</si>
  <si>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</si>
  <si>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</si>
  <si>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</si>
  <si>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</si>
  <si>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</si>
  <si>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</si>
  <si>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</si>
  <si>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</si>
  <si>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</si>
  <si>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</si>
  <si>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</si>
  <si>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</si>
  <si>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</si>
  <si>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</si>
  <si>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</si>
  <si>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</si>
  <si>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</si>
  <si>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</si>
  <si>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</si>
  <si>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</si>
  <si>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</si>
  <si>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</si>
  <si>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</si>
  <si>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</si>
  <si>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</si>
  <si>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</si>
  <si>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</si>
  <si>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</si>
  <si>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</si>
  <si>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</si>
  <si>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</si>
  <si>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</si>
  <si>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</si>
  <si>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</si>
  <si>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</si>
  <si>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</si>
  <si>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</si>
  <si>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</si>
  <si>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</si>
  <si>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</si>
  <si>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</si>
  <si>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</si>
  <si>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</si>
  <si>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</si>
  <si>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</si>
  <si>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</si>
  <si>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</si>
  <si>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</si>
  <si>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</si>
  <si>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</si>
  <si>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</si>
  <si>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</si>
  <si>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</si>
  <si>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</si>
  <si>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</si>
  <si>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</si>
  <si>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</si>
  <si>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</si>
  <si>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</si>
  <si>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</si>
  <si>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</si>
  <si>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</si>
  <si>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</si>
  <si>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</si>
  <si>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</si>
  <si>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</si>
  <si>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</si>
  <si>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</si>
  <si>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</si>
  <si>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</si>
  <si>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</si>
  <si>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</si>
  <si>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</si>
  <si>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</si>
  <si>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</si>
  <si>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</si>
  <si>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</si>
  <si>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</si>
  <si>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</si>
  <si>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</si>
  <si>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</si>
  <si>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</si>
  <si>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</si>
  <si>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</si>
  <si>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</si>
  <si>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</si>
  <si>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</si>
  <si>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</si>
  <si>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</si>
  <si>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</si>
  <si>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</si>
  <si>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</si>
  <si>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</si>
  <si>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</si>
  <si>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</si>
  <si>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</si>
  <si>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</si>
  <si>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</si>
  <si>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</si>
  <si>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</si>
  <si>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</si>
  <si>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</si>
  <si>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</si>
  <si>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</si>
  <si>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</si>
  <si>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</si>
  <si>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</si>
  <si>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</si>
  <si>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</si>
  <si>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</si>
  <si>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</si>
  <si>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</si>
  <si>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</si>
  <si>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</si>
  <si>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</si>
  <si>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</si>
  <si>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</si>
  <si>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</si>
  <si>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</si>
  <si>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</si>
  <si>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</si>
  <si>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</si>
  <si>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</si>
  <si>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</si>
  <si>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</si>
  <si>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</si>
  <si>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</si>
  <si>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</si>
  <si>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</si>
  <si>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</si>
  <si>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</si>
  <si>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</si>
  <si>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</si>
  <si>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</si>
  <si>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</si>
  <si>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</si>
  <si>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</si>
  <si>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</si>
  <si>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</si>
  <si>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</si>
  <si>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</si>
  <si>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</si>
  <si>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</si>
  <si>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</si>
  <si>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</si>
  <si>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</si>
  <si>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</si>
  <si>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</si>
  <si>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</si>
  <si>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</si>
  <si>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</si>
  <si>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</si>
  <si>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</si>
  <si>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</si>
  <si>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</si>
  <si>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</si>
  <si>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</si>
  <si>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</si>
  <si>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</si>
  <si>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</si>
  <si>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</si>
  <si>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</si>
  <si>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</si>
  <si>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</si>
  <si>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</si>
  <si>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</si>
  <si>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</si>
  <si>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</si>
  <si>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</si>
  <si>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</si>
  <si>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</si>
  <si>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</si>
  <si>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</si>
  <si>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</si>
  <si>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</si>
  <si>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</si>
  <si>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</si>
  <si>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</si>
  <si>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</si>
  <si>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</si>
  <si>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</si>
  <si>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</si>
  <si>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</si>
  <si>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</si>
  <si>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</si>
  <si>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</si>
  <si>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</si>
  <si>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</si>
  <si>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</si>
  <si>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</si>
  <si>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</si>
  <si>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</si>
  <si>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</si>
  <si>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</si>
  <si>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</si>
  <si>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</si>
  <si>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</si>
  <si>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</si>
  <si>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</si>
  <si>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</si>
  <si>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</si>
  <si>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</si>
  <si>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</si>
  <si>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</si>
  <si>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</si>
  <si>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</si>
  <si>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</si>
  <si>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</si>
  <si>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</si>
  <si>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</si>
  <si>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</si>
  <si>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</si>
  <si>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</si>
  <si>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</si>
  <si>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Pooja Kawale</t>
  </si>
  <si>
    <t>H. M. Holdings</t>
  </si>
  <si>
    <t>Central Park</t>
  </si>
  <si>
    <t>Mwelvin kadam : 8291019191</t>
  </si>
  <si>
    <t>https://maps.app.goo.gl/QdsTvzD6DYMw7sKF6</t>
  </si>
  <si>
    <t>18.9610004,72.8092988</t>
  </si>
  <si>
    <t>Mr.Saifullah</t>
  </si>
  <si>
    <t>Rama Mansion, Chandri Villa, Hill View &amp; Kotak Kunj</t>
  </si>
  <si>
    <t>Building No.1 = P51900046748
Atlantis One (Bldg No.2) = P51900053390</t>
  </si>
  <si>
    <t>1.1 KM from Grant Road Railway Station</t>
  </si>
  <si>
    <t>458, 459, 460, 462, 463, 547 &amp; Redevelopement of buildings "Rama Mansion, Chandri Villa, Hill View &amp; Kotak Kunj"</t>
  </si>
  <si>
    <t>Tardeo</t>
  </si>
  <si>
    <t>Tejpal Road</t>
  </si>
  <si>
    <t>Papanas Wadi</t>
  </si>
  <si>
    <t>Hari Bhuvan Building</t>
  </si>
  <si>
    <t>N.S.Patkar Marg</t>
  </si>
  <si>
    <t>Shreeji plaza</t>
  </si>
  <si>
    <t>12.10M.W.Tejpal Marg Existing Road</t>
  </si>
  <si>
    <t>27.43M.W.Sitaram Petkar Marg</t>
  </si>
  <si>
    <t>Other Plot</t>
  </si>
  <si>
    <t>02 Buildings</t>
  </si>
  <si>
    <t>CHE/CTY/5932/D/337(NEW)</t>
  </si>
  <si>
    <t>CHE/CTY/5932/D/337(NEW)/FCC/1/Amend</t>
  </si>
  <si>
    <t>This CC is re-endorsed and extended upto top of 20th (part) floor + LMR + OHT i.e. full CC of building no. 1 as per approved amended plans dated 27.05.2022.</t>
  </si>
  <si>
    <t>CHE/CTY/5932/D/337(NEW)/FCC/2/Amend</t>
  </si>
  <si>
    <t>This CC is issued upto Plinth Level for Building No.2 as per last amended plan dtd. 27/05/2022</t>
  </si>
  <si>
    <t>As per RERA - Building No.1 = 01/07/2026
                         Atlantis One (Bldg No.2) = 30/07/2028</t>
  </si>
  <si>
    <t>Building No.1</t>
  </si>
  <si>
    <t>Ground Floor for DG Room, Meter Room &amp; Parking</t>
  </si>
  <si>
    <t>Building No.2</t>
  </si>
  <si>
    <t>Ground Floor for Society Office, DG Room, Meter Room &amp; Parking</t>
  </si>
  <si>
    <t>Basement Floor for Sewage treatment plant, Pump Room &amp; Water tank</t>
  </si>
  <si>
    <t>1st Podium Floor for Parking</t>
  </si>
  <si>
    <t>2nd to 6th Podium Floor for Parking</t>
  </si>
  <si>
    <t>7th Floor for Residential</t>
  </si>
  <si>
    <t>Sale / Rehab</t>
  </si>
  <si>
    <t>Rehab</t>
  </si>
  <si>
    <t>4.5BHK</t>
  </si>
  <si>
    <t>8th Floor (Part Refuge Area)</t>
  </si>
  <si>
    <t>1BHK</t>
  </si>
  <si>
    <t>1.5BHK</t>
  </si>
  <si>
    <t>2BHK</t>
  </si>
  <si>
    <t>9th Floor</t>
  </si>
  <si>
    <t>Sale</t>
  </si>
  <si>
    <t>2.5BHK</t>
  </si>
  <si>
    <t>3.5BHK</t>
  </si>
  <si>
    <t>10th Floor</t>
  </si>
  <si>
    <t>5.5BHK</t>
  </si>
  <si>
    <t>11th &amp; 14th Floor</t>
  </si>
  <si>
    <t>12th Floor</t>
  </si>
  <si>
    <t>13th Floor</t>
  </si>
  <si>
    <t>15th Floor (Part Refuge Area)</t>
  </si>
  <si>
    <t>3BHK</t>
  </si>
  <si>
    <t>16th Floor</t>
  </si>
  <si>
    <t>17th Floor</t>
  </si>
  <si>
    <t>18th Floor</t>
  </si>
  <si>
    <t>19th Floor</t>
  </si>
  <si>
    <t>20th Floor for Amenities</t>
  </si>
  <si>
    <t>Basement Floor for Pump Room &amp; Water tank</t>
  </si>
  <si>
    <t>2nd to 7th Podium Floor</t>
  </si>
  <si>
    <t>8th Floor for Residential (Part Refuge Area)</t>
  </si>
  <si>
    <t>-</t>
  </si>
  <si>
    <t>Refuge Area</t>
  </si>
  <si>
    <t>11th Floor</t>
  </si>
  <si>
    <t>12th, 13th, 14th Floor</t>
  </si>
  <si>
    <t>18th Floor for Amenities &amp; part terrace Area</t>
  </si>
  <si>
    <r>
      <t xml:space="preserve">Shop No.
</t>
    </r>
    <r>
      <rPr>
        <b/>
        <sz val="11"/>
        <rFont val="Times New Roman"/>
        <family val="1"/>
      </rPr>
      <t>(Approved Plan)</t>
    </r>
  </si>
  <si>
    <r>
      <t xml:space="preserve">Flat No.
</t>
    </r>
    <r>
      <rPr>
        <b/>
        <sz val="11"/>
        <rFont val="Times New Roman"/>
        <family val="1"/>
      </rPr>
      <t>(Approved Plan)</t>
    </r>
  </si>
  <si>
    <t>Residential Area Details : (Sale)</t>
  </si>
  <si>
    <t>Residential Area Details : (Rehab)</t>
  </si>
  <si>
    <t>BuilFing No.2</t>
  </si>
  <si>
    <t>Sale Flats - 21, Rehab Flats - 46</t>
  </si>
  <si>
    <t>Transfer Girder between 6th Podium &amp; 7th Residential Floor</t>
  </si>
  <si>
    <t>Transfer Girder between 7th Podium &amp; 8th Residential Floor</t>
  </si>
  <si>
    <t>Building No.1 = 1B + Gr/Stilt + 1st to 6th Podium Floor + 7th to 20th Floor
Building No.2 = 1B + 1st to 7th Podium Floor + 8th to 18th Floor</t>
  </si>
  <si>
    <t>Building No.1 = 1B + Gr/Stilt + 1st to 6th Podium Floor + 7th to 20th Floor</t>
  </si>
  <si>
    <t>Building No.2 = 1B + 1st to 7th Podium Floor + 8th to 18th Floor</t>
  </si>
  <si>
    <t>Online</t>
  </si>
  <si>
    <t>MIS</t>
  </si>
  <si>
    <t>Building No.1 = Finishing work is in process.
Building No.2 = Construction work is in process at the time of Visit (labour found).</t>
  </si>
  <si>
    <t>We considered Gross carpet area = Net carpet + Balcony.</t>
  </si>
  <si>
    <t>As per Rera, Building No.1 is Central Park &amp; Building No.2 is Atlantis One.</t>
  </si>
  <si>
    <t>Karan Misal</t>
  </si>
  <si>
    <t>CCTV, Swimming Pool, Kids Play Area, Yoga deck, 24*7 water supply, Sewage treatment plant, Seating area, Closed car parking</t>
  </si>
  <si>
    <r>
      <t xml:space="preserve">Proposed Amenities :                                                                                                                                                                                                                         </t>
    </r>
    <r>
      <rPr>
        <b/>
        <sz val="12"/>
        <rFont val="Times New Roman"/>
        <family val="1"/>
      </rPr>
      <t xml:space="preserve">                                               </t>
    </r>
  </si>
  <si>
    <t>Malabar Hill Division</t>
  </si>
  <si>
    <t>Validity of CC for Building No.2 is expired on 31/05/2023. Please provide latest CC for Bldg No.2.</t>
  </si>
  <si>
    <t>CHE/CTY/5932/D/337(NEW)/OCC/1/New
Approved upto : Building no.1 comprising of Basement + Ground + 1st to 6th Podium + Transfer Girder + 7th to 19th residential floors + 20th (part) floor + LMR + OHT with total height of building 69.99 mt.</t>
  </si>
  <si>
    <t>We have updated OC from MCGM site for Bldg No.1 (On 27/09/2024).</t>
  </si>
  <si>
    <t>CHE/CTY/5932/D/337(NEW)/FCC /5/Amend</t>
  </si>
  <si>
    <t xml:space="preserve">CHE/CTY/5932/D/337(NEW)/FCC/
1/Amend
</t>
  </si>
  <si>
    <t xml:space="preserve">This CC is re-endorsed and extended upto
top of 20th (part) floor + LMR + OHT i.e.
full CC of building no. 1 as per approved
amended plans dated 27.05.2022.
</t>
  </si>
  <si>
    <t xml:space="preserve">CHE/CTY/5932/D/337(NEW)
</t>
  </si>
  <si>
    <t xml:space="preserve">Approved Floor plan No.
(Building No.1)  </t>
  </si>
  <si>
    <t xml:space="preserve">Approved Floor plan No.
(Building No.2)   </t>
  </si>
  <si>
    <t xml:space="preserve">Commencement-CC No
Valid Up to: 
(Building No.1) </t>
  </si>
  <si>
    <t xml:space="preserve">Commencement-CC No
Valid Up to: 
(Building No.2) </t>
  </si>
  <si>
    <t>Building No.2 = 1B + G + P1A + P1B + P2A + P2B + P3A + P3B + P4A + Amenity Floor + 6th to 27th Floor</t>
  </si>
  <si>
    <t>Building No.1 = 1B + Gr/Stilt + 1st to 6th Podium Floor + 7th to 20th Floor
Building No.2 = 1B + G + P1A + P1B + P2A + P2B + P3A + P3B + P4A + Amenity Floor + 6th to 27th Floor</t>
  </si>
  <si>
    <t>Ground Floor for DG Room, OWC, Meter Room &amp; Parking</t>
  </si>
  <si>
    <t>P1A, P1B, P2A, P2B, P3A, P3B &amp; P4A Podium Floor for Parking</t>
  </si>
  <si>
    <t xml:space="preserve">Amenities Floor Plan &amp; Part Refuge Area (5th Floor) </t>
  </si>
  <si>
    <t>6th Floor For Residential</t>
  </si>
  <si>
    <t>10th, 11th, 13th, 14th &amp; 27th Floor</t>
  </si>
  <si>
    <t>21st to 24th Floor</t>
  </si>
  <si>
    <t>12th Floor (Part Refuge Area)</t>
  </si>
  <si>
    <t>19th Floor (Part Refuge Area)</t>
  </si>
  <si>
    <t>26th Floor (Part Refuge Area)</t>
  </si>
  <si>
    <t>Deck area included in carpet</t>
  </si>
  <si>
    <t>validity of CC for Building No.2 is expired on 31/05/2023. Please provide latest CC for Bldg No.2.</t>
  </si>
  <si>
    <t>Residential Area Details :</t>
  </si>
  <si>
    <t>CHE/CTY/5932/D/337(NEW)/CFO/
1/Amend</t>
  </si>
  <si>
    <t>Building No.1 = Basement + Ground floor + 1st to 6th Podium Parking floor + Transfer Girder + 7th to 19th Residential floor + 20th (Part) floor (Total Height = 69.99 Mtrs )
Building No.2 = Basement + Ground floor + P1A+ P1B+ P2 to P4 Parking floors + Amenity floor + 6th to 27th Upper Residential floors (Total Height = 119.72 Mtrs )</t>
  </si>
  <si>
    <t>We have updated Approved plans, CC &amp; Fire NOC from MCGM site for Bldg No.2 (On 18/11/2024).</t>
  </si>
  <si>
    <t>Legal Report</t>
  </si>
  <si>
    <t>Central Park Building No.1 &amp; Atlantis One</t>
  </si>
  <si>
    <t>Mr. Melwyn kadam 9819066100</t>
  </si>
  <si>
    <t>Building No.1 = P51900046748
Building No.2 (Atlantis One) = P51900053390</t>
  </si>
  <si>
    <t>On RERA site, Two projects registered by same name. One is Central Park building no.01 and one is Atlantis One.
As per Legal report taken from RERA Site, Atlantis One = Building No.2 Clarification letter Attach Below.</t>
  </si>
  <si>
    <t>In approved floor Plan of Building No.2, Flats on 21st to 24th &amp; 26th floor Sale &amp; Rehab Flat are not mentioned.</t>
  </si>
  <si>
    <t>7th,  8th, 9th, 15th, 16th, 17th, 18th, 20th &amp; 25th Floor</t>
  </si>
  <si>
    <t>Sale Flats - 16, Rehab Flats - 45, Flats - 10</t>
  </si>
  <si>
    <t>55000 to 65000 rate, shailesh verbal, 27/11/2024</t>
  </si>
  <si>
    <t>Rate 2k plus by shailesh verbal  On 26/03/2025</t>
  </si>
  <si>
    <t>Building No.1 = All work Completed. OC Received.
Building No.2 = Construction work is in process at the time of Visit. Internal photographs was not allowed.</t>
  </si>
  <si>
    <t>Electric Meter Connection, Water connection Charges</t>
  </si>
  <si>
    <t>Provisional Outgoings for 12 Months (Note 1)</t>
  </si>
  <si>
    <t>OC add from cost sheet by shailesh On 27/03/2025</t>
  </si>
  <si>
    <t>Corpus Amount</t>
  </si>
  <si>
    <t xml:space="preserve">Recommended Rates / Other charges of the Property have been revised on 27/11/2024, 26/03/2025, 27/03/2025 &amp; 28/03/2025.
</t>
  </si>
  <si>
    <t>Corpus amount add from cost sheet On 28/03/2025</t>
  </si>
  <si>
    <t>Mr. Darshan Tawade 7208882375</t>
  </si>
  <si>
    <t>As per RERA - Building No.1 = Completed
Building No.2 = 30/07/2028</t>
  </si>
  <si>
    <t>Shruti Tathare</t>
  </si>
  <si>
    <t xml:space="preserve">Validity of CC is expired on 31/05/2025. Please provide revised CC.
</t>
  </si>
  <si>
    <t>CHE/CTY/5932/D/337(NEW)/FCC/6/ Amend</t>
  </si>
  <si>
    <t>This C.C. is endorsed and extended upto top of 27th upper floors + LMR + OHT i.e. full C.C. of Building No. 02 as per the last amended plans dt. 07.11.2024.</t>
  </si>
  <si>
    <t xml:space="preserve">We have updated CC from MCGM site for Bldg No.2 (On 09/09/2025).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</si>
</sst>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7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22" fillId="2" borderId="29" xfId="0" applyFont="1" applyFill="1" applyBorder="1"/>
    <xf numFmtId="0" fontId="23" fillId="0" borderId="30" xfId="0" applyFont="1" applyBorder="1"/>
    <xf numFmtId="0" fontId="23" fillId="0" borderId="1" xfId="0" applyFont="1" applyBorder="1"/>
    <xf numFmtId="0" fontId="23"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2" fontId="6" fillId="0" borderId="0" xfId="1" applyNumberFormat="1" applyFont="1" applyAlignment="1">
      <alignment horizontal="center" vertical="center"/>
    </xf>
    <xf numFmtId="1" fontId="12" fillId="0" borderId="2" xfId="1" applyNumberFormat="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9" fontId="11" fillId="0" borderId="6" xfId="8" applyFont="1" applyFill="1" applyBorder="1" applyAlignment="1" applyProtection="1">
      <alignment horizontal="center" vertical="top" wrapText="1"/>
      <protection locked="0"/>
    </xf>
    <xf numFmtId="0" fontId="14" fillId="0" borderId="0" xfId="1" applyFont="1" applyAlignment="1">
      <alignment horizontal="center" vertical="center"/>
    </xf>
    <xf numFmtId="0" fontId="29" fillId="0" borderId="0" xfId="1" applyFont="1" applyAlignment="1">
      <alignment horizontal="center" vertical="center"/>
    </xf>
    <xf numFmtId="0" fontId="14" fillId="0" borderId="0" xfId="2" applyFont="1" applyAlignment="1">
      <alignment horizontal="center" vertical="center"/>
    </xf>
    <xf numFmtId="1" fontId="14" fillId="0" borderId="0" xfId="1" applyNumberFormat="1" applyFont="1" applyAlignment="1">
      <alignment horizontal="center" vertical="center"/>
    </xf>
    <xf numFmtId="14" fontId="6" fillId="0" borderId="0" xfId="0" applyNumberFormat="1" applyFont="1" applyAlignment="1">
      <alignment horizontal="center" vertical="center"/>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22" fillId="2" borderId="14" xfId="0" applyFont="1" applyFill="1" applyBorder="1"/>
    <xf numFmtId="0" fontId="14" fillId="0" borderId="0" xfId="1" applyFont="1" applyAlignment="1">
      <alignment horizontal="left" vertical="top"/>
    </xf>
    <xf numFmtId="0" fontId="29" fillId="0" borderId="0" xfId="1" applyFont="1" applyAlignment="1">
      <alignment horizontal="left" vertical="top"/>
    </xf>
    <xf numFmtId="1" fontId="5" fillId="0" borderId="1" xfId="0" applyNumberFormat="1" applyFont="1" applyBorder="1" applyAlignment="1" applyProtection="1">
      <alignment horizontal="center" vertical="center" wrapText="1"/>
      <protection locked="0"/>
    </xf>
    <xf numFmtId="0" fontId="11" fillId="0" borderId="2" xfId="1" applyFont="1" applyBorder="1" applyAlignment="1" applyProtection="1">
      <alignment horizontal="center" vertical="top" wrapText="1"/>
      <protection locked="0"/>
    </xf>
    <xf numFmtId="9" fontId="11" fillId="0" borderId="2" xfId="8" applyFont="1" applyFill="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5" fillId="0" borderId="1" xfId="0"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6" fillId="0" borderId="0" xfId="1" applyFont="1" applyAlignment="1">
      <alignment horizontal="center" vertical="center"/>
    </xf>
    <xf numFmtId="1" fontId="9" fillId="0" borderId="32" xfId="0" applyNumberFormat="1"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5" fillId="0" borderId="1" xfId="1" applyFont="1" applyBorder="1" applyAlignment="1" applyProtection="1">
      <alignment vertical="top" wrapText="1"/>
      <protection locked="0"/>
    </xf>
    <xf numFmtId="0" fontId="11" fillId="0" borderId="3"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1" fontId="12" fillId="0" borderId="2" xfId="1" applyNumberFormat="1" applyFont="1" applyBorder="1" applyAlignment="1" applyProtection="1">
      <alignment horizontal="center" vertical="top" wrapText="1"/>
      <protection locked="0"/>
    </xf>
    <xf numFmtId="1" fontId="12" fillId="0" borderId="15" xfId="1" applyNumberFormat="1" applyFont="1" applyBorder="1" applyAlignment="1" applyProtection="1">
      <alignment horizontal="center" vertical="top" wrapText="1"/>
      <protection locked="0"/>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center" wrapText="1"/>
      <protection locked="0"/>
    </xf>
    <xf numFmtId="9" fontId="11" fillId="0" borderId="17"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9" xfId="8" applyFont="1" applyFill="1" applyBorder="1" applyAlignment="1" applyProtection="1">
      <alignment horizontal="center" vertical="center" wrapText="1"/>
      <protection locked="0"/>
    </xf>
    <xf numFmtId="9" fontId="11" fillId="0" borderId="11" xfId="8" applyFont="1" applyFill="1" applyBorder="1" applyAlignment="1" applyProtection="1">
      <alignment horizontal="center" vertical="center"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2" fillId="0" borderId="21"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12" fillId="0" borderId="7" xfId="1" applyNumberFormat="1" applyFont="1" applyBorder="1" applyAlignment="1" applyProtection="1">
      <alignment horizontal="center" vertical="center" wrapText="1"/>
      <protection locked="0"/>
    </xf>
    <xf numFmtId="1" fontId="12" fillId="0" borderId="20"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0" fontId="11" fillId="0" borderId="2"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1" fillId="0" borderId="1" xfId="1" applyFont="1" applyFill="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3" borderId="7" xfId="1" applyNumberFormat="1" applyFont="1" applyFill="1" applyBorder="1" applyAlignment="1" applyProtection="1">
      <alignment horizontal="center" vertical="center" wrapText="1"/>
      <protection locked="0"/>
    </xf>
    <xf numFmtId="1" fontId="7" fillId="3" borderId="20" xfId="1" applyNumberFormat="1" applyFont="1" applyFill="1" applyBorder="1" applyAlignment="1" applyProtection="1">
      <alignment horizontal="center" vertical="center" wrapText="1"/>
      <protection locked="0"/>
    </xf>
    <xf numFmtId="1" fontId="7" fillId="3" borderId="8" xfId="1" applyNumberFormat="1" applyFont="1" applyFill="1" applyBorder="1" applyAlignment="1" applyProtection="1">
      <alignment horizontal="center" vertical="center" wrapText="1"/>
      <protection locked="0"/>
    </xf>
    <xf numFmtId="1" fontId="12" fillId="3" borderId="7" xfId="1" applyNumberFormat="1" applyFont="1" applyFill="1" applyBorder="1" applyAlignment="1" applyProtection="1">
      <alignment horizontal="center" vertical="center" wrapText="1"/>
      <protection locked="0"/>
    </xf>
    <xf numFmtId="1" fontId="12" fillId="3" borderId="20" xfId="1" applyNumberFormat="1" applyFont="1" applyFill="1" applyBorder="1" applyAlignment="1" applyProtection="1">
      <alignment horizontal="center" vertical="center" wrapText="1"/>
      <protection locked="0"/>
    </xf>
    <xf numFmtId="1" fontId="12" fillId="3" borderId="8" xfId="1" applyNumberFormat="1"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1" xfId="1" applyFont="1" applyFill="1" applyBorder="1" applyAlignment="1" applyProtection="1">
      <alignment horizontal="center" vertical="top" wrapText="1"/>
      <protection locked="0"/>
    </xf>
    <xf numFmtId="1" fontId="5" fillId="0" borderId="20"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11" fillId="0" borderId="7"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vertical="top" wrapText="1"/>
      <protection locked="0"/>
    </xf>
    <xf numFmtId="0" fontId="5" fillId="0" borderId="2"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0" fontId="12" fillId="0" borderId="34" xfId="1" applyFont="1" applyBorder="1" applyAlignment="1" applyProtection="1">
      <alignment horizontal="center" vertical="center" wrapText="1"/>
      <protection locked="0"/>
    </xf>
    <xf numFmtId="0" fontId="12" fillId="0" borderId="35" xfId="1" applyFont="1" applyBorder="1" applyAlignment="1" applyProtection="1">
      <alignment horizontal="center" vertical="center" wrapText="1"/>
      <protection locked="0"/>
    </xf>
    <xf numFmtId="9" fontId="12" fillId="0" borderId="34" xfId="8" applyFont="1" applyFill="1" applyBorder="1" applyAlignment="1" applyProtection="1">
      <alignment horizontal="center" vertical="center" wrapText="1"/>
      <protection locked="0"/>
    </xf>
    <xf numFmtId="9" fontId="12" fillId="0" borderId="35" xfId="8" applyFont="1" applyFill="1" applyBorder="1" applyAlignment="1" applyProtection="1">
      <alignment horizontal="center" vertical="center" wrapText="1"/>
      <protection locked="0"/>
    </xf>
    <xf numFmtId="0" fontId="12" fillId="0" borderId="15" xfId="1" applyFont="1" applyBorder="1" applyAlignment="1" applyProtection="1">
      <alignment horizontal="left" vertical="top" wrapText="1"/>
      <protection locked="0"/>
    </xf>
    <xf numFmtId="0" fontId="7" fillId="0" borderId="15" xfId="1" applyFont="1" applyBorder="1" applyAlignment="1" applyProtection="1">
      <alignment horizontal="center" vertical="top"/>
      <protection locked="0"/>
    </xf>
    <xf numFmtId="0" fontId="6" fillId="0" borderId="24" xfId="1" applyFont="1" applyBorder="1" applyAlignment="1">
      <alignment horizontal="center"/>
    </xf>
    <xf numFmtId="0" fontId="6" fillId="0" borderId="0" xfId="1" applyFont="1" applyAlignment="1">
      <alignment horizontal="center"/>
    </xf>
    <xf numFmtId="0" fontId="5" fillId="0" borderId="2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14" fontId="7" fillId="0" borderId="1" xfId="1" applyNumberFormat="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1" fontId="11" fillId="0" borderId="20" xfId="1" applyNumberFormat="1" applyFont="1" applyBorder="1" applyAlignment="1" applyProtection="1">
      <alignment horizontal="center" vertical="center" wrapText="1"/>
      <protection locked="0"/>
    </xf>
    <xf numFmtId="0" fontId="12" fillId="0" borderId="15" xfId="1" applyFont="1" applyBorder="1" applyAlignment="1" applyProtection="1">
      <alignment horizontal="center" vertical="top"/>
      <protection locked="0"/>
    </xf>
    <xf numFmtId="1" fontId="12" fillId="0" borderId="16" xfId="1" applyNumberFormat="1" applyFont="1" applyBorder="1" applyAlignment="1" applyProtection="1">
      <alignment horizontal="center" vertical="top" wrapText="1"/>
      <protection locked="0"/>
    </xf>
    <xf numFmtId="1" fontId="12" fillId="0" borderId="18" xfId="1" applyNumberFormat="1"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11" fillId="0" borderId="18" xfId="1" applyFont="1" applyBorder="1" applyAlignment="1" applyProtection="1">
      <alignment horizontal="left" vertical="top" wrapText="1"/>
      <protection locked="0"/>
    </xf>
    <xf numFmtId="0" fontId="11" fillId="0" borderId="33"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9" fontId="11" fillId="0" borderId="2" xfId="8" applyFont="1" applyFill="1" applyBorder="1" applyAlignment="1" applyProtection="1">
      <alignment horizontal="center" vertical="center" wrapText="1"/>
      <protection locked="0"/>
    </xf>
    <xf numFmtId="0" fontId="11" fillId="0" borderId="2" xfId="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0" fontId="8" fillId="0" borderId="1" xfId="5" applyFont="1" applyBorder="1" applyAlignment="1">
      <alignment horizontal="left"/>
    </xf>
    <xf numFmtId="1" fontId="9" fillId="0" borderId="1" xfId="0" applyNumberFormat="1" applyFont="1" applyBorder="1" applyAlignment="1" applyProtection="1">
      <alignment horizontal="center" vertical="top" wrapText="1"/>
      <protection locked="0"/>
    </xf>
    <xf numFmtId="167" fontId="14" fillId="0" borderId="1" xfId="9" applyNumberFormat="1" applyFont="1" applyFill="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5" fillId="0" borderId="0" xfId="1" applyFont="1"/>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37.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3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35.png"/><Relationship Id="rId5" Type="http://schemas.openxmlformats.org/officeDocument/2006/relationships/image" Target="../media/image5.png"/><Relationship Id="rId15" Type="http://schemas.openxmlformats.org/officeDocument/2006/relationships/image" Target="../media/image39.png"/><Relationship Id="rId10" Type="http://schemas.openxmlformats.org/officeDocument/2006/relationships/image" Target="../media/image34.png"/><Relationship Id="rId4" Type="http://schemas.openxmlformats.org/officeDocument/2006/relationships/image" Target="../media/image4.png"/><Relationship Id="rId9" Type="http://schemas.openxmlformats.org/officeDocument/2006/relationships/image" Target="../media/image33.png"/><Relationship Id="rId14" Type="http://schemas.openxmlformats.org/officeDocument/2006/relationships/image" Target="../media/image38.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xdr:col>
      <xdr:colOff>677793</xdr:colOff>
      <xdr:row>415</xdr:row>
      <xdr:rowOff>152126</xdr:rowOff>
    </xdr:from>
    <xdr:to>
      <xdr:col>6</xdr:col>
      <xdr:colOff>62395</xdr:colOff>
      <xdr:row>434</xdr:row>
      <xdr:rowOff>82828</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477893" y="67481176"/>
          <a:ext cx="3670852" cy="3670852"/>
        </a:xfrm>
        <a:prstGeom prst="rect">
          <a:avLst/>
        </a:prstGeom>
        <a:ln>
          <a:solidFill>
            <a:schemeClr val="tx1"/>
          </a:solidFill>
        </a:ln>
      </xdr:spPr>
    </xdr:pic>
    <xdr:clientData/>
  </xdr:twoCellAnchor>
  <xdr:twoCellAnchor editAs="oneCell">
    <xdr:from>
      <xdr:col>1</xdr:col>
      <xdr:colOff>412750</xdr:colOff>
      <xdr:row>398</xdr:row>
      <xdr:rowOff>152400</xdr:rowOff>
    </xdr:from>
    <xdr:to>
      <xdr:col>6</xdr:col>
      <xdr:colOff>327439</xdr:colOff>
      <xdr:row>414</xdr:row>
      <xdr:rowOff>143566</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212850" y="64325500"/>
          <a:ext cx="4200939" cy="3140765"/>
        </a:xfrm>
        <a:prstGeom prst="rect">
          <a:avLst/>
        </a:prstGeom>
        <a:ln>
          <a:solidFill>
            <a:schemeClr val="tx1"/>
          </a:solidFill>
        </a:ln>
      </xdr:spPr>
    </xdr:pic>
    <xdr:clientData/>
  </xdr:twoCellAnchor>
  <xdr:twoCellAnchor>
    <xdr:from>
      <xdr:col>3</xdr:col>
      <xdr:colOff>463550</xdr:colOff>
      <xdr:row>420</xdr:row>
      <xdr:rowOff>50800</xdr:rowOff>
    </xdr:from>
    <xdr:to>
      <xdr:col>3</xdr:col>
      <xdr:colOff>901700</xdr:colOff>
      <xdr:row>421</xdr:row>
      <xdr:rowOff>63500</xdr:rowOff>
    </xdr:to>
    <xdr:cxnSp macro="">
      <xdr:nvCxnSpPr>
        <xdr:cNvPr id="5" name="Straight Connector 4"/>
        <xdr:cNvCxnSpPr/>
      </xdr:nvCxnSpPr>
      <xdr:spPr>
        <a:xfrm flipV="1">
          <a:off x="2990850" y="68554600"/>
          <a:ext cx="438150" cy="2095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424</xdr:row>
      <xdr:rowOff>31750</xdr:rowOff>
    </xdr:from>
    <xdr:to>
      <xdr:col>3</xdr:col>
      <xdr:colOff>711200</xdr:colOff>
      <xdr:row>425</xdr:row>
      <xdr:rowOff>50800</xdr:rowOff>
    </xdr:to>
    <xdr:cxnSp macro="">
      <xdr:nvCxnSpPr>
        <xdr:cNvPr id="9" name="Straight Connector 8"/>
        <xdr:cNvCxnSpPr/>
      </xdr:nvCxnSpPr>
      <xdr:spPr>
        <a:xfrm flipV="1">
          <a:off x="2774950" y="69322950"/>
          <a:ext cx="463550" cy="2159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863600</xdr:colOff>
      <xdr:row>424</xdr:row>
      <xdr:rowOff>184150</xdr:rowOff>
    </xdr:from>
    <xdr:to>
      <xdr:col>4</xdr:col>
      <xdr:colOff>336550</xdr:colOff>
      <xdr:row>425</xdr:row>
      <xdr:rowOff>184150</xdr:rowOff>
    </xdr:to>
    <xdr:cxnSp macro="">
      <xdr:nvCxnSpPr>
        <xdr:cNvPr id="10" name="Straight Connector 9"/>
        <xdr:cNvCxnSpPr/>
      </xdr:nvCxnSpPr>
      <xdr:spPr>
        <a:xfrm flipV="1">
          <a:off x="3390900" y="69475350"/>
          <a:ext cx="431800" cy="1968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615950</xdr:colOff>
      <xdr:row>428</xdr:row>
      <xdr:rowOff>0</xdr:rowOff>
    </xdr:from>
    <xdr:to>
      <xdr:col>4</xdr:col>
      <xdr:colOff>127000</xdr:colOff>
      <xdr:row>429</xdr:row>
      <xdr:rowOff>0</xdr:rowOff>
    </xdr:to>
    <xdr:cxnSp macro="">
      <xdr:nvCxnSpPr>
        <xdr:cNvPr id="11" name="Straight Connector 10"/>
        <xdr:cNvCxnSpPr/>
      </xdr:nvCxnSpPr>
      <xdr:spPr>
        <a:xfrm flipV="1">
          <a:off x="3143250" y="70078600"/>
          <a:ext cx="469900" cy="1968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234950</xdr:colOff>
      <xdr:row>425</xdr:row>
      <xdr:rowOff>44450</xdr:rowOff>
    </xdr:from>
    <xdr:to>
      <xdr:col>3</xdr:col>
      <xdr:colOff>647700</xdr:colOff>
      <xdr:row>429</xdr:row>
      <xdr:rowOff>6350</xdr:rowOff>
    </xdr:to>
    <xdr:cxnSp macro="">
      <xdr:nvCxnSpPr>
        <xdr:cNvPr id="12" name="Straight Connector 11"/>
        <xdr:cNvCxnSpPr/>
      </xdr:nvCxnSpPr>
      <xdr:spPr>
        <a:xfrm>
          <a:off x="2762250" y="69532500"/>
          <a:ext cx="412750" cy="7493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876300</xdr:colOff>
      <xdr:row>420</xdr:row>
      <xdr:rowOff>44450</xdr:rowOff>
    </xdr:from>
    <xdr:to>
      <xdr:col>4</xdr:col>
      <xdr:colOff>330200</xdr:colOff>
      <xdr:row>424</xdr:row>
      <xdr:rowOff>190500</xdr:rowOff>
    </xdr:to>
    <xdr:cxnSp macro="">
      <xdr:nvCxnSpPr>
        <xdr:cNvPr id="17" name="Straight Connector 16"/>
        <xdr:cNvCxnSpPr/>
      </xdr:nvCxnSpPr>
      <xdr:spPr>
        <a:xfrm>
          <a:off x="3403600" y="68548250"/>
          <a:ext cx="412750" cy="9334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482600</xdr:colOff>
      <xdr:row>421</xdr:row>
      <xdr:rowOff>63500</xdr:rowOff>
    </xdr:from>
    <xdr:to>
      <xdr:col>3</xdr:col>
      <xdr:colOff>717550</xdr:colOff>
      <xdr:row>424</xdr:row>
      <xdr:rowOff>57150</xdr:rowOff>
    </xdr:to>
    <xdr:cxnSp macro="">
      <xdr:nvCxnSpPr>
        <xdr:cNvPr id="19" name="Straight Connector 18"/>
        <xdr:cNvCxnSpPr/>
      </xdr:nvCxnSpPr>
      <xdr:spPr>
        <a:xfrm>
          <a:off x="3009900" y="68764150"/>
          <a:ext cx="234950" cy="5842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863600</xdr:colOff>
      <xdr:row>425</xdr:row>
      <xdr:rowOff>152400</xdr:rowOff>
    </xdr:from>
    <xdr:to>
      <xdr:col>4</xdr:col>
      <xdr:colOff>120650</xdr:colOff>
      <xdr:row>428</xdr:row>
      <xdr:rowOff>6350</xdr:rowOff>
    </xdr:to>
    <xdr:cxnSp macro="">
      <xdr:nvCxnSpPr>
        <xdr:cNvPr id="26" name="Straight Connector 25"/>
        <xdr:cNvCxnSpPr/>
      </xdr:nvCxnSpPr>
      <xdr:spPr>
        <a:xfrm>
          <a:off x="3390900" y="69640450"/>
          <a:ext cx="215900" cy="4445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678069</xdr:colOff>
      <xdr:row>346</xdr:row>
      <xdr:rowOff>108778</xdr:rowOff>
    </xdr:from>
    <xdr:to>
      <xdr:col>5</xdr:col>
      <xdr:colOff>91660</xdr:colOff>
      <xdr:row>364</xdr:row>
      <xdr:rowOff>406</xdr:rowOff>
    </xdr:to>
    <xdr:pic>
      <xdr:nvPicPr>
        <xdr:cNvPr id="30" name="Picture 29"/>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2316369" y="59360628"/>
          <a:ext cx="2080591" cy="3432313"/>
        </a:xfrm>
        <a:prstGeom prst="rect">
          <a:avLst/>
        </a:prstGeom>
        <a:ln>
          <a:solidFill>
            <a:schemeClr val="tx1"/>
          </a:solidFill>
        </a:ln>
      </xdr:spPr>
    </xdr:pic>
    <xdr:clientData/>
  </xdr:twoCellAnchor>
  <xdr:twoCellAnchor editAs="oneCell">
    <xdr:from>
      <xdr:col>1</xdr:col>
      <xdr:colOff>482600</xdr:colOff>
      <xdr:row>328</xdr:row>
      <xdr:rowOff>127000</xdr:rowOff>
    </xdr:from>
    <xdr:to>
      <xdr:col>6</xdr:col>
      <xdr:colOff>344280</xdr:colOff>
      <xdr:row>344</xdr:row>
      <xdr:rowOff>144668</xdr:rowOff>
    </xdr:to>
    <xdr:pic>
      <xdr:nvPicPr>
        <xdr:cNvPr id="31" name="Picture 30"/>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282700" y="55835550"/>
          <a:ext cx="4147930" cy="3167269"/>
        </a:xfrm>
        <a:prstGeom prst="rect">
          <a:avLst/>
        </a:prstGeom>
        <a:ln>
          <a:solidFill>
            <a:schemeClr val="tx1"/>
          </a:solidFill>
        </a:ln>
      </xdr:spPr>
    </xdr:pic>
    <xdr:clientData/>
  </xdr:twoCellAnchor>
  <xdr:twoCellAnchor editAs="oneCell">
    <xdr:from>
      <xdr:col>1</xdr:col>
      <xdr:colOff>482600</xdr:colOff>
      <xdr:row>342</xdr:row>
      <xdr:rowOff>139700</xdr:rowOff>
    </xdr:from>
    <xdr:to>
      <xdr:col>2</xdr:col>
      <xdr:colOff>184400</xdr:colOff>
      <xdr:row>344</xdr:row>
      <xdr:rowOff>146823</xdr:rowOff>
    </xdr:to>
    <xdr:pic>
      <xdr:nvPicPr>
        <xdr:cNvPr id="32" name="Picture 31"/>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282700" y="58604150"/>
          <a:ext cx="540000" cy="400825"/>
        </a:xfrm>
        <a:prstGeom prst="rect">
          <a:avLst/>
        </a:prstGeom>
        <a:ln>
          <a:solidFill>
            <a:schemeClr val="tx1"/>
          </a:solidFill>
        </a:ln>
      </xdr:spPr>
    </xdr:pic>
    <xdr:clientData/>
  </xdr:twoCellAnchor>
  <xdr:twoCellAnchor editAs="oneCell">
    <xdr:from>
      <xdr:col>8</xdr:col>
      <xdr:colOff>567912</xdr:colOff>
      <xdr:row>15</xdr:row>
      <xdr:rowOff>590550</xdr:rowOff>
    </xdr:from>
    <xdr:to>
      <xdr:col>13</xdr:col>
      <xdr:colOff>368025</xdr:colOff>
      <xdr:row>20</xdr:row>
      <xdr:rowOff>85863</xdr:rowOff>
    </xdr:to>
    <xdr:pic>
      <xdr:nvPicPr>
        <xdr:cNvPr id="33" name="Picture 32"/>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7381088" y="4232462"/>
          <a:ext cx="4450555" cy="1310666"/>
        </a:xfrm>
        <a:prstGeom prst="rect">
          <a:avLst/>
        </a:prstGeom>
        <a:ln>
          <a:solidFill>
            <a:schemeClr val="tx1"/>
          </a:solidFill>
        </a:ln>
      </xdr:spPr>
    </xdr:pic>
    <xdr:clientData/>
  </xdr:twoCellAnchor>
  <xdr:twoCellAnchor editAs="oneCell">
    <xdr:from>
      <xdr:col>11</xdr:col>
      <xdr:colOff>69850</xdr:colOff>
      <xdr:row>154</xdr:row>
      <xdr:rowOff>114300</xdr:rowOff>
    </xdr:from>
    <xdr:to>
      <xdr:col>17</xdr:col>
      <xdr:colOff>180285</xdr:colOff>
      <xdr:row>173</xdr:row>
      <xdr:rowOff>98011</xdr:rowOff>
    </xdr:to>
    <xdr:pic>
      <xdr:nvPicPr>
        <xdr:cNvPr id="35" name="Picture 34"/>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9013825" y="33566100"/>
          <a:ext cx="4863410" cy="3784186"/>
        </a:xfrm>
        <a:prstGeom prst="rect">
          <a:avLst/>
        </a:prstGeom>
        <a:ln>
          <a:solidFill>
            <a:schemeClr val="tx1"/>
          </a:solidFill>
        </a:ln>
      </xdr:spPr>
    </xdr:pic>
    <xdr:clientData/>
  </xdr:twoCellAnchor>
  <xdr:twoCellAnchor>
    <xdr:from>
      <xdr:col>4</xdr:col>
      <xdr:colOff>152400</xdr:colOff>
      <xdr:row>418</xdr:row>
      <xdr:rowOff>57150</xdr:rowOff>
    </xdr:from>
    <xdr:to>
      <xdr:col>5</xdr:col>
      <xdr:colOff>209550</xdr:colOff>
      <xdr:row>419</xdr:row>
      <xdr:rowOff>124860</xdr:rowOff>
    </xdr:to>
    <xdr:sp macro="" textlink="">
      <xdr:nvSpPr>
        <xdr:cNvPr id="36" name="TextBox 6"/>
        <xdr:cNvSpPr txBox="1"/>
      </xdr:nvSpPr>
      <xdr:spPr>
        <a:xfrm>
          <a:off x="3476625" y="82286475"/>
          <a:ext cx="838200" cy="26773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No.2</a:t>
          </a:r>
        </a:p>
      </xdr:txBody>
    </xdr:sp>
    <xdr:clientData/>
  </xdr:twoCellAnchor>
  <xdr:twoCellAnchor>
    <xdr:from>
      <xdr:col>3</xdr:col>
      <xdr:colOff>911226</xdr:colOff>
      <xdr:row>419</xdr:row>
      <xdr:rowOff>124860</xdr:rowOff>
    </xdr:from>
    <xdr:to>
      <xdr:col>4</xdr:col>
      <xdr:colOff>571500</xdr:colOff>
      <xdr:row>422</xdr:row>
      <xdr:rowOff>76200</xdr:rowOff>
    </xdr:to>
    <xdr:cxnSp macro="">
      <xdr:nvCxnSpPr>
        <xdr:cNvPr id="38" name="Straight Arrow Connector 37"/>
        <xdr:cNvCxnSpPr>
          <a:stCxn id="36" idx="2"/>
        </xdr:cNvCxnSpPr>
      </xdr:nvCxnSpPr>
      <xdr:spPr>
        <a:xfrm flipH="1">
          <a:off x="3321051" y="82554210"/>
          <a:ext cx="574674" cy="55141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666750</xdr:colOff>
      <xdr:row>428</xdr:row>
      <xdr:rowOff>139700</xdr:rowOff>
    </xdr:from>
    <xdr:to>
      <xdr:col>3</xdr:col>
      <xdr:colOff>600075</xdr:colOff>
      <xdr:row>430</xdr:row>
      <xdr:rowOff>10560</xdr:rowOff>
    </xdr:to>
    <xdr:sp macro="" textlink="">
      <xdr:nvSpPr>
        <xdr:cNvPr id="42" name="TextBox 6"/>
        <xdr:cNvSpPr txBox="1"/>
      </xdr:nvSpPr>
      <xdr:spPr>
        <a:xfrm>
          <a:off x="2228850" y="84369275"/>
          <a:ext cx="781050" cy="2709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No.1</a:t>
          </a:r>
        </a:p>
      </xdr:txBody>
    </xdr:sp>
    <xdr:clientData/>
  </xdr:twoCellAnchor>
  <xdr:twoCellAnchor>
    <xdr:from>
      <xdr:col>3</xdr:col>
      <xdr:colOff>209550</xdr:colOff>
      <xdr:row>426</xdr:row>
      <xdr:rowOff>0</xdr:rowOff>
    </xdr:from>
    <xdr:to>
      <xdr:col>3</xdr:col>
      <xdr:colOff>755650</xdr:colOff>
      <xdr:row>428</xdr:row>
      <xdr:rowOff>139700</xdr:rowOff>
    </xdr:to>
    <xdr:cxnSp macro="">
      <xdr:nvCxnSpPr>
        <xdr:cNvPr id="43" name="Straight Arrow Connector 42"/>
        <xdr:cNvCxnSpPr>
          <a:stCxn id="42" idx="0"/>
        </xdr:cNvCxnSpPr>
      </xdr:nvCxnSpPr>
      <xdr:spPr>
        <a:xfrm flipV="1">
          <a:off x="2619375" y="83829525"/>
          <a:ext cx="546100" cy="5397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733425</xdr:colOff>
      <xdr:row>43</xdr:row>
      <xdr:rowOff>28575</xdr:rowOff>
    </xdr:from>
    <xdr:to>
      <xdr:col>11</xdr:col>
      <xdr:colOff>414034</xdr:colOff>
      <xdr:row>52</xdr:row>
      <xdr:rowOff>228112</xdr:rowOff>
    </xdr:to>
    <xdr:pic>
      <xdr:nvPicPr>
        <xdr:cNvPr id="4" name="Picture 3"/>
        <xdr:cNvPicPr>
          <a:picLocks noChangeAspect="1"/>
        </xdr:cNvPicPr>
      </xdr:nvPicPr>
      <xdr:blipFill>
        <a:blip xmlns:r="http://schemas.openxmlformats.org/officeDocument/2006/relationships" r:embed="rId8"/>
        <a:stretch>
          <a:fillRect/>
        </a:stretch>
      </xdr:blipFill>
      <xdr:spPr>
        <a:xfrm>
          <a:off x="7048500" y="10267950"/>
          <a:ext cx="2309509" cy="2609362"/>
        </a:xfrm>
        <a:prstGeom prst="rect">
          <a:avLst/>
        </a:prstGeom>
      </xdr:spPr>
    </xdr:pic>
    <xdr:clientData/>
  </xdr:twoCellAnchor>
  <xdr:twoCellAnchor editAs="oneCell">
    <xdr:from>
      <xdr:col>8</xdr:col>
      <xdr:colOff>386722</xdr:colOff>
      <xdr:row>48</xdr:row>
      <xdr:rowOff>257175</xdr:rowOff>
    </xdr:from>
    <xdr:to>
      <xdr:col>14</xdr:col>
      <xdr:colOff>761143</xdr:colOff>
      <xdr:row>53</xdr:row>
      <xdr:rowOff>390224</xdr:rowOff>
    </xdr:to>
    <xdr:pic>
      <xdr:nvPicPr>
        <xdr:cNvPr id="6" name="Picture 5"/>
        <xdr:cNvPicPr>
          <a:picLocks noChangeAspect="1"/>
        </xdr:cNvPicPr>
      </xdr:nvPicPr>
      <xdr:blipFill>
        <a:blip xmlns:r="http://schemas.openxmlformats.org/officeDocument/2006/relationships" r:embed="rId9"/>
        <a:stretch>
          <a:fillRect/>
        </a:stretch>
      </xdr:blipFill>
      <xdr:spPr>
        <a:xfrm>
          <a:off x="6701797" y="11496675"/>
          <a:ext cx="5556021" cy="1952324"/>
        </a:xfrm>
        <a:prstGeom prst="rect">
          <a:avLst/>
        </a:prstGeom>
      </xdr:spPr>
    </xdr:pic>
    <xdr:clientData/>
  </xdr:twoCellAnchor>
  <xdr:twoCellAnchor editAs="oneCell">
    <xdr:from>
      <xdr:col>8</xdr:col>
      <xdr:colOff>476249</xdr:colOff>
      <xdr:row>52</xdr:row>
      <xdr:rowOff>384149</xdr:rowOff>
    </xdr:from>
    <xdr:to>
      <xdr:col>14</xdr:col>
      <xdr:colOff>176274</xdr:colOff>
      <xdr:row>55</xdr:row>
      <xdr:rowOff>771158</xdr:rowOff>
    </xdr:to>
    <xdr:pic>
      <xdr:nvPicPr>
        <xdr:cNvPr id="7" name="Picture 6"/>
        <xdr:cNvPicPr>
          <a:picLocks noChangeAspect="1"/>
        </xdr:cNvPicPr>
      </xdr:nvPicPr>
      <xdr:blipFill>
        <a:blip xmlns:r="http://schemas.openxmlformats.org/officeDocument/2006/relationships" r:embed="rId10"/>
        <a:stretch>
          <a:fillRect/>
        </a:stretch>
      </xdr:blipFill>
      <xdr:spPr>
        <a:xfrm>
          <a:off x="6791324" y="13033349"/>
          <a:ext cx="4881625" cy="1996734"/>
        </a:xfrm>
        <a:prstGeom prst="rect">
          <a:avLst/>
        </a:prstGeom>
      </xdr:spPr>
    </xdr:pic>
    <xdr:clientData/>
  </xdr:twoCellAnchor>
  <xdr:twoCellAnchor editAs="oneCell">
    <xdr:from>
      <xdr:col>0</xdr:col>
      <xdr:colOff>148072</xdr:colOff>
      <xdr:row>367</xdr:row>
      <xdr:rowOff>173183</xdr:rowOff>
    </xdr:from>
    <xdr:to>
      <xdr:col>7</xdr:col>
      <xdr:colOff>564199</xdr:colOff>
      <xdr:row>393</xdr:row>
      <xdr:rowOff>155864</xdr:rowOff>
    </xdr:to>
    <xdr:pic>
      <xdr:nvPicPr>
        <xdr:cNvPr id="8" name="Picture 7"/>
        <xdr:cNvPicPr>
          <a:picLocks noChangeAspect="1"/>
        </xdr:cNvPicPr>
      </xdr:nvPicPr>
      <xdr:blipFill>
        <a:blip xmlns:r="http://schemas.openxmlformats.org/officeDocument/2006/relationships" r:embed="rId11"/>
        <a:stretch>
          <a:fillRect/>
        </a:stretch>
      </xdr:blipFill>
      <xdr:spPr>
        <a:xfrm>
          <a:off x="148072" y="73429092"/>
          <a:ext cx="5992582" cy="5385954"/>
        </a:xfrm>
        <a:prstGeom prst="rect">
          <a:avLst/>
        </a:prstGeom>
        <a:ln>
          <a:solidFill>
            <a:sysClr val="windowText" lastClr="000000"/>
          </a:solidFill>
        </a:ln>
      </xdr:spPr>
    </xdr:pic>
    <xdr:clientData/>
  </xdr:twoCellAnchor>
  <xdr:twoCellAnchor editAs="oneCell">
    <xdr:from>
      <xdr:col>8</xdr:col>
      <xdr:colOff>590550</xdr:colOff>
      <xdr:row>115</xdr:row>
      <xdr:rowOff>95250</xdr:rowOff>
    </xdr:from>
    <xdr:to>
      <xdr:col>13</xdr:col>
      <xdr:colOff>363950</xdr:colOff>
      <xdr:row>125</xdr:row>
      <xdr:rowOff>151043</xdr:rowOff>
    </xdr:to>
    <xdr:pic>
      <xdr:nvPicPr>
        <xdr:cNvPr id="52" name="Picture 51"/>
        <xdr:cNvPicPr>
          <a:picLocks noChangeAspect="1"/>
        </xdr:cNvPicPr>
      </xdr:nvPicPr>
      <xdr:blipFill>
        <a:blip xmlns:r="http://schemas.openxmlformats.org/officeDocument/2006/relationships" r:embed="rId12"/>
        <a:stretch>
          <a:fillRect/>
        </a:stretch>
      </xdr:blipFill>
      <xdr:spPr>
        <a:xfrm>
          <a:off x="7213600" y="29629100"/>
          <a:ext cx="4320000" cy="843193"/>
        </a:xfrm>
        <a:prstGeom prst="rect">
          <a:avLst/>
        </a:prstGeom>
        <a:ln>
          <a:solidFill>
            <a:schemeClr val="tx1"/>
          </a:solidFill>
        </a:ln>
      </xdr:spPr>
    </xdr:pic>
    <xdr:clientData/>
  </xdr:twoCellAnchor>
  <xdr:twoCellAnchor>
    <xdr:from>
      <xdr:col>9</xdr:col>
      <xdr:colOff>38100</xdr:colOff>
      <xdr:row>285</xdr:row>
      <xdr:rowOff>19050</xdr:rowOff>
    </xdr:from>
    <xdr:to>
      <xdr:col>16</xdr:col>
      <xdr:colOff>44739</xdr:colOff>
      <xdr:row>326</xdr:row>
      <xdr:rowOff>7350</xdr:rowOff>
    </xdr:to>
    <xdr:grpSp>
      <xdr:nvGrpSpPr>
        <xdr:cNvPr id="15" name="Group 14"/>
        <xdr:cNvGrpSpPr/>
      </xdr:nvGrpSpPr>
      <xdr:grpSpPr>
        <a:xfrm>
          <a:off x="7515225" y="55692675"/>
          <a:ext cx="5616864" cy="8179800"/>
          <a:chOff x="352425" y="55492650"/>
          <a:chExt cx="5616864" cy="8179800"/>
        </a:xfrm>
      </xdr:grpSpPr>
      <xdr:grpSp>
        <xdr:nvGrpSpPr>
          <xdr:cNvPr id="14" name="Group 13"/>
          <xdr:cNvGrpSpPr/>
        </xdr:nvGrpSpPr>
        <xdr:grpSpPr>
          <a:xfrm>
            <a:off x="352425" y="55492650"/>
            <a:ext cx="5616864" cy="8179800"/>
            <a:chOff x="352425" y="55292625"/>
            <a:chExt cx="5616864" cy="8179800"/>
          </a:xfrm>
        </xdr:grpSpPr>
        <xdr:pic>
          <xdr:nvPicPr>
            <xdr:cNvPr id="53" name="Picture 52" descr="https://vsjcllp.vsjadon.com/upload/insp-236381-15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324100" y="613124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6381-84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609600" y="613124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36381-844.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600075" y="590645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36381-849.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010025" y="590740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36381-86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3200400" y="55292625"/>
              <a:ext cx="2768889" cy="3695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36381-874.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52425" y="55292625"/>
              <a:ext cx="2768889" cy="3695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36381-922.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2314575" y="590740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36381-1512.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4029075" y="613124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72" name="TextBox 6"/>
          <xdr:cNvSpPr txBox="1"/>
        </xdr:nvSpPr>
        <xdr:spPr>
          <a:xfrm>
            <a:off x="352425" y="55492650"/>
            <a:ext cx="902925" cy="325713"/>
          </a:xfrm>
          <a:prstGeom prst="rect">
            <a:avLst/>
          </a:prstGeom>
          <a:solidFill>
            <a:schemeClr val="bg2"/>
          </a:solidFill>
          <a:ln>
            <a:noFill/>
          </a:ln>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Bldg No.1</a:t>
            </a:r>
          </a:p>
        </xdr:txBody>
      </xdr:sp>
      <xdr:sp macro="" textlink="">
        <xdr:nvSpPr>
          <xdr:cNvPr id="73" name="TextBox 6"/>
          <xdr:cNvSpPr txBox="1"/>
        </xdr:nvSpPr>
        <xdr:spPr>
          <a:xfrm>
            <a:off x="3209925" y="55502175"/>
            <a:ext cx="902925" cy="325713"/>
          </a:xfrm>
          <a:prstGeom prst="rect">
            <a:avLst/>
          </a:prstGeom>
          <a:solidFill>
            <a:schemeClr val="bg2"/>
          </a:solidFill>
          <a:ln>
            <a:noFill/>
          </a:ln>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Bldg No.2</a:t>
            </a:r>
          </a:p>
        </xdr:txBody>
      </xdr:sp>
    </xdr:grpSp>
    <xdr:clientData/>
  </xdr:twoCellAnchor>
  <xdr:twoCellAnchor editAs="oneCell">
    <xdr:from>
      <xdr:col>8</xdr:col>
      <xdr:colOff>942975</xdr:colOff>
      <xdr:row>55</xdr:row>
      <xdr:rowOff>390525</xdr:rowOff>
    </xdr:from>
    <xdr:to>
      <xdr:col>18</xdr:col>
      <xdr:colOff>8578</xdr:colOff>
      <xdr:row>57</xdr:row>
      <xdr:rowOff>1144573</xdr:rowOff>
    </xdr:to>
    <xdr:pic>
      <xdr:nvPicPr>
        <xdr:cNvPr id="13" name="Picture 12"/>
        <xdr:cNvPicPr>
          <a:picLocks noChangeAspect="1"/>
        </xdr:cNvPicPr>
      </xdr:nvPicPr>
      <xdr:blipFill>
        <a:blip xmlns:r="http://schemas.openxmlformats.org/officeDocument/2006/relationships" r:embed="rId21"/>
        <a:stretch>
          <a:fillRect/>
        </a:stretch>
      </xdr:blipFill>
      <xdr:spPr>
        <a:xfrm>
          <a:off x="7258050" y="14849475"/>
          <a:ext cx="7057078" cy="1935148"/>
        </a:xfrm>
        <a:prstGeom prst="rect">
          <a:avLst/>
        </a:prstGeom>
      </xdr:spPr>
    </xdr:pic>
    <xdr:clientData/>
  </xdr:twoCellAnchor>
  <xdr:twoCellAnchor editAs="oneCell">
    <xdr:from>
      <xdr:col>3</xdr:col>
      <xdr:colOff>333375</xdr:colOff>
      <xdr:row>318</xdr:row>
      <xdr:rowOff>62792</xdr:rowOff>
    </xdr:from>
    <xdr:to>
      <xdr:col>4</xdr:col>
      <xdr:colOff>647700</xdr:colOff>
      <xdr:row>326</xdr:row>
      <xdr:rowOff>102600</xdr:rowOff>
    </xdr:to>
    <xdr:pic>
      <xdr:nvPicPr>
        <xdr:cNvPr id="41" name="Picture 40" descr="https://vsjcllp.vsjadon.com/upload/insp-246584-1525.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743200" y="62289617"/>
          <a:ext cx="1228725" cy="16400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800100</xdr:colOff>
      <xdr:row>285</xdr:row>
      <xdr:rowOff>28574</xdr:rowOff>
    </xdr:from>
    <xdr:to>
      <xdr:col>7</xdr:col>
      <xdr:colOff>661207</xdr:colOff>
      <xdr:row>305</xdr:row>
      <xdr:rowOff>85724</xdr:rowOff>
    </xdr:to>
    <xdr:pic>
      <xdr:nvPicPr>
        <xdr:cNvPr id="44" name="Picture 43" descr="https://vsjcllp.vsjadon.com/upload/insp-246584-849.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3209925" y="55664099"/>
          <a:ext cx="3032932" cy="4048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438151</xdr:colOff>
      <xdr:row>305</xdr:row>
      <xdr:rowOff>180975</xdr:rowOff>
    </xdr:from>
    <xdr:to>
      <xdr:col>2</xdr:col>
      <xdr:colOff>675339</xdr:colOff>
      <xdr:row>317</xdr:row>
      <xdr:rowOff>182227</xdr:rowOff>
    </xdr:to>
    <xdr:pic>
      <xdr:nvPicPr>
        <xdr:cNvPr id="45" name="Picture 44" descr="https://vsjcllp.vsjadon.com/upload/insp-246584-851.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438151" y="59807475"/>
          <a:ext cx="1799288" cy="24015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285</xdr:row>
      <xdr:rowOff>28574</xdr:rowOff>
    </xdr:from>
    <xdr:to>
      <xdr:col>3</xdr:col>
      <xdr:colOff>727882</xdr:colOff>
      <xdr:row>305</xdr:row>
      <xdr:rowOff>85724</xdr:rowOff>
    </xdr:to>
    <xdr:pic>
      <xdr:nvPicPr>
        <xdr:cNvPr id="46" name="Picture 45" descr="https://vsjcllp.vsjadon.com/upload/insp-246584-861.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104775" y="55664099"/>
          <a:ext cx="3032932" cy="4048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771526</xdr:colOff>
      <xdr:row>305</xdr:row>
      <xdr:rowOff>180975</xdr:rowOff>
    </xdr:from>
    <xdr:to>
      <xdr:col>5</xdr:col>
      <xdr:colOff>27639</xdr:colOff>
      <xdr:row>317</xdr:row>
      <xdr:rowOff>182227</xdr:rowOff>
    </xdr:to>
    <xdr:pic>
      <xdr:nvPicPr>
        <xdr:cNvPr id="47" name="Picture 46" descr="https://vsjcllp.vsjadon.com/upload/insp-246584-871.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2333626" y="59807475"/>
          <a:ext cx="1799288" cy="24015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123826</xdr:colOff>
      <xdr:row>305</xdr:row>
      <xdr:rowOff>180975</xdr:rowOff>
    </xdr:from>
    <xdr:to>
      <xdr:col>7</xdr:col>
      <xdr:colOff>446739</xdr:colOff>
      <xdr:row>317</xdr:row>
      <xdr:rowOff>182227</xdr:rowOff>
    </xdr:to>
    <xdr:pic>
      <xdr:nvPicPr>
        <xdr:cNvPr id="48" name="Picture 47" descr="https://vsjcllp.vsjadon.com/upload/insp-246584-925.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4229101" y="59807475"/>
          <a:ext cx="1799288" cy="24015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285</xdr:row>
      <xdr:rowOff>123824</xdr:rowOff>
    </xdr:from>
    <xdr:to>
      <xdr:col>3</xdr:col>
      <xdr:colOff>131400</xdr:colOff>
      <xdr:row>287</xdr:row>
      <xdr:rowOff>49487</xdr:rowOff>
    </xdr:to>
    <xdr:sp macro="" textlink="">
      <xdr:nvSpPr>
        <xdr:cNvPr id="49" name="TextBox 6"/>
        <xdr:cNvSpPr txBox="1"/>
      </xdr:nvSpPr>
      <xdr:spPr>
        <a:xfrm>
          <a:off x="1638300" y="55759349"/>
          <a:ext cx="902925" cy="325713"/>
        </a:xfrm>
        <a:prstGeom prst="rect">
          <a:avLst/>
        </a:prstGeom>
        <a:solidFill>
          <a:schemeClr val="bg2"/>
        </a:solidFill>
        <a:ln>
          <a:noFill/>
        </a:ln>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cap="none" spc="0">
              <a:ln w="0"/>
              <a:solidFill>
                <a:srgbClr val="FF0000"/>
              </a:solidFill>
              <a:effectLst>
                <a:outerShdw blurRad="38100" dist="19050" dir="2700000" algn="tl" rotWithShape="0">
                  <a:schemeClr val="dk1">
                    <a:alpha val="40000"/>
                  </a:schemeClr>
                </a:outerShdw>
              </a:effectLst>
            </a:rPr>
            <a:t>Bldg No.1</a:t>
          </a:r>
        </a:p>
      </xdr:txBody>
    </xdr:sp>
    <xdr:clientData/>
  </xdr:twoCellAnchor>
  <xdr:twoCellAnchor>
    <xdr:from>
      <xdr:col>6</xdr:col>
      <xdr:colOff>47625</xdr:colOff>
      <xdr:row>285</xdr:row>
      <xdr:rowOff>47624</xdr:rowOff>
    </xdr:from>
    <xdr:to>
      <xdr:col>7</xdr:col>
      <xdr:colOff>217125</xdr:colOff>
      <xdr:row>286</xdr:row>
      <xdr:rowOff>173312</xdr:rowOff>
    </xdr:to>
    <xdr:sp macro="" textlink="">
      <xdr:nvSpPr>
        <xdr:cNvPr id="50" name="TextBox 6"/>
        <xdr:cNvSpPr txBox="1"/>
      </xdr:nvSpPr>
      <xdr:spPr>
        <a:xfrm>
          <a:off x="4895850" y="55683149"/>
          <a:ext cx="902925" cy="325713"/>
        </a:xfrm>
        <a:prstGeom prst="rect">
          <a:avLst/>
        </a:prstGeom>
        <a:solidFill>
          <a:schemeClr val="bg2"/>
        </a:solidFill>
        <a:ln>
          <a:noFill/>
        </a:ln>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cap="none" spc="0">
              <a:ln w="0"/>
              <a:solidFill>
                <a:srgbClr val="FF0000"/>
              </a:solidFill>
              <a:effectLst>
                <a:outerShdw blurRad="38100" dist="19050" dir="2700000" algn="tl" rotWithShape="0">
                  <a:schemeClr val="dk1">
                    <a:alpha val="40000"/>
                  </a:schemeClr>
                </a:outerShdw>
              </a:effectLst>
            </a:rPr>
            <a:t>Bldg No.2</a:t>
          </a:r>
        </a:p>
      </xdr:txBody>
    </xdr:sp>
    <xdr:clientData/>
  </xdr:twoCellAnchor>
  <xdr:twoCellAnchor>
    <xdr:from>
      <xdr:col>5</xdr:col>
      <xdr:colOff>333375</xdr:colOff>
      <xdr:row>286</xdr:row>
      <xdr:rowOff>85725</xdr:rowOff>
    </xdr:from>
    <xdr:to>
      <xdr:col>6</xdr:col>
      <xdr:colOff>76200</xdr:colOff>
      <xdr:row>288</xdr:row>
      <xdr:rowOff>152400</xdr:rowOff>
    </xdr:to>
    <xdr:cxnSp macro="">
      <xdr:nvCxnSpPr>
        <xdr:cNvPr id="21" name="Straight Arrow Connector 20"/>
        <xdr:cNvCxnSpPr/>
      </xdr:nvCxnSpPr>
      <xdr:spPr>
        <a:xfrm flipH="1">
          <a:off x="4438650" y="55921275"/>
          <a:ext cx="485775" cy="4572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677793</xdr:colOff>
      <xdr:row>394</xdr:row>
      <xdr:rowOff>152126</xdr:rowOff>
    </xdr:from>
    <xdr:to>
      <xdr:col>6</xdr:col>
      <xdr:colOff>62395</xdr:colOff>
      <xdr:row>413</xdr:row>
      <xdr:rowOff>82829</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496943" y="73561301"/>
          <a:ext cx="3775627" cy="3731178"/>
        </a:xfrm>
        <a:prstGeom prst="rect">
          <a:avLst/>
        </a:prstGeom>
        <a:ln>
          <a:solidFill>
            <a:schemeClr val="tx1"/>
          </a:solidFill>
        </a:ln>
      </xdr:spPr>
    </xdr:pic>
    <xdr:clientData/>
  </xdr:twoCellAnchor>
  <xdr:twoCellAnchor editAs="oneCell">
    <xdr:from>
      <xdr:col>1</xdr:col>
      <xdr:colOff>412750</xdr:colOff>
      <xdr:row>377</xdr:row>
      <xdr:rowOff>152400</xdr:rowOff>
    </xdr:from>
    <xdr:to>
      <xdr:col>6</xdr:col>
      <xdr:colOff>327439</xdr:colOff>
      <xdr:row>393</xdr:row>
      <xdr:rowOff>143565</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231900" y="70161150"/>
          <a:ext cx="4305714" cy="3191565"/>
        </a:xfrm>
        <a:prstGeom prst="rect">
          <a:avLst/>
        </a:prstGeom>
        <a:ln>
          <a:solidFill>
            <a:schemeClr val="tx1"/>
          </a:solidFill>
        </a:ln>
      </xdr:spPr>
    </xdr:pic>
    <xdr:clientData/>
  </xdr:twoCellAnchor>
  <xdr:twoCellAnchor>
    <xdr:from>
      <xdr:col>3</xdr:col>
      <xdr:colOff>463550</xdr:colOff>
      <xdr:row>399</xdr:row>
      <xdr:rowOff>50800</xdr:rowOff>
    </xdr:from>
    <xdr:to>
      <xdr:col>3</xdr:col>
      <xdr:colOff>901700</xdr:colOff>
      <xdr:row>400</xdr:row>
      <xdr:rowOff>63500</xdr:rowOff>
    </xdr:to>
    <xdr:cxnSp macro="">
      <xdr:nvCxnSpPr>
        <xdr:cNvPr id="4" name="Straight Connector 3"/>
        <xdr:cNvCxnSpPr/>
      </xdr:nvCxnSpPr>
      <xdr:spPr>
        <a:xfrm flipV="1">
          <a:off x="3054350" y="74460100"/>
          <a:ext cx="438150" cy="21272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403</xdr:row>
      <xdr:rowOff>31750</xdr:rowOff>
    </xdr:from>
    <xdr:to>
      <xdr:col>3</xdr:col>
      <xdr:colOff>711200</xdr:colOff>
      <xdr:row>404</xdr:row>
      <xdr:rowOff>50800</xdr:rowOff>
    </xdr:to>
    <xdr:cxnSp macro="">
      <xdr:nvCxnSpPr>
        <xdr:cNvPr id="5" name="Straight Connector 4"/>
        <xdr:cNvCxnSpPr/>
      </xdr:nvCxnSpPr>
      <xdr:spPr>
        <a:xfrm flipV="1">
          <a:off x="2838450" y="75241150"/>
          <a:ext cx="463550" cy="21907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863600</xdr:colOff>
      <xdr:row>403</xdr:row>
      <xdr:rowOff>184150</xdr:rowOff>
    </xdr:from>
    <xdr:to>
      <xdr:col>4</xdr:col>
      <xdr:colOff>336550</xdr:colOff>
      <xdr:row>404</xdr:row>
      <xdr:rowOff>184150</xdr:rowOff>
    </xdr:to>
    <xdr:cxnSp macro="">
      <xdr:nvCxnSpPr>
        <xdr:cNvPr id="6" name="Straight Connector 5"/>
        <xdr:cNvCxnSpPr/>
      </xdr:nvCxnSpPr>
      <xdr:spPr>
        <a:xfrm flipV="1">
          <a:off x="3454400" y="75393550"/>
          <a:ext cx="454025" cy="20002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615950</xdr:colOff>
      <xdr:row>407</xdr:row>
      <xdr:rowOff>0</xdr:rowOff>
    </xdr:from>
    <xdr:to>
      <xdr:col>4</xdr:col>
      <xdr:colOff>127000</xdr:colOff>
      <xdr:row>408</xdr:row>
      <xdr:rowOff>0</xdr:rowOff>
    </xdr:to>
    <xdr:cxnSp macro="">
      <xdr:nvCxnSpPr>
        <xdr:cNvPr id="7" name="Straight Connector 6"/>
        <xdr:cNvCxnSpPr/>
      </xdr:nvCxnSpPr>
      <xdr:spPr>
        <a:xfrm flipV="1">
          <a:off x="3206750" y="76009500"/>
          <a:ext cx="492125" cy="20002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234950</xdr:colOff>
      <xdr:row>404</xdr:row>
      <xdr:rowOff>44450</xdr:rowOff>
    </xdr:from>
    <xdr:to>
      <xdr:col>3</xdr:col>
      <xdr:colOff>647700</xdr:colOff>
      <xdr:row>408</xdr:row>
      <xdr:rowOff>6350</xdr:rowOff>
    </xdr:to>
    <xdr:cxnSp macro="">
      <xdr:nvCxnSpPr>
        <xdr:cNvPr id="8" name="Straight Connector 7"/>
        <xdr:cNvCxnSpPr/>
      </xdr:nvCxnSpPr>
      <xdr:spPr>
        <a:xfrm>
          <a:off x="2825750" y="75453875"/>
          <a:ext cx="412750" cy="7620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876300</xdr:colOff>
      <xdr:row>399</xdr:row>
      <xdr:rowOff>44450</xdr:rowOff>
    </xdr:from>
    <xdr:to>
      <xdr:col>4</xdr:col>
      <xdr:colOff>330200</xdr:colOff>
      <xdr:row>403</xdr:row>
      <xdr:rowOff>190500</xdr:rowOff>
    </xdr:to>
    <xdr:cxnSp macro="">
      <xdr:nvCxnSpPr>
        <xdr:cNvPr id="9" name="Straight Connector 8"/>
        <xdr:cNvCxnSpPr/>
      </xdr:nvCxnSpPr>
      <xdr:spPr>
        <a:xfrm>
          <a:off x="3467100" y="74453750"/>
          <a:ext cx="434975" cy="9461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482600</xdr:colOff>
      <xdr:row>400</xdr:row>
      <xdr:rowOff>63500</xdr:rowOff>
    </xdr:from>
    <xdr:to>
      <xdr:col>3</xdr:col>
      <xdr:colOff>717550</xdr:colOff>
      <xdr:row>403</xdr:row>
      <xdr:rowOff>57150</xdr:rowOff>
    </xdr:to>
    <xdr:cxnSp macro="">
      <xdr:nvCxnSpPr>
        <xdr:cNvPr id="10" name="Straight Connector 9"/>
        <xdr:cNvCxnSpPr/>
      </xdr:nvCxnSpPr>
      <xdr:spPr>
        <a:xfrm>
          <a:off x="3073400" y="74672825"/>
          <a:ext cx="234950" cy="59372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863600</xdr:colOff>
      <xdr:row>404</xdr:row>
      <xdr:rowOff>152400</xdr:rowOff>
    </xdr:from>
    <xdr:to>
      <xdr:col>4</xdr:col>
      <xdr:colOff>120650</xdr:colOff>
      <xdr:row>407</xdr:row>
      <xdr:rowOff>6350</xdr:rowOff>
    </xdr:to>
    <xdr:cxnSp macro="">
      <xdr:nvCxnSpPr>
        <xdr:cNvPr id="11" name="Straight Connector 10"/>
        <xdr:cNvCxnSpPr/>
      </xdr:nvCxnSpPr>
      <xdr:spPr>
        <a:xfrm>
          <a:off x="3454400" y="75561825"/>
          <a:ext cx="238125" cy="45402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678069</xdr:colOff>
      <xdr:row>352</xdr:row>
      <xdr:rowOff>108778</xdr:rowOff>
    </xdr:from>
    <xdr:to>
      <xdr:col>5</xdr:col>
      <xdr:colOff>91660</xdr:colOff>
      <xdr:row>370</xdr:row>
      <xdr:rowOff>407</xdr:rowOff>
    </xdr:to>
    <xdr:pic>
      <xdr:nvPicPr>
        <xdr:cNvPr id="12" name="Picture 11"/>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2354469" y="65116903"/>
          <a:ext cx="2147266" cy="3492079"/>
        </a:xfrm>
        <a:prstGeom prst="rect">
          <a:avLst/>
        </a:prstGeom>
        <a:ln>
          <a:solidFill>
            <a:schemeClr val="tx1"/>
          </a:solidFill>
        </a:ln>
      </xdr:spPr>
    </xdr:pic>
    <xdr:clientData/>
  </xdr:twoCellAnchor>
  <xdr:twoCellAnchor editAs="oneCell">
    <xdr:from>
      <xdr:col>1</xdr:col>
      <xdr:colOff>482600</xdr:colOff>
      <xdr:row>334</xdr:row>
      <xdr:rowOff>127000</xdr:rowOff>
    </xdr:from>
    <xdr:to>
      <xdr:col>6</xdr:col>
      <xdr:colOff>344280</xdr:colOff>
      <xdr:row>350</xdr:row>
      <xdr:rowOff>144669</xdr:rowOff>
    </xdr:to>
    <xdr:pic>
      <xdr:nvPicPr>
        <xdr:cNvPr id="13" name="Picture 12"/>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301750" y="61534675"/>
          <a:ext cx="4252705" cy="3218069"/>
        </a:xfrm>
        <a:prstGeom prst="rect">
          <a:avLst/>
        </a:prstGeom>
        <a:ln>
          <a:solidFill>
            <a:schemeClr val="tx1"/>
          </a:solidFill>
        </a:ln>
      </xdr:spPr>
    </xdr:pic>
    <xdr:clientData/>
  </xdr:twoCellAnchor>
  <xdr:twoCellAnchor editAs="oneCell">
    <xdr:from>
      <xdr:col>1</xdr:col>
      <xdr:colOff>482600</xdr:colOff>
      <xdr:row>348</xdr:row>
      <xdr:rowOff>139700</xdr:rowOff>
    </xdr:from>
    <xdr:to>
      <xdr:col>2</xdr:col>
      <xdr:colOff>184400</xdr:colOff>
      <xdr:row>350</xdr:row>
      <xdr:rowOff>146825</xdr:rowOff>
    </xdr:to>
    <xdr:pic>
      <xdr:nvPicPr>
        <xdr:cNvPr id="14" name="Picture 13"/>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301750" y="64347725"/>
          <a:ext cx="559050" cy="407175"/>
        </a:xfrm>
        <a:prstGeom prst="rect">
          <a:avLst/>
        </a:prstGeom>
        <a:ln>
          <a:solidFill>
            <a:schemeClr val="tx1"/>
          </a:solidFill>
        </a:ln>
      </xdr:spPr>
    </xdr:pic>
    <xdr:clientData/>
  </xdr:twoCellAnchor>
  <xdr:twoCellAnchor editAs="oneCell">
    <xdr:from>
      <xdr:col>8</xdr:col>
      <xdr:colOff>567912</xdr:colOff>
      <xdr:row>15</xdr:row>
      <xdr:rowOff>590550</xdr:rowOff>
    </xdr:from>
    <xdr:to>
      <xdr:col>13</xdr:col>
      <xdr:colOff>368025</xdr:colOff>
      <xdr:row>20</xdr:row>
      <xdr:rowOff>85863</xdr:rowOff>
    </xdr:to>
    <xdr:pic>
      <xdr:nvPicPr>
        <xdr:cNvPr id="15" name="Picture 14"/>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7359237" y="4200525"/>
          <a:ext cx="4457838" cy="1305063"/>
        </a:xfrm>
        <a:prstGeom prst="rect">
          <a:avLst/>
        </a:prstGeom>
        <a:ln>
          <a:solidFill>
            <a:schemeClr val="tx1"/>
          </a:solidFill>
        </a:ln>
      </xdr:spPr>
    </xdr:pic>
    <xdr:clientData/>
  </xdr:twoCellAnchor>
  <xdr:twoCellAnchor editAs="oneCell">
    <xdr:from>
      <xdr:col>11</xdr:col>
      <xdr:colOff>50800</xdr:colOff>
      <xdr:row>146</xdr:row>
      <xdr:rowOff>76200</xdr:rowOff>
    </xdr:from>
    <xdr:to>
      <xdr:col>17</xdr:col>
      <xdr:colOff>161235</xdr:colOff>
      <xdr:row>165</xdr:row>
      <xdr:rowOff>59911</xdr:rowOff>
    </xdr:to>
    <xdr:pic>
      <xdr:nvPicPr>
        <xdr:cNvPr id="16" name="Picture 15"/>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9661525" y="29013150"/>
          <a:ext cx="5215835" cy="3784186"/>
        </a:xfrm>
        <a:prstGeom prst="rect">
          <a:avLst/>
        </a:prstGeom>
        <a:ln>
          <a:solidFill>
            <a:schemeClr val="tx1"/>
          </a:solidFill>
        </a:ln>
      </xdr:spPr>
    </xdr:pic>
    <xdr:clientData/>
  </xdr:twoCellAnchor>
  <xdr:twoCellAnchor>
    <xdr:from>
      <xdr:col>4</xdr:col>
      <xdr:colOff>152400</xdr:colOff>
      <xdr:row>397</xdr:row>
      <xdr:rowOff>57150</xdr:rowOff>
    </xdr:from>
    <xdr:to>
      <xdr:col>5</xdr:col>
      <xdr:colOff>76200</xdr:colOff>
      <xdr:row>398</xdr:row>
      <xdr:rowOff>124860</xdr:rowOff>
    </xdr:to>
    <xdr:sp macro="" textlink="">
      <xdr:nvSpPr>
        <xdr:cNvPr id="17" name="TextBox 6"/>
        <xdr:cNvSpPr txBox="1"/>
      </xdr:nvSpPr>
      <xdr:spPr>
        <a:xfrm>
          <a:off x="3724275" y="74066400"/>
          <a:ext cx="762000" cy="26773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No.2</a:t>
          </a:r>
        </a:p>
      </xdr:txBody>
    </xdr:sp>
    <xdr:clientData/>
  </xdr:twoCellAnchor>
  <xdr:twoCellAnchor>
    <xdr:from>
      <xdr:col>3</xdr:col>
      <xdr:colOff>920750</xdr:colOff>
      <xdr:row>398</xdr:row>
      <xdr:rowOff>124860</xdr:rowOff>
    </xdr:from>
    <xdr:to>
      <xdr:col>4</xdr:col>
      <xdr:colOff>523875</xdr:colOff>
      <xdr:row>401</xdr:row>
      <xdr:rowOff>76200</xdr:rowOff>
    </xdr:to>
    <xdr:cxnSp macro="">
      <xdr:nvCxnSpPr>
        <xdr:cNvPr id="18" name="Straight Arrow Connector 17"/>
        <xdr:cNvCxnSpPr>
          <a:stCxn id="17" idx="2"/>
        </xdr:cNvCxnSpPr>
      </xdr:nvCxnSpPr>
      <xdr:spPr>
        <a:xfrm flipH="1">
          <a:off x="3511550" y="74334135"/>
          <a:ext cx="584200" cy="55141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666750</xdr:colOff>
      <xdr:row>407</xdr:row>
      <xdr:rowOff>139700</xdr:rowOff>
    </xdr:from>
    <xdr:to>
      <xdr:col>3</xdr:col>
      <xdr:colOff>520700</xdr:colOff>
      <xdr:row>409</xdr:row>
      <xdr:rowOff>10560</xdr:rowOff>
    </xdr:to>
    <xdr:sp macro="" textlink="">
      <xdr:nvSpPr>
        <xdr:cNvPr id="19" name="TextBox 6"/>
        <xdr:cNvSpPr txBox="1"/>
      </xdr:nvSpPr>
      <xdr:spPr>
        <a:xfrm>
          <a:off x="2343150" y="76149200"/>
          <a:ext cx="768350" cy="2709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No.1</a:t>
          </a:r>
        </a:p>
      </xdr:txBody>
    </xdr:sp>
    <xdr:clientData/>
  </xdr:twoCellAnchor>
  <xdr:twoCellAnchor>
    <xdr:from>
      <xdr:col>3</xdr:col>
      <xdr:colOff>149225</xdr:colOff>
      <xdr:row>405</xdr:row>
      <xdr:rowOff>0</xdr:rowOff>
    </xdr:from>
    <xdr:to>
      <xdr:col>3</xdr:col>
      <xdr:colOff>755650</xdr:colOff>
      <xdr:row>407</xdr:row>
      <xdr:rowOff>139700</xdr:rowOff>
    </xdr:to>
    <xdr:cxnSp macro="">
      <xdr:nvCxnSpPr>
        <xdr:cNvPr id="20" name="Straight Arrow Connector 19"/>
        <xdr:cNvCxnSpPr>
          <a:stCxn id="19" idx="0"/>
        </xdr:cNvCxnSpPr>
      </xdr:nvCxnSpPr>
      <xdr:spPr>
        <a:xfrm flipV="1">
          <a:off x="2740025" y="75609450"/>
          <a:ext cx="606425" cy="5397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194851</xdr:colOff>
      <xdr:row>328</xdr:row>
      <xdr:rowOff>35044</xdr:rowOff>
    </xdr:from>
    <xdr:to>
      <xdr:col>4</xdr:col>
      <xdr:colOff>641351</xdr:colOff>
      <xdr:row>332</xdr:row>
      <xdr:rowOff>126999</xdr:rowOff>
    </xdr:to>
    <xdr:pic>
      <xdr:nvPicPr>
        <xdr:cNvPr id="21" name="Pictur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785651" y="60242569"/>
          <a:ext cx="1427575" cy="892055"/>
        </a:xfrm>
        <a:prstGeom prst="rect">
          <a:avLst/>
        </a:prstGeom>
        <a:ln>
          <a:solidFill>
            <a:schemeClr val="tx1"/>
          </a:solidFill>
        </a:ln>
      </xdr:spPr>
    </xdr:pic>
    <xdr:clientData/>
  </xdr:twoCellAnchor>
  <xdr:twoCellAnchor editAs="oneCell">
    <xdr:from>
      <xdr:col>0</xdr:col>
      <xdr:colOff>351597</xdr:colOff>
      <xdr:row>291</xdr:row>
      <xdr:rowOff>57150</xdr:rowOff>
    </xdr:from>
    <xdr:to>
      <xdr:col>2</xdr:col>
      <xdr:colOff>762447</xdr:colOff>
      <xdr:row>305</xdr:row>
      <xdr:rowOff>43600</xdr:rowOff>
    </xdr:to>
    <xdr:pic>
      <xdr:nvPicPr>
        <xdr:cNvPr id="22" name="Pictur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51597" y="52873275"/>
          <a:ext cx="2087250" cy="2777275"/>
        </a:xfrm>
        <a:prstGeom prst="rect">
          <a:avLst/>
        </a:prstGeom>
        <a:ln>
          <a:solidFill>
            <a:schemeClr val="tx1"/>
          </a:solidFill>
        </a:ln>
      </xdr:spPr>
    </xdr:pic>
    <xdr:clientData/>
  </xdr:twoCellAnchor>
  <xdr:twoCellAnchor editAs="oneCell">
    <xdr:from>
      <xdr:col>3</xdr:col>
      <xdr:colOff>85654</xdr:colOff>
      <xdr:row>320</xdr:row>
      <xdr:rowOff>104846</xdr:rowOff>
    </xdr:from>
    <xdr:to>
      <xdr:col>5</xdr:col>
      <xdr:colOff>464654</xdr:colOff>
      <xdr:row>327</xdr:row>
      <xdr:rowOff>139699</xdr:rowOff>
    </xdr:to>
    <xdr:pic>
      <xdr:nvPicPr>
        <xdr:cNvPr id="23" name="Picture 2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676454" y="58712171"/>
          <a:ext cx="2198275" cy="1435028"/>
        </a:xfrm>
        <a:prstGeom prst="rect">
          <a:avLst/>
        </a:prstGeom>
        <a:ln>
          <a:solidFill>
            <a:schemeClr val="tx1"/>
          </a:solidFill>
        </a:ln>
      </xdr:spPr>
    </xdr:pic>
    <xdr:clientData/>
  </xdr:twoCellAnchor>
  <xdr:twoCellAnchor editAs="oneCell">
    <xdr:from>
      <xdr:col>0</xdr:col>
      <xdr:colOff>323850</xdr:colOff>
      <xdr:row>320</xdr:row>
      <xdr:rowOff>104846</xdr:rowOff>
    </xdr:from>
    <xdr:to>
      <xdr:col>2</xdr:col>
      <xdr:colOff>842550</xdr:colOff>
      <xdr:row>327</xdr:row>
      <xdr:rowOff>139699</xdr:rowOff>
    </xdr:to>
    <xdr:pic>
      <xdr:nvPicPr>
        <xdr:cNvPr id="24" name="Picture 2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23850" y="58712171"/>
          <a:ext cx="2195100" cy="1435028"/>
        </a:xfrm>
        <a:prstGeom prst="rect">
          <a:avLst/>
        </a:prstGeom>
        <a:ln>
          <a:solidFill>
            <a:schemeClr val="tx1"/>
          </a:solidFill>
        </a:ln>
      </xdr:spPr>
    </xdr:pic>
    <xdr:clientData/>
  </xdr:twoCellAnchor>
  <xdr:twoCellAnchor editAs="oneCell">
    <xdr:from>
      <xdr:col>3</xdr:col>
      <xdr:colOff>11398</xdr:colOff>
      <xdr:row>291</xdr:row>
      <xdr:rowOff>57150</xdr:rowOff>
    </xdr:from>
    <xdr:to>
      <xdr:col>7</xdr:col>
      <xdr:colOff>326931</xdr:colOff>
      <xdr:row>305</xdr:row>
      <xdr:rowOff>43600</xdr:rowOff>
    </xdr:to>
    <xdr:pic>
      <xdr:nvPicPr>
        <xdr:cNvPr id="25" name="Picture 24"/>
        <xdr:cNvPicPr>
          <a:picLocks noChangeAspect="1"/>
        </xdr:cNvPicPr>
      </xdr:nvPicPr>
      <xdr:blipFill>
        <a:blip xmlns:r="http://schemas.openxmlformats.org/officeDocument/2006/relationships" r:embed="rId12"/>
        <a:stretch>
          <a:fillRect/>
        </a:stretch>
      </xdr:blipFill>
      <xdr:spPr>
        <a:xfrm>
          <a:off x="2602198" y="52873275"/>
          <a:ext cx="3725483" cy="2777275"/>
        </a:xfrm>
        <a:prstGeom prst="rect">
          <a:avLst/>
        </a:prstGeom>
        <a:ln>
          <a:solidFill>
            <a:schemeClr val="tx1"/>
          </a:solidFill>
        </a:ln>
      </xdr:spPr>
    </xdr:pic>
    <xdr:clientData/>
  </xdr:twoCellAnchor>
  <xdr:twoCellAnchor editAs="oneCell">
    <xdr:from>
      <xdr:col>0</xdr:col>
      <xdr:colOff>351597</xdr:colOff>
      <xdr:row>305</xdr:row>
      <xdr:rowOff>182598</xdr:rowOff>
    </xdr:from>
    <xdr:to>
      <xdr:col>2</xdr:col>
      <xdr:colOff>762447</xdr:colOff>
      <xdr:row>319</xdr:row>
      <xdr:rowOff>162699</xdr:rowOff>
    </xdr:to>
    <xdr:pic>
      <xdr:nvPicPr>
        <xdr:cNvPr id="26" name="Picture 2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51597" y="55789548"/>
          <a:ext cx="2087250" cy="2780451"/>
        </a:xfrm>
        <a:prstGeom prst="rect">
          <a:avLst/>
        </a:prstGeom>
        <a:ln>
          <a:solidFill>
            <a:schemeClr val="tx1"/>
          </a:solidFill>
        </a:ln>
      </xdr:spPr>
    </xdr:pic>
    <xdr:clientData/>
  </xdr:twoCellAnchor>
  <xdr:twoCellAnchor editAs="oneCell">
    <xdr:from>
      <xdr:col>5</xdr:col>
      <xdr:colOff>596758</xdr:colOff>
      <xdr:row>320</xdr:row>
      <xdr:rowOff>104846</xdr:rowOff>
    </xdr:from>
    <xdr:to>
      <xdr:col>7</xdr:col>
      <xdr:colOff>260671</xdr:colOff>
      <xdr:row>327</xdr:row>
      <xdr:rowOff>139699</xdr:rowOff>
    </xdr:to>
    <xdr:pic>
      <xdr:nvPicPr>
        <xdr:cNvPr id="27" name="Picture 2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006833" y="58712171"/>
          <a:ext cx="1254588" cy="1435028"/>
        </a:xfrm>
        <a:prstGeom prst="rect">
          <a:avLst/>
        </a:prstGeom>
        <a:ln>
          <a:solidFill>
            <a:schemeClr val="tx1"/>
          </a:solidFill>
        </a:ln>
      </xdr:spPr>
    </xdr:pic>
    <xdr:clientData/>
  </xdr:twoCellAnchor>
  <xdr:twoCellAnchor editAs="oneCell">
    <xdr:from>
      <xdr:col>3</xdr:col>
      <xdr:colOff>11398</xdr:colOff>
      <xdr:row>305</xdr:row>
      <xdr:rowOff>182598</xdr:rowOff>
    </xdr:from>
    <xdr:to>
      <xdr:col>7</xdr:col>
      <xdr:colOff>326931</xdr:colOff>
      <xdr:row>319</xdr:row>
      <xdr:rowOff>162699</xdr:rowOff>
    </xdr:to>
    <xdr:pic>
      <xdr:nvPicPr>
        <xdr:cNvPr id="28" name="Picture 27"/>
        <xdr:cNvPicPr>
          <a:picLocks noChangeAspect="1"/>
        </xdr:cNvPicPr>
      </xdr:nvPicPr>
      <xdr:blipFill>
        <a:blip xmlns:r="http://schemas.openxmlformats.org/officeDocument/2006/relationships" r:embed="rId15"/>
        <a:stretch>
          <a:fillRect/>
        </a:stretch>
      </xdr:blipFill>
      <xdr:spPr>
        <a:xfrm>
          <a:off x="2602198" y="55789548"/>
          <a:ext cx="3725483" cy="2780451"/>
        </a:xfrm>
        <a:prstGeom prst="rect">
          <a:avLst/>
        </a:prstGeom>
        <a:ln>
          <a:solidFill>
            <a:schemeClr val="tx1"/>
          </a:solidFill>
        </a:ln>
      </xdr:spPr>
    </xdr:pic>
    <xdr:clientData/>
  </xdr:twoCellAnchor>
  <xdr:twoCellAnchor>
    <xdr:from>
      <xdr:col>0</xdr:col>
      <xdr:colOff>351597</xdr:colOff>
      <xdr:row>291</xdr:row>
      <xdr:rowOff>57150</xdr:rowOff>
    </xdr:from>
    <xdr:to>
      <xdr:col>1</xdr:col>
      <xdr:colOff>294447</xdr:colOff>
      <xdr:row>292</xdr:row>
      <xdr:rowOff>124860</xdr:rowOff>
    </xdr:to>
    <xdr:sp macro="" textlink="">
      <xdr:nvSpPr>
        <xdr:cNvPr id="29" name="TextBox 6"/>
        <xdr:cNvSpPr txBox="1"/>
      </xdr:nvSpPr>
      <xdr:spPr>
        <a:xfrm>
          <a:off x="351597" y="52873275"/>
          <a:ext cx="762000" cy="26773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No.1</a:t>
          </a:r>
        </a:p>
      </xdr:txBody>
    </xdr:sp>
    <xdr:clientData/>
  </xdr:twoCellAnchor>
  <xdr:twoCellAnchor>
    <xdr:from>
      <xdr:col>3</xdr:col>
      <xdr:colOff>11398</xdr:colOff>
      <xdr:row>291</xdr:row>
      <xdr:rowOff>57150</xdr:rowOff>
    </xdr:from>
    <xdr:to>
      <xdr:col>3</xdr:col>
      <xdr:colOff>754348</xdr:colOff>
      <xdr:row>292</xdr:row>
      <xdr:rowOff>124860</xdr:rowOff>
    </xdr:to>
    <xdr:sp macro="" textlink="">
      <xdr:nvSpPr>
        <xdr:cNvPr id="30" name="TextBox 6"/>
        <xdr:cNvSpPr txBox="1"/>
      </xdr:nvSpPr>
      <xdr:spPr>
        <a:xfrm>
          <a:off x="2602198" y="52873275"/>
          <a:ext cx="742950" cy="26773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No.2</a:t>
          </a:r>
        </a:p>
      </xdr:txBody>
    </xdr:sp>
    <xdr:clientData/>
  </xdr:twoCellAnchor>
  <xdr:twoCellAnchor>
    <xdr:from>
      <xdr:col>0</xdr:col>
      <xdr:colOff>351597</xdr:colOff>
      <xdr:row>305</xdr:row>
      <xdr:rowOff>182598</xdr:rowOff>
    </xdr:from>
    <xdr:to>
      <xdr:col>1</xdr:col>
      <xdr:colOff>294447</xdr:colOff>
      <xdr:row>307</xdr:row>
      <xdr:rowOff>53458</xdr:rowOff>
    </xdr:to>
    <xdr:sp macro="" textlink="">
      <xdr:nvSpPr>
        <xdr:cNvPr id="31" name="TextBox 6"/>
        <xdr:cNvSpPr txBox="1"/>
      </xdr:nvSpPr>
      <xdr:spPr>
        <a:xfrm>
          <a:off x="351597" y="55789548"/>
          <a:ext cx="762000" cy="2709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No.1</a:t>
          </a:r>
        </a:p>
      </xdr:txBody>
    </xdr:sp>
    <xdr:clientData/>
  </xdr:twoCellAnchor>
  <xdr:twoCellAnchor>
    <xdr:from>
      <xdr:col>3</xdr:col>
      <xdr:colOff>11398</xdr:colOff>
      <xdr:row>305</xdr:row>
      <xdr:rowOff>182598</xdr:rowOff>
    </xdr:from>
    <xdr:to>
      <xdr:col>3</xdr:col>
      <xdr:colOff>754348</xdr:colOff>
      <xdr:row>307</xdr:row>
      <xdr:rowOff>53458</xdr:rowOff>
    </xdr:to>
    <xdr:sp macro="" textlink="">
      <xdr:nvSpPr>
        <xdr:cNvPr id="32" name="TextBox 6"/>
        <xdr:cNvSpPr txBox="1"/>
      </xdr:nvSpPr>
      <xdr:spPr>
        <a:xfrm>
          <a:off x="2602198" y="55789548"/>
          <a:ext cx="742950" cy="2709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QdsTvzD6DYMw7sKF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maps.app.goo.gl/QdsTvzD6DYMw7sKF6" TargetMode="External"/><Relationship Id="rId6" Type="http://schemas.openxmlformats.org/officeDocument/2006/relationships/comments" Target="../comments3.xml"/><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98"/>
  <sheetViews>
    <sheetView tabSelected="1" view="pageBreakPreview" topLeftCell="A223" zoomScaleNormal="100" zoomScaleSheetLayoutView="100" zoomScalePageLayoutView="85" workbookViewId="0">
      <selection activeCell="K266" sqref="K266"/>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91" t="s">
        <v>165</v>
      </c>
      <c r="B1" s="191"/>
      <c r="C1" s="191"/>
      <c r="D1" s="191"/>
      <c r="E1" s="191"/>
      <c r="F1" s="191"/>
      <c r="G1" s="191"/>
      <c r="H1" s="191"/>
    </row>
    <row r="2" spans="1:26" ht="16.5" customHeight="1" x14ac:dyDescent="0.25">
      <c r="A2" s="192" t="s">
        <v>0</v>
      </c>
      <c r="B2" s="192"/>
      <c r="C2" s="192"/>
      <c r="D2" s="192"/>
      <c r="E2" s="192"/>
      <c r="F2" s="192"/>
      <c r="G2" s="192"/>
      <c r="H2" s="192"/>
    </row>
    <row r="3" spans="1:26" x14ac:dyDescent="0.25">
      <c r="A3" s="135" t="s">
        <v>1</v>
      </c>
      <c r="B3" s="135"/>
      <c r="C3" s="135"/>
      <c r="D3" s="135"/>
      <c r="E3" s="135" t="str">
        <f ca="1">TEXT(TODAY(),"DD/MM/YYYY")</f>
        <v>09/09/2025</v>
      </c>
      <c r="F3" s="135"/>
      <c r="G3" s="135"/>
      <c r="H3" s="135"/>
      <c r="K3" s="49" t="s">
        <v>237</v>
      </c>
      <c r="L3" s="47" t="s">
        <v>235</v>
      </c>
      <c r="M3" s="47" t="s">
        <v>240</v>
      </c>
      <c r="N3" s="47" t="s">
        <v>238</v>
      </c>
      <c r="O3" s="47" t="s">
        <v>239</v>
      </c>
      <c r="P3" s="47" t="s">
        <v>241</v>
      </c>
    </row>
    <row r="4" spans="1:26" ht="15" customHeight="1" x14ac:dyDescent="0.25">
      <c r="A4" s="135" t="s">
        <v>234</v>
      </c>
      <c r="B4" s="135"/>
      <c r="C4" s="135"/>
      <c r="D4" s="135"/>
      <c r="E4" s="135" t="s">
        <v>235</v>
      </c>
      <c r="F4" s="135"/>
      <c r="G4" s="135"/>
      <c r="H4" s="135"/>
      <c r="K4" s="46" t="s">
        <v>236</v>
      </c>
      <c r="L4" s="47" t="s">
        <v>171</v>
      </c>
      <c r="M4" s="47" t="s">
        <v>245</v>
      </c>
      <c r="N4" s="47" t="s">
        <v>247</v>
      </c>
      <c r="O4" s="47" t="s">
        <v>249</v>
      </c>
      <c r="P4" s="47"/>
    </row>
    <row r="5" spans="1:26" ht="15" customHeight="1" x14ac:dyDescent="0.25">
      <c r="A5" s="135" t="s">
        <v>2</v>
      </c>
      <c r="B5" s="135"/>
      <c r="C5" s="135"/>
      <c r="D5" s="135"/>
      <c r="E5" s="135" t="s">
        <v>171</v>
      </c>
      <c r="F5" s="135"/>
      <c r="G5" s="135"/>
      <c r="H5" s="135"/>
      <c r="K5" s="46"/>
      <c r="L5" s="47" t="s">
        <v>242</v>
      </c>
      <c r="M5" s="47" t="s">
        <v>246</v>
      </c>
      <c r="N5" s="47" t="s">
        <v>248</v>
      </c>
      <c r="O5" s="47" t="s">
        <v>250</v>
      </c>
      <c r="P5" s="47"/>
    </row>
    <row r="6" spans="1:26" x14ac:dyDescent="0.25">
      <c r="A6" s="193" t="s">
        <v>3</v>
      </c>
      <c r="B6" s="193"/>
      <c r="C6" s="193"/>
      <c r="D6" s="193"/>
      <c r="E6" s="194">
        <v>45908</v>
      </c>
      <c r="F6" s="135"/>
      <c r="G6" s="135"/>
      <c r="H6" s="135"/>
      <c r="K6" s="46"/>
      <c r="L6" s="47" t="s">
        <v>243</v>
      </c>
      <c r="M6" s="47"/>
      <c r="N6" s="47"/>
      <c r="O6" s="47" t="s">
        <v>251</v>
      </c>
      <c r="P6" s="47"/>
    </row>
    <row r="7" spans="1:26" ht="16.5" customHeight="1" x14ac:dyDescent="0.25">
      <c r="A7" s="135" t="s">
        <v>4</v>
      </c>
      <c r="B7" s="135"/>
      <c r="C7" s="135"/>
      <c r="D7" s="135"/>
      <c r="E7" s="135" t="s">
        <v>304</v>
      </c>
      <c r="F7" s="135"/>
      <c r="G7" s="135"/>
      <c r="H7" s="135"/>
      <c r="K7" s="46"/>
      <c r="L7" s="47" t="s">
        <v>244</v>
      </c>
      <c r="M7" s="47"/>
      <c r="N7" s="47"/>
      <c r="O7" s="47" t="s">
        <v>251</v>
      </c>
      <c r="P7" s="47"/>
    </row>
    <row r="8" spans="1:26" ht="15" customHeight="1" x14ac:dyDescent="0.25">
      <c r="A8" s="135" t="s">
        <v>5</v>
      </c>
      <c r="B8" s="135"/>
      <c r="C8" s="135"/>
      <c r="D8" s="135"/>
      <c r="E8" s="135" t="str">
        <f>E7</f>
        <v>H. M. Holdings</v>
      </c>
      <c r="F8" s="135"/>
      <c r="G8" s="135"/>
      <c r="H8" s="135"/>
      <c r="K8" s="46"/>
      <c r="L8" s="47"/>
      <c r="M8" s="47"/>
      <c r="N8" s="47"/>
      <c r="O8" s="47" t="s">
        <v>252</v>
      </c>
      <c r="P8" s="47"/>
    </row>
    <row r="9" spans="1:26" x14ac:dyDescent="0.25">
      <c r="A9" s="135" t="s">
        <v>6</v>
      </c>
      <c r="B9" s="135"/>
      <c r="C9" s="135"/>
      <c r="D9" s="135"/>
      <c r="E9" s="162" t="s">
        <v>305</v>
      </c>
      <c r="F9" s="162"/>
      <c r="G9" s="162"/>
      <c r="H9" s="162"/>
      <c r="K9" s="46"/>
      <c r="L9" s="47"/>
      <c r="M9" s="47"/>
      <c r="N9" s="47"/>
      <c r="O9" s="47" t="s">
        <v>253</v>
      </c>
      <c r="P9" s="47"/>
    </row>
    <row r="10" spans="1:26" x14ac:dyDescent="0.25">
      <c r="A10" s="135" t="s">
        <v>168</v>
      </c>
      <c r="B10" s="135"/>
      <c r="C10" s="135"/>
      <c r="D10" s="135"/>
      <c r="E10" s="135" t="s">
        <v>419</v>
      </c>
      <c r="F10" s="135"/>
      <c r="G10" s="135"/>
      <c r="H10" s="135"/>
      <c r="K10" s="46"/>
      <c r="L10" s="47"/>
      <c r="M10" s="47"/>
      <c r="N10" s="47"/>
      <c r="O10" s="47"/>
      <c r="P10" s="47"/>
    </row>
    <row r="11" spans="1:26" x14ac:dyDescent="0.25">
      <c r="A11" s="135" t="s">
        <v>169</v>
      </c>
      <c r="B11" s="135"/>
      <c r="C11" s="135"/>
      <c r="D11" s="135"/>
      <c r="E11" s="135" t="s">
        <v>434</v>
      </c>
      <c r="F11" s="135"/>
      <c r="G11" s="135"/>
      <c r="H11" s="135"/>
    </row>
    <row r="12" spans="1:26" x14ac:dyDescent="0.25">
      <c r="A12" s="135" t="s">
        <v>7</v>
      </c>
      <c r="B12" s="135"/>
      <c r="C12" s="135"/>
      <c r="D12" s="135"/>
      <c r="E12" s="135" t="s">
        <v>418</v>
      </c>
      <c r="F12" s="135"/>
      <c r="G12" s="135"/>
      <c r="H12" s="135"/>
    </row>
    <row r="13" spans="1:26" ht="32.450000000000003" customHeight="1" x14ac:dyDescent="0.25">
      <c r="A13" s="135" t="s">
        <v>172</v>
      </c>
      <c r="B13" s="135"/>
      <c r="C13" s="135"/>
      <c r="D13" s="135"/>
      <c r="E13" s="136" t="s">
        <v>310</v>
      </c>
      <c r="F13" s="136"/>
      <c r="G13" s="136"/>
      <c r="H13" s="136"/>
      <c r="S13" s="47" t="s">
        <v>179</v>
      </c>
      <c r="T13" s="47" t="s">
        <v>189</v>
      </c>
      <c r="U13" s="47" t="s">
        <v>173</v>
      </c>
      <c r="V13" s="47" t="s">
        <v>194</v>
      </c>
      <c r="W13" s="47" t="s">
        <v>212</v>
      </c>
      <c r="X13"/>
      <c r="Y13" t="s">
        <v>194</v>
      </c>
      <c r="Z13" t="e">
        <f ca="1">OFFSET($S$13,1,MATCH($G20,$S$13:$W$13,0)-1,15,1)</f>
        <v>#VALUE!</v>
      </c>
    </row>
    <row r="14" spans="1:26" x14ac:dyDescent="0.25">
      <c r="A14" s="135" t="s">
        <v>280</v>
      </c>
      <c r="B14" s="135"/>
      <c r="C14" s="135"/>
      <c r="D14" s="135"/>
      <c r="E14" s="136" t="s">
        <v>227</v>
      </c>
      <c r="F14" s="136"/>
      <c r="G14" s="136"/>
      <c r="H14" s="136"/>
      <c r="S14" s="47" t="s">
        <v>180</v>
      </c>
      <c r="T14" s="47" t="s">
        <v>187</v>
      </c>
      <c r="U14" s="47" t="s">
        <v>209</v>
      </c>
      <c r="V14" s="47" t="s">
        <v>195</v>
      </c>
      <c r="W14" s="47" t="s">
        <v>213</v>
      </c>
      <c r="X14"/>
      <c r="Y14"/>
      <c r="Z14"/>
    </row>
    <row r="15" spans="1:26" ht="33.75" customHeight="1" x14ac:dyDescent="0.25">
      <c r="A15" s="135" t="s">
        <v>8</v>
      </c>
      <c r="B15" s="135"/>
      <c r="C15" s="135"/>
      <c r="D15" s="135"/>
      <c r="E15" s="136" t="s">
        <v>420</v>
      </c>
      <c r="F15" s="135"/>
      <c r="G15" s="135"/>
      <c r="H15" s="135"/>
      <c r="I15" s="223" t="e">
        <f ca="1">OFFSET($D$5,1,MATCH($J13,$D$5:$H$5,0)-1,15,1)</f>
        <v>#N/A</v>
      </c>
      <c r="J15" s="224"/>
      <c r="K15" s="224"/>
      <c r="L15" s="224"/>
      <c r="M15" s="224"/>
      <c r="N15" s="224"/>
      <c r="O15" s="224"/>
      <c r="P15" s="224"/>
      <c r="S15" s="47" t="s">
        <v>181</v>
      </c>
      <c r="T15" s="47" t="s">
        <v>188</v>
      </c>
      <c r="U15" s="47" t="s">
        <v>210</v>
      </c>
      <c r="V15" s="47" t="s">
        <v>196</v>
      </c>
      <c r="W15" s="47" t="s">
        <v>226</v>
      </c>
      <c r="X15"/>
      <c r="Y15"/>
      <c r="Z15"/>
    </row>
    <row r="16" spans="1:26" ht="64.5" customHeight="1" x14ac:dyDescent="0.25">
      <c r="A16" s="136" t="s">
        <v>9</v>
      </c>
      <c r="B16" s="136"/>
      <c r="C16" s="136" t="str">
        <f>CONCATENATE((IF(OR(E9="",E9="NA"),"",E9)),", ",(IF(OR(A17="",A17="NA"),"",A17)),".",(IF(OR(C17="",C17="NA"),"",C17)),", near ",(IF(OR(C22="",C22="NA"),"",C22)),", ",(IF(OR(C19="",C19="NA"),"",C19)),", ",(IF(OR(C18="",C18="NA"),"",C18)),", ",(IF(OR(G19="",G19="NA"),"",G19)),", ",(IF(OR(C20="",C20="NA"),"",C20)),", ",(IF(OR(C21="",C21="NA"),"",C21)),", ",(IF(OR(G20="",G20="NA"),"",G20))," - ",(IF(OR(G21="",G21="NA"),"",G21)),".")</f>
        <v>Central Park, CTS No.458, 459, 460, 462, 463, 547 &amp; Redevelopement of buildings "Rama Mansion, Chandri Villa, Hill View &amp; Kotak Kunj", near Hari Bhuvan Building, Tejpal Road, Papanas Wadi, Malabar Hill Division, Tardeo, Mumbai, Mumbai - 400007.</v>
      </c>
      <c r="D16" s="136"/>
      <c r="E16" s="136"/>
      <c r="F16" s="136"/>
      <c r="G16" s="136"/>
      <c r="H16" s="136"/>
      <c r="S16" s="47" t="s">
        <v>182</v>
      </c>
      <c r="T16" s="47" t="s">
        <v>190</v>
      </c>
      <c r="U16" s="47" t="s">
        <v>211</v>
      </c>
      <c r="V16" s="47" t="s">
        <v>197</v>
      </c>
      <c r="W16" s="47" t="s">
        <v>214</v>
      </c>
      <c r="X16"/>
      <c r="Y16"/>
      <c r="Z16"/>
    </row>
    <row r="17" spans="1:26" ht="30.95" customHeight="1" x14ac:dyDescent="0.25">
      <c r="A17" s="136" t="s">
        <v>177</v>
      </c>
      <c r="B17" s="136"/>
      <c r="C17" s="136" t="s">
        <v>313</v>
      </c>
      <c r="D17" s="136"/>
      <c r="E17" s="136"/>
      <c r="F17" s="136"/>
      <c r="G17" s="136"/>
      <c r="H17" s="136"/>
      <c r="S17" s="47" t="s">
        <v>183</v>
      </c>
      <c r="T17" s="47" t="s">
        <v>191</v>
      </c>
      <c r="U17" s="47" t="s">
        <v>173</v>
      </c>
      <c r="V17" s="47" t="s">
        <v>198</v>
      </c>
      <c r="W17" s="47" t="s">
        <v>215</v>
      </c>
      <c r="X17"/>
      <c r="Y17"/>
      <c r="Z17"/>
    </row>
    <row r="18" spans="1:26" ht="15.75" customHeight="1" x14ac:dyDescent="0.25">
      <c r="A18" s="136" t="s">
        <v>163</v>
      </c>
      <c r="B18" s="136"/>
      <c r="C18" s="136" t="s">
        <v>316</v>
      </c>
      <c r="D18" s="136"/>
      <c r="E18" s="136"/>
      <c r="F18" s="136"/>
      <c r="G18" s="136"/>
      <c r="H18" s="136"/>
      <c r="S18" s="47" t="s">
        <v>184</v>
      </c>
      <c r="T18" s="47" t="s">
        <v>189</v>
      </c>
      <c r="U18" s="47"/>
      <c r="V18" s="47" t="s">
        <v>199</v>
      </c>
      <c r="W18" s="47" t="s">
        <v>216</v>
      </c>
      <c r="X18"/>
      <c r="Y18"/>
      <c r="Z18"/>
    </row>
    <row r="19" spans="1:26" ht="15.75" customHeight="1" x14ac:dyDescent="0.25">
      <c r="A19" s="136" t="s">
        <v>10</v>
      </c>
      <c r="B19" s="136"/>
      <c r="C19" s="135" t="s">
        <v>315</v>
      </c>
      <c r="D19" s="135"/>
      <c r="E19" s="136" t="s">
        <v>69</v>
      </c>
      <c r="F19" s="136"/>
      <c r="G19" s="136" t="s">
        <v>388</v>
      </c>
      <c r="H19" s="136"/>
      <c r="S19" s="47" t="s">
        <v>185</v>
      </c>
      <c r="T19" s="47" t="s">
        <v>192</v>
      </c>
      <c r="U19" s="47"/>
      <c r="V19" s="47" t="s">
        <v>200</v>
      </c>
      <c r="W19" s="47" t="s">
        <v>217</v>
      </c>
      <c r="X19"/>
      <c r="Y19"/>
      <c r="Z19"/>
    </row>
    <row r="20" spans="1:26" x14ac:dyDescent="0.25">
      <c r="A20" s="135" t="s">
        <v>12</v>
      </c>
      <c r="B20" s="135"/>
      <c r="C20" s="136" t="s">
        <v>314</v>
      </c>
      <c r="D20" s="136"/>
      <c r="E20" s="136" t="s">
        <v>11</v>
      </c>
      <c r="F20" s="136"/>
      <c r="G20" s="190" t="s">
        <v>173</v>
      </c>
      <c r="H20" s="190"/>
      <c r="S20" s="47" t="s">
        <v>186</v>
      </c>
      <c r="T20" s="47" t="s">
        <v>193</v>
      </c>
      <c r="U20" s="47"/>
      <c r="V20" s="47" t="s">
        <v>201</v>
      </c>
      <c r="W20" s="47" t="s">
        <v>218</v>
      </c>
      <c r="X20"/>
      <c r="Y20"/>
      <c r="Z20"/>
    </row>
    <row r="21" spans="1:26" x14ac:dyDescent="0.25">
      <c r="A21" s="135" t="s">
        <v>70</v>
      </c>
      <c r="B21" s="135"/>
      <c r="C21" s="136" t="s">
        <v>173</v>
      </c>
      <c r="D21" s="136"/>
      <c r="E21" s="136" t="s">
        <v>13</v>
      </c>
      <c r="F21" s="136"/>
      <c r="G21" s="136">
        <v>400007</v>
      </c>
      <c r="H21" s="136"/>
      <c r="S21" s="47"/>
      <c r="T21" s="47"/>
      <c r="U21" s="47"/>
      <c r="V21" s="47" t="s">
        <v>202</v>
      </c>
      <c r="W21" s="47" t="s">
        <v>219</v>
      </c>
      <c r="X21"/>
      <c r="Y21"/>
      <c r="Z21"/>
    </row>
    <row r="22" spans="1:26" ht="32.25" customHeight="1" x14ac:dyDescent="0.25">
      <c r="A22" s="135" t="s">
        <v>119</v>
      </c>
      <c r="B22" s="135"/>
      <c r="C22" s="136" t="s">
        <v>317</v>
      </c>
      <c r="D22" s="136"/>
      <c r="E22" s="136" t="s">
        <v>14</v>
      </c>
      <c r="F22" s="136"/>
      <c r="G22" s="136" t="s">
        <v>312</v>
      </c>
      <c r="H22" s="136"/>
      <c r="S22" s="47"/>
      <c r="T22" s="47"/>
      <c r="U22" s="47"/>
      <c r="V22" s="47" t="s">
        <v>203</v>
      </c>
      <c r="W22" s="47" t="s">
        <v>220</v>
      </c>
      <c r="X22"/>
      <c r="Y22"/>
      <c r="Z22"/>
    </row>
    <row r="23" spans="1:26" ht="15" customHeight="1" x14ac:dyDescent="0.25">
      <c r="A23" s="132" t="s">
        <v>72</v>
      </c>
      <c r="B23" s="132"/>
      <c r="C23" s="132"/>
      <c r="D23" s="132"/>
      <c r="E23" s="135" t="s">
        <v>15</v>
      </c>
      <c r="F23" s="135"/>
      <c r="G23" s="135"/>
      <c r="H23" s="135"/>
      <c r="S23" s="47"/>
      <c r="T23" s="47"/>
      <c r="U23" s="47"/>
      <c r="V23" s="47" t="s">
        <v>204</v>
      </c>
      <c r="W23" s="47" t="s">
        <v>221</v>
      </c>
      <c r="X23"/>
      <c r="Y23"/>
      <c r="Z23"/>
    </row>
    <row r="24" spans="1:26" ht="18.75" customHeight="1" x14ac:dyDescent="0.25">
      <c r="A24" s="132"/>
      <c r="B24" s="132"/>
      <c r="C24" s="132"/>
      <c r="D24" s="132"/>
      <c r="E24" s="135"/>
      <c r="F24" s="135"/>
      <c r="G24" s="135"/>
      <c r="H24" s="135"/>
      <c r="S24" s="47"/>
      <c r="T24" s="47"/>
      <c r="U24" s="47"/>
      <c r="V24" s="47" t="s">
        <v>205</v>
      </c>
      <c r="W24" s="47" t="s">
        <v>222</v>
      </c>
      <c r="X24"/>
      <c r="Y24"/>
      <c r="Z24"/>
    </row>
    <row r="25" spans="1:26" ht="15" customHeight="1" x14ac:dyDescent="0.25">
      <c r="A25" s="132" t="s">
        <v>16</v>
      </c>
      <c r="B25" s="132"/>
      <c r="C25" s="132"/>
      <c r="D25" s="132"/>
      <c r="E25" s="136" t="s">
        <v>17</v>
      </c>
      <c r="F25" s="136"/>
      <c r="G25" s="136"/>
      <c r="H25" s="136"/>
      <c r="S25" s="47"/>
      <c r="T25" s="47"/>
      <c r="U25" s="47"/>
      <c r="V25" s="47" t="s">
        <v>206</v>
      </c>
      <c r="W25" s="47" t="s">
        <v>223</v>
      </c>
      <c r="X25"/>
      <c r="Y25"/>
      <c r="Z25"/>
    </row>
    <row r="26" spans="1:26" ht="15" customHeight="1" x14ac:dyDescent="0.25">
      <c r="A26" s="115" t="s">
        <v>18</v>
      </c>
      <c r="B26" s="115"/>
      <c r="C26" s="115"/>
      <c r="D26" s="115"/>
      <c r="E26" s="136" t="str">
        <f>IF(AND(G20="Mumbai"),"Upper Class","Middle Class")</f>
        <v>Upper Class</v>
      </c>
      <c r="F26" s="136"/>
      <c r="G26" s="136"/>
      <c r="H26" s="136"/>
      <c r="S26" s="47"/>
      <c r="T26" s="47"/>
      <c r="U26" s="47"/>
      <c r="V26" s="47" t="s">
        <v>207</v>
      </c>
      <c r="W26" s="47" t="s">
        <v>224</v>
      </c>
      <c r="X26"/>
      <c r="Y26"/>
      <c r="Z26"/>
    </row>
    <row r="27" spans="1:26" x14ac:dyDescent="0.25">
      <c r="A27" s="115" t="s">
        <v>19</v>
      </c>
      <c r="B27" s="115"/>
      <c r="C27" s="115"/>
      <c r="D27" s="115"/>
      <c r="E27" s="136" t="s">
        <v>20</v>
      </c>
      <c r="F27" s="136"/>
      <c r="G27" s="136"/>
      <c r="H27" s="136"/>
      <c r="S27" s="47"/>
      <c r="T27" s="47"/>
      <c r="U27" s="47"/>
      <c r="V27" s="47" t="s">
        <v>208</v>
      </c>
      <c r="W27" s="47" t="s">
        <v>225</v>
      </c>
      <c r="X27"/>
      <c r="Y27"/>
      <c r="Z27"/>
    </row>
    <row r="28" spans="1:26" ht="15.75" customHeight="1" x14ac:dyDescent="0.25">
      <c r="A28" s="115" t="s">
        <v>21</v>
      </c>
      <c r="B28" s="115"/>
      <c r="C28" s="115"/>
      <c r="D28" s="115"/>
      <c r="E28" s="136" t="str">
        <f>IF(AND(G20="Mumbai"),"Developed","Developing")</f>
        <v>Developed</v>
      </c>
      <c r="F28" s="136"/>
      <c r="G28" s="136"/>
      <c r="H28" s="136"/>
    </row>
    <row r="29" spans="1:26" x14ac:dyDescent="0.25">
      <c r="A29" s="115" t="s">
        <v>22</v>
      </c>
      <c r="B29" s="115"/>
      <c r="C29" s="115"/>
      <c r="D29" s="115"/>
      <c r="E29" s="136" t="s">
        <v>23</v>
      </c>
      <c r="F29" s="136"/>
      <c r="G29" s="136"/>
      <c r="H29" s="136"/>
    </row>
    <row r="30" spans="1:26" ht="15.75" customHeight="1" x14ac:dyDescent="0.25">
      <c r="A30" s="115" t="s">
        <v>77</v>
      </c>
      <c r="B30" s="115"/>
      <c r="C30" s="115"/>
      <c r="D30" s="115"/>
      <c r="E30" s="136" t="s">
        <v>78</v>
      </c>
      <c r="F30" s="136"/>
      <c r="G30" s="136"/>
      <c r="H30" s="136"/>
    </row>
    <row r="31" spans="1:26" ht="15" customHeight="1" x14ac:dyDescent="0.25">
      <c r="A31" s="115" t="s">
        <v>30</v>
      </c>
      <c r="B31" s="115"/>
      <c r="C31" s="115"/>
      <c r="D31" s="115"/>
      <c r="E31" s="136"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1" s="136"/>
      <c r="G31" s="136"/>
      <c r="H31" s="136"/>
    </row>
    <row r="32" spans="1:26" ht="15.75" customHeight="1" x14ac:dyDescent="0.25">
      <c r="A32" s="115" t="s">
        <v>89</v>
      </c>
      <c r="B32" s="115"/>
      <c r="C32" s="115"/>
      <c r="D32" s="115"/>
      <c r="E32" s="136" t="s">
        <v>31</v>
      </c>
      <c r="F32" s="136"/>
      <c r="G32" s="136"/>
      <c r="H32" s="136"/>
    </row>
    <row r="33" spans="1:19" s="19" customFormat="1" x14ac:dyDescent="0.25">
      <c r="A33" s="189" t="s">
        <v>90</v>
      </c>
      <c r="B33" s="189"/>
      <c r="C33" s="188" t="s">
        <v>174</v>
      </c>
      <c r="D33" s="188"/>
      <c r="E33" s="188"/>
      <c r="F33" s="188" t="s">
        <v>29</v>
      </c>
      <c r="G33" s="188"/>
      <c r="H33" s="188"/>
      <c r="S33" s="19" t="e">
        <f ca="1">OFFSET($S$13,1,MATCH($G20,$S$13:$W$13,0)-1,15,1)</f>
        <v>#VALUE!</v>
      </c>
    </row>
    <row r="34" spans="1:19" s="19" customFormat="1" x14ac:dyDescent="0.25">
      <c r="A34" s="175" t="s">
        <v>24</v>
      </c>
      <c r="B34" s="175" t="s">
        <v>28</v>
      </c>
      <c r="C34" s="176" t="s">
        <v>320</v>
      </c>
      <c r="D34" s="176"/>
      <c r="E34" s="176"/>
      <c r="F34" s="176" t="s">
        <v>315</v>
      </c>
      <c r="G34" s="176"/>
      <c r="H34" s="176"/>
    </row>
    <row r="35" spans="1:19" x14ac:dyDescent="0.25">
      <c r="A35" s="175" t="s">
        <v>25</v>
      </c>
      <c r="B35" s="175" t="s">
        <v>28</v>
      </c>
      <c r="C35" s="176" t="s">
        <v>321</v>
      </c>
      <c r="D35" s="176"/>
      <c r="E35" s="176"/>
      <c r="F35" s="176" t="s">
        <v>318</v>
      </c>
      <c r="G35" s="176"/>
      <c r="H35" s="176"/>
    </row>
    <row r="36" spans="1:19" s="19" customFormat="1" x14ac:dyDescent="0.25">
      <c r="A36" s="175" t="s">
        <v>27</v>
      </c>
      <c r="B36" s="175" t="s">
        <v>28</v>
      </c>
      <c r="C36" s="176" t="s">
        <v>322</v>
      </c>
      <c r="D36" s="176"/>
      <c r="E36" s="176"/>
      <c r="F36" s="176" t="s">
        <v>317</v>
      </c>
      <c r="G36" s="176"/>
      <c r="H36" s="176"/>
    </row>
    <row r="37" spans="1:19" x14ac:dyDescent="0.25">
      <c r="A37" s="175" t="s">
        <v>26</v>
      </c>
      <c r="B37" s="175" t="s">
        <v>28</v>
      </c>
      <c r="C37" s="176" t="s">
        <v>322</v>
      </c>
      <c r="D37" s="176"/>
      <c r="E37" s="176"/>
      <c r="F37" s="176" t="s">
        <v>319</v>
      </c>
      <c r="G37" s="176"/>
      <c r="H37" s="176"/>
    </row>
    <row r="38" spans="1:19" x14ac:dyDescent="0.25">
      <c r="A38" s="115" t="s">
        <v>281</v>
      </c>
      <c r="B38" s="115"/>
      <c r="C38" s="115"/>
      <c r="D38" s="115"/>
      <c r="E38" s="115"/>
      <c r="F38" s="115"/>
      <c r="G38" s="115"/>
      <c r="H38" s="115"/>
    </row>
    <row r="39" spans="1:19" ht="15.75" customHeight="1" x14ac:dyDescent="0.25">
      <c r="A39" s="115" t="s">
        <v>166</v>
      </c>
      <c r="B39" s="115"/>
      <c r="C39" s="163" t="s">
        <v>308</v>
      </c>
      <c r="D39" s="163"/>
      <c r="E39" s="163"/>
      <c r="F39" s="163"/>
      <c r="G39" s="163"/>
      <c r="H39" s="163"/>
    </row>
    <row r="40" spans="1:19" x14ac:dyDescent="0.25">
      <c r="A40" s="115" t="s">
        <v>162</v>
      </c>
      <c r="B40" s="115"/>
      <c r="C40" s="139" t="s">
        <v>307</v>
      </c>
      <c r="D40" s="136"/>
      <c r="E40" s="136"/>
      <c r="F40" s="136"/>
      <c r="G40" s="136"/>
      <c r="H40" s="136"/>
    </row>
    <row r="41" spans="1:19" x14ac:dyDescent="0.25">
      <c r="A41" s="163" t="s">
        <v>32</v>
      </c>
      <c r="B41" s="163"/>
      <c r="C41" s="163"/>
      <c r="D41" s="163"/>
      <c r="E41" s="163"/>
      <c r="F41" s="163"/>
      <c r="G41" s="163"/>
      <c r="H41" s="163"/>
    </row>
    <row r="42" spans="1:19" x14ac:dyDescent="0.25">
      <c r="A42" s="115" t="s">
        <v>33</v>
      </c>
      <c r="B42" s="115"/>
      <c r="C42" s="115"/>
      <c r="D42" s="115"/>
      <c r="E42" s="177">
        <v>3312.66</v>
      </c>
      <c r="F42" s="177"/>
      <c r="G42" s="177"/>
      <c r="H42" s="177"/>
    </row>
    <row r="43" spans="1:19" x14ac:dyDescent="0.25">
      <c r="A43" s="115" t="s">
        <v>34</v>
      </c>
      <c r="B43" s="115"/>
      <c r="C43" s="115"/>
      <c r="D43" s="115"/>
      <c r="E43" s="180">
        <f>9696.42/E42</f>
        <v>2.9270797486008227</v>
      </c>
      <c r="F43" s="180"/>
      <c r="G43" s="180"/>
      <c r="H43" s="180"/>
      <c r="I43" s="18">
        <f>10067.49/E42</f>
        <v>3.039095470105595</v>
      </c>
    </row>
    <row r="44" spans="1:19" x14ac:dyDescent="0.25">
      <c r="A44" s="115" t="s">
        <v>35</v>
      </c>
      <c r="B44" s="115"/>
      <c r="C44" s="115"/>
      <c r="D44" s="115"/>
      <c r="E44" s="180">
        <f>E46/E42-E43</f>
        <v>0.57324627338754919</v>
      </c>
      <c r="F44" s="180"/>
      <c r="G44" s="180"/>
      <c r="H44" s="180"/>
    </row>
    <row r="45" spans="1:19" x14ac:dyDescent="0.25">
      <c r="A45" s="115" t="s">
        <v>36</v>
      </c>
      <c r="B45" s="115"/>
      <c r="C45" s="115"/>
      <c r="D45" s="115"/>
      <c r="E45" s="180">
        <f>E43+E44</f>
        <v>3.5003260219883718</v>
      </c>
      <c r="F45" s="180"/>
      <c r="G45" s="180"/>
      <c r="H45" s="180"/>
    </row>
    <row r="46" spans="1:19" x14ac:dyDescent="0.25">
      <c r="A46" s="115" t="s">
        <v>88</v>
      </c>
      <c r="B46" s="115"/>
      <c r="C46" s="115"/>
      <c r="D46" s="115"/>
      <c r="E46" s="181">
        <v>11595.39</v>
      </c>
      <c r="F46" s="181"/>
      <c r="G46" s="181"/>
      <c r="H46" s="181"/>
    </row>
    <row r="47" spans="1:19" x14ac:dyDescent="0.25">
      <c r="A47" s="135" t="s">
        <v>37</v>
      </c>
      <c r="B47" s="135"/>
      <c r="C47" s="135"/>
      <c r="D47" s="135"/>
      <c r="E47" s="135" t="s">
        <v>323</v>
      </c>
      <c r="F47" s="135"/>
      <c r="G47" s="135"/>
      <c r="H47" s="135"/>
    </row>
    <row r="48" spans="1:19" x14ac:dyDescent="0.25">
      <c r="A48" s="163" t="s">
        <v>38</v>
      </c>
      <c r="B48" s="163"/>
      <c r="C48" s="163"/>
      <c r="D48" s="163"/>
      <c r="E48" s="163"/>
      <c r="F48" s="163"/>
      <c r="G48" s="163"/>
      <c r="H48" s="163"/>
    </row>
    <row r="49" spans="1:24" ht="33.75" customHeight="1" x14ac:dyDescent="0.25">
      <c r="A49" s="173" t="s">
        <v>151</v>
      </c>
      <c r="B49" s="174"/>
      <c r="C49" s="182" t="s">
        <v>256</v>
      </c>
      <c r="D49" s="183"/>
      <c r="E49" s="183"/>
      <c r="F49" s="183"/>
      <c r="G49" s="183"/>
      <c r="H49" s="184"/>
      <c r="R49" t="s">
        <v>254</v>
      </c>
      <c r="S49" t="s">
        <v>173</v>
      </c>
      <c r="T49" t="s">
        <v>179</v>
      </c>
      <c r="U49" t="s">
        <v>194</v>
      </c>
      <c r="V49" t="s">
        <v>189</v>
      </c>
    </row>
    <row r="50" spans="1:24" ht="15.75" customHeight="1" x14ac:dyDescent="0.25">
      <c r="A50" s="173" t="s">
        <v>39</v>
      </c>
      <c r="B50" s="174"/>
      <c r="C50" s="173" t="s">
        <v>324</v>
      </c>
      <c r="D50" s="225"/>
      <c r="E50" s="174"/>
      <c r="F50" s="17" t="s">
        <v>40</v>
      </c>
      <c r="G50" s="186">
        <v>45603</v>
      </c>
      <c r="H50" s="187"/>
      <c r="R50"/>
      <c r="S50" t="s">
        <v>255</v>
      </c>
      <c r="T50" t="s">
        <v>260</v>
      </c>
      <c r="U50" t="s">
        <v>271</v>
      </c>
      <c r="V50" t="s">
        <v>276</v>
      </c>
    </row>
    <row r="51" spans="1:24" ht="30.75" customHeight="1" x14ac:dyDescent="0.25">
      <c r="A51" s="173" t="s">
        <v>396</v>
      </c>
      <c r="B51" s="174"/>
      <c r="C51" s="173" t="s">
        <v>395</v>
      </c>
      <c r="D51" s="225"/>
      <c r="E51" s="174"/>
      <c r="F51" s="17" t="s">
        <v>40</v>
      </c>
      <c r="G51" s="186">
        <v>44708</v>
      </c>
      <c r="H51" s="187"/>
      <c r="R51"/>
      <c r="S51" t="s">
        <v>256</v>
      </c>
      <c r="T51" t="s">
        <v>261</v>
      </c>
      <c r="U51" t="s">
        <v>269</v>
      </c>
      <c r="V51" t="s">
        <v>277</v>
      </c>
    </row>
    <row r="52" spans="1:24" ht="30.75" customHeight="1" x14ac:dyDescent="0.25">
      <c r="A52" s="173" t="s">
        <v>397</v>
      </c>
      <c r="B52" s="174"/>
      <c r="C52" s="173" t="str">
        <f>C50</f>
        <v>CHE/CTY/5932/D/337(NEW)</v>
      </c>
      <c r="D52" s="225"/>
      <c r="E52" s="174"/>
      <c r="F52" s="17" t="s">
        <v>40</v>
      </c>
      <c r="G52" s="186">
        <f>G50</f>
        <v>45603</v>
      </c>
      <c r="H52" s="187"/>
      <c r="R52"/>
      <c r="S52" t="s">
        <v>256</v>
      </c>
      <c r="T52" t="s">
        <v>261</v>
      </c>
      <c r="U52" t="s">
        <v>269</v>
      </c>
      <c r="V52" t="s">
        <v>277</v>
      </c>
    </row>
    <row r="53" spans="1:24" s="20" customFormat="1" ht="32.450000000000003" customHeight="1" x14ac:dyDescent="0.25">
      <c r="A53" s="229" t="s">
        <v>398</v>
      </c>
      <c r="B53" s="230"/>
      <c r="C53" s="173" t="s">
        <v>393</v>
      </c>
      <c r="D53" s="225"/>
      <c r="E53" s="174"/>
      <c r="F53" s="17" t="s">
        <v>40</v>
      </c>
      <c r="G53" s="186">
        <v>44785</v>
      </c>
      <c r="H53" s="187"/>
      <c r="R53"/>
      <c r="S53" t="s">
        <v>257</v>
      </c>
      <c r="T53" t="s">
        <v>262</v>
      </c>
      <c r="U53" t="s">
        <v>259</v>
      </c>
      <c r="V53" t="s">
        <v>278</v>
      </c>
    </row>
    <row r="54" spans="1:24" s="20" customFormat="1" ht="62.45" customHeight="1" x14ac:dyDescent="0.25">
      <c r="A54" s="231"/>
      <c r="B54" s="232"/>
      <c r="C54" s="173" t="s">
        <v>394</v>
      </c>
      <c r="D54" s="225"/>
      <c r="E54" s="174"/>
      <c r="F54" s="17" t="s">
        <v>118</v>
      </c>
      <c r="G54" s="186">
        <v>45149</v>
      </c>
      <c r="H54" s="187"/>
      <c r="R54"/>
      <c r="S54" t="s">
        <v>258</v>
      </c>
      <c r="T54" t="s">
        <v>265</v>
      </c>
      <c r="U54" t="s">
        <v>272</v>
      </c>
    </row>
    <row r="55" spans="1:24" s="20" customFormat="1" ht="32.450000000000003" customHeight="1" x14ac:dyDescent="0.25">
      <c r="A55" s="229" t="s">
        <v>399</v>
      </c>
      <c r="B55" s="230"/>
      <c r="C55" s="173" t="s">
        <v>438</v>
      </c>
      <c r="D55" s="225"/>
      <c r="E55" s="174"/>
      <c r="F55" s="104" t="s">
        <v>40</v>
      </c>
      <c r="G55" s="186">
        <v>45807</v>
      </c>
      <c r="H55" s="187"/>
      <c r="R55"/>
      <c r="S55" t="s">
        <v>257</v>
      </c>
      <c r="T55" t="s">
        <v>262</v>
      </c>
      <c r="U55" t="s">
        <v>259</v>
      </c>
      <c r="V55" t="s">
        <v>278</v>
      </c>
    </row>
    <row r="56" spans="1:24" s="20" customFormat="1" ht="62.45" customHeight="1" x14ac:dyDescent="0.25">
      <c r="A56" s="231"/>
      <c r="B56" s="232"/>
      <c r="C56" s="173" t="s">
        <v>439</v>
      </c>
      <c r="D56" s="225"/>
      <c r="E56" s="174"/>
      <c r="F56" s="104" t="s">
        <v>118</v>
      </c>
      <c r="G56" s="186">
        <v>45808</v>
      </c>
      <c r="H56" s="187"/>
      <c r="R56"/>
      <c r="S56" t="s">
        <v>258</v>
      </c>
      <c r="T56" t="s">
        <v>265</v>
      </c>
      <c r="U56" t="s">
        <v>272</v>
      </c>
    </row>
    <row r="57" spans="1:24" s="20" customFormat="1" ht="30.75" customHeight="1" x14ac:dyDescent="0.25">
      <c r="A57" s="226" t="s">
        <v>282</v>
      </c>
      <c r="B57" s="226"/>
      <c r="C57" s="132" t="s">
        <v>414</v>
      </c>
      <c r="D57" s="132"/>
      <c r="E57" s="132"/>
      <c r="F57" s="17" t="s">
        <v>40</v>
      </c>
      <c r="G57" s="227">
        <v>45051</v>
      </c>
      <c r="H57" s="132"/>
      <c r="R57"/>
      <c r="S57" t="s">
        <v>257</v>
      </c>
      <c r="T57" t="s">
        <v>262</v>
      </c>
      <c r="U57" t="s">
        <v>259</v>
      </c>
      <c r="V57" t="s">
        <v>278</v>
      </c>
    </row>
    <row r="58" spans="1:24" s="20" customFormat="1" ht="99.75" customHeight="1" x14ac:dyDescent="0.25">
      <c r="A58" s="226"/>
      <c r="B58" s="226"/>
      <c r="C58" s="129" t="s">
        <v>415</v>
      </c>
      <c r="D58" s="129"/>
      <c r="E58" s="129"/>
      <c r="F58" s="129"/>
      <c r="G58" s="129"/>
      <c r="H58" s="129"/>
      <c r="L58" s="269" t="s">
        <v>392</v>
      </c>
      <c r="R58"/>
      <c r="S58" t="s">
        <v>259</v>
      </c>
      <c r="T58" t="s">
        <v>263</v>
      </c>
      <c r="U58" t="s">
        <v>273</v>
      </c>
      <c r="V58" s="18"/>
      <c r="W58" s="18"/>
      <c r="X58" s="18"/>
    </row>
    <row r="59" spans="1:24" s="20" customFormat="1" ht="34.5" hidden="1" customHeight="1" x14ac:dyDescent="0.25">
      <c r="A59" s="185" t="s">
        <v>283</v>
      </c>
      <c r="B59" s="185"/>
      <c r="C59" s="132"/>
      <c r="D59" s="132"/>
      <c r="E59" s="132"/>
      <c r="F59" s="17" t="s">
        <v>40</v>
      </c>
      <c r="G59" s="132"/>
      <c r="H59" s="132"/>
      <c r="R59"/>
      <c r="S59" s="18"/>
      <c r="T59" t="s">
        <v>264</v>
      </c>
      <c r="U59" t="s">
        <v>274</v>
      </c>
      <c r="V59" s="18"/>
      <c r="W59" s="18"/>
      <c r="X59" s="18"/>
    </row>
    <row r="60" spans="1:24" s="20" customFormat="1" ht="41.25" hidden="1" customHeight="1" x14ac:dyDescent="0.25">
      <c r="A60" s="185"/>
      <c r="B60" s="185"/>
      <c r="C60" s="132"/>
      <c r="D60" s="132"/>
      <c r="E60" s="132"/>
      <c r="F60" s="132"/>
      <c r="G60" s="132"/>
      <c r="H60" s="132"/>
      <c r="R60"/>
      <c r="S60" s="18"/>
      <c r="T60" t="s">
        <v>266</v>
      </c>
      <c r="U60" t="s">
        <v>275</v>
      </c>
      <c r="V60" s="18"/>
      <c r="W60" s="18"/>
      <c r="X60" s="18"/>
    </row>
    <row r="61" spans="1:24" s="20" customFormat="1" ht="15.75" hidden="1" customHeight="1" x14ac:dyDescent="0.25">
      <c r="A61" s="185" t="s">
        <v>284</v>
      </c>
      <c r="B61" s="185"/>
      <c r="C61" s="132"/>
      <c r="D61" s="132"/>
      <c r="E61" s="132"/>
      <c r="F61" s="17" t="s">
        <v>40</v>
      </c>
      <c r="G61" s="132"/>
      <c r="H61" s="132"/>
      <c r="R61"/>
      <c r="S61" s="18"/>
      <c r="T61" t="s">
        <v>267</v>
      </c>
      <c r="U61" s="18" t="s">
        <v>298</v>
      </c>
      <c r="V61" s="18"/>
      <c r="W61" s="18"/>
      <c r="X61" s="18"/>
    </row>
    <row r="62" spans="1:24" s="20" customFormat="1" ht="33.75" hidden="1" customHeight="1" x14ac:dyDescent="0.25">
      <c r="A62" s="185"/>
      <c r="B62" s="185"/>
      <c r="C62" s="132"/>
      <c r="D62" s="132"/>
      <c r="E62" s="132"/>
      <c r="F62" s="17" t="s">
        <v>118</v>
      </c>
      <c r="G62" s="132"/>
      <c r="H62" s="132"/>
      <c r="R62"/>
      <c r="S62" s="18"/>
      <c r="T62" t="s">
        <v>268</v>
      </c>
      <c r="U62" s="18"/>
      <c r="V62" s="18"/>
      <c r="W62" s="18"/>
      <c r="X62" s="18"/>
    </row>
    <row r="63" spans="1:24" ht="135" customHeight="1" x14ac:dyDescent="0.25">
      <c r="A63" s="245" t="s">
        <v>42</v>
      </c>
      <c r="B63" s="245"/>
      <c r="C63" s="245" t="s">
        <v>390</v>
      </c>
      <c r="D63" s="245"/>
      <c r="E63" s="245"/>
      <c r="F63" s="96" t="s">
        <v>40</v>
      </c>
      <c r="G63" s="228">
        <v>45415</v>
      </c>
      <c r="H63" s="228"/>
      <c r="R63"/>
      <c r="T63" t="s">
        <v>270</v>
      </c>
    </row>
    <row r="64" spans="1:24" x14ac:dyDescent="0.25">
      <c r="A64" s="213" t="s">
        <v>44</v>
      </c>
      <c r="B64" s="213"/>
      <c r="C64" s="213"/>
      <c r="D64" s="213"/>
      <c r="E64" s="213"/>
      <c r="F64" s="213"/>
      <c r="G64" s="213"/>
      <c r="H64" s="213"/>
      <c r="T64" t="s">
        <v>279</v>
      </c>
    </row>
    <row r="65" spans="1:19" x14ac:dyDescent="0.25">
      <c r="A65" s="132" t="s">
        <v>87</v>
      </c>
      <c r="B65" s="132"/>
      <c r="C65" s="132"/>
      <c r="D65" s="115">
        <f>E46</f>
        <v>11595.39</v>
      </c>
      <c r="E65" s="115"/>
      <c r="F65" s="115"/>
      <c r="G65" s="115"/>
      <c r="H65" s="115"/>
      <c r="R65"/>
    </row>
    <row r="66" spans="1:19" x14ac:dyDescent="0.25">
      <c r="A66" s="136" t="s">
        <v>45</v>
      </c>
      <c r="B66" s="135"/>
      <c r="C66" s="135"/>
      <c r="D66" s="135" t="s">
        <v>424</v>
      </c>
      <c r="E66" s="135"/>
      <c r="F66" s="135"/>
      <c r="G66" s="135"/>
      <c r="H66" s="135"/>
      <c r="I66" s="21"/>
      <c r="R66"/>
    </row>
    <row r="67" spans="1:19" ht="62.25" customHeight="1" x14ac:dyDescent="0.25">
      <c r="A67" s="170" t="s">
        <v>46</v>
      </c>
      <c r="B67" s="171"/>
      <c r="C67" s="172"/>
      <c r="D67" s="138" t="s">
        <v>401</v>
      </c>
      <c r="E67" s="169"/>
      <c r="F67" s="169"/>
      <c r="G67" s="169"/>
      <c r="H67" s="169"/>
      <c r="R67"/>
    </row>
    <row r="68" spans="1:19" ht="36" customHeight="1" x14ac:dyDescent="0.25">
      <c r="A68" s="170" t="s">
        <v>85</v>
      </c>
      <c r="B68" s="171"/>
      <c r="C68" s="172"/>
      <c r="D68" s="136" t="s">
        <v>378</v>
      </c>
      <c r="E68" s="136"/>
      <c r="F68" s="136"/>
      <c r="G68" s="136"/>
      <c r="H68" s="136"/>
      <c r="R68"/>
    </row>
    <row r="69" spans="1:19" ht="32.25" customHeight="1" x14ac:dyDescent="0.25">
      <c r="A69" s="239"/>
      <c r="B69" s="240"/>
      <c r="C69" s="241"/>
      <c r="D69" s="136" t="s">
        <v>400</v>
      </c>
      <c r="E69" s="136"/>
      <c r="F69" s="136"/>
      <c r="G69" s="136"/>
      <c r="H69" s="136"/>
      <c r="R69"/>
    </row>
    <row r="70" spans="1:19" ht="30.75" customHeight="1" x14ac:dyDescent="0.25">
      <c r="A70" s="115" t="s">
        <v>43</v>
      </c>
      <c r="B70" s="115"/>
      <c r="C70" s="115"/>
      <c r="D70" s="178" t="s">
        <v>435</v>
      </c>
      <c r="E70" s="178"/>
      <c r="F70" s="178"/>
      <c r="G70" s="178"/>
      <c r="H70" s="178"/>
      <c r="J70" s="22"/>
      <c r="K70" s="21"/>
      <c r="N70" s="21"/>
      <c r="S70"/>
    </row>
    <row r="71" spans="1:19" ht="15.75" customHeight="1" x14ac:dyDescent="0.25">
      <c r="A71" s="115" t="s">
        <v>83</v>
      </c>
      <c r="B71" s="115"/>
      <c r="C71" s="115"/>
      <c r="D71" s="179" t="str">
        <f ca="1">(IF(G63="NA","60 Years After Completion",IF(G63&lt;&gt;"NA",""&amp;60-ROUNDDOWN((E3-G63)/360,0)&amp;" Years"," ")))</f>
        <v>59 Years</v>
      </c>
      <c r="E71" s="179"/>
      <c r="F71" s="179"/>
      <c r="G71" s="179"/>
      <c r="H71" s="179"/>
      <c r="N71" s="21"/>
      <c r="S71"/>
    </row>
    <row r="72" spans="1:19" ht="15.75" customHeight="1" x14ac:dyDescent="0.25">
      <c r="A72" s="115" t="s">
        <v>84</v>
      </c>
      <c r="B72" s="115"/>
      <c r="C72" s="115"/>
      <c r="D72" s="132" t="s">
        <v>23</v>
      </c>
      <c r="E72" s="132"/>
      <c r="F72" s="132"/>
      <c r="G72" s="132"/>
      <c r="H72" s="132"/>
      <c r="J72" s="23"/>
      <c r="K72" s="23"/>
      <c r="S72"/>
    </row>
    <row r="73" spans="1:19" ht="33" customHeight="1" x14ac:dyDescent="0.25">
      <c r="A73" s="135" t="s">
        <v>387</v>
      </c>
      <c r="B73" s="135"/>
      <c r="C73" s="135"/>
      <c r="D73" s="136" t="s">
        <v>386</v>
      </c>
      <c r="E73" s="132"/>
      <c r="F73" s="132"/>
      <c r="G73" s="132"/>
      <c r="H73" s="132"/>
      <c r="S73"/>
    </row>
    <row r="74" spans="1:19" x14ac:dyDescent="0.25">
      <c r="A74" s="132" t="s">
        <v>147</v>
      </c>
      <c r="B74" s="132"/>
      <c r="C74" s="132"/>
      <c r="D74" s="132" t="s">
        <v>28</v>
      </c>
      <c r="E74" s="132"/>
      <c r="F74" s="132"/>
      <c r="G74" s="132"/>
      <c r="H74" s="132"/>
      <c r="I74" s="24"/>
      <c r="J74" s="24"/>
      <c r="K74" s="24"/>
      <c r="L74" s="24"/>
      <c r="M74" s="24"/>
      <c r="N74" s="24"/>
    </row>
    <row r="75" spans="1:19" ht="15.75" customHeight="1" x14ac:dyDescent="0.25">
      <c r="A75" s="215" t="s">
        <v>82</v>
      </c>
      <c r="B75" s="215"/>
      <c r="C75" s="215"/>
      <c r="D75" s="138" t="str">
        <f ca="1">(IF(G96&gt;95%,"Nothing",IF(G96&gt;0%,"Cement, Aggregate, Steel, etc",IF(G96=0%,"Work not yet Started"))))</f>
        <v>Cement, Aggregate, Steel, etc</v>
      </c>
      <c r="E75" s="138"/>
      <c r="F75" s="138"/>
      <c r="G75" s="138"/>
      <c r="H75" s="138"/>
      <c r="J75" s="23"/>
      <c r="S75"/>
    </row>
    <row r="76" spans="1:19" ht="33.75" customHeight="1" thickBot="1" x14ac:dyDescent="0.3">
      <c r="A76" s="137" t="s">
        <v>115</v>
      </c>
      <c r="B76" s="137"/>
      <c r="C76" s="137"/>
      <c r="D76" s="138" t="str">
        <f ca="1">(IF(D75="Nothing","Yes",IF(D75="Cement, Aggregate, Steel, etc","Under Construction",IF(D75="Work not yet Started","Work not yet Started"))))</f>
        <v>Under Construction</v>
      </c>
      <c r="E76" s="138"/>
      <c r="F76" s="138" t="str">
        <f ca="1">(IF(D75="Nothing","Yes",IF(D75="Cement, Aggregate, Steel, etc","Under Construction",IF(D75="Work not yet Started","Work not yet Started"))))</f>
        <v>Under Construction</v>
      </c>
      <c r="G76" s="138"/>
      <c r="H76" s="138"/>
      <c r="S76"/>
    </row>
    <row r="77" spans="1:19" x14ac:dyDescent="0.25">
      <c r="A77" s="156" t="s">
        <v>137</v>
      </c>
      <c r="B77" s="157"/>
      <c r="C77" s="158" t="str">
        <f>D68</f>
        <v>Building No.1 = 1B + Gr/Stilt + 1st to 6th Podium Floor + 7th to 20th Floor</v>
      </c>
      <c r="D77" s="159"/>
      <c r="E77" s="159"/>
      <c r="F77" s="159"/>
      <c r="G77" s="159"/>
      <c r="H77" s="160"/>
      <c r="I77" s="41" t="str">
        <f ca="1">IF(D90=100%,"All work Completed. Possession granted to the Building.",IF(D89=100%,"All work Completed, Waiting for OC",I78&amp;""&amp;I79&amp;""&amp;J78&amp;""&amp;J77&amp;" "&amp;J79))</f>
        <v>All work Completed. Possession granted to the Building.</v>
      </c>
      <c r="J77" s="42"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x14ac:dyDescent="0.25">
      <c r="A78" s="15" t="s">
        <v>139</v>
      </c>
      <c r="B78" s="45">
        <f>IF(AND(ISNUMBER(SEARCH("1B",C77))),1,IF(AND(ISNUMBER(SEARCH("2B",C77))),2,IF(AND(ISNUMBER(SEARCH("3B",C77))),3,IF(AND(ISNUMBER(SEARCH("4B",C77))),4,IF(ISNUMBER(SEARCH("5B",C77)),5,0)))))</f>
        <v>1</v>
      </c>
      <c r="C78" s="45" t="s">
        <v>68</v>
      </c>
      <c r="D78" s="45">
        <v>1</v>
      </c>
      <c r="E78" s="45" t="s">
        <v>67</v>
      </c>
      <c r="F78" s="45">
        <v>0</v>
      </c>
      <c r="G78" s="45" t="s">
        <v>76</v>
      </c>
      <c r="H78" s="16">
        <f ca="1">--TRIM(RIGHT(SUBSTITUTE(LEFT(C77,_xlfn.AGGREGATE(16,6,FIND({0,1,2,3,4,5,6,7,8,9},C77,ROW(INDIRECT("1:"&amp;LEN(C77)))),1))," ",REPT(" ",LEN(C77))),LEN(C77)))</f>
        <v>20</v>
      </c>
      <c r="I78" s="43" t="str">
        <f ca="1">IF(D81=100%,"Excavation","")&amp;IF(D82=100%,", Plinth","")&amp;IF(D83=100%,", RCC Slab","")&amp;IF(D84=100%,", Brickwork","")&amp;IF(D85=100%,", Internal Plaster","")&amp;IF(D86=100%,", External Plaster","")&amp;IF(D87=100%,", Flooring","")&amp;IF(D88=100%,", Painting","")&amp;IF(D89=100%,", Building common Amenities","")</f>
        <v>Excavation, Plinth, RCC Slab, Brickwork, Internal Plaster, External Plaster, Flooring, Painting, Building common Amenities</v>
      </c>
      <c r="J78" s="44"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16.5" thickBot="1" x14ac:dyDescent="0.3">
      <c r="A79" s="161" t="s">
        <v>86</v>
      </c>
      <c r="B79" s="162"/>
      <c r="C79" s="133" t="str">
        <f ca="1">I77</f>
        <v>All work Completed. Possession granted to the Building.</v>
      </c>
      <c r="D79" s="133"/>
      <c r="E79" s="133"/>
      <c r="F79" s="133"/>
      <c r="G79" s="133"/>
      <c r="H79" s="134"/>
      <c r="I79" s="43" t="str">
        <f ca="1">IF(I78&lt;&gt;""," Completed","")</f>
        <v xml:space="preserve"> Completed</v>
      </c>
      <c r="J79" s="44" t="str">
        <f ca="1">IF(J77&lt;&gt;"","Completed","")</f>
        <v/>
      </c>
      <c r="S79"/>
    </row>
    <row r="80" spans="1:19" ht="15.75" hidden="1" customHeight="1" x14ac:dyDescent="0.25">
      <c r="A80" s="130" t="s">
        <v>47</v>
      </c>
      <c r="B80" s="131"/>
      <c r="C80" s="90" t="s">
        <v>136</v>
      </c>
      <c r="D80" s="90" t="s">
        <v>79</v>
      </c>
      <c r="E80" s="131" t="s">
        <v>81</v>
      </c>
      <c r="F80" s="131"/>
      <c r="G80" s="131" t="s">
        <v>80</v>
      </c>
      <c r="H80" s="144"/>
      <c r="I80" s="13" t="s">
        <v>138</v>
      </c>
      <c r="J80" s="25">
        <f ca="1">H78*25%</f>
        <v>5</v>
      </c>
      <c r="S80"/>
    </row>
    <row r="81" spans="1:19" hidden="1" x14ac:dyDescent="0.25">
      <c r="A81" s="131" t="s">
        <v>125</v>
      </c>
      <c r="B81" s="131"/>
      <c r="C81" s="93">
        <f ca="1">J82</f>
        <v>20</v>
      </c>
      <c r="D81" s="76">
        <f ca="1">((100/H78)*C81)/100</f>
        <v>1</v>
      </c>
      <c r="E81" s="242">
        <f ca="1">(((C82/H78*10)+(40/(D78+F78+H78)*C83)+(7.5/(H78)*C84)+(7.5/(H78)*C85)+(10/H78*C86)+(10/H78*C87)+(5/H78*C88)+(5/H78*C89)+(5/H78*C90))/100)</f>
        <v>1</v>
      </c>
      <c r="F81" s="242"/>
      <c r="G81" s="242">
        <f ca="1">((((C81/H78)*20)+((C82/H78)*25)+(30/(H78+F78+D78)*C83)+(5/H78*C84)+(5/H78*C85)+(5/H78*C86)+(5/H78*C87)+(0/H78*C88)+(0/H78*C89)+(5/H78*C90))/100)</f>
        <v>1</v>
      </c>
      <c r="H81" s="242"/>
      <c r="I81" s="13" t="s">
        <v>97</v>
      </c>
      <c r="J81" s="26">
        <f ca="1">H78*50%</f>
        <v>10</v>
      </c>
    </row>
    <row r="82" spans="1:19" hidden="1" x14ac:dyDescent="0.25">
      <c r="A82" s="131" t="s">
        <v>48</v>
      </c>
      <c r="B82" s="131"/>
      <c r="C82" s="93">
        <f ca="1">J90</f>
        <v>20</v>
      </c>
      <c r="D82" s="76">
        <f ca="1">((100/H78)*C82)/100</f>
        <v>1</v>
      </c>
      <c r="E82" s="242"/>
      <c r="F82" s="242"/>
      <c r="G82" s="242"/>
      <c r="H82" s="242"/>
      <c r="I82" s="13" t="s">
        <v>98</v>
      </c>
      <c r="J82" s="26">
        <f ca="1">H78</f>
        <v>20</v>
      </c>
      <c r="S82"/>
    </row>
    <row r="83" spans="1:19" ht="15.75" hidden="1" customHeight="1" x14ac:dyDescent="0.25">
      <c r="A83" s="131" t="s">
        <v>126</v>
      </c>
      <c r="B83" s="131"/>
      <c r="C83" s="93">
        <v>21</v>
      </c>
      <c r="D83" s="76">
        <f ca="1">((100/(D78+F78+H78))*C83)/100</f>
        <v>1</v>
      </c>
      <c r="E83" s="242"/>
      <c r="F83" s="242"/>
      <c r="G83" s="242"/>
      <c r="H83" s="242"/>
      <c r="I83" s="13" t="s">
        <v>99</v>
      </c>
      <c r="J83" s="27">
        <f ca="1">(IF(B78&gt;1,(H78/(B78+2)),H78/4))</f>
        <v>5</v>
      </c>
      <c r="S83"/>
    </row>
    <row r="84" spans="1:19" ht="15.75" hidden="1" customHeight="1" x14ac:dyDescent="0.25">
      <c r="A84" s="131" t="s">
        <v>133</v>
      </c>
      <c r="B84" s="131" t="s">
        <v>127</v>
      </c>
      <c r="C84" s="93">
        <v>20</v>
      </c>
      <c r="D84" s="76">
        <f ca="1">((100/H78)*C84)/100</f>
        <v>1</v>
      </c>
      <c r="E84" s="242"/>
      <c r="F84" s="242"/>
      <c r="G84" s="242"/>
      <c r="H84" s="242"/>
      <c r="I84" s="13" t="s">
        <v>100</v>
      </c>
      <c r="J84" s="27">
        <f ca="1">(IF(B78&gt;1,(H78/(B78+2)+J83),H78/4+J83))</f>
        <v>10</v>
      </c>
    </row>
    <row r="85" spans="1:19" ht="15.75" hidden="1" customHeight="1" x14ac:dyDescent="0.25">
      <c r="A85" s="131" t="s">
        <v>134</v>
      </c>
      <c r="B85" s="131" t="s">
        <v>127</v>
      </c>
      <c r="C85" s="93">
        <v>20</v>
      </c>
      <c r="D85" s="76">
        <f ca="1">((100/H78)*C85)/100</f>
        <v>1</v>
      </c>
      <c r="E85" s="242"/>
      <c r="F85" s="242"/>
      <c r="G85" s="242"/>
      <c r="H85" s="242"/>
      <c r="I85" s="13" t="s">
        <v>145</v>
      </c>
      <c r="J85" s="27">
        <f>(IF(B78&gt;1,(H78/(B78+2)+J84),0))</f>
        <v>0</v>
      </c>
    </row>
    <row r="86" spans="1:19" ht="15" hidden="1" customHeight="1" x14ac:dyDescent="0.25">
      <c r="A86" s="131" t="s">
        <v>132</v>
      </c>
      <c r="B86" s="131" t="s">
        <v>129</v>
      </c>
      <c r="C86" s="93">
        <v>20</v>
      </c>
      <c r="D86" s="76">
        <f ca="1">((100/(H78))*C86)/100</f>
        <v>1</v>
      </c>
      <c r="E86" s="242"/>
      <c r="F86" s="242"/>
      <c r="G86" s="242"/>
      <c r="H86" s="242"/>
      <c r="I86" s="13" t="s">
        <v>140</v>
      </c>
      <c r="J86" s="27">
        <f>(IF(B78&gt;2,(H78/(B78+2)+J85),0))</f>
        <v>0</v>
      </c>
    </row>
    <row r="87" spans="1:19" ht="15.75" hidden="1" customHeight="1" x14ac:dyDescent="0.25">
      <c r="A87" s="131" t="s">
        <v>128</v>
      </c>
      <c r="B87" s="131" t="s">
        <v>128</v>
      </c>
      <c r="C87" s="93">
        <v>20</v>
      </c>
      <c r="D87" s="76">
        <f ca="1">((100/H78)*C87)/100</f>
        <v>1</v>
      </c>
      <c r="E87" s="242"/>
      <c r="F87" s="242"/>
      <c r="G87" s="242"/>
      <c r="H87" s="242"/>
      <c r="I87" s="13" t="s">
        <v>141</v>
      </c>
      <c r="J87" s="28">
        <f>(IF(B78&gt;3,(H78/(B78+2)+J86),0))</f>
        <v>0</v>
      </c>
    </row>
    <row r="88" spans="1:19" ht="15.75" hidden="1" customHeight="1" x14ac:dyDescent="0.25">
      <c r="A88" s="131" t="s">
        <v>135</v>
      </c>
      <c r="B88" s="131"/>
      <c r="C88" s="93">
        <v>20</v>
      </c>
      <c r="D88" s="76">
        <f ca="1">((100/H78)*C88)/100</f>
        <v>1</v>
      </c>
      <c r="E88" s="242"/>
      <c r="F88" s="242"/>
      <c r="G88" s="242"/>
      <c r="H88" s="242"/>
      <c r="I88" s="13" t="s">
        <v>142</v>
      </c>
      <c r="J88" s="27">
        <f>(IF(B78&gt;4,(H78/(B78+2)+J87),0))</f>
        <v>0</v>
      </c>
    </row>
    <row r="89" spans="1:19" ht="15.75" hidden="1" customHeight="1" x14ac:dyDescent="0.25">
      <c r="A89" s="131" t="s">
        <v>130</v>
      </c>
      <c r="B89" s="131" t="s">
        <v>130</v>
      </c>
      <c r="C89" s="93">
        <v>20</v>
      </c>
      <c r="D89" s="76">
        <f ca="1">((100/(H78))*C89)/100</f>
        <v>1</v>
      </c>
      <c r="E89" s="242"/>
      <c r="F89" s="242"/>
      <c r="G89" s="242"/>
      <c r="H89" s="242"/>
      <c r="I89" s="13" t="s">
        <v>146</v>
      </c>
      <c r="J89" s="27">
        <f ca="1">(IF(B78=1,(H78/(B78+3)+J84),IF(B78=0,(H78/4+J84),IF(B78&gt;1,0))))</f>
        <v>15</v>
      </c>
    </row>
    <row r="90" spans="1:19" ht="16.5" hidden="1" thickBot="1" x14ac:dyDescent="0.3">
      <c r="A90" s="244" t="s">
        <v>131</v>
      </c>
      <c r="B90" s="244"/>
      <c r="C90" s="101">
        <v>20</v>
      </c>
      <c r="D90" s="102">
        <f ca="1">((100/(H78))*C90)/100</f>
        <v>1</v>
      </c>
      <c r="E90" s="243"/>
      <c r="F90" s="243"/>
      <c r="G90" s="243"/>
      <c r="H90" s="243"/>
      <c r="I90" s="14" t="s">
        <v>101</v>
      </c>
      <c r="J90" s="29">
        <f ca="1">(IF(B78&gt;1.5,(H78/(B78+2)+J84+MAX(0,J85-J84)+MAX(0,J86-J85)+MAX(0,J87-J86)+MAX(0,J88-J87)+MAX(0,J89-J88)),IF(B78=1,(H78/(B78+3)+J89),IF(B78=0,H78/4+J89))))</f>
        <v>20</v>
      </c>
    </row>
    <row r="91" spans="1:19" ht="36" customHeight="1" thickBot="1" x14ac:dyDescent="0.3">
      <c r="A91" s="217" t="s">
        <v>81</v>
      </c>
      <c r="B91" s="218"/>
      <c r="C91" s="219">
        <f ca="1">E81</f>
        <v>1</v>
      </c>
      <c r="D91" s="220"/>
      <c r="E91" s="219" t="s">
        <v>80</v>
      </c>
      <c r="F91" s="220"/>
      <c r="G91" s="219">
        <f ca="1">G81</f>
        <v>1</v>
      </c>
      <c r="H91" s="220"/>
      <c r="I91" s="14" t="s">
        <v>101</v>
      </c>
      <c r="J91" s="29">
        <f ca="1">(IF(B79&gt;1.5,(H79/(B79+2)+J85+MAX(0,J86-J85)+MAX(0,J87-J86)+MAX(0,J88-J87)+MAX(0,J89-J88)+MAX(0,J90-J89)),IF(B79=1,(H79/(B79+3)+J90),IF(B79=0,H79/4+J90))))</f>
        <v>20</v>
      </c>
    </row>
    <row r="92" spans="1:19" ht="36" customHeight="1" x14ac:dyDescent="0.25">
      <c r="A92" s="221" t="s">
        <v>137</v>
      </c>
      <c r="B92" s="221"/>
      <c r="C92" s="221" t="str">
        <f>D69</f>
        <v>Building No.2 = 1B + G + P1A + P1B + P2A + P2B + P3A + P3B + P4A + Amenity Floor + 6th to 27th Floor</v>
      </c>
      <c r="D92" s="221"/>
      <c r="E92" s="221"/>
      <c r="F92" s="221"/>
      <c r="G92" s="221"/>
      <c r="H92" s="221"/>
      <c r="I92" s="97" t="str">
        <f ca="1">IF(D105=100%,"All work Completed. Possession granted to the Building.",IF(D104=100%,"All work Completed, Waiting for OC",I93&amp;""&amp;I94&amp;""&amp;J93&amp;""&amp;J92&amp;" "&amp;J94))</f>
        <v>Excavation, Plinth Completed, RCC upto 21 Slab, Brickwork upto 20 Floor, Internal Plaster upto 15 Floor, External Plaster upto 13 Floor Completed</v>
      </c>
      <c r="J92" s="42"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RCC upto 21 Slab, Brickwork upto 20 Floor, Internal Plaster upto 15 Floor, External Plaster upto 13 Floor</v>
      </c>
      <c r="S92"/>
    </row>
    <row r="93" spans="1:19" x14ac:dyDescent="0.25">
      <c r="A93" s="15" t="s">
        <v>139</v>
      </c>
      <c r="B93" s="45">
        <f>IF(AND(ISNUMBER(SEARCH("1B",C92))),1,IF(AND(ISNUMBER(SEARCH("2B",C92))),2,IF(AND(ISNUMBER(SEARCH("3B",C92))),3,IF(AND(ISNUMBER(SEARCH("4B",C92))),4,IF(ISNUMBER(SEARCH("5B",C92)),5,0)))))</f>
        <v>1</v>
      </c>
      <c r="C93" s="45" t="s">
        <v>68</v>
      </c>
      <c r="D93" s="45">
        <v>1</v>
      </c>
      <c r="E93" s="45" t="s">
        <v>67</v>
      </c>
      <c r="F93" s="45">
        <v>0</v>
      </c>
      <c r="G93" s="45" t="s">
        <v>76</v>
      </c>
      <c r="H93" s="16">
        <f ca="1">--TRIM(RIGHT(SUBSTITUTE(LEFT(C92,_xlfn.AGGREGATE(16,6,FIND({0,1,2,3,4,5,6,7,8,9},C92,ROW(INDIRECT("1:"&amp;LEN(C92)))),1))," ",REPT(" ",LEN(C92))),LEN(C92)))</f>
        <v>27</v>
      </c>
      <c r="I93" s="43" t="str">
        <f ca="1">IF(D96=100%,"Excavation","")&amp;IF(D97=100%,", Plinth","")&amp;IF(D98=100%,", RCC Slab","")&amp;IF(D99=100%,", Brickwork","")&amp;IF(D100=100%,", Internal Plaster","")&amp;IF(D101=100%,", External Plaster","")&amp;IF(D102=100%,", Flooring","")&amp;IF(D103=100%,", Painting","")&amp;IF(D104=100%,", Building common Amenities","")</f>
        <v>Excavation, Plinth</v>
      </c>
      <c r="J93" s="44" t="str">
        <f ca="1">(IF(C96=0,"Work not yet Started.",IF(D96=25%,"Piling work in process",IF(D96=50%,"Excavation work in process",IF(D96=100%,"","0")))))&amp;(IF(C97=0%,"",IF(C97=J98,", Footing work is process",IF(C97=J99,", Footing work Completed",IF(C97=J100,", 1st Basement Completed",IF(C97=J101,", 1st &amp; 2nd Basement Completed",IF(C97=J102,", 1st to 3rd Basement Completed",IF(C97=J103,", 1st to 4th Basement Completed",IF(C97=J104,", Plinth work is process",IF(C97=J105,"","0"))))))))))</f>
        <v/>
      </c>
      <c r="S93"/>
    </row>
    <row r="94" spans="1:19" ht="34.5" customHeight="1" x14ac:dyDescent="0.25">
      <c r="A94" s="161" t="s">
        <v>86</v>
      </c>
      <c r="B94" s="162"/>
      <c r="C94" s="133" t="str">
        <f ca="1">I92</f>
        <v>Excavation, Plinth Completed, RCC upto 21 Slab, Brickwork upto 20 Floor, Internal Plaster upto 15 Floor, External Plaster upto 13 Floor Completed</v>
      </c>
      <c r="D94" s="133"/>
      <c r="E94" s="133"/>
      <c r="F94" s="133"/>
      <c r="G94" s="133"/>
      <c r="H94" s="134"/>
      <c r="I94" s="43" t="str">
        <f ca="1">IF(I93&lt;&gt;""," Completed","")</f>
        <v xml:space="preserve"> Completed</v>
      </c>
      <c r="J94" s="44" t="str">
        <f ca="1">IF(J92&lt;&gt;"","Completed","")</f>
        <v>Completed</v>
      </c>
      <c r="S94"/>
    </row>
    <row r="95" spans="1:19" ht="15.75" customHeight="1" x14ac:dyDescent="0.25">
      <c r="A95" s="130" t="s">
        <v>47</v>
      </c>
      <c r="B95" s="131"/>
      <c r="C95" s="75" t="s">
        <v>136</v>
      </c>
      <c r="D95" s="75" t="s">
        <v>79</v>
      </c>
      <c r="E95" s="131" t="s">
        <v>81</v>
      </c>
      <c r="F95" s="131"/>
      <c r="G95" s="131" t="s">
        <v>80</v>
      </c>
      <c r="H95" s="144"/>
      <c r="I95" s="13" t="s">
        <v>138</v>
      </c>
      <c r="J95" s="25">
        <f ca="1">H93*25%</f>
        <v>6.75</v>
      </c>
      <c r="S95"/>
    </row>
    <row r="96" spans="1:19" x14ac:dyDescent="0.25">
      <c r="A96" s="130" t="s">
        <v>125</v>
      </c>
      <c r="B96" s="131"/>
      <c r="C96" s="75">
        <f ca="1">J97</f>
        <v>27</v>
      </c>
      <c r="D96" s="76">
        <f ca="1">((100/H93)*C96)/100</f>
        <v>1</v>
      </c>
      <c r="E96" s="145">
        <f ca="1">(((C97/H93*10)+(40/(D93+F93+H93)*C98)+(7.5/(H93)*C99)+(7.5/(H93)*C100)+(10/H93*C101)+(10/H93*C102)+(5/H93*C103)+(5/H93*C104)+(5/H93*C105))/100)</f>
        <v>0.54537037037037039</v>
      </c>
      <c r="F96" s="146"/>
      <c r="G96" s="145">
        <f ca="1">((((C96/H93)*20)+((C97/H93)*25)+(30/(H93+F93+D93)*C98)+(5/H93*C99)+(5/H93*C100)+(5/H93*C101)+(5/H93*C102)+(0/H93*C103)+(0/H93*C104)+(5/H93*C105))/100)</f>
        <v>0.76388888888888884</v>
      </c>
      <c r="H96" s="151"/>
      <c r="I96" s="13" t="s">
        <v>97</v>
      </c>
      <c r="J96" s="26">
        <f ca="1">H93*50%</f>
        <v>13.5</v>
      </c>
    </row>
    <row r="97" spans="1:22" x14ac:dyDescent="0.25">
      <c r="A97" s="130" t="s">
        <v>48</v>
      </c>
      <c r="B97" s="131"/>
      <c r="C97" s="75">
        <f ca="1">J105</f>
        <v>27</v>
      </c>
      <c r="D97" s="76">
        <f ca="1">((100/H93)*C97)/100</f>
        <v>1</v>
      </c>
      <c r="E97" s="147"/>
      <c r="F97" s="148"/>
      <c r="G97" s="147"/>
      <c r="H97" s="152"/>
      <c r="I97" s="13" t="s">
        <v>98</v>
      </c>
      <c r="J97" s="26">
        <f ca="1">H93</f>
        <v>27</v>
      </c>
      <c r="S97"/>
    </row>
    <row r="98" spans="1:22" ht="15.75" customHeight="1" x14ac:dyDescent="0.25">
      <c r="A98" s="130" t="s">
        <v>126</v>
      </c>
      <c r="B98" s="131"/>
      <c r="C98" s="75">
        <v>21</v>
      </c>
      <c r="D98" s="76">
        <f ca="1">((100/(D93+F93+H93))*C98)/100</f>
        <v>0.75</v>
      </c>
      <c r="E98" s="147"/>
      <c r="F98" s="148"/>
      <c r="G98" s="147"/>
      <c r="H98" s="152"/>
      <c r="I98" s="13" t="s">
        <v>99</v>
      </c>
      <c r="J98" s="27">
        <f ca="1">(IF(B93&gt;1,(H93/(B93+2)),H93/4))</f>
        <v>6.75</v>
      </c>
      <c r="S98"/>
    </row>
    <row r="99" spans="1:22" ht="15.75" customHeight="1" x14ac:dyDescent="0.25">
      <c r="A99" s="130" t="s">
        <v>133</v>
      </c>
      <c r="B99" s="131" t="s">
        <v>127</v>
      </c>
      <c r="C99" s="75">
        <f>C98-1</f>
        <v>20</v>
      </c>
      <c r="D99" s="76">
        <f ca="1">((100/H93)*C99)/100</f>
        <v>0.74074074074074081</v>
      </c>
      <c r="E99" s="147"/>
      <c r="F99" s="148"/>
      <c r="G99" s="147"/>
      <c r="H99" s="152"/>
      <c r="I99" s="13" t="s">
        <v>100</v>
      </c>
      <c r="J99" s="27">
        <f ca="1">(IF(B93&gt;1,(H93/(B93+2)+J98),H93/4+J98))</f>
        <v>13.5</v>
      </c>
    </row>
    <row r="100" spans="1:22" ht="15.75" customHeight="1" x14ac:dyDescent="0.25">
      <c r="A100" s="130" t="s">
        <v>134</v>
      </c>
      <c r="B100" s="131" t="s">
        <v>127</v>
      </c>
      <c r="C100" s="77">
        <f>C99*0.75</f>
        <v>15</v>
      </c>
      <c r="D100" s="76">
        <f ca="1">((100/H93)*C100)/100</f>
        <v>0.55555555555555558</v>
      </c>
      <c r="E100" s="147"/>
      <c r="F100" s="148"/>
      <c r="G100" s="147"/>
      <c r="H100" s="152"/>
      <c r="I100" s="13" t="s">
        <v>145</v>
      </c>
      <c r="J100" s="27">
        <f>(IF(B93&gt;1,(H93/(B93+2)+J99),0))</f>
        <v>0</v>
      </c>
    </row>
    <row r="101" spans="1:22" ht="15" customHeight="1" x14ac:dyDescent="0.25">
      <c r="A101" s="130" t="s">
        <v>132</v>
      </c>
      <c r="B101" s="131" t="s">
        <v>129</v>
      </c>
      <c r="C101" s="77">
        <f>C99*0.65</f>
        <v>13</v>
      </c>
      <c r="D101" s="76">
        <f ca="1">((100/(H93))*C101)/100</f>
        <v>0.48148148148148145</v>
      </c>
      <c r="E101" s="147"/>
      <c r="F101" s="148"/>
      <c r="G101" s="147"/>
      <c r="H101" s="152"/>
      <c r="I101" s="13" t="s">
        <v>140</v>
      </c>
      <c r="J101" s="27">
        <f>(IF(B93&gt;2,(H93/(B93+2)+J100),0))</f>
        <v>0</v>
      </c>
    </row>
    <row r="102" spans="1:22" ht="15.75" customHeight="1" x14ac:dyDescent="0.25">
      <c r="A102" s="130" t="s">
        <v>128</v>
      </c>
      <c r="B102" s="131" t="s">
        <v>128</v>
      </c>
      <c r="C102" s="75">
        <v>0</v>
      </c>
      <c r="D102" s="76">
        <f ca="1">((100/H93)*C102)/100</f>
        <v>0</v>
      </c>
      <c r="E102" s="147"/>
      <c r="F102" s="148"/>
      <c r="G102" s="147"/>
      <c r="H102" s="152"/>
      <c r="I102" s="13" t="s">
        <v>141</v>
      </c>
      <c r="J102" s="28">
        <f>(IF(B93&gt;3,(H93/(B93+2)+J101),0))</f>
        <v>0</v>
      </c>
    </row>
    <row r="103" spans="1:22" ht="15.75" customHeight="1" x14ac:dyDescent="0.25">
      <c r="A103" s="130" t="s">
        <v>135</v>
      </c>
      <c r="B103" s="131"/>
      <c r="C103" s="85">
        <v>0</v>
      </c>
      <c r="D103" s="76">
        <f ca="1">((100/H93)*C103)/100</f>
        <v>0</v>
      </c>
      <c r="E103" s="147"/>
      <c r="F103" s="148"/>
      <c r="G103" s="147"/>
      <c r="H103" s="152"/>
      <c r="I103" s="13" t="s">
        <v>142</v>
      </c>
      <c r="J103" s="27">
        <f>(IF(B93&gt;4,(H93/(B93+2)+J102),0))</f>
        <v>0</v>
      </c>
    </row>
    <row r="104" spans="1:22" ht="15.75" customHeight="1" x14ac:dyDescent="0.25">
      <c r="A104" s="130" t="s">
        <v>130</v>
      </c>
      <c r="B104" s="131" t="s">
        <v>130</v>
      </c>
      <c r="C104" s="85">
        <v>0</v>
      </c>
      <c r="D104" s="76">
        <f ca="1">((100/(H93))*C104)/100</f>
        <v>0</v>
      </c>
      <c r="E104" s="147"/>
      <c r="F104" s="148"/>
      <c r="G104" s="147"/>
      <c r="H104" s="152"/>
      <c r="I104" s="13" t="s">
        <v>146</v>
      </c>
      <c r="J104" s="27">
        <f ca="1">(IF(B93=1,(H93/(B93+3)+J99),IF(B93=0,(H93/4+J99),IF(B93&gt;1,0))))</f>
        <v>20.25</v>
      </c>
    </row>
    <row r="105" spans="1:22" ht="16.5" thickBot="1" x14ac:dyDescent="0.3">
      <c r="A105" s="154" t="s">
        <v>131</v>
      </c>
      <c r="B105" s="155"/>
      <c r="C105" s="78">
        <v>0</v>
      </c>
      <c r="D105" s="79">
        <f ca="1">((100/(H93))*C105)/100</f>
        <v>0</v>
      </c>
      <c r="E105" s="149"/>
      <c r="F105" s="150"/>
      <c r="G105" s="149"/>
      <c r="H105" s="153"/>
      <c r="I105" s="14" t="s">
        <v>101</v>
      </c>
      <c r="J105" s="29">
        <f ca="1">(IF(B93&gt;1.5,(H93/(B93+2)+J99+MAX(0,J100-J99)+MAX(0,J101-J100)+MAX(0,J102-J101)+MAX(0,J103-J102)+MAX(0,J104-J103)),IF(B93=1,(H93/(B93+3)+J104),IF(B93=0,H93/4+J104))))</f>
        <v>27</v>
      </c>
    </row>
    <row r="106" spans="1:22" x14ac:dyDescent="0.25">
      <c r="A106" s="216" t="s">
        <v>157</v>
      </c>
      <c r="B106" s="216"/>
      <c r="C106" s="216"/>
      <c r="D106" s="216"/>
      <c r="E106" s="216"/>
      <c r="F106" s="222" t="s">
        <v>161</v>
      </c>
      <c r="G106" s="222"/>
      <c r="H106" s="222"/>
      <c r="I106" s="80"/>
      <c r="J106" s="80" t="s">
        <v>380</v>
      </c>
      <c r="K106" s="80" t="s">
        <v>381</v>
      </c>
      <c r="L106" s="80"/>
      <c r="M106" s="80"/>
      <c r="R106" t="s">
        <v>254</v>
      </c>
      <c r="S106" t="s">
        <v>173</v>
      </c>
      <c r="T106" t="s">
        <v>179</v>
      </c>
      <c r="U106" t="s">
        <v>194</v>
      </c>
      <c r="V106" t="s">
        <v>189</v>
      </c>
    </row>
    <row r="107" spans="1:22" x14ac:dyDescent="0.25">
      <c r="A107" s="115" t="s">
        <v>159</v>
      </c>
      <c r="B107" s="115"/>
      <c r="C107" s="115"/>
      <c r="D107" s="115"/>
      <c r="E107" s="115"/>
      <c r="F107" s="116">
        <v>67000</v>
      </c>
      <c r="G107" s="116"/>
      <c r="H107" s="116"/>
      <c r="I107" s="98" t="s">
        <v>426</v>
      </c>
      <c r="J107" s="83">
        <f>AVERAGE(J182,J194)</f>
        <v>59868.574844747702</v>
      </c>
      <c r="K107" s="80">
        <v>55000</v>
      </c>
      <c r="L107" s="80" t="s">
        <v>425</v>
      </c>
      <c r="M107" s="80"/>
      <c r="R107"/>
      <c r="S107">
        <v>800000</v>
      </c>
      <c r="T107">
        <v>150000</v>
      </c>
      <c r="U107">
        <v>100000</v>
      </c>
      <c r="V107">
        <v>100000</v>
      </c>
    </row>
    <row r="108" spans="1:22" hidden="1" x14ac:dyDescent="0.25">
      <c r="A108" s="115" t="s">
        <v>158</v>
      </c>
      <c r="B108" s="115"/>
      <c r="C108" s="115"/>
      <c r="D108" s="115"/>
      <c r="E108" s="115"/>
      <c r="F108" s="116"/>
      <c r="G108" s="116"/>
      <c r="H108" s="116"/>
      <c r="I108" s="80"/>
      <c r="J108" s="80"/>
      <c r="K108" s="80"/>
      <c r="L108" s="80"/>
      <c r="M108" s="80"/>
      <c r="R108"/>
      <c r="S108">
        <v>900000</v>
      </c>
      <c r="T108">
        <v>200000</v>
      </c>
      <c r="U108">
        <v>150000</v>
      </c>
      <c r="V108">
        <v>150000</v>
      </c>
    </row>
    <row r="109" spans="1:22" hidden="1" x14ac:dyDescent="0.25">
      <c r="A109" s="115" t="s">
        <v>160</v>
      </c>
      <c r="B109" s="115"/>
      <c r="C109" s="115"/>
      <c r="D109" s="115"/>
      <c r="E109" s="115"/>
      <c r="F109" s="116"/>
      <c r="G109" s="116"/>
      <c r="H109" s="116"/>
      <c r="I109" s="80"/>
      <c r="J109" s="80"/>
      <c r="K109" s="80"/>
      <c r="L109" s="80"/>
      <c r="M109" s="80"/>
      <c r="R109"/>
      <c r="S109">
        <v>1000000</v>
      </c>
      <c r="T109">
        <v>250000</v>
      </c>
      <c r="U109">
        <v>200000</v>
      </c>
      <c r="V109">
        <v>200000</v>
      </c>
    </row>
    <row r="110" spans="1:22" s="30" customFormat="1" hidden="1" x14ac:dyDescent="0.25">
      <c r="A110" s="115" t="s">
        <v>176</v>
      </c>
      <c r="B110" s="115"/>
      <c r="C110" s="115"/>
      <c r="D110" s="115"/>
      <c r="E110" s="115"/>
      <c r="F110" s="116"/>
      <c r="G110" s="116"/>
      <c r="H110" s="116"/>
      <c r="I110" s="81"/>
      <c r="J110" s="81"/>
      <c r="K110" s="81"/>
      <c r="L110" s="81"/>
      <c r="M110" s="81"/>
      <c r="R110"/>
      <c r="S110">
        <v>1100000</v>
      </c>
      <c r="T110">
        <v>300000</v>
      </c>
      <c r="U110">
        <v>250000</v>
      </c>
      <c r="V110" s="20">
        <v>250000</v>
      </c>
    </row>
    <row r="111" spans="1:22" s="30" customFormat="1" hidden="1" x14ac:dyDescent="0.25">
      <c r="A111" s="115" t="s">
        <v>91</v>
      </c>
      <c r="B111" s="115"/>
      <c r="C111" s="115"/>
      <c r="D111" s="115"/>
      <c r="E111" s="115"/>
      <c r="F111" s="116"/>
      <c r="G111" s="116"/>
      <c r="H111" s="116"/>
      <c r="I111" s="81"/>
      <c r="J111" s="81"/>
      <c r="K111" s="81"/>
      <c r="L111" s="81"/>
      <c r="M111" s="81"/>
      <c r="R111"/>
      <c r="S111">
        <v>1200000</v>
      </c>
      <c r="T111">
        <v>350000</v>
      </c>
      <c r="U111">
        <v>300000</v>
      </c>
      <c r="V111">
        <v>300000</v>
      </c>
    </row>
    <row r="112" spans="1:22" s="30" customFormat="1" hidden="1" x14ac:dyDescent="0.25">
      <c r="A112" s="115" t="s">
        <v>92</v>
      </c>
      <c r="B112" s="115"/>
      <c r="C112" s="115"/>
      <c r="D112" s="115"/>
      <c r="E112" s="115"/>
      <c r="F112" s="116"/>
      <c r="G112" s="116"/>
      <c r="H112" s="116"/>
      <c r="I112" s="81"/>
      <c r="J112" s="81"/>
      <c r="K112" s="81"/>
      <c r="L112" s="81"/>
      <c r="M112" s="81"/>
      <c r="R112"/>
      <c r="S112">
        <v>1300000</v>
      </c>
      <c r="T112">
        <v>400000</v>
      </c>
      <c r="U112">
        <v>350000</v>
      </c>
      <c r="V112" s="20">
        <v>400000</v>
      </c>
    </row>
    <row r="113" spans="1:22" s="30" customFormat="1" hidden="1" x14ac:dyDescent="0.25">
      <c r="A113" s="115" t="s">
        <v>93</v>
      </c>
      <c r="B113" s="115"/>
      <c r="C113" s="115"/>
      <c r="D113" s="115"/>
      <c r="E113" s="115"/>
      <c r="F113" s="116"/>
      <c r="G113" s="116"/>
      <c r="H113" s="116"/>
      <c r="I113" s="81"/>
      <c r="J113" s="81"/>
      <c r="K113" s="81"/>
      <c r="L113" s="81"/>
      <c r="M113" s="81"/>
      <c r="R113"/>
      <c r="S113">
        <v>1400000</v>
      </c>
      <c r="T113">
        <v>500000</v>
      </c>
      <c r="U113">
        <v>400000</v>
      </c>
      <c r="V113"/>
    </row>
    <row r="114" spans="1:22" s="30" customFormat="1" x14ac:dyDescent="0.25">
      <c r="A114" s="115" t="s">
        <v>429</v>
      </c>
      <c r="B114" s="115"/>
      <c r="C114" s="115"/>
      <c r="D114" s="115"/>
      <c r="E114" s="115"/>
      <c r="F114" s="116">
        <v>536700</v>
      </c>
      <c r="G114" s="116"/>
      <c r="H114" s="116"/>
      <c r="I114" s="99" t="s">
        <v>430</v>
      </c>
      <c r="J114" s="81"/>
      <c r="K114" s="81"/>
      <c r="L114" s="81"/>
      <c r="M114" s="81"/>
      <c r="R114"/>
      <c r="S114">
        <v>1400000</v>
      </c>
      <c r="T114">
        <v>500000</v>
      </c>
      <c r="U114">
        <v>400000</v>
      </c>
      <c r="V114"/>
    </row>
    <row r="115" spans="1:22" s="30" customFormat="1" x14ac:dyDescent="0.25">
      <c r="A115" s="115" t="s">
        <v>428</v>
      </c>
      <c r="B115" s="115"/>
      <c r="C115" s="115"/>
      <c r="D115" s="115"/>
      <c r="E115" s="115"/>
      <c r="F115" s="116">
        <v>70000</v>
      </c>
      <c r="G115" s="116"/>
      <c r="H115" s="116"/>
      <c r="I115" s="99" t="s">
        <v>433</v>
      </c>
      <c r="J115" s="81"/>
      <c r="K115" s="81"/>
      <c r="L115" s="81"/>
      <c r="M115" s="81"/>
      <c r="R115"/>
      <c r="S115">
        <v>1500000</v>
      </c>
      <c r="T115">
        <v>600000</v>
      </c>
      <c r="U115">
        <v>500000</v>
      </c>
      <c r="V115" s="20"/>
    </row>
    <row r="116" spans="1:22" s="30" customFormat="1" x14ac:dyDescent="0.25">
      <c r="A116" s="115" t="s">
        <v>95</v>
      </c>
      <c r="B116" s="115"/>
      <c r="C116" s="115"/>
      <c r="D116" s="115"/>
      <c r="E116" s="115"/>
      <c r="F116" s="116">
        <v>15000</v>
      </c>
      <c r="G116" s="116"/>
      <c r="H116" s="116"/>
      <c r="I116" s="81"/>
      <c r="J116" s="81"/>
      <c r="K116" s="81"/>
      <c r="L116" s="81"/>
      <c r="M116" s="81"/>
      <c r="R116"/>
      <c r="S116">
        <v>1600000</v>
      </c>
      <c r="T116">
        <v>700000</v>
      </c>
      <c r="U116">
        <v>600000</v>
      </c>
      <c r="V116"/>
    </row>
    <row r="117" spans="1:22" s="30" customFormat="1" x14ac:dyDescent="0.25">
      <c r="A117" s="115" t="s">
        <v>431</v>
      </c>
      <c r="B117" s="115"/>
      <c r="C117" s="115"/>
      <c r="D117" s="115"/>
      <c r="E117" s="115"/>
      <c r="F117" s="116">
        <v>2683500</v>
      </c>
      <c r="G117" s="116"/>
      <c r="H117" s="116"/>
      <c r="I117" s="81"/>
      <c r="J117" s="81"/>
      <c r="K117" s="81"/>
      <c r="L117" s="81"/>
      <c r="M117" s="81"/>
      <c r="R117"/>
      <c r="S117">
        <v>1700000</v>
      </c>
      <c r="T117">
        <v>800000</v>
      </c>
      <c r="U117"/>
      <c r="V117" s="20"/>
    </row>
    <row r="118" spans="1:22" s="30" customFormat="1" hidden="1" x14ac:dyDescent="0.25">
      <c r="A118" s="115" t="s">
        <v>96</v>
      </c>
      <c r="B118" s="115"/>
      <c r="C118" s="115"/>
      <c r="D118" s="115"/>
      <c r="E118" s="115"/>
      <c r="F118" s="116"/>
      <c r="G118" s="116"/>
      <c r="H118" s="116"/>
      <c r="I118" s="81"/>
      <c r="J118" s="81"/>
      <c r="K118" s="81"/>
      <c r="L118" s="81"/>
      <c r="M118" s="81"/>
      <c r="R118"/>
      <c r="S118">
        <v>1700000</v>
      </c>
      <c r="T118">
        <v>800000</v>
      </c>
      <c r="U118"/>
      <c r="V118" s="20"/>
    </row>
    <row r="119" spans="1:22" x14ac:dyDescent="0.25">
      <c r="A119" s="115" t="s">
        <v>49</v>
      </c>
      <c r="B119" s="115"/>
      <c r="C119" s="115"/>
      <c r="D119" s="115"/>
      <c r="E119" s="115"/>
      <c r="F119" s="116">
        <v>1500000</v>
      </c>
      <c r="G119" s="116"/>
      <c r="H119" s="116"/>
      <c r="I119" s="80"/>
      <c r="J119" s="80"/>
      <c r="K119" s="80"/>
      <c r="L119" s="80"/>
      <c r="M119" s="80"/>
      <c r="R119"/>
      <c r="S119">
        <v>1800000</v>
      </c>
      <c r="T119">
        <v>900000</v>
      </c>
      <c r="U119"/>
    </row>
    <row r="120" spans="1:22" s="31" customFormat="1" x14ac:dyDescent="0.25">
      <c r="A120" s="163" t="s">
        <v>50</v>
      </c>
      <c r="B120" s="163"/>
      <c r="C120" s="163"/>
      <c r="D120" s="163"/>
      <c r="E120" s="163"/>
      <c r="F120" s="116">
        <f>F107*0.8</f>
        <v>53600</v>
      </c>
      <c r="G120" s="116"/>
      <c r="H120" s="116"/>
      <c r="I120" s="82"/>
      <c r="J120" s="82"/>
      <c r="K120" s="82"/>
      <c r="L120" s="82"/>
      <c r="M120" s="82"/>
      <c r="R120" s="18"/>
      <c r="S120" s="18"/>
      <c r="T120">
        <v>1000000</v>
      </c>
      <c r="U120"/>
      <c r="V120" s="18"/>
    </row>
    <row r="121" spans="1:22" s="32" customFormat="1" ht="15.75" hidden="1" customHeight="1" x14ac:dyDescent="0.25">
      <c r="A121" s="108" t="s">
        <v>71</v>
      </c>
      <c r="B121" s="108"/>
      <c r="C121" s="108"/>
      <c r="D121" s="108"/>
      <c r="E121" s="108"/>
      <c r="F121" s="108"/>
      <c r="G121" s="108"/>
      <c r="H121" s="108"/>
      <c r="R121"/>
      <c r="S121" s="18"/>
      <c r="T121"/>
      <c r="U121"/>
      <c r="V121" s="18"/>
    </row>
    <row r="122" spans="1:22" s="32" customFormat="1" ht="15.75" hidden="1" customHeight="1" x14ac:dyDescent="0.25">
      <c r="A122" s="111" t="s">
        <v>51</v>
      </c>
      <c r="B122" s="111"/>
      <c r="C122" s="109" t="s">
        <v>74</v>
      </c>
      <c r="D122" s="109"/>
      <c r="E122" s="110" t="s">
        <v>52</v>
      </c>
      <c r="F122" s="110"/>
      <c r="G122" s="111" t="s">
        <v>53</v>
      </c>
      <c r="H122" s="111"/>
      <c r="R122"/>
      <c r="S122" s="18"/>
      <c r="T122"/>
      <c r="U122" s="18"/>
      <c r="V122" s="18"/>
    </row>
    <row r="123" spans="1:22" s="32" customFormat="1" hidden="1" x14ac:dyDescent="0.25">
      <c r="A123" s="120"/>
      <c r="B123" s="120"/>
      <c r="C123" s="105"/>
      <c r="D123" s="105"/>
      <c r="E123" s="106"/>
      <c r="F123" s="106"/>
      <c r="G123" s="107"/>
      <c r="H123" s="107"/>
      <c r="R123"/>
      <c r="S123" s="18"/>
      <c r="T123"/>
      <c r="U123" s="18"/>
      <c r="V123" s="18"/>
    </row>
    <row r="124" spans="1:22" s="32" customFormat="1" hidden="1" x14ac:dyDescent="0.25">
      <c r="A124" s="120"/>
      <c r="B124" s="120"/>
      <c r="C124" s="105"/>
      <c r="D124" s="105"/>
      <c r="E124" s="106"/>
      <c r="F124" s="106"/>
      <c r="G124" s="107"/>
      <c r="H124" s="107"/>
      <c r="R124"/>
      <c r="S124" s="18"/>
      <c r="T124"/>
      <c r="U124" s="18"/>
      <c r="V124" s="18"/>
    </row>
    <row r="125" spans="1:22" s="32" customFormat="1" hidden="1" x14ac:dyDescent="0.25">
      <c r="A125" s="108" t="s">
        <v>150</v>
      </c>
      <c r="B125" s="108"/>
      <c r="C125" s="109"/>
      <c r="D125" s="109"/>
      <c r="E125" s="110"/>
      <c r="F125" s="110"/>
      <c r="G125" s="111"/>
      <c r="H125" s="111"/>
      <c r="R125"/>
      <c r="S125" s="18"/>
      <c r="T125"/>
      <c r="U125" s="18"/>
      <c r="V125" s="18"/>
    </row>
    <row r="126" spans="1:22" s="32" customFormat="1" x14ac:dyDescent="0.25">
      <c r="A126" s="108" t="s">
        <v>371</v>
      </c>
      <c r="B126" s="108"/>
      <c r="C126" s="108"/>
      <c r="D126" s="108"/>
      <c r="E126" s="108"/>
      <c r="F126" s="108"/>
      <c r="G126" s="108"/>
      <c r="H126" s="108"/>
      <c r="T126"/>
    </row>
    <row r="127" spans="1:22" s="32" customFormat="1" ht="15.75" customHeight="1" x14ac:dyDescent="0.25">
      <c r="A127" s="111" t="s">
        <v>51</v>
      </c>
      <c r="B127" s="111"/>
      <c r="C127" s="109" t="s">
        <v>74</v>
      </c>
      <c r="D127" s="109"/>
      <c r="E127" s="110" t="s">
        <v>52</v>
      </c>
      <c r="F127" s="110"/>
      <c r="G127" s="111" t="s">
        <v>53</v>
      </c>
      <c r="H127" s="111"/>
      <c r="T127"/>
    </row>
    <row r="128" spans="1:22" s="32" customFormat="1" x14ac:dyDescent="0.25">
      <c r="A128" s="120" t="s">
        <v>330</v>
      </c>
      <c r="B128" s="120"/>
      <c r="C128" s="164">
        <f>COUNT(F168)+COUNT(F177)+COUNT(F181:F182,F191)</f>
        <v>5</v>
      </c>
      <c r="D128" s="164"/>
      <c r="E128" s="165">
        <f>SUM(F168)+SUM(F177)+SUM(F181:F182,F191)</f>
        <v>13757.68368</v>
      </c>
      <c r="F128" s="165"/>
      <c r="G128" s="165">
        <f>SUM(H168)+SUM(H177)+SUM(H181:H182,H191)</f>
        <v>20636.525519999996</v>
      </c>
      <c r="H128" s="165"/>
      <c r="T128"/>
    </row>
    <row r="129" spans="1:20" s="32" customFormat="1" ht="15.75" customHeight="1" x14ac:dyDescent="0.25">
      <c r="A129" s="120" t="s">
        <v>332</v>
      </c>
      <c r="B129" s="120"/>
      <c r="C129" s="164">
        <f>COUNT(D211:D212)*5+COUNT(D220)</f>
        <v>11</v>
      </c>
      <c r="D129" s="164"/>
      <c r="E129" s="164">
        <f>SUM(F211:F212)*5+SUM(F220)</f>
        <v>19678.31424</v>
      </c>
      <c r="F129" s="164"/>
      <c r="G129" s="164">
        <f>SUM(H211:H212)*5+SUM(H220)</f>
        <v>29517.47136</v>
      </c>
      <c r="H129" s="164"/>
      <c r="T129"/>
    </row>
    <row r="130" spans="1:20" s="32" customFormat="1" x14ac:dyDescent="0.25">
      <c r="A130" s="108" t="s">
        <v>150</v>
      </c>
      <c r="B130" s="108"/>
      <c r="C130" s="125">
        <f>SUM(C128:D129)</f>
        <v>16</v>
      </c>
      <c r="D130" s="109"/>
      <c r="E130" s="125">
        <f t="shared" ref="E130" si="0">SUM(E128:F129)</f>
        <v>33435.997920000002</v>
      </c>
      <c r="F130" s="109"/>
      <c r="G130" s="125">
        <f t="shared" ref="G130" si="1">SUM(G128:H129)</f>
        <v>50153.996879999992</v>
      </c>
      <c r="H130" s="109"/>
      <c r="T130"/>
    </row>
    <row r="131" spans="1:20" s="32" customFormat="1" x14ac:dyDescent="0.25">
      <c r="A131" s="108" t="s">
        <v>372</v>
      </c>
      <c r="B131" s="108"/>
      <c r="C131" s="108"/>
      <c r="D131" s="108"/>
      <c r="E131" s="108"/>
      <c r="F131" s="108"/>
      <c r="G131" s="108"/>
      <c r="H131" s="108"/>
      <c r="T131"/>
    </row>
    <row r="132" spans="1:20" s="32" customFormat="1" ht="15.75" customHeight="1" x14ac:dyDescent="0.25">
      <c r="A132" s="111" t="s">
        <v>51</v>
      </c>
      <c r="B132" s="111"/>
      <c r="C132" s="109" t="s">
        <v>74</v>
      </c>
      <c r="D132" s="109"/>
      <c r="E132" s="110" t="s">
        <v>52</v>
      </c>
      <c r="F132" s="110"/>
      <c r="G132" s="111" t="s">
        <v>53</v>
      </c>
      <c r="H132" s="111"/>
      <c r="T132"/>
    </row>
    <row r="133" spans="1:20" s="32" customFormat="1" x14ac:dyDescent="0.25">
      <c r="A133" s="120" t="s">
        <v>330</v>
      </c>
      <c r="B133" s="120"/>
      <c r="C133" s="165">
        <f>COUNT(F160:F161)+COUNT(F163:F165)+COUNT(F167,F169)+COUNT(F171:F172)+COUNT(F174:F175)*2+COUNT(F178:F179)+COUNT(F184:F185)+COUNT(F187:F188)+COUNT(F190)+COUNT(F193:F194)+COUNT(F196:F197)</f>
        <v>24</v>
      </c>
      <c r="D133" s="165"/>
      <c r="E133" s="165">
        <f>SUM(F160:F161)+SUM(F163:F165)+SUM(F167,F169)+SUM(F171:F172)+SUM(F174:F175)*2+SUM(F178:F179)+SUM(F184:F185)+SUM(F187:F188)+SUM(F190)+SUM(F193:F194)+SUM(F196:F197)</f>
        <v>63520.803122400001</v>
      </c>
      <c r="F133" s="165"/>
      <c r="G133" s="165">
        <f>SUM(H160:H161)+SUM(H163:H165)+SUM(H167,H169)+SUM(H171:H172)+SUM(H174:H175)*2+SUM(H178:H179)+SUM(H184:H185)+SUM(H187:H188)+SUM(H190)+SUM(H193:H194)+SUM(H196:H197)</f>
        <v>95281.204683599994</v>
      </c>
      <c r="H133" s="165"/>
      <c r="T133"/>
    </row>
    <row r="134" spans="1:20" s="32" customFormat="1" ht="15.75" customHeight="1" x14ac:dyDescent="0.25">
      <c r="A134" s="120" t="s">
        <v>332</v>
      </c>
      <c r="B134" s="120"/>
      <c r="C134" s="164">
        <f>COUNT(D205:D206)+COUNT(D208:D209)*9+COUNT(D217)</f>
        <v>21</v>
      </c>
      <c r="D134" s="164"/>
      <c r="E134" s="164">
        <f>SUM(F205:F206)+SUM(F208:F209)*9+SUM(F217)</f>
        <v>36680.913359999999</v>
      </c>
      <c r="F134" s="164"/>
      <c r="G134" s="164">
        <f>SUM(H205:H206)+SUM(H208:H209)*9+SUM(H217)</f>
        <v>55021.370040000002</v>
      </c>
      <c r="H134" s="164"/>
      <c r="T134"/>
    </row>
    <row r="135" spans="1:20" s="32" customFormat="1" x14ac:dyDescent="0.25">
      <c r="A135" s="108" t="s">
        <v>150</v>
      </c>
      <c r="B135" s="108"/>
      <c r="C135" s="125">
        <f>SUM(C133:D134)</f>
        <v>45</v>
      </c>
      <c r="D135" s="109"/>
      <c r="E135" s="125">
        <f t="shared" ref="E135" si="2">SUM(E133:F134)</f>
        <v>100201.71648239999</v>
      </c>
      <c r="F135" s="109"/>
      <c r="G135" s="125">
        <f t="shared" ref="G135" si="3">SUM(G133:H134)</f>
        <v>150302.5747236</v>
      </c>
      <c r="H135" s="109"/>
      <c r="T135"/>
    </row>
    <row r="136" spans="1:20" s="32" customFormat="1" x14ac:dyDescent="0.25">
      <c r="A136" s="108" t="s">
        <v>413</v>
      </c>
      <c r="B136" s="108"/>
      <c r="C136" s="108"/>
      <c r="D136" s="108"/>
      <c r="E136" s="108"/>
      <c r="F136" s="108"/>
      <c r="G136" s="108"/>
      <c r="H136" s="108"/>
      <c r="T136"/>
    </row>
    <row r="137" spans="1:20" s="32" customFormat="1" ht="15.75" customHeight="1" x14ac:dyDescent="0.25">
      <c r="A137" s="111" t="s">
        <v>51</v>
      </c>
      <c r="B137" s="111"/>
      <c r="C137" s="109" t="s">
        <v>74</v>
      </c>
      <c r="D137" s="109"/>
      <c r="E137" s="110" t="s">
        <v>52</v>
      </c>
      <c r="F137" s="110"/>
      <c r="G137" s="111" t="s">
        <v>53</v>
      </c>
      <c r="H137" s="111"/>
      <c r="T137"/>
    </row>
    <row r="138" spans="1:20" s="32" customFormat="1" x14ac:dyDescent="0.25">
      <c r="A138" s="120" t="s">
        <v>332</v>
      </c>
      <c r="B138" s="120"/>
      <c r="C138" s="165">
        <f>COUNT(D214:D215)*4+COUNT(D223:D224)</f>
        <v>10</v>
      </c>
      <c r="D138" s="165"/>
      <c r="E138" s="165">
        <f>SUM(F214:F215)*4+SUM(F223:F224)</f>
        <v>16839.2016</v>
      </c>
      <c r="F138" s="165"/>
      <c r="G138" s="165">
        <f>SUM(H214:H215)*4+SUM(H223:H224)</f>
        <v>25258.8024</v>
      </c>
      <c r="H138" s="165"/>
      <c r="T138"/>
    </row>
    <row r="139" spans="1:20" s="32" customFormat="1" x14ac:dyDescent="0.25">
      <c r="A139" s="108" t="s">
        <v>150</v>
      </c>
      <c r="B139" s="108"/>
      <c r="C139" s="125">
        <f>SUM(C138)</f>
        <v>10</v>
      </c>
      <c r="D139" s="109"/>
      <c r="E139" s="125">
        <f t="shared" ref="E139" si="4">SUM(E138)</f>
        <v>16839.2016</v>
      </c>
      <c r="F139" s="109"/>
      <c r="G139" s="125">
        <f t="shared" ref="G139" si="5">SUM(G138)</f>
        <v>25258.8024</v>
      </c>
      <c r="H139" s="109"/>
      <c r="T139"/>
    </row>
    <row r="140" spans="1:20" s="32" customFormat="1" ht="16.5" thickBot="1" x14ac:dyDescent="0.3">
      <c r="A140" s="237" t="s">
        <v>167</v>
      </c>
      <c r="B140" s="238"/>
      <c r="C140" s="127">
        <f>C130+C135+C139</f>
        <v>71</v>
      </c>
      <c r="D140" s="128"/>
      <c r="E140" s="127">
        <f>E130+E135+E139</f>
        <v>150476.91600239999</v>
      </c>
      <c r="F140" s="128"/>
      <c r="G140" s="127">
        <f t="shared" ref="G140" si="6">G130+G135+G139</f>
        <v>225715.37400359998</v>
      </c>
      <c r="H140" s="128"/>
      <c r="T140"/>
    </row>
    <row r="141" spans="1:20" s="31" customFormat="1" x14ac:dyDescent="0.25">
      <c r="A141" s="234" t="s">
        <v>54</v>
      </c>
      <c r="B141" s="234"/>
      <c r="C141" s="234"/>
      <c r="D141" s="234"/>
      <c r="E141" s="234"/>
      <c r="F141" s="234"/>
      <c r="G141" s="234"/>
      <c r="H141" s="234"/>
      <c r="T141" s="32"/>
    </row>
    <row r="142" spans="1:20" x14ac:dyDescent="0.25">
      <c r="A142" s="188" t="s">
        <v>175</v>
      </c>
      <c r="B142" s="188"/>
      <c r="C142" s="188"/>
      <c r="D142" s="188"/>
      <c r="E142" s="188"/>
      <c r="F142" s="188"/>
      <c r="G142" s="188"/>
      <c r="H142" s="188"/>
      <c r="T142" s="32"/>
    </row>
    <row r="143" spans="1:20" ht="47.25" hidden="1" customHeight="1" x14ac:dyDescent="0.25">
      <c r="A143" s="140" t="s">
        <v>369</v>
      </c>
      <c r="B143" s="140" t="s">
        <v>178</v>
      </c>
      <c r="C143" s="140" t="s">
        <v>55</v>
      </c>
      <c r="D143" s="140" t="s">
        <v>233</v>
      </c>
      <c r="E143" s="142" t="s">
        <v>156</v>
      </c>
      <c r="F143" s="140" t="s">
        <v>56</v>
      </c>
      <c r="G143" s="142" t="s">
        <v>57</v>
      </c>
      <c r="H143" s="70" t="s">
        <v>148</v>
      </c>
      <c r="T143" s="32"/>
    </row>
    <row r="144" spans="1:20" s="34" customFormat="1" hidden="1" x14ac:dyDescent="0.25">
      <c r="A144" s="141"/>
      <c r="B144" s="141"/>
      <c r="C144" s="141"/>
      <c r="D144" s="141"/>
      <c r="E144" s="143"/>
      <c r="F144" s="141"/>
      <c r="G144" s="143"/>
      <c r="H144" s="71">
        <v>0.55000000000000004</v>
      </c>
      <c r="T144" s="32"/>
    </row>
    <row r="145" spans="1:20" s="34" customFormat="1" hidden="1" x14ac:dyDescent="0.25">
      <c r="A145" s="166" t="s">
        <v>116</v>
      </c>
      <c r="B145" s="167"/>
      <c r="C145" s="167"/>
      <c r="D145" s="167"/>
      <c r="E145" s="167"/>
      <c r="F145" s="167"/>
      <c r="G145" s="167"/>
      <c r="H145" s="168"/>
      <c r="J145" s="33"/>
      <c r="T145" s="32"/>
    </row>
    <row r="146" spans="1:20" s="34" customFormat="1" ht="15.75" hidden="1" customHeight="1" x14ac:dyDescent="0.25">
      <c r="A146" s="210">
        <v>1</v>
      </c>
      <c r="B146" s="211"/>
      <c r="C146" s="72"/>
      <c r="D146" s="72">
        <v>0</v>
      </c>
      <c r="E146" s="72">
        <v>0</v>
      </c>
      <c r="F146" s="72">
        <f>D146+(IF(E146&lt;201,E146,IF(E146&lt;301,E146/2,E146/3)))</f>
        <v>0</v>
      </c>
      <c r="G146" s="73">
        <v>0</v>
      </c>
      <c r="H146" s="72">
        <f>(F146+(IF(G146&lt;101,G146,IF(G146&lt;201,G146/2,IF(G146&lt;=301,G146/3,G146/4)))))*(($H$144)+1)</f>
        <v>0</v>
      </c>
      <c r="I146" s="33"/>
      <c r="L146" s="126"/>
      <c r="M146" s="126"/>
      <c r="N146" s="33"/>
      <c r="T146" s="32"/>
    </row>
    <row r="147" spans="1:20" s="34" customFormat="1" ht="15.75" hidden="1" customHeight="1" x14ac:dyDescent="0.25">
      <c r="A147" s="210">
        <f>A146+1</f>
        <v>2</v>
      </c>
      <c r="B147" s="211"/>
      <c r="C147" s="72"/>
      <c r="D147" s="72"/>
      <c r="E147" s="72">
        <v>0</v>
      </c>
      <c r="F147" s="72">
        <f t="shared" ref="F147:F149" si="7">D147+(IF(E147&lt;201,E147,IF(E147&lt;301,E147/2,E147/3)))</f>
        <v>0</v>
      </c>
      <c r="G147" s="72">
        <v>0</v>
      </c>
      <c r="H147" s="72">
        <f t="shared" ref="H147:H149" si="8">(F147+(IF(G147&lt;101,G147,IF(G147&lt;201,G147/2,IF(G147&lt;=301,G147/3,G147/4)))))*(($H$144)+1)</f>
        <v>0</v>
      </c>
      <c r="I147" s="33"/>
      <c r="L147" s="126"/>
      <c r="M147" s="126"/>
      <c r="N147" s="33"/>
      <c r="T147" s="31"/>
    </row>
    <row r="148" spans="1:20" s="34" customFormat="1" ht="15.75" hidden="1" customHeight="1" x14ac:dyDescent="0.25">
      <c r="A148" s="210">
        <f>A147+1</f>
        <v>3</v>
      </c>
      <c r="B148" s="211"/>
      <c r="C148" s="72"/>
      <c r="D148" s="72"/>
      <c r="E148" s="72">
        <v>0</v>
      </c>
      <c r="F148" s="72">
        <f t="shared" si="7"/>
        <v>0</v>
      </c>
      <c r="G148" s="72">
        <v>0</v>
      </c>
      <c r="H148" s="72">
        <f t="shared" si="8"/>
        <v>0</v>
      </c>
      <c r="I148" s="33"/>
      <c r="L148" s="126"/>
      <c r="M148" s="126"/>
      <c r="N148" s="33"/>
      <c r="T148" s="18"/>
    </row>
    <row r="149" spans="1:20" s="34" customFormat="1" ht="15.75" hidden="1" customHeight="1" x14ac:dyDescent="0.25">
      <c r="A149" s="210">
        <f>A148+1</f>
        <v>4</v>
      </c>
      <c r="B149" s="211"/>
      <c r="C149" s="72"/>
      <c r="D149" s="72"/>
      <c r="E149" s="72">
        <v>0</v>
      </c>
      <c r="F149" s="72">
        <f t="shared" si="7"/>
        <v>0</v>
      </c>
      <c r="G149" s="72">
        <v>0</v>
      </c>
      <c r="H149" s="72">
        <f t="shared" si="8"/>
        <v>0</v>
      </c>
      <c r="I149" s="33"/>
      <c r="L149" s="126"/>
      <c r="M149" s="126"/>
      <c r="N149" s="33"/>
      <c r="T149" s="18"/>
    </row>
    <row r="150" spans="1:20" s="34" customFormat="1" hidden="1" x14ac:dyDescent="0.25">
      <c r="A150" s="210"/>
      <c r="B150" s="233"/>
      <c r="C150" s="233"/>
      <c r="D150" s="233"/>
      <c r="E150" s="233"/>
      <c r="F150" s="233"/>
      <c r="G150" s="233"/>
      <c r="H150" s="211"/>
      <c r="I150" s="33"/>
      <c r="N150" s="33"/>
    </row>
    <row r="151" spans="1:20" ht="47.25" customHeight="1" x14ac:dyDescent="0.25">
      <c r="A151" s="235" t="s">
        <v>370</v>
      </c>
      <c r="B151" s="140" t="s">
        <v>338</v>
      </c>
      <c r="C151" s="140" t="s">
        <v>55</v>
      </c>
      <c r="D151" s="140" t="s">
        <v>233</v>
      </c>
      <c r="E151" s="140" t="s">
        <v>232</v>
      </c>
      <c r="F151" s="140" t="s">
        <v>56</v>
      </c>
      <c r="G151" s="142" t="s">
        <v>57</v>
      </c>
      <c r="H151" s="70" t="s">
        <v>148</v>
      </c>
      <c r="I151" s="33"/>
      <c r="T151" s="34"/>
    </row>
    <row r="152" spans="1:20" s="34" customFormat="1" x14ac:dyDescent="0.25">
      <c r="A152" s="236"/>
      <c r="B152" s="141"/>
      <c r="C152" s="141"/>
      <c r="D152" s="141"/>
      <c r="E152" s="141"/>
      <c r="F152" s="141"/>
      <c r="G152" s="143"/>
      <c r="H152" s="71">
        <v>0.5</v>
      </c>
      <c r="I152" s="33"/>
    </row>
    <row r="153" spans="1:20" s="59" customFormat="1" x14ac:dyDescent="0.25">
      <c r="A153" s="201" t="s">
        <v>330</v>
      </c>
      <c r="B153" s="202"/>
      <c r="C153" s="202"/>
      <c r="D153" s="202"/>
      <c r="E153" s="202"/>
      <c r="F153" s="202"/>
      <c r="G153" s="202"/>
      <c r="H153" s="203"/>
      <c r="J153" s="74">
        <v>10.763999999999999</v>
      </c>
      <c r="T153" s="32"/>
    </row>
    <row r="154" spans="1:20" s="59" customFormat="1" x14ac:dyDescent="0.25">
      <c r="A154" s="124" t="s">
        <v>334</v>
      </c>
      <c r="B154" s="124"/>
      <c r="C154" s="124"/>
      <c r="D154" s="124"/>
      <c r="E154" s="124"/>
      <c r="F154" s="124"/>
      <c r="G154" s="124"/>
      <c r="H154" s="124"/>
      <c r="J154" s="33"/>
    </row>
    <row r="155" spans="1:20" s="59" customFormat="1" x14ac:dyDescent="0.25">
      <c r="A155" s="124" t="s">
        <v>331</v>
      </c>
      <c r="B155" s="124"/>
      <c r="C155" s="124"/>
      <c r="D155" s="124"/>
      <c r="E155" s="124"/>
      <c r="F155" s="124"/>
      <c r="G155" s="124"/>
      <c r="H155" s="124"/>
      <c r="J155" s="33"/>
    </row>
    <row r="156" spans="1:20" s="59" customFormat="1" x14ac:dyDescent="0.25">
      <c r="A156" s="124" t="s">
        <v>335</v>
      </c>
      <c r="B156" s="124"/>
      <c r="C156" s="124"/>
      <c r="D156" s="124"/>
      <c r="E156" s="124"/>
      <c r="F156" s="124"/>
      <c r="G156" s="124"/>
      <c r="H156" s="124"/>
      <c r="J156" s="33"/>
    </row>
    <row r="157" spans="1:20" s="59" customFormat="1" x14ac:dyDescent="0.25">
      <c r="A157" s="123" t="s">
        <v>336</v>
      </c>
      <c r="B157" s="123"/>
      <c r="C157" s="123"/>
      <c r="D157" s="123"/>
      <c r="E157" s="123"/>
      <c r="F157" s="123"/>
      <c r="G157" s="123"/>
      <c r="H157" s="123"/>
      <c r="J157" s="33"/>
    </row>
    <row r="158" spans="1:20" s="63" customFormat="1" x14ac:dyDescent="0.25">
      <c r="A158" s="123" t="s">
        <v>375</v>
      </c>
      <c r="B158" s="123"/>
      <c r="C158" s="123"/>
      <c r="D158" s="123"/>
      <c r="E158" s="123"/>
      <c r="F158" s="123"/>
      <c r="G158" s="123"/>
      <c r="H158" s="123"/>
      <c r="J158" s="33"/>
    </row>
    <row r="159" spans="1:20" s="59" customFormat="1" x14ac:dyDescent="0.25">
      <c r="A159" s="123" t="s">
        <v>337</v>
      </c>
      <c r="B159" s="123"/>
      <c r="C159" s="123"/>
      <c r="D159" s="123"/>
      <c r="E159" s="123"/>
      <c r="F159" s="123"/>
      <c r="G159" s="123"/>
      <c r="H159" s="123"/>
      <c r="I159" s="33"/>
      <c r="L159" s="126"/>
      <c r="M159" s="126"/>
    </row>
    <row r="160" spans="1:20" s="59" customFormat="1" x14ac:dyDescent="0.25">
      <c r="A160" s="95">
        <f>LEFT(A159,SUM(LEN(A159)-LEN(SUBSTITUTE(A159,{"0","1","2","3","4","5","6","7","8","9"},""))))*100+1</f>
        <v>701</v>
      </c>
      <c r="B160" s="95" t="s">
        <v>339</v>
      </c>
      <c r="C160" s="95" t="s">
        <v>340</v>
      </c>
      <c r="D160" s="74">
        <f>(256.07-(2.85*1.35))*10.764</f>
        <v>2714.9229899999996</v>
      </c>
      <c r="E160" s="74">
        <f>(2.85*1.35)*10.764</f>
        <v>41.414490000000001</v>
      </c>
      <c r="F160" s="95">
        <f>D160+E160</f>
        <v>2756.3374799999997</v>
      </c>
      <c r="G160" s="95">
        <v>0</v>
      </c>
      <c r="H160" s="95">
        <f>F160*(($H$152)+1)+(IF(G160&lt;101,G160,IF(G160&lt;201,G160/2,IF(G160&lt;=301,G160/3,G160/4))))</f>
        <v>4134.5062199999993</v>
      </c>
      <c r="I160" s="33">
        <f>0.4*0.45+1.75*2.92+1.93*3.765+3.6*1.585+3.5*3.89+5*5.58+0.3*1.59+2.68*2.14+1.95*1.57+1.65*1.08+1.13*1.08+1.95*1.7+4.88*3.89+1.58*2.88+1.58*2.54+6.8*5.05+1.8*1.3+1.8*1.85+1.85*1.15+1.8*2.5+3.1*4.3+0.9*5.7+1.4*3.6+1.4*1+1.4*1+4.85*4.3+3.15*3.05+1.6*3.15+1.8*2.31+1.8*2.9+1.8*0.59+3.8*2.35+3.7*1.75+3.6*3.5+2.85*1.35</f>
        <v>253.64784999999995</v>
      </c>
      <c r="N160" s="33"/>
    </row>
    <row r="161" spans="1:14" s="59" customFormat="1" x14ac:dyDescent="0.25">
      <c r="A161" s="58">
        <f>A160+1</f>
        <v>702</v>
      </c>
      <c r="B161" s="58" t="s">
        <v>339</v>
      </c>
      <c r="C161" s="58" t="s">
        <v>340</v>
      </c>
      <c r="D161" s="74">
        <f>(1.6*3.37+1.925*3.1+1.25*2.2+3.38*2.7+1.7*5.57+6.55*6.24+0.3*2.25+1.68*3.22+1.78*2.2+4.83*3.89+4.9*4.9+1.15*2.55+3.65*2.45+6.5*2.83+3.65*2.45+3.7*1.82+3.98*3.58+1.1*6.63+5.03*3.43+2.04*1.4+1*1+2.1*2.9+2.1*1.35+2.78*2.1+1.23*1.85+3.7*1.75+1.43*1.15+1.8*2.4+3.6*3.5)*10.764</f>
        <v>2766.8926584000001</v>
      </c>
      <c r="E161" s="74">
        <f>(2.68*2.2)*10.764</f>
        <v>63.464544000000004</v>
      </c>
      <c r="F161" s="58">
        <f>D161+E161</f>
        <v>2830.3572024</v>
      </c>
      <c r="G161" s="58">
        <v>0</v>
      </c>
      <c r="H161" s="58">
        <f>F161*(($H$152)+1)+(IF(G161&lt;101,G161,IF(G161&lt;201,G161/2,IF(G161&lt;=301,G161/3,G161/4))))</f>
        <v>4245.5358035999998</v>
      </c>
      <c r="I161" s="33">
        <f>1.6*3.37+1.925*3.1+1.25*2.2+3.38*2.7+1.7*5.57+6.55*6.24+0.3*2.25+1.68*3.22+1.78*2.2+4.83*3.89+4.9*4.9+1.15*2.55+3.65*2.45+6.5*2.83+3.65*2.45+3.7*1.82+3.98*3.58+1.1*6.63+5.03*3.43+2.04*1.4+1*1+2.1*2.9+2.1*1.35+2.78*2.1+1.23*1.85+3.7*1.75+1.43*1.15+1.8*2.4+3.6*3.5</f>
        <v>257.05060000000003</v>
      </c>
      <c r="N161" s="33"/>
    </row>
    <row r="162" spans="1:14" s="63" customFormat="1" x14ac:dyDescent="0.25">
      <c r="A162" s="123" t="s">
        <v>341</v>
      </c>
      <c r="B162" s="123"/>
      <c r="C162" s="123"/>
      <c r="D162" s="123"/>
      <c r="E162" s="123"/>
      <c r="F162" s="123"/>
      <c r="G162" s="123"/>
      <c r="H162" s="123"/>
      <c r="I162" s="33"/>
      <c r="L162" s="126"/>
      <c r="M162" s="126"/>
    </row>
    <row r="163" spans="1:14" s="63" customFormat="1" x14ac:dyDescent="0.25">
      <c r="A163" s="61">
        <f>LEFT(A162,SUM(LEN(A162)-LEN(SUBSTITUTE(A162,{"0","1","2","3","4","5","6","7","8","9"},""))))*100+1</f>
        <v>801</v>
      </c>
      <c r="B163" s="61" t="s">
        <v>339</v>
      </c>
      <c r="C163" s="61" t="s">
        <v>342</v>
      </c>
      <c r="D163" s="74">
        <f>(73.4)*10.764</f>
        <v>790.07759999999996</v>
      </c>
      <c r="E163" s="61">
        <v>0</v>
      </c>
      <c r="F163" s="61">
        <f>D163+E163</f>
        <v>790.07759999999996</v>
      </c>
      <c r="G163" s="61">
        <v>0</v>
      </c>
      <c r="H163" s="61">
        <f>F163*(($H$152)+1)+(IF(G163&lt;101,G163,IF(G163&lt;201,G163/2,IF(G163&lt;=301,G163/3,G163/4))))</f>
        <v>1185.1163999999999</v>
      </c>
      <c r="I163" s="69">
        <f>2.45*1.5+2.65*1.85+2.55*3.8+1.2*1.9+4.85*4.3+1.8*2.4+2.85*1.5+3.7*1.75+4.8*3.5</f>
        <v>73.272499999999994</v>
      </c>
      <c r="N163" s="33"/>
    </row>
    <row r="164" spans="1:14" s="63" customFormat="1" x14ac:dyDescent="0.25">
      <c r="A164" s="61">
        <f>A163+1</f>
        <v>802</v>
      </c>
      <c r="B164" s="61" t="s">
        <v>339</v>
      </c>
      <c r="C164" s="61" t="s">
        <v>343</v>
      </c>
      <c r="D164" s="74">
        <f>(158.59)*10.764</f>
        <v>1707.06276</v>
      </c>
      <c r="E164" s="61">
        <v>0</v>
      </c>
      <c r="F164" s="61">
        <f>D164+E164</f>
        <v>1707.06276</v>
      </c>
      <c r="G164" s="61">
        <v>0</v>
      </c>
      <c r="H164" s="61">
        <f>F164*(($H$152)+1)+(IF(G164&lt;101,G164,IF(G164&lt;201,G164/2,IF(G164&lt;=301,G164/3,G164/4))))</f>
        <v>2560.5941400000002</v>
      </c>
      <c r="I164" s="33"/>
      <c r="N164" s="33"/>
    </row>
    <row r="165" spans="1:14" s="63" customFormat="1" x14ac:dyDescent="0.25">
      <c r="A165" s="61">
        <f>A164+1</f>
        <v>803</v>
      </c>
      <c r="B165" s="61" t="s">
        <v>339</v>
      </c>
      <c r="C165" s="61" t="s">
        <v>344</v>
      </c>
      <c r="D165" s="74">
        <f>(186.54)*10.764</f>
        <v>2007.9165599999999</v>
      </c>
      <c r="E165" s="61">
        <v>0</v>
      </c>
      <c r="F165" s="61">
        <f>D165+E165</f>
        <v>2007.9165599999999</v>
      </c>
      <c r="G165" s="61">
        <v>0</v>
      </c>
      <c r="H165" s="61">
        <f>F165*(($H$152)+1)+(IF(G165&lt;101,G165,IF(G165&lt;201,G165/2,IF(G165&lt;=301,G165/3,G165/4))))</f>
        <v>3011.8748399999999</v>
      </c>
      <c r="I165" s="33"/>
      <c r="N165" s="33"/>
    </row>
    <row r="166" spans="1:14" s="63" customFormat="1" x14ac:dyDescent="0.25">
      <c r="A166" s="123" t="s">
        <v>345</v>
      </c>
      <c r="B166" s="123"/>
      <c r="C166" s="123"/>
      <c r="D166" s="123"/>
      <c r="E166" s="123"/>
      <c r="F166" s="123"/>
      <c r="G166" s="123"/>
      <c r="H166" s="123"/>
      <c r="I166" s="33"/>
      <c r="L166" s="126"/>
      <c r="M166" s="126"/>
    </row>
    <row r="167" spans="1:14" s="63" customFormat="1" x14ac:dyDescent="0.25">
      <c r="A167" s="61">
        <f>LEFT(A166,SUM(LEN(A166)-LEN(SUBSTITUTE(A166,{"0","1","2","3","4","5","6","7","8","9"},""))))*100+1</f>
        <v>901</v>
      </c>
      <c r="B167" s="61" t="s">
        <v>339</v>
      </c>
      <c r="C167" s="61" t="s">
        <v>340</v>
      </c>
      <c r="D167" s="74">
        <f>(204.39-(2.85*1.35))*10.764</f>
        <v>2158.6394699999996</v>
      </c>
      <c r="E167" s="74">
        <f>(2.85*1.35)*10.764</f>
        <v>41.414490000000001</v>
      </c>
      <c r="F167" s="61">
        <f>D167+E167</f>
        <v>2200.0539599999997</v>
      </c>
      <c r="G167" s="61">
        <v>0</v>
      </c>
      <c r="H167" s="61">
        <f>F167*(($H$152)+1)+(IF(G167&lt;101,G167,IF(G167&lt;201,G167/2,IF(G167&lt;=301,G167/3,G167/4))))</f>
        <v>3300.0809399999998</v>
      </c>
      <c r="I167" s="33"/>
      <c r="N167" s="33"/>
    </row>
    <row r="168" spans="1:14" s="63" customFormat="1" x14ac:dyDescent="0.25">
      <c r="A168" s="61">
        <f>A167+1</f>
        <v>902</v>
      </c>
      <c r="B168" s="62" t="s">
        <v>346</v>
      </c>
      <c r="C168" s="61" t="s">
        <v>348</v>
      </c>
      <c r="D168" s="74">
        <f>(154.79)*10.764</f>
        <v>1666.1595599999998</v>
      </c>
      <c r="E168" s="74">
        <v>0</v>
      </c>
      <c r="F168" s="61">
        <f>D168+E168</f>
        <v>1666.1595599999998</v>
      </c>
      <c r="G168" s="61">
        <v>0</v>
      </c>
      <c r="H168" s="61">
        <f>F168*(($H$152)+1)+(IF(G168&lt;101,G168,IF(G168&lt;201,G168/2,IF(G168&lt;=301,G168/3,G168/4))))</f>
        <v>2499.2393399999996</v>
      </c>
      <c r="I168" s="33"/>
      <c r="N168" s="33"/>
    </row>
    <row r="169" spans="1:14" s="63" customFormat="1" x14ac:dyDescent="0.25">
      <c r="A169" s="61">
        <f>A168+1</f>
        <v>903</v>
      </c>
      <c r="B169" s="61" t="s">
        <v>339</v>
      </c>
      <c r="C169" s="61" t="s">
        <v>348</v>
      </c>
      <c r="D169" s="74">
        <f>(218.34-(2.85*1.35))*10.764</f>
        <v>2308.79727</v>
      </c>
      <c r="E169" s="74">
        <f>(2.85*1.35)*10.764</f>
        <v>41.414490000000001</v>
      </c>
      <c r="F169" s="61">
        <f>D169+E169</f>
        <v>2350.2117600000001</v>
      </c>
      <c r="G169" s="61">
        <v>0</v>
      </c>
      <c r="H169" s="61">
        <f>F169*(($H$152)+1)+(IF(G169&lt;101,G169,IF(G169&lt;201,G169/2,IF(G169&lt;=301,G169/3,G169/4))))</f>
        <v>3525.3176400000002</v>
      </c>
      <c r="I169" s="33"/>
      <c r="N169" s="33"/>
    </row>
    <row r="170" spans="1:14" s="63" customFormat="1" x14ac:dyDescent="0.25">
      <c r="A170" s="123" t="s">
        <v>349</v>
      </c>
      <c r="B170" s="123"/>
      <c r="C170" s="123"/>
      <c r="D170" s="123"/>
      <c r="E170" s="123"/>
      <c r="F170" s="123"/>
      <c r="G170" s="123"/>
      <c r="H170" s="123"/>
      <c r="I170" s="33"/>
      <c r="L170" s="126"/>
      <c r="M170" s="126"/>
    </row>
    <row r="171" spans="1:14" s="63" customFormat="1" x14ac:dyDescent="0.25">
      <c r="A171" s="61">
        <f>LEFT(A170,SUM(LEN(A170)-LEN(SUBSTITUTE(A170,{"0","1","2","3","4","5","6","7","8","9"},""))))*100+1</f>
        <v>1001</v>
      </c>
      <c r="B171" s="61" t="s">
        <v>339</v>
      </c>
      <c r="C171" s="61" t="s">
        <v>340</v>
      </c>
      <c r="D171" s="74">
        <f>(256.71-(2.85*1.35))*10.764</f>
        <v>2721.8119499999998</v>
      </c>
      <c r="E171" s="74">
        <f>(2.85*1.35)*10.764</f>
        <v>41.414490000000001</v>
      </c>
      <c r="F171" s="61">
        <f>D171+E171</f>
        <v>2763.2264399999999</v>
      </c>
      <c r="G171" s="61">
        <v>0</v>
      </c>
      <c r="H171" s="61">
        <f>F171*(($H$152)+1)+(IF(G171&lt;101,G171,IF(G171&lt;201,G171/2,IF(G171&lt;=301,G171/3,G171/4))))</f>
        <v>4144.8396599999996</v>
      </c>
      <c r="I171" s="33"/>
      <c r="J171" s="33"/>
      <c r="N171" s="33"/>
    </row>
    <row r="172" spans="1:14" s="63" customFormat="1" x14ac:dyDescent="0.25">
      <c r="A172" s="61">
        <f>A171+1</f>
        <v>1002</v>
      </c>
      <c r="B172" s="61" t="s">
        <v>339</v>
      </c>
      <c r="C172" s="61" t="s">
        <v>350</v>
      </c>
      <c r="D172" s="74">
        <f>(323.48-(2.85*1.35))*10.764</f>
        <v>3440.5242299999995</v>
      </c>
      <c r="E172" s="74">
        <f>(2.85*1.35)*10.764</f>
        <v>41.414490000000001</v>
      </c>
      <c r="F172" s="61">
        <f>D172+E172</f>
        <v>3481.9387199999996</v>
      </c>
      <c r="G172" s="61">
        <v>0</v>
      </c>
      <c r="H172" s="61">
        <f>F172*(($H$152)+1)+(IF(G172&lt;101,G172,IF(G172&lt;201,G172/2,IF(G172&lt;=301,G172/3,G172/4))))</f>
        <v>5222.9080799999992</v>
      </c>
      <c r="I172" s="33"/>
      <c r="N172" s="33"/>
    </row>
    <row r="173" spans="1:14" s="63" customFormat="1" x14ac:dyDescent="0.25">
      <c r="A173" s="195" t="s">
        <v>351</v>
      </c>
      <c r="B173" s="196"/>
      <c r="C173" s="196"/>
      <c r="D173" s="196"/>
      <c r="E173" s="196"/>
      <c r="F173" s="196"/>
      <c r="G173" s="196"/>
      <c r="H173" s="197"/>
      <c r="I173" s="33"/>
    </row>
    <row r="174" spans="1:14" s="63" customFormat="1" ht="30.75" customHeight="1" x14ac:dyDescent="0.25">
      <c r="A174" s="61"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10^ROW(INDIRECT("1:"&amp;LEN((LEFT(A173,SUM(LEN(A173)-LEN(SUBSTITUTE(A173,{"0","1","2"},""))))))))/10))*100+1&amp;""&amp;" &amp;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",LEN(A173))),LEN(A173)))))))/10))*100+1</f>
        <v>1101 &amp; 1401</v>
      </c>
      <c r="B174" s="61" t="s">
        <v>339</v>
      </c>
      <c r="C174" s="61" t="s">
        <v>340</v>
      </c>
      <c r="D174" s="74">
        <f>(252.42-(2.85*1.35))*10.764</f>
        <v>2675.6343899999997</v>
      </c>
      <c r="E174" s="74">
        <f>(2.85*1.35)*10.764</f>
        <v>41.414490000000001</v>
      </c>
      <c r="F174" s="61">
        <f>D174+E174</f>
        <v>2717.0488799999998</v>
      </c>
      <c r="G174" s="61">
        <v>0</v>
      </c>
      <c r="H174" s="61">
        <f>F174*(($H$152)+1)+(IF(G174&lt;101,G174,IF(G174&lt;201,G174/2,IF(G174&lt;=301,G174/3,G174/4))))</f>
        <v>4075.5733199999995</v>
      </c>
      <c r="I174" s="33"/>
    </row>
    <row r="175" spans="1:14" s="63" customFormat="1" ht="36.75" customHeight="1" x14ac:dyDescent="0.25">
      <c r="A175" s="61"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&amp;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1102 &amp; 1402</v>
      </c>
      <c r="B175" s="61" t="s">
        <v>339</v>
      </c>
      <c r="C175" s="61" t="s">
        <v>350</v>
      </c>
      <c r="D175" s="74">
        <f>(325.51-(2.85*1.35))*10.764</f>
        <v>3462.3751499999994</v>
      </c>
      <c r="E175" s="74">
        <f>(2.85*1.35)*10.764</f>
        <v>41.414490000000001</v>
      </c>
      <c r="F175" s="61">
        <f>D175+E175</f>
        <v>3503.7896399999995</v>
      </c>
      <c r="G175" s="61">
        <v>0</v>
      </c>
      <c r="H175" s="61">
        <f>F175*(($H$152)+1)+(IF(G175&lt;101,G175,IF(G175&lt;201,G175/2,IF(G175&lt;=301,G175/3,G175/4))))</f>
        <v>5255.6844599999995</v>
      </c>
      <c r="I175" s="33"/>
    </row>
    <row r="176" spans="1:14" s="63" customFormat="1" x14ac:dyDescent="0.25">
      <c r="A176" s="123" t="s">
        <v>352</v>
      </c>
      <c r="B176" s="123"/>
      <c r="C176" s="123"/>
      <c r="D176" s="123"/>
      <c r="E176" s="123"/>
      <c r="F176" s="123"/>
      <c r="G176" s="123"/>
      <c r="H176" s="123"/>
      <c r="I176" s="33"/>
      <c r="L176" s="126"/>
      <c r="M176" s="126"/>
    </row>
    <row r="177" spans="1:14" s="63" customFormat="1" x14ac:dyDescent="0.25">
      <c r="A177" s="61">
        <f>LEFT(A176,SUM(LEN(A176)-LEN(SUBSTITUTE(A176,{"0","1","2","3","4","5","6","7","8","9"},""))))*100+1</f>
        <v>1201</v>
      </c>
      <c r="B177" s="62" t="s">
        <v>346</v>
      </c>
      <c r="C177" s="61" t="s">
        <v>340</v>
      </c>
      <c r="D177" s="74">
        <f>(231.37-(4.2*1.35))*10.764</f>
        <v>2429.4348</v>
      </c>
      <c r="E177" s="74">
        <f>(4.2*1.35)*10.764</f>
        <v>61.031880000000008</v>
      </c>
      <c r="F177" s="61">
        <f>D177+E177</f>
        <v>2490.46668</v>
      </c>
      <c r="G177" s="61">
        <v>0</v>
      </c>
      <c r="H177" s="61">
        <f>F177*(($H$152)+1)+(IF(G177&lt;101,G177,IF(G177&lt;201,G177/2,IF(G177&lt;=301,G177/3,G177/4))))</f>
        <v>3735.7000200000002</v>
      </c>
      <c r="I177" s="33"/>
      <c r="N177" s="33"/>
    </row>
    <row r="178" spans="1:14" s="63" customFormat="1" x14ac:dyDescent="0.25">
      <c r="A178" s="61">
        <f>A177+1</f>
        <v>1202</v>
      </c>
      <c r="B178" s="61" t="s">
        <v>339</v>
      </c>
      <c r="C178" s="61" t="s">
        <v>347</v>
      </c>
      <c r="D178" s="74">
        <f>(172.16)*10.764</f>
        <v>1853.13024</v>
      </c>
      <c r="E178" s="74">
        <v>0</v>
      </c>
      <c r="F178" s="61">
        <f>D178+E178</f>
        <v>1853.13024</v>
      </c>
      <c r="G178" s="61">
        <v>0</v>
      </c>
      <c r="H178" s="61">
        <f>F178*(($H$152)+1)+(IF(G178&lt;101,G178,IF(G178&lt;201,G178/2,IF(G178&lt;=301,G178/3,G178/4))))</f>
        <v>2779.6953599999997</v>
      </c>
      <c r="I178" s="33"/>
      <c r="N178" s="33"/>
    </row>
    <row r="179" spans="1:14" s="63" customFormat="1" x14ac:dyDescent="0.25">
      <c r="A179" s="61">
        <f>A178+1</f>
        <v>1203</v>
      </c>
      <c r="B179" s="61" t="s">
        <v>339</v>
      </c>
      <c r="C179" s="61" t="s">
        <v>347</v>
      </c>
      <c r="D179" s="74">
        <f>(172.15-(4.2*1.35))*10.764</f>
        <v>1791.99072</v>
      </c>
      <c r="E179" s="74">
        <f>(4.2*1.35)*10.764</f>
        <v>61.031880000000008</v>
      </c>
      <c r="F179" s="61">
        <f>D179+E179</f>
        <v>1853.0226</v>
      </c>
      <c r="G179" s="61">
        <v>0</v>
      </c>
      <c r="H179" s="61">
        <f>F179*(($H$152)+1)+(IF(G179&lt;101,G179,IF(G179&lt;201,G179/2,IF(G179&lt;=301,G179/3,G179/4))))</f>
        <v>2779.5338999999999</v>
      </c>
      <c r="I179" s="33"/>
      <c r="N179" s="33"/>
    </row>
    <row r="180" spans="1:14" s="63" customFormat="1" x14ac:dyDescent="0.25">
      <c r="A180" s="123" t="s">
        <v>353</v>
      </c>
      <c r="B180" s="123"/>
      <c r="C180" s="123"/>
      <c r="D180" s="123"/>
      <c r="E180" s="123"/>
      <c r="F180" s="123"/>
      <c r="G180" s="123"/>
      <c r="H180" s="123"/>
      <c r="I180" s="33"/>
      <c r="L180" s="126"/>
      <c r="M180" s="126"/>
    </row>
    <row r="181" spans="1:14" s="63" customFormat="1" x14ac:dyDescent="0.25">
      <c r="A181" s="61">
        <f>LEFT(A180,SUM(LEN(A180)-LEN(SUBSTITUTE(A180,{"0","1","2","3","4","5","6","7","8","9"},""))))*100+1</f>
        <v>1301</v>
      </c>
      <c r="B181" s="62" t="s">
        <v>346</v>
      </c>
      <c r="C181" s="61" t="s">
        <v>348</v>
      </c>
      <c r="D181" s="74">
        <f>(216.24-(2.85*1.35))*10.764</f>
        <v>2286.1928699999999</v>
      </c>
      <c r="E181" s="74">
        <f>(2.85*1.35)*10.764</f>
        <v>41.414490000000001</v>
      </c>
      <c r="F181" s="61">
        <f>D181+E181</f>
        <v>2327.60736</v>
      </c>
      <c r="G181" s="61">
        <v>0</v>
      </c>
      <c r="H181" s="61">
        <f>F181*(($H$152)+1)+(IF(G181&lt;101,G181,IF(G181&lt;201,G181/2,IF(G181&lt;=301,G181/3,G181/4))))</f>
        <v>3491.41104</v>
      </c>
      <c r="I181" s="33">
        <f>4.6*0.935+4.9*3.965+3.65*2.45+1.15*2.55+3.7*1.825+4.9*3.442+3.7*1.75+4.8*3.5+6.65*10.665+1.8*1.6+1.8*1.55+2*1.15+1.8*2.4+2.9*4.3+1.8*5.29+2.55*1.95+2.55*3.8+1.2*1.9+1.925*1.5+2.725*1.7+2.85*1.35</f>
        <v>216.01204999999996</v>
      </c>
      <c r="N181" s="33"/>
    </row>
    <row r="182" spans="1:14" s="63" customFormat="1" x14ac:dyDescent="0.25">
      <c r="A182" s="61">
        <f>A181+1</f>
        <v>1302</v>
      </c>
      <c r="B182" s="62" t="s">
        <v>346</v>
      </c>
      <c r="C182" s="61" t="s">
        <v>350</v>
      </c>
      <c r="D182" s="74">
        <f>(361.94-(2.85*1.35))*10.764</f>
        <v>3854.5076699999995</v>
      </c>
      <c r="E182" s="74">
        <f>(2.85*1.35)*10.764</f>
        <v>41.414490000000001</v>
      </c>
      <c r="F182" s="61">
        <f>D182+E182</f>
        <v>3895.9221599999996</v>
      </c>
      <c r="G182" s="61">
        <v>0</v>
      </c>
      <c r="H182" s="61">
        <f>F182*(($H$152)+1)+(IF(G182&lt;101,G182,IF(G182&lt;201,G182/2,IF(G182&lt;=301,G182/3,G182/4))))</f>
        <v>5843.8832399999992</v>
      </c>
      <c r="I182" s="33"/>
      <c r="J182" s="33">
        <f>351700000/H182</f>
        <v>60182.585030566086</v>
      </c>
      <c r="N182" s="33"/>
    </row>
    <row r="183" spans="1:14" s="63" customFormat="1" x14ac:dyDescent="0.25">
      <c r="A183" s="123" t="s">
        <v>354</v>
      </c>
      <c r="B183" s="123"/>
      <c r="C183" s="123"/>
      <c r="D183" s="123"/>
      <c r="E183" s="123"/>
      <c r="F183" s="123"/>
      <c r="G183" s="123"/>
      <c r="H183" s="123"/>
      <c r="I183" s="33"/>
      <c r="L183" s="126"/>
      <c r="M183" s="126"/>
    </row>
    <row r="184" spans="1:14" s="63" customFormat="1" x14ac:dyDescent="0.25">
      <c r="A184" s="61">
        <f>LEFT(A183,SUM(LEN(A183)-LEN(SUBSTITUTE(A183,{"0","1","2","3","4","5","6","7","8","9"},""))))*100+1</f>
        <v>1501</v>
      </c>
      <c r="B184" s="61" t="s">
        <v>339</v>
      </c>
      <c r="C184" s="61" t="s">
        <v>348</v>
      </c>
      <c r="D184" s="74">
        <f>(229.76-(2.85*1.35))*10.764</f>
        <v>2431.7221499999996</v>
      </c>
      <c r="E184" s="74">
        <f>(2.85*1.35)*10.764</f>
        <v>41.414490000000001</v>
      </c>
      <c r="F184" s="61">
        <f>D184+E184</f>
        <v>2473.1366399999997</v>
      </c>
      <c r="G184" s="61">
        <v>0</v>
      </c>
      <c r="H184" s="61">
        <f>F184*(($H$152)+1)+(IF(G184&lt;101,G184,IF(G184&lt;201,G184/2,IF(G184&lt;=301,G184/3,G184/4))))</f>
        <v>3709.7049599999996</v>
      </c>
      <c r="I184" s="33"/>
      <c r="N184" s="33"/>
    </row>
    <row r="185" spans="1:14" s="63" customFormat="1" x14ac:dyDescent="0.25">
      <c r="A185" s="61">
        <f>A184+1</f>
        <v>1502</v>
      </c>
      <c r="B185" s="61" t="s">
        <v>339</v>
      </c>
      <c r="C185" s="61" t="s">
        <v>355</v>
      </c>
      <c r="D185" s="74">
        <f>(232.8)*10.764</f>
        <v>2505.8591999999999</v>
      </c>
      <c r="E185" s="61">
        <v>0</v>
      </c>
      <c r="F185" s="61">
        <f>D185+E185</f>
        <v>2505.8591999999999</v>
      </c>
      <c r="G185" s="61">
        <v>0</v>
      </c>
      <c r="H185" s="61">
        <f>F185*(($H$152)+1)+(IF(G185&lt;101,G185,IF(G185&lt;201,G185/2,IF(G185&lt;=301,G185/3,G185/4))))</f>
        <v>3758.7887999999998</v>
      </c>
      <c r="I185" s="33"/>
      <c r="N185" s="33"/>
    </row>
    <row r="186" spans="1:14" s="63" customFormat="1" x14ac:dyDescent="0.25">
      <c r="A186" s="123" t="s">
        <v>356</v>
      </c>
      <c r="B186" s="123"/>
      <c r="C186" s="123"/>
      <c r="D186" s="123"/>
      <c r="E186" s="123"/>
      <c r="F186" s="123"/>
      <c r="G186" s="123"/>
      <c r="H186" s="123"/>
      <c r="I186" s="33"/>
      <c r="L186" s="126"/>
      <c r="M186" s="126"/>
    </row>
    <row r="187" spans="1:14" s="63" customFormat="1" x14ac:dyDescent="0.25">
      <c r="A187" s="61">
        <f>LEFT(A186,SUM(LEN(A186)-LEN(SUBSTITUTE(A186,{"0","1","2","3","4","5","6","7","8","9"},""))))*100+1</f>
        <v>1601</v>
      </c>
      <c r="B187" s="61" t="s">
        <v>339</v>
      </c>
      <c r="C187" s="61" t="s">
        <v>350</v>
      </c>
      <c r="D187" s="74">
        <f>(309.2-(2.85*1.35))*10.764</f>
        <v>3286.8143099999993</v>
      </c>
      <c r="E187" s="74">
        <f>(2.85*1.35)*10.764</f>
        <v>41.414490000000001</v>
      </c>
      <c r="F187" s="61">
        <f>D187+E187</f>
        <v>3328.2287999999994</v>
      </c>
      <c r="G187" s="61">
        <v>0</v>
      </c>
      <c r="H187" s="61">
        <f>F187*(($H$152)+1)+(IF(G187&lt;101,G187,IF(G187&lt;201,G187/2,IF(G187&lt;=301,G187/3,G187/4))))</f>
        <v>4992.3431999999993</v>
      </c>
      <c r="I187" s="33"/>
      <c r="N187" s="33"/>
    </row>
    <row r="188" spans="1:14" s="63" customFormat="1" x14ac:dyDescent="0.25">
      <c r="A188" s="61">
        <f>A187+1</f>
        <v>1602</v>
      </c>
      <c r="B188" s="61" t="s">
        <v>339</v>
      </c>
      <c r="C188" s="61" t="s">
        <v>340</v>
      </c>
      <c r="D188" s="74">
        <f>(268.31-(2.4*1.35))*10.764</f>
        <v>2853.2134799999999</v>
      </c>
      <c r="E188" s="74">
        <f>(2.4*1.35)*10.764</f>
        <v>34.875360000000001</v>
      </c>
      <c r="F188" s="61">
        <f>D188+E188</f>
        <v>2888.0888399999999</v>
      </c>
      <c r="G188" s="61">
        <v>0</v>
      </c>
      <c r="H188" s="61">
        <f>F188*(($H$152)+1)+(IF(G188&lt;101,G188,IF(G188&lt;201,G188/2,IF(G188&lt;=301,G188/3,G188/4))))</f>
        <v>4332.1332599999996</v>
      </c>
      <c r="I188" s="33"/>
      <c r="N188" s="33"/>
    </row>
    <row r="189" spans="1:14" s="63" customFormat="1" x14ac:dyDescent="0.25">
      <c r="A189" s="123" t="s">
        <v>357</v>
      </c>
      <c r="B189" s="123"/>
      <c r="C189" s="123"/>
      <c r="D189" s="123"/>
      <c r="E189" s="123"/>
      <c r="F189" s="123"/>
      <c r="G189" s="123"/>
      <c r="H189" s="123"/>
      <c r="I189" s="33"/>
      <c r="L189" s="126"/>
      <c r="M189" s="126"/>
    </row>
    <row r="190" spans="1:14" s="63" customFormat="1" x14ac:dyDescent="0.25">
      <c r="A190" s="61">
        <f>LEFT(A189,SUM(LEN(A189)-LEN(SUBSTITUTE(A189,{"0","1","2","3","4","5","6","7","8","9"},""))))*100+1</f>
        <v>1701</v>
      </c>
      <c r="B190" s="61" t="s">
        <v>339</v>
      </c>
      <c r="C190" s="61" t="s">
        <v>340</v>
      </c>
      <c r="D190" s="74">
        <f>(264.82-(2.85*1.35))*10.764</f>
        <v>2809.1079899999995</v>
      </c>
      <c r="E190" s="74">
        <f>(2.85*1.35)*10.764</f>
        <v>41.414490000000001</v>
      </c>
      <c r="F190" s="61">
        <f>D190+E190</f>
        <v>2850.5224799999996</v>
      </c>
      <c r="G190" s="61">
        <v>0</v>
      </c>
      <c r="H190" s="61">
        <f>F190*(($H$152)+1)+(IF(G190&lt;101,G190,IF(G190&lt;201,G190/2,IF(G190&lt;=301,G190/3,G190/4))))</f>
        <v>4275.7837199999994</v>
      </c>
      <c r="I190" s="33"/>
      <c r="N190" s="33"/>
    </row>
    <row r="191" spans="1:14" s="63" customFormat="1" x14ac:dyDescent="0.25">
      <c r="A191" s="61">
        <f>A190+1</f>
        <v>1702</v>
      </c>
      <c r="B191" s="65" t="s">
        <v>346</v>
      </c>
      <c r="C191" s="61" t="s">
        <v>350</v>
      </c>
      <c r="D191" s="74">
        <f>(313.78-(2.85*1.35))*10.764</f>
        <v>3336.1134299999994</v>
      </c>
      <c r="E191" s="74">
        <f>(2.85*1.35)*10.764</f>
        <v>41.414490000000001</v>
      </c>
      <c r="F191" s="61">
        <f>D191+E191</f>
        <v>3377.5279199999995</v>
      </c>
      <c r="G191" s="61">
        <v>0</v>
      </c>
      <c r="H191" s="61">
        <f>F191*(($H$152)+1)+(IF(G191&lt;101,G191,IF(G191&lt;201,G191/2,IF(G191&lt;=301,G191/3,G191/4))))</f>
        <v>5066.2918799999989</v>
      </c>
      <c r="I191" s="33"/>
      <c r="N191" s="33"/>
    </row>
    <row r="192" spans="1:14" s="63" customFormat="1" x14ac:dyDescent="0.25">
      <c r="A192" s="123" t="s">
        <v>358</v>
      </c>
      <c r="B192" s="123"/>
      <c r="C192" s="123"/>
      <c r="D192" s="123"/>
      <c r="E192" s="123"/>
      <c r="F192" s="123"/>
      <c r="G192" s="123"/>
      <c r="H192" s="123"/>
      <c r="I192" s="33"/>
      <c r="L192" s="126"/>
      <c r="M192" s="126"/>
    </row>
    <row r="193" spans="1:20" s="63" customFormat="1" x14ac:dyDescent="0.25">
      <c r="A193" s="61">
        <f>LEFT(A192,SUM(LEN(A192)-LEN(SUBSTITUTE(A192,{"0","1","2","3","4","5","6","7","8","9"},""))))*100+1</f>
        <v>1801</v>
      </c>
      <c r="B193" s="61" t="s">
        <v>339</v>
      </c>
      <c r="C193" s="61" t="s">
        <v>340</v>
      </c>
      <c r="D193" s="74">
        <f>(252.88-(2.85*1.35))*10.764</f>
        <v>2680.58583</v>
      </c>
      <c r="E193" s="74">
        <f>(2.85*1.35)*10.764</f>
        <v>41.414490000000001</v>
      </c>
      <c r="F193" s="61">
        <f>D193+E193</f>
        <v>2722.0003200000001</v>
      </c>
      <c r="G193" s="61">
        <v>0</v>
      </c>
      <c r="H193" s="61">
        <f>F193*(($H$152)+1)+(IF(G193&lt;101,G193,IF(G193&lt;201,G193/2,IF(G193&lt;=301,G193/3,G193/4))))</f>
        <v>4083.0004800000002</v>
      </c>
      <c r="I193" s="33"/>
      <c r="N193" s="33"/>
    </row>
    <row r="194" spans="1:20" s="63" customFormat="1" x14ac:dyDescent="0.25">
      <c r="A194" s="61">
        <f>A193+1</f>
        <v>1802</v>
      </c>
      <c r="B194" s="61" t="s">
        <v>339</v>
      </c>
      <c r="C194" s="61" t="s">
        <v>350</v>
      </c>
      <c r="D194" s="74">
        <f>(325.51-(2.85*1.35))*10.764</f>
        <v>3462.3751499999994</v>
      </c>
      <c r="E194" s="74">
        <f>(2.85*1.35)*10.764</f>
        <v>41.414490000000001</v>
      </c>
      <c r="F194" s="61">
        <f>D194+E194</f>
        <v>3503.7896399999995</v>
      </c>
      <c r="G194" s="61">
        <v>0</v>
      </c>
      <c r="H194" s="61">
        <f>F194*(($H$152)+1)+(IF(G194&lt;101,G194,IF(G194&lt;201,G194/2,IF(G194&lt;=301,G194/3,G194/4))))</f>
        <v>5255.6844599999995</v>
      </c>
      <c r="I194" s="33"/>
      <c r="J194" s="33">
        <f>313000000/H194</f>
        <v>59554.564658929317</v>
      </c>
      <c r="N194" s="33"/>
    </row>
    <row r="195" spans="1:20" s="63" customFormat="1" x14ac:dyDescent="0.25">
      <c r="A195" s="123" t="s">
        <v>359</v>
      </c>
      <c r="B195" s="123"/>
      <c r="C195" s="123"/>
      <c r="D195" s="123"/>
      <c r="E195" s="123"/>
      <c r="F195" s="123"/>
      <c r="G195" s="123"/>
      <c r="H195" s="123"/>
      <c r="I195" s="33"/>
      <c r="L195" s="126"/>
      <c r="M195" s="126"/>
    </row>
    <row r="196" spans="1:20" s="63" customFormat="1" x14ac:dyDescent="0.25">
      <c r="A196" s="61">
        <f>LEFT(A195,SUM(LEN(A195)-LEN(SUBSTITUTE(A195,{"0","1","2","3","4","5","6","7","8","9"},""))))*100+1</f>
        <v>1901</v>
      </c>
      <c r="B196" s="61" t="s">
        <v>339</v>
      </c>
      <c r="C196" s="61" t="s">
        <v>350</v>
      </c>
      <c r="D196" s="74">
        <f>(288.16-(2.85*1.35))*10.764</f>
        <v>3060.3397499999996</v>
      </c>
      <c r="E196" s="74">
        <f>(2.85*1.35)*10.764</f>
        <v>41.414490000000001</v>
      </c>
      <c r="F196" s="61">
        <f>D196+E196</f>
        <v>3101.7542399999998</v>
      </c>
      <c r="G196" s="61">
        <v>0</v>
      </c>
      <c r="H196" s="61">
        <f>F196*(($H$152)+1)+(IF(G196&lt;101,G196,IF(G196&lt;201,G196/2,IF(G196&lt;=301,G196/3,G196/4))))</f>
        <v>4652.6313599999994</v>
      </c>
      <c r="I196" s="33"/>
      <c r="N196" s="33"/>
    </row>
    <row r="197" spans="1:20" s="63" customFormat="1" x14ac:dyDescent="0.25">
      <c r="A197" s="61">
        <f>A196+1</f>
        <v>1902</v>
      </c>
      <c r="B197" s="61" t="s">
        <v>339</v>
      </c>
      <c r="C197" s="61" t="s">
        <v>340</v>
      </c>
      <c r="D197" s="74">
        <f>(289.15-(2.85*1.35))*10.764</f>
        <v>3070.9961099999991</v>
      </c>
      <c r="E197" s="74">
        <f>(2.85*1.35)*10.764</f>
        <v>41.414490000000001</v>
      </c>
      <c r="F197" s="61">
        <f>D197+E197</f>
        <v>3112.4105999999992</v>
      </c>
      <c r="G197" s="61">
        <v>0</v>
      </c>
      <c r="H197" s="61">
        <f>F197*(($H$152)+1)+(IF(G197&lt;101,G197,IF(G197&lt;201,G197/2,IF(G197&lt;=301,G197/3,G197/4))))</f>
        <v>4668.6158999999989</v>
      </c>
      <c r="I197" s="33"/>
      <c r="N197" s="33"/>
    </row>
    <row r="198" spans="1:20" s="63" customFormat="1" x14ac:dyDescent="0.25">
      <c r="A198" s="123" t="s">
        <v>360</v>
      </c>
      <c r="B198" s="123"/>
      <c r="C198" s="123"/>
      <c r="D198" s="123"/>
      <c r="E198" s="123"/>
      <c r="F198" s="123"/>
      <c r="G198" s="123"/>
      <c r="H198" s="123"/>
      <c r="I198" s="33"/>
      <c r="L198" s="126"/>
      <c r="M198" s="126"/>
    </row>
    <row r="199" spans="1:20" s="59" customFormat="1" x14ac:dyDescent="0.25">
      <c r="A199" s="198" t="s">
        <v>332</v>
      </c>
      <c r="B199" s="199"/>
      <c r="C199" s="199"/>
      <c r="D199" s="199"/>
      <c r="E199" s="199"/>
      <c r="F199" s="199"/>
      <c r="G199" s="199"/>
      <c r="H199" s="200"/>
      <c r="J199" s="33"/>
      <c r="T199" s="32"/>
    </row>
    <row r="200" spans="1:20" s="63" customFormat="1" x14ac:dyDescent="0.25">
      <c r="A200" s="123" t="s">
        <v>361</v>
      </c>
      <c r="B200" s="123"/>
      <c r="C200" s="123"/>
      <c r="D200" s="123"/>
      <c r="E200" s="123"/>
      <c r="F200" s="123"/>
      <c r="G200" s="123"/>
      <c r="H200" s="123"/>
      <c r="J200" s="33"/>
    </row>
    <row r="201" spans="1:20" s="59" customFormat="1" x14ac:dyDescent="0.25">
      <c r="A201" s="123" t="s">
        <v>402</v>
      </c>
      <c r="B201" s="123"/>
      <c r="C201" s="123"/>
      <c r="D201" s="123"/>
      <c r="E201" s="123"/>
      <c r="F201" s="123"/>
      <c r="G201" s="123"/>
      <c r="H201" s="123"/>
      <c r="J201" s="33"/>
    </row>
    <row r="202" spans="1:20" s="63" customFormat="1" x14ac:dyDescent="0.25">
      <c r="A202" s="123" t="s">
        <v>403</v>
      </c>
      <c r="B202" s="123"/>
      <c r="C202" s="123"/>
      <c r="D202" s="123"/>
      <c r="E202" s="123"/>
      <c r="F202" s="123"/>
      <c r="G202" s="123"/>
      <c r="H202" s="123"/>
      <c r="J202" s="33"/>
    </row>
    <row r="203" spans="1:20" s="63" customFormat="1" x14ac:dyDescent="0.25">
      <c r="A203" s="123" t="s">
        <v>404</v>
      </c>
      <c r="B203" s="123"/>
      <c r="C203" s="123"/>
      <c r="D203" s="123"/>
      <c r="E203" s="123"/>
      <c r="F203" s="123"/>
      <c r="G203" s="123"/>
      <c r="H203" s="123"/>
      <c r="J203" s="33"/>
    </row>
    <row r="204" spans="1:20" s="87" customFormat="1" x14ac:dyDescent="0.25">
      <c r="A204" s="123" t="s">
        <v>405</v>
      </c>
      <c r="B204" s="123"/>
      <c r="C204" s="123"/>
      <c r="D204" s="123"/>
      <c r="E204" s="123"/>
      <c r="F204" s="123"/>
      <c r="G204" s="123"/>
      <c r="H204" s="123"/>
      <c r="I204" s="33"/>
      <c r="L204" s="126"/>
      <c r="M204" s="126"/>
    </row>
    <row r="205" spans="1:20" s="87" customFormat="1" x14ac:dyDescent="0.25">
      <c r="A205" s="91">
        <v>1</v>
      </c>
      <c r="B205" s="91" t="s">
        <v>339</v>
      </c>
      <c r="C205" s="91" t="s">
        <v>348</v>
      </c>
      <c r="D205" s="74">
        <f>(158.95)*10.764</f>
        <v>1710.9377999999997</v>
      </c>
      <c r="E205" s="91">
        <v>0</v>
      </c>
      <c r="F205" s="91">
        <f>D205+E205</f>
        <v>1710.9377999999997</v>
      </c>
      <c r="G205" s="91">
        <v>0</v>
      </c>
      <c r="H205" s="91">
        <f>F205*(($H$152)+1)+(IF(G205&lt;101,G205,IF(G205&lt;201,G205/2,IF(G205&lt;=301,G205/3,G205/4))))</f>
        <v>2566.4066999999995</v>
      </c>
      <c r="I205" s="33">
        <f>(4.75*6.15+2.64*0.35+5.95*4.19+3.26*3.71+3.35*4.38+1.4*1.1+1.675*2.585+3.66*4.38+0.15*1.31+1.675*2.585+2.25*1.1+4.96*3.2+2.41*1.65+2.86*1.23+0.75*1.33+1.8*1.23+2.65*2.56+2.65*1+1.53*1.65)</f>
        <v>149.27294999999998</v>
      </c>
      <c r="J205" s="87">
        <f>4.75*1.45</f>
        <v>6.8875000000000002</v>
      </c>
      <c r="K205" s="33">
        <f>I205+J205</f>
        <v>156.16044999999997</v>
      </c>
      <c r="N205" s="33"/>
    </row>
    <row r="206" spans="1:20" s="87" customFormat="1" x14ac:dyDescent="0.25">
      <c r="A206" s="91">
        <f>A205+1</f>
        <v>2</v>
      </c>
      <c r="B206" s="91" t="s">
        <v>339</v>
      </c>
      <c r="C206" s="91" t="s">
        <v>355</v>
      </c>
      <c r="D206" s="74">
        <f>(159.08)*10.764</f>
        <v>1712.3371200000001</v>
      </c>
      <c r="E206" s="91">
        <v>0</v>
      </c>
      <c r="F206" s="91">
        <f>D206+E206</f>
        <v>1712.3371200000001</v>
      </c>
      <c r="G206" s="91">
        <v>0</v>
      </c>
      <c r="H206" s="91">
        <f>F206*(($H$152)+1)+(IF(G206&lt;101,G206,IF(G206&lt;201,G206/2,IF(G206&lt;=301,G206/3,G206/4))))</f>
        <v>2568.5056800000002</v>
      </c>
      <c r="I206" s="33"/>
      <c r="N206" s="33"/>
    </row>
    <row r="207" spans="1:20" s="87" customFormat="1" ht="15.75" customHeight="1" x14ac:dyDescent="0.25">
      <c r="A207" s="195" t="s">
        <v>423</v>
      </c>
      <c r="B207" s="196"/>
      <c r="C207" s="196"/>
      <c r="D207" s="196"/>
      <c r="E207" s="196"/>
      <c r="F207" s="196"/>
      <c r="G207" s="196"/>
      <c r="H207" s="197"/>
      <c r="I207" s="33"/>
    </row>
    <row r="208" spans="1:20" s="87" customFormat="1" ht="15.75" customHeight="1" x14ac:dyDescent="0.25">
      <c r="A208" s="91">
        <v>1</v>
      </c>
      <c r="B208" s="91" t="s">
        <v>339</v>
      </c>
      <c r="C208" s="91" t="s">
        <v>348</v>
      </c>
      <c r="D208" s="74">
        <f>(158.95)*10.764</f>
        <v>1710.9377999999997</v>
      </c>
      <c r="E208" s="91">
        <v>0</v>
      </c>
      <c r="F208" s="91">
        <f>D208+E208</f>
        <v>1710.9377999999997</v>
      </c>
      <c r="G208" s="91">
        <v>0</v>
      </c>
      <c r="H208" s="91">
        <f>F208*(($H$152)+1)+(IF(G208&lt;101,G208,IF(G208&lt;201,G208/2,IF(G208&lt;=301,G208/3,G208/4))))</f>
        <v>2566.4066999999995</v>
      </c>
      <c r="I208" s="33"/>
      <c r="L208" s="87" t="s">
        <v>411</v>
      </c>
    </row>
    <row r="209" spans="1:11" s="87" customFormat="1" ht="15.75" customHeight="1" x14ac:dyDescent="0.25">
      <c r="A209" s="91">
        <v>2</v>
      </c>
      <c r="B209" s="91" t="s">
        <v>339</v>
      </c>
      <c r="C209" s="91" t="s">
        <v>355</v>
      </c>
      <c r="D209" s="74">
        <f>(159.08)*10.764</f>
        <v>1712.3371200000001</v>
      </c>
      <c r="E209" s="91">
        <v>0</v>
      </c>
      <c r="F209" s="91">
        <f>D209+E209</f>
        <v>1712.3371200000001</v>
      </c>
      <c r="G209" s="91">
        <v>0</v>
      </c>
      <c r="H209" s="91">
        <f>F209*(($H$152)+1)+(IF(G209&lt;101,G209,IF(G209&lt;201,G209/2,IF(G209&lt;=301,G209/3,G209/4))))</f>
        <v>2568.5056800000002</v>
      </c>
      <c r="I209" s="33"/>
    </row>
    <row r="210" spans="1:11" s="87" customFormat="1" ht="15.75" customHeight="1" x14ac:dyDescent="0.25">
      <c r="A210" s="195" t="s">
        <v>406</v>
      </c>
      <c r="B210" s="196"/>
      <c r="C210" s="196"/>
      <c r="D210" s="196"/>
      <c r="E210" s="196"/>
      <c r="F210" s="196"/>
      <c r="G210" s="196"/>
      <c r="H210" s="197"/>
      <c r="I210" s="33"/>
    </row>
    <row r="211" spans="1:11" s="87" customFormat="1" ht="15.75" customHeight="1" x14ac:dyDescent="0.25">
      <c r="A211" s="91">
        <v>1</v>
      </c>
      <c r="B211" s="88" t="s">
        <v>346</v>
      </c>
      <c r="C211" s="91" t="s">
        <v>348</v>
      </c>
      <c r="D211" s="74">
        <f>(158.95)*10.764</f>
        <v>1710.9377999999997</v>
      </c>
      <c r="E211" s="91">
        <v>0</v>
      </c>
      <c r="F211" s="91">
        <f>D211+E211</f>
        <v>1710.9377999999997</v>
      </c>
      <c r="G211" s="91">
        <v>0</v>
      </c>
      <c r="H211" s="91">
        <f>F211*(($H$152)+1)+(IF(G211&lt;101,G211,IF(G211&lt;201,G211/2,IF(G211&lt;=301,G211/3,G211/4))))</f>
        <v>2566.4066999999995</v>
      </c>
      <c r="I211" s="33"/>
    </row>
    <row r="212" spans="1:11" s="87" customFormat="1" ht="15.75" customHeight="1" x14ac:dyDescent="0.25">
      <c r="A212" s="91">
        <v>2</v>
      </c>
      <c r="B212" s="88" t="s">
        <v>346</v>
      </c>
      <c r="C212" s="91" t="s">
        <v>355</v>
      </c>
      <c r="D212" s="74">
        <f>(159.08)*10.764</f>
        <v>1712.3371200000001</v>
      </c>
      <c r="E212" s="91">
        <v>0</v>
      </c>
      <c r="F212" s="91">
        <f>D212+E212</f>
        <v>1712.3371200000001</v>
      </c>
      <c r="G212" s="91">
        <v>0</v>
      </c>
      <c r="H212" s="91">
        <f>F212*(($H$152)+1)+(IF(G212&lt;101,G212,IF(G212&lt;201,G212/2,IF(G212&lt;=301,G212/3,G212/4))))</f>
        <v>2568.5056800000002</v>
      </c>
      <c r="I212" s="33"/>
    </row>
    <row r="213" spans="1:11" s="87" customFormat="1" ht="15.75" customHeight="1" x14ac:dyDescent="0.25">
      <c r="A213" s="195" t="s">
        <v>407</v>
      </c>
      <c r="B213" s="196"/>
      <c r="C213" s="196"/>
      <c r="D213" s="196"/>
      <c r="E213" s="196"/>
      <c r="F213" s="196"/>
      <c r="G213" s="196"/>
      <c r="H213" s="197"/>
      <c r="I213" s="33"/>
    </row>
    <row r="214" spans="1:11" s="87" customFormat="1" ht="15.75" customHeight="1" x14ac:dyDescent="0.25">
      <c r="A214" s="91">
        <v>1</v>
      </c>
      <c r="B214" s="88" t="s">
        <v>364</v>
      </c>
      <c r="C214" s="91" t="s">
        <v>348</v>
      </c>
      <c r="D214" s="74">
        <f>(158.95)*10.764</f>
        <v>1710.9377999999997</v>
      </c>
      <c r="E214" s="91">
        <v>0</v>
      </c>
      <c r="F214" s="91">
        <f>D214+E214</f>
        <v>1710.9377999999997</v>
      </c>
      <c r="G214" s="91">
        <v>0</v>
      </c>
      <c r="H214" s="91">
        <f>F214*(($H$152)+1)+(IF(G214&lt;101,G214,IF(G214&lt;201,G214/2,IF(G214&lt;=301,G214/3,G214/4))))</f>
        <v>2566.4066999999995</v>
      </c>
      <c r="I214" s="33"/>
    </row>
    <row r="215" spans="1:11" s="87" customFormat="1" ht="15.75" customHeight="1" x14ac:dyDescent="0.25">
      <c r="A215" s="91">
        <v>2</v>
      </c>
      <c r="B215" s="88" t="s">
        <v>364</v>
      </c>
      <c r="C215" s="91" t="s">
        <v>355</v>
      </c>
      <c r="D215" s="74">
        <f>(159.08)*10.764</f>
        <v>1712.3371200000001</v>
      </c>
      <c r="E215" s="91">
        <v>0</v>
      </c>
      <c r="F215" s="91">
        <f>D215+E215</f>
        <v>1712.3371200000001</v>
      </c>
      <c r="G215" s="91">
        <v>0</v>
      </c>
      <c r="H215" s="91">
        <f>F215*(($H$152)+1)+(IF(G215&lt;101,G215,IF(G215&lt;201,G215/2,IF(G215&lt;=301,G215/3,G215/4))))</f>
        <v>2568.5056800000002</v>
      </c>
      <c r="I215" s="33"/>
    </row>
    <row r="216" spans="1:11" s="87" customFormat="1" x14ac:dyDescent="0.25">
      <c r="A216" s="195" t="s">
        <v>408</v>
      </c>
      <c r="B216" s="196"/>
      <c r="C216" s="196"/>
      <c r="D216" s="196"/>
      <c r="E216" s="196"/>
      <c r="F216" s="196"/>
      <c r="G216" s="196"/>
      <c r="H216" s="197"/>
      <c r="I216" s="33"/>
    </row>
    <row r="217" spans="1:11" s="87" customFormat="1" ht="15.75" customHeight="1" x14ac:dyDescent="0.25">
      <c r="A217" s="91">
        <v>1</v>
      </c>
      <c r="B217" s="91" t="s">
        <v>339</v>
      </c>
      <c r="C217" s="91" t="s">
        <v>340</v>
      </c>
      <c r="D217" s="74">
        <f>(227.44)*10.764</f>
        <v>2448.1641599999998</v>
      </c>
      <c r="E217" s="91">
        <v>0</v>
      </c>
      <c r="F217" s="91">
        <f>D217+E217</f>
        <v>2448.1641599999998</v>
      </c>
      <c r="G217" s="91">
        <v>0</v>
      </c>
      <c r="H217" s="91">
        <f>F217*(($H$152)+1)+(IF(G217&lt;101,G217,IF(G217&lt;201,G217/2,IF(G217&lt;=301,G217/3,G217/4))))</f>
        <v>3672.2462399999995</v>
      </c>
      <c r="I217" s="33">
        <f>(5.95*4.5+4.75*1.65+2.64*0.35+5.95*4.19+3.26*3.71+5.075*4.875+3.35*0.595+1.975*2.75+2.875*0.725+1.575*2.75+3.7*1.05+3.6*3.35+3.35*4.38+1.4*1.1+1.675*2.585+3.66*4.38+1.675*2.585+2.25*1.1+4.96*3.2+2.41*1.65+2.86*1.23+1.8*1.23+0.75*1.33+2.65*2.56+2.65*1+1.1*0.76+1.53*1.65)</f>
        <v>209.83819999999992</v>
      </c>
      <c r="J217" s="87">
        <f>9.65*1.45</f>
        <v>13.9925</v>
      </c>
      <c r="K217" s="33">
        <f>I217+J217</f>
        <v>223.83069999999992</v>
      </c>
    </row>
    <row r="218" spans="1:11" s="87" customFormat="1" ht="15.75" customHeight="1" x14ac:dyDescent="0.25">
      <c r="A218" s="91">
        <v>2</v>
      </c>
      <c r="B218" s="91" t="s">
        <v>364</v>
      </c>
      <c r="C218" s="121" t="s">
        <v>365</v>
      </c>
      <c r="D218" s="207"/>
      <c r="E218" s="207"/>
      <c r="F218" s="207"/>
      <c r="G218" s="207"/>
      <c r="H218" s="122"/>
      <c r="I218" s="33"/>
    </row>
    <row r="219" spans="1:11" s="87" customFormat="1" x14ac:dyDescent="0.25">
      <c r="A219" s="195" t="s">
        <v>409</v>
      </c>
      <c r="B219" s="196"/>
      <c r="C219" s="196"/>
      <c r="D219" s="196"/>
      <c r="E219" s="196"/>
      <c r="F219" s="196"/>
      <c r="G219" s="196"/>
      <c r="H219" s="197"/>
      <c r="I219" s="33"/>
    </row>
    <row r="220" spans="1:11" s="87" customFormat="1" ht="15.75" customHeight="1" x14ac:dyDescent="0.25">
      <c r="A220" s="91">
        <v>1</v>
      </c>
      <c r="B220" s="88" t="s">
        <v>346</v>
      </c>
      <c r="C220" s="91" t="s">
        <v>340</v>
      </c>
      <c r="D220" s="74">
        <f>(238.01)*10.764</f>
        <v>2561.9396399999996</v>
      </c>
      <c r="E220" s="91">
        <v>0</v>
      </c>
      <c r="F220" s="91">
        <f>D220+E220</f>
        <v>2561.9396399999996</v>
      </c>
      <c r="G220" s="91">
        <v>0</v>
      </c>
      <c r="H220" s="91">
        <f>F220*(($H$152)+1)+(IF(G220&lt;101,G220,IF(G220&lt;201,G220/2,IF(G220&lt;=301,G220/3,G220/4))))</f>
        <v>3842.9094599999994</v>
      </c>
      <c r="I220" s="33"/>
    </row>
    <row r="221" spans="1:11" s="87" customFormat="1" ht="15.75" customHeight="1" x14ac:dyDescent="0.25">
      <c r="A221" s="91">
        <v>2</v>
      </c>
      <c r="B221" s="91" t="s">
        <v>364</v>
      </c>
      <c r="C221" s="121" t="s">
        <v>365</v>
      </c>
      <c r="D221" s="207"/>
      <c r="E221" s="207"/>
      <c r="F221" s="207"/>
      <c r="G221" s="207"/>
      <c r="H221" s="122"/>
      <c r="I221" s="33"/>
    </row>
    <row r="222" spans="1:11" s="87" customFormat="1" x14ac:dyDescent="0.25">
      <c r="A222" s="195" t="s">
        <v>410</v>
      </c>
      <c r="B222" s="196"/>
      <c r="C222" s="196"/>
      <c r="D222" s="196"/>
      <c r="E222" s="196"/>
      <c r="F222" s="196"/>
      <c r="G222" s="196"/>
      <c r="H222" s="197"/>
      <c r="I222" s="33"/>
    </row>
    <row r="223" spans="1:11" s="87" customFormat="1" ht="15.75" customHeight="1" x14ac:dyDescent="0.25">
      <c r="A223" s="91">
        <v>1</v>
      </c>
      <c r="B223" s="88" t="s">
        <v>364</v>
      </c>
      <c r="C223" s="91" t="s">
        <v>348</v>
      </c>
      <c r="D223" s="74">
        <f>(158.95)*10.764</f>
        <v>1710.9377999999997</v>
      </c>
      <c r="E223" s="91">
        <v>0</v>
      </c>
      <c r="F223" s="91">
        <f>D223+E223</f>
        <v>1710.9377999999997</v>
      </c>
      <c r="G223" s="91">
        <v>0</v>
      </c>
      <c r="H223" s="91">
        <f>F223*(($H$152)+1)+(IF(G223&lt;101,G223,IF(G223&lt;201,G223/2,IF(G223&lt;=301,G223/3,G223/4))))</f>
        <v>2566.4066999999995</v>
      </c>
      <c r="I223" s="33"/>
    </row>
    <row r="224" spans="1:11" s="87" customFormat="1" ht="15.75" customHeight="1" x14ac:dyDescent="0.25">
      <c r="A224" s="91">
        <v>2</v>
      </c>
      <c r="B224" s="91" t="s">
        <v>364</v>
      </c>
      <c r="C224" s="91" t="s">
        <v>344</v>
      </c>
      <c r="D224" s="74">
        <f>(133.33)*10.764</f>
        <v>1435.1641200000001</v>
      </c>
      <c r="E224" s="91">
        <v>0</v>
      </c>
      <c r="F224" s="91">
        <f>D224+E224</f>
        <v>1435.1641200000001</v>
      </c>
      <c r="G224" s="91">
        <v>0</v>
      </c>
      <c r="H224" s="91">
        <f>F224*(($H$152)+1)+(IF(G224&lt;101,G224,IF(G224&lt;201,G224/2,IF(G224&lt;=301,G224/3,G224/4))))</f>
        <v>2152.7461800000001</v>
      </c>
      <c r="I224" s="33">
        <f>(4.75*6.15+5.95*4.19+2.64*0.35+1.1*0.445+1.3*1.05+4.96*2.6+3.66*4.38+1.15*1.1+1.625*2.585+3.35*4.38+1.625*2.585+1.4*1.1+2.15*1.725+1.36*1.975+1.5*1.5+1.45*1.5+0.75*0.775)</f>
        <v>123.12855</v>
      </c>
      <c r="J224" s="87">
        <f>4.75*1.45</f>
        <v>6.8875000000000002</v>
      </c>
      <c r="K224" s="33">
        <f>I224+J224</f>
        <v>130.01605000000001</v>
      </c>
    </row>
    <row r="225" spans="1:20" s="34" customFormat="1" hidden="1" x14ac:dyDescent="0.25">
      <c r="A225" s="195" t="s">
        <v>116</v>
      </c>
      <c r="B225" s="196"/>
      <c r="C225" s="196"/>
      <c r="D225" s="196"/>
      <c r="E225" s="196"/>
      <c r="F225" s="196"/>
      <c r="G225" s="196"/>
      <c r="H225" s="197"/>
      <c r="J225" s="33"/>
    </row>
    <row r="226" spans="1:20" s="34" customFormat="1" ht="15.75" hidden="1" customHeight="1" x14ac:dyDescent="0.25">
      <c r="A226" s="121">
        <v>1</v>
      </c>
      <c r="B226" s="122"/>
      <c r="C226" s="39"/>
      <c r="D226" s="39"/>
      <c r="E226" s="39">
        <v>0</v>
      </c>
      <c r="F226" s="39">
        <f>D226+E226</f>
        <v>0</v>
      </c>
      <c r="G226" s="48">
        <v>0</v>
      </c>
      <c r="H226" s="48">
        <f>F226*(($H$152)+1)+(IF(G226&lt;101,G226,IF(G226&lt;201,G226/2,IF(G226&lt;=301,G226/3,G226/4))))</f>
        <v>0</v>
      </c>
      <c r="I226" s="33"/>
      <c r="L226" s="126"/>
      <c r="M226" s="126"/>
      <c r="N226" s="33"/>
    </row>
    <row r="227" spans="1:20" s="34" customFormat="1" ht="15.75" hidden="1" customHeight="1" x14ac:dyDescent="0.25">
      <c r="A227" s="121">
        <f>A226+1</f>
        <v>2</v>
      </c>
      <c r="B227" s="122"/>
      <c r="C227" s="39"/>
      <c r="D227" s="39"/>
      <c r="E227" s="39">
        <v>0</v>
      </c>
      <c r="F227" s="48">
        <f>D227+E227</f>
        <v>0</v>
      </c>
      <c r="G227" s="48">
        <v>0</v>
      </c>
      <c r="H227" s="48">
        <f>F227*(($H$152)+1)+(IF(G227&lt;101,G227,IF(G227&lt;201,G227/2,IF(G227&lt;=301,G227/3,G227/4))))</f>
        <v>0</v>
      </c>
      <c r="I227" s="33"/>
      <c r="L227" s="126"/>
      <c r="M227" s="126"/>
      <c r="N227" s="33"/>
    </row>
    <row r="228" spans="1:20" s="34" customFormat="1" ht="15.75" hidden="1" customHeight="1" x14ac:dyDescent="0.25">
      <c r="A228" s="121">
        <f>A227+1</f>
        <v>3</v>
      </c>
      <c r="B228" s="122"/>
      <c r="C228" s="39"/>
      <c r="D228" s="39"/>
      <c r="E228" s="39">
        <v>0</v>
      </c>
      <c r="F228" s="48">
        <f>D228+E228</f>
        <v>0</v>
      </c>
      <c r="G228" s="48">
        <v>0</v>
      </c>
      <c r="H228" s="48">
        <f>F228*(($H$152)+1)+(IF(G228&lt;101,G228,IF(G228&lt;201,G228/2,IF(G228&lt;=301,G228/3,G228/4))))</f>
        <v>0</v>
      </c>
      <c r="I228" s="33"/>
      <c r="L228" s="126"/>
      <c r="M228" s="126"/>
      <c r="N228" s="33"/>
    </row>
    <row r="229" spans="1:20" s="34" customFormat="1" hidden="1" x14ac:dyDescent="0.25">
      <c r="A229" s="121">
        <f>A228+1</f>
        <v>4</v>
      </c>
      <c r="B229" s="122"/>
      <c r="C229" s="39"/>
      <c r="D229" s="39"/>
      <c r="E229" s="39">
        <v>0</v>
      </c>
      <c r="F229" s="48">
        <f>D229+E229</f>
        <v>0</v>
      </c>
      <c r="G229" s="48">
        <v>0</v>
      </c>
      <c r="H229" s="48">
        <f>F229*(($H$152)+1)+(IF(G229&lt;101,G229,IF(G229&lt;201,G229/2,IF(G229&lt;=301,G229/3,G229/4))))</f>
        <v>0</v>
      </c>
      <c r="I229" s="33"/>
      <c r="L229" s="126"/>
      <c r="M229" s="126"/>
      <c r="N229" s="33"/>
      <c r="T229" s="18"/>
    </row>
    <row r="230" spans="1:20" s="34" customFormat="1" hidden="1" x14ac:dyDescent="0.25">
      <c r="A230" s="123" t="s">
        <v>117</v>
      </c>
      <c r="B230" s="123"/>
      <c r="C230" s="123"/>
      <c r="D230" s="123"/>
      <c r="E230" s="123"/>
      <c r="F230" s="123"/>
      <c r="G230" s="123"/>
      <c r="H230" s="123"/>
      <c r="I230" s="33"/>
      <c r="L230" s="126"/>
      <c r="M230" s="126"/>
    </row>
    <row r="231" spans="1:20" s="34" customFormat="1" hidden="1" x14ac:dyDescent="0.25">
      <c r="A231" s="208">
        <f>LEFT(A230,SUM(LEN(A230)-LEN(SUBSTITUTE(A230,{"0","1","2","3","4","5","6","7","8","9"},""))))*100+1</f>
        <v>201</v>
      </c>
      <c r="B231" s="208"/>
      <c r="C231" s="39"/>
      <c r="D231" s="39"/>
      <c r="E231" s="48">
        <v>0</v>
      </c>
      <c r="F231" s="48">
        <f>D231+E231</f>
        <v>0</v>
      </c>
      <c r="G231" s="48">
        <v>0</v>
      </c>
      <c r="H231" s="48">
        <f>F231*(($H$152)+1)+(IF(G231&lt;101,G231,IF(G231&lt;201,G231/2,IF(G231&lt;=301,G231/3,G231/4))))</f>
        <v>0</v>
      </c>
      <c r="I231" s="33"/>
      <c r="N231" s="33"/>
    </row>
    <row r="232" spans="1:20" s="34" customFormat="1" hidden="1" x14ac:dyDescent="0.25">
      <c r="A232" s="208">
        <f>A231+1</f>
        <v>202</v>
      </c>
      <c r="B232" s="208"/>
      <c r="C232" s="39"/>
      <c r="D232" s="39"/>
      <c r="E232" s="48">
        <v>0</v>
      </c>
      <c r="F232" s="48">
        <f>D232+E232</f>
        <v>0</v>
      </c>
      <c r="G232" s="48">
        <v>0</v>
      </c>
      <c r="H232" s="48">
        <f>F232*(($H$152)+1)+(IF(G232&lt;101,G232,IF(G232&lt;201,G232/2,IF(G232&lt;=301,G232/3,G232/4))))</f>
        <v>0</v>
      </c>
      <c r="I232" s="33"/>
      <c r="N232" s="33"/>
    </row>
    <row r="233" spans="1:20" s="34" customFormat="1" hidden="1" x14ac:dyDescent="0.25">
      <c r="A233" s="208">
        <f>A232+1</f>
        <v>203</v>
      </c>
      <c r="B233" s="208"/>
      <c r="C233" s="39"/>
      <c r="D233" s="39"/>
      <c r="E233" s="48">
        <v>0</v>
      </c>
      <c r="F233" s="48">
        <f>D233+E233</f>
        <v>0</v>
      </c>
      <c r="G233" s="48">
        <v>0</v>
      </c>
      <c r="H233" s="48">
        <f>F233*(($H$152)+1)+(IF(G233&lt;101,G233,IF(G233&lt;201,G233/2,IF(G233&lt;=301,G233/3,G233/4))))</f>
        <v>0</v>
      </c>
      <c r="I233" s="33"/>
      <c r="N233" s="33"/>
    </row>
    <row r="234" spans="1:20" s="34" customFormat="1" hidden="1" x14ac:dyDescent="0.25">
      <c r="A234" s="208">
        <f>A233+1</f>
        <v>204</v>
      </c>
      <c r="B234" s="208"/>
      <c r="C234" s="39"/>
      <c r="D234" s="39"/>
      <c r="E234" s="48">
        <v>0</v>
      </c>
      <c r="F234" s="48">
        <f>D234+E234</f>
        <v>0</v>
      </c>
      <c r="G234" s="48">
        <v>0</v>
      </c>
      <c r="H234" s="48">
        <f>F234*(($H$152)+1)+(IF(G234&lt;101,G234,IF(G234&lt;201,G234/2,IF(G234&lt;=301,G234/3,G234/4))))</f>
        <v>0</v>
      </c>
      <c r="I234" s="33"/>
      <c r="N234" s="33"/>
    </row>
    <row r="235" spans="1:20" s="34" customFormat="1" hidden="1" x14ac:dyDescent="0.25">
      <c r="A235" s="208">
        <f>A234+1</f>
        <v>205</v>
      </c>
      <c r="B235" s="208"/>
      <c r="C235" s="39"/>
      <c r="D235" s="39"/>
      <c r="E235" s="48">
        <v>0</v>
      </c>
      <c r="F235" s="48">
        <f>D235+E235</f>
        <v>0</v>
      </c>
      <c r="G235" s="48">
        <v>0</v>
      </c>
      <c r="H235" s="48">
        <f>F235*(($H$152)+1)+(IF(G235&lt;101,G235,IF(G235&lt;201,G235/2,IF(G235&lt;=301,G235/3,G235/4))))</f>
        <v>0</v>
      </c>
      <c r="I235" s="33"/>
      <c r="N235" s="33"/>
    </row>
    <row r="236" spans="1:20" s="34" customFormat="1" ht="15.75" hidden="1" customHeight="1" x14ac:dyDescent="0.25">
      <c r="A236" s="195" t="s">
        <v>149</v>
      </c>
      <c r="B236" s="196"/>
      <c r="C236" s="196"/>
      <c r="D236" s="196"/>
      <c r="E236" s="196"/>
      <c r="F236" s="196"/>
      <c r="G236" s="196"/>
      <c r="H236" s="197"/>
      <c r="I236" s="33"/>
    </row>
    <row r="237" spans="1:20" s="34" customFormat="1" ht="15.75" hidden="1" customHeight="1" x14ac:dyDescent="0.25">
      <c r="A237" s="121"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10^ROW(INDIRECT("1:"&amp;LEN((LEFT(A236,SUM(LEN(A236)-LEN(SUBSTITUTE(A236,{"0","1","2"},""))))))))/10))*100+1&amp;""&amp;" ,..,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",LEN(A236))),LEN(A236)))))))/10))*100+1</f>
        <v>301 ,.., 1501</v>
      </c>
      <c r="B237" s="122"/>
      <c r="C237" s="39"/>
      <c r="D237" s="39"/>
      <c r="E237" s="48">
        <v>0</v>
      </c>
      <c r="F237" s="48">
        <f>D237+E237</f>
        <v>0</v>
      </c>
      <c r="G237" s="48">
        <v>0</v>
      </c>
      <c r="H237" s="48">
        <f>F237*(($H$152)+1)+(IF(G237&lt;101,G237,IF(G237&lt;201,G237/2,IF(G237&lt;=301,G237/3,G237/4))))</f>
        <v>0</v>
      </c>
      <c r="I237" s="33"/>
    </row>
    <row r="238" spans="1:20" s="34" customFormat="1" ht="15.75" hidden="1" customHeight="1" x14ac:dyDescent="0.25">
      <c r="A238" s="121"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302 ,.., 1502</v>
      </c>
      <c r="B238" s="122"/>
      <c r="C238" s="39"/>
      <c r="D238" s="39"/>
      <c r="E238" s="48">
        <v>0</v>
      </c>
      <c r="F238" s="48">
        <f>D238+E238</f>
        <v>0</v>
      </c>
      <c r="G238" s="48">
        <v>0</v>
      </c>
      <c r="H238" s="48">
        <f>F238*(($H$152)+1)+(IF(G238&lt;101,G238,IF(G238&lt;201,G238/2,IF(G238&lt;=301,G238/3,G238/4))))</f>
        <v>0</v>
      </c>
      <c r="I238" s="33"/>
    </row>
    <row r="239" spans="1:20" s="34" customFormat="1" ht="15.75" hidden="1" customHeight="1" x14ac:dyDescent="0.25">
      <c r="A239" s="121"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10^ROW(INDIRECT("1:"&amp;LEN((LEFT(A238,SUM(LEN(A238)-LEN(SUBSTITUTE(A238,{"0","1","2"},""))))))))/10))*1+1&amp;""&amp;" ,..,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",LEN(A238))),LEN(A238)))))))/10))*1+1</f>
        <v>303 ,.., 1503</v>
      </c>
      <c r="B239" s="122"/>
      <c r="C239" s="39"/>
      <c r="D239" s="39"/>
      <c r="E239" s="48">
        <v>0</v>
      </c>
      <c r="F239" s="48">
        <f>D239+E239</f>
        <v>0</v>
      </c>
      <c r="G239" s="48">
        <v>0</v>
      </c>
      <c r="H239" s="48">
        <f>F239*(($H$152)+1)+(IF(G239&lt;101,G239,IF(G239&lt;201,G239/2,IF(G239&lt;=301,G239/3,G239/4))))</f>
        <v>0</v>
      </c>
      <c r="I239" s="33"/>
    </row>
    <row r="240" spans="1:20" s="34" customFormat="1" ht="15.75" hidden="1" customHeight="1" x14ac:dyDescent="0.25">
      <c r="A240" s="121"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304 ,.., 1504</v>
      </c>
      <c r="B240" s="122"/>
      <c r="C240" s="39"/>
      <c r="D240" s="39"/>
      <c r="E240" s="48">
        <v>0</v>
      </c>
      <c r="F240" s="48">
        <f>D240+E240</f>
        <v>0</v>
      </c>
      <c r="G240" s="48">
        <v>0</v>
      </c>
      <c r="H240" s="48">
        <f>F240*(($H$152)+1)+(IF(G240&lt;101,G240,IF(G240&lt;201,G240/2,IF(G240&lt;=301,G240/3,G240/4))))</f>
        <v>0</v>
      </c>
      <c r="I240" s="33"/>
    </row>
    <row r="241" spans="1:20" s="34" customFormat="1" ht="15.75" hidden="1" customHeight="1" x14ac:dyDescent="0.25">
      <c r="A241" s="121"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305 ,.., 1505</v>
      </c>
      <c r="B241" s="122"/>
      <c r="C241" s="39"/>
      <c r="D241" s="39"/>
      <c r="E241" s="48">
        <v>0</v>
      </c>
      <c r="F241" s="48">
        <f>D241+E241</f>
        <v>0</v>
      </c>
      <c r="G241" s="48">
        <v>0</v>
      </c>
      <c r="H241" s="48">
        <f>F241*(($H$152)+1)+(IF(G241&lt;101,G241,IF(G241&lt;201,G241/2,IF(G241&lt;=301,G241/3,G241/4))))</f>
        <v>0</v>
      </c>
      <c r="I241" s="33"/>
    </row>
    <row r="242" spans="1:20" s="34" customFormat="1" hidden="1" x14ac:dyDescent="0.25">
      <c r="A242" s="195" t="s">
        <v>143</v>
      </c>
      <c r="B242" s="196"/>
      <c r="C242" s="196"/>
      <c r="D242" s="196"/>
      <c r="E242" s="196"/>
      <c r="F242" s="196"/>
      <c r="G242" s="196"/>
      <c r="H242" s="197"/>
      <c r="I242" s="33"/>
    </row>
    <row r="243" spans="1:20" s="34" customFormat="1" ht="15.75" hidden="1" customHeight="1" x14ac:dyDescent="0.25">
      <c r="A243" s="121"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10^ROW(INDIRECT("1:"&amp;LEN((LEFT(A242,SUM(LEN(A242)-LEN(SUBSTITUTE(A242,{"0","1","2"},""))))))))/10))*100+1&amp;""&amp;" to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",LEN(A242))),LEN(A242)))))))/10))*100+1</f>
        <v>201 to 501</v>
      </c>
      <c r="B243" s="122"/>
      <c r="C243" s="39"/>
      <c r="D243" s="39"/>
      <c r="E243" s="48">
        <v>0</v>
      </c>
      <c r="F243" s="48">
        <f>D243+E243</f>
        <v>0</v>
      </c>
      <c r="G243" s="48">
        <v>0</v>
      </c>
      <c r="H243" s="48">
        <f>F243*(($H$152)+1)+(IF(G243&lt;101,G243,IF(G243&lt;201,G243/2,IF(G243&lt;=301,G243/3,G243/4))))</f>
        <v>0</v>
      </c>
      <c r="I243" s="33"/>
    </row>
    <row r="244" spans="1:20" s="34" customFormat="1" ht="15.75" hidden="1" customHeight="1" x14ac:dyDescent="0.25">
      <c r="A244" s="121"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to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202 to 502</v>
      </c>
      <c r="B244" s="122"/>
      <c r="C244" s="39"/>
      <c r="D244" s="39"/>
      <c r="E244" s="48">
        <v>0</v>
      </c>
      <c r="F244" s="48">
        <f>D244+E244</f>
        <v>0</v>
      </c>
      <c r="G244" s="48">
        <v>0</v>
      </c>
      <c r="H244" s="48">
        <f>F244*(($H$152)+1)+(IF(G244&lt;101,G244,IF(G244&lt;201,G244/2,IF(G244&lt;=301,G244/3,G244/4))))</f>
        <v>0</v>
      </c>
      <c r="I244" s="33"/>
    </row>
    <row r="245" spans="1:20" s="34" customFormat="1" ht="15.75" hidden="1" customHeight="1" x14ac:dyDescent="0.25">
      <c r="A245" s="121"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10^ROW(INDIRECT("1:"&amp;LEN((LEFT(A244,SUM(LEN(A244)-LEN(SUBSTITUTE(A244,{"0","1","2"},""))))))))/10))*1+1&amp;""&amp;" to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",LEN(A244))),LEN(A244)))))))/10))*1+1</f>
        <v>203 to 503</v>
      </c>
      <c r="B245" s="122"/>
      <c r="C245" s="39"/>
      <c r="D245" s="39"/>
      <c r="E245" s="48">
        <v>0</v>
      </c>
      <c r="F245" s="48">
        <f>D245+E245</f>
        <v>0</v>
      </c>
      <c r="G245" s="48">
        <v>0</v>
      </c>
      <c r="H245" s="48">
        <f>F245*(($H$152)+1)+(IF(G245&lt;101,G245,IF(G245&lt;201,G245/2,IF(G245&lt;=301,G245/3,G245/4))))</f>
        <v>0</v>
      </c>
      <c r="I245" s="33"/>
    </row>
    <row r="246" spans="1:20" s="34" customFormat="1" ht="15.75" hidden="1" customHeight="1" x14ac:dyDescent="0.25">
      <c r="A246" s="121"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10^ROW(INDIRECT("1:"&amp;LEN((LEFT(A245,SUM(LEN(A245)-LEN(SUBSTITUTE(A245,{"0","1","2"},""))))))))/10))*1+1&amp;""&amp;" to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",LEN(A245))),LEN(A245)))))))/10))*1+1</f>
        <v>204 to 504</v>
      </c>
      <c r="B246" s="122"/>
      <c r="C246" s="39"/>
      <c r="D246" s="39"/>
      <c r="E246" s="48">
        <v>0</v>
      </c>
      <c r="F246" s="48">
        <f>D246+E246</f>
        <v>0</v>
      </c>
      <c r="G246" s="48">
        <v>0</v>
      </c>
      <c r="H246" s="48">
        <f>F246*(($H$152)+1)+(IF(G246&lt;101,G246,IF(G246&lt;201,G246/2,IF(G246&lt;=301,G246/3,G246/4))))</f>
        <v>0</v>
      </c>
      <c r="I246" s="33"/>
    </row>
    <row r="247" spans="1:20" s="34" customFormat="1" ht="15.75" hidden="1" customHeight="1" x14ac:dyDescent="0.25">
      <c r="A247" s="121"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to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205 to 505</v>
      </c>
      <c r="B247" s="122"/>
      <c r="C247" s="39"/>
      <c r="D247" s="39"/>
      <c r="E247" s="48">
        <v>0</v>
      </c>
      <c r="F247" s="48">
        <f>D247+E247</f>
        <v>0</v>
      </c>
      <c r="G247" s="48">
        <v>0</v>
      </c>
      <c r="H247" s="48">
        <f>F247*(($H$152)+1)+(IF(G247&lt;101,G247,IF(G247&lt;201,G247/2,IF(G247&lt;=301,G247/3,G247/4))))</f>
        <v>0</v>
      </c>
      <c r="I247" s="33"/>
    </row>
    <row r="248" spans="1:20" s="34" customFormat="1" hidden="1" x14ac:dyDescent="0.25">
      <c r="A248" s="195" t="s">
        <v>144</v>
      </c>
      <c r="B248" s="196"/>
      <c r="C248" s="196"/>
      <c r="D248" s="196"/>
      <c r="E248" s="196"/>
      <c r="F248" s="196"/>
      <c r="G248" s="196"/>
      <c r="H248" s="197"/>
      <c r="I248" s="33"/>
    </row>
    <row r="249" spans="1:20" s="34" customFormat="1" ht="15.75" hidden="1" customHeight="1" x14ac:dyDescent="0.25">
      <c r="A249" s="121"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10^ROW(INDIRECT("1:"&amp;LEN((LEFT(A248,SUM(LEN(A248)-LEN(SUBSTITUTE(A248,{"0","1","2"},""))))))))/10))*100+1&amp;""&amp;" &amp;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",LEN(A248))),LEN(A248)))))))/10))*100+1</f>
        <v>201 &amp; 501</v>
      </c>
      <c r="B249" s="122"/>
      <c r="C249" s="39"/>
      <c r="D249" s="39"/>
      <c r="E249" s="48">
        <v>0</v>
      </c>
      <c r="F249" s="48">
        <f>D249+E249</f>
        <v>0</v>
      </c>
      <c r="G249" s="48">
        <v>0</v>
      </c>
      <c r="H249" s="48">
        <f>F249*(($H$152)+1)+(IF(G249&lt;101,G249,IF(G249&lt;201,G249/2,IF(G249&lt;=301,G249/3,G249/4))))</f>
        <v>0</v>
      </c>
      <c r="I249" s="33"/>
    </row>
    <row r="250" spans="1:20" s="34" customFormat="1" ht="15.75" hidden="1" customHeight="1" x14ac:dyDescent="0.25">
      <c r="A250" s="121"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&amp;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202 &amp; 502</v>
      </c>
      <c r="B250" s="122"/>
      <c r="C250" s="39"/>
      <c r="D250" s="39"/>
      <c r="E250" s="48">
        <v>0</v>
      </c>
      <c r="F250" s="48">
        <f>D250+E250</f>
        <v>0</v>
      </c>
      <c r="G250" s="48">
        <v>0</v>
      </c>
      <c r="H250" s="48">
        <f>F250*(($H$152)+1)+(IF(G250&lt;101,G250,IF(G250&lt;201,G250/2,IF(G250&lt;=301,G250/3,G250/4))))</f>
        <v>0</v>
      </c>
      <c r="I250" s="33"/>
    </row>
    <row r="251" spans="1:20" s="34" customFormat="1" ht="15.75" hidden="1" customHeight="1" x14ac:dyDescent="0.25">
      <c r="A251" s="121"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&amp;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203 &amp; 503</v>
      </c>
      <c r="B251" s="122"/>
      <c r="C251" s="39"/>
      <c r="D251" s="39"/>
      <c r="E251" s="48">
        <v>0</v>
      </c>
      <c r="F251" s="48">
        <f>D251+E251</f>
        <v>0</v>
      </c>
      <c r="G251" s="48">
        <v>0</v>
      </c>
      <c r="H251" s="48">
        <f>F251*(($H$152)+1)+(IF(G251&lt;101,G251,IF(G251&lt;201,G251/2,IF(G251&lt;=301,G251/3,G251/4))))</f>
        <v>0</v>
      </c>
      <c r="I251" s="33"/>
    </row>
    <row r="252" spans="1:20" s="34" customFormat="1" ht="15.75" hidden="1" customHeight="1" x14ac:dyDescent="0.25">
      <c r="A252" s="121"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&amp;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204 &amp; 504</v>
      </c>
      <c r="B252" s="122"/>
      <c r="C252" s="39"/>
      <c r="D252" s="39"/>
      <c r="E252" s="48">
        <v>0</v>
      </c>
      <c r="F252" s="48">
        <f>D252+E252</f>
        <v>0</v>
      </c>
      <c r="G252" s="48">
        <v>0</v>
      </c>
      <c r="H252" s="48">
        <f>F252*(($H$152)+1)+(IF(G252&lt;101,G252,IF(G252&lt;201,G252/2,IF(G252&lt;=301,G252/3,G252/4))))</f>
        <v>0</v>
      </c>
      <c r="I252" s="33"/>
    </row>
    <row r="253" spans="1:20" s="34" customFormat="1" ht="15.75" hidden="1" customHeight="1" x14ac:dyDescent="0.25">
      <c r="A253" s="121"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&amp;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205 &amp; 505</v>
      </c>
      <c r="B253" s="122"/>
      <c r="C253" s="39"/>
      <c r="D253" s="39"/>
      <c r="E253" s="48">
        <v>0</v>
      </c>
      <c r="F253" s="48">
        <f>D253+E253</f>
        <v>0</v>
      </c>
      <c r="G253" s="48">
        <v>0</v>
      </c>
      <c r="H253" s="48">
        <f>F253*(($H$152)+1)+(IF(G253&lt;101,G253,IF(G253&lt;201,G253/2,IF(G253&lt;=301,G253/3,G253/4))))</f>
        <v>0</v>
      </c>
      <c r="I253" s="33"/>
    </row>
    <row r="254" spans="1:20" s="32" customFormat="1" x14ac:dyDescent="0.25">
      <c r="A254" s="212" t="s">
        <v>65</v>
      </c>
      <c r="B254" s="212"/>
      <c r="C254" s="212"/>
      <c r="D254" s="212"/>
      <c r="E254" s="212"/>
      <c r="F254" s="212"/>
      <c r="G254" s="212"/>
      <c r="H254" s="212"/>
      <c r="T254" s="34"/>
    </row>
    <row r="255" spans="1:20" s="32" customFormat="1" ht="50.45" customHeight="1" x14ac:dyDescent="0.25">
      <c r="A255" s="40" t="s">
        <v>153</v>
      </c>
      <c r="B255" s="117" t="s">
        <v>427</v>
      </c>
      <c r="C255" s="118"/>
      <c r="D255" s="118"/>
      <c r="E255" s="118"/>
      <c r="F255" s="118"/>
      <c r="G255" s="118"/>
      <c r="H255" s="119"/>
      <c r="T255" s="34"/>
    </row>
    <row r="256" spans="1:20" s="32" customFormat="1" x14ac:dyDescent="0.25">
      <c r="A256" s="40" t="s">
        <v>153</v>
      </c>
      <c r="B256" s="117" t="str">
        <f>(IF(H151="Saleable area Loading :","We have considered Saleable area of Flats as per our Calculation.","We considered Saleable area of Flat as per Builder area Sheet."))</f>
        <v>We have considered Saleable area of Flats as per our Calculation.</v>
      </c>
      <c r="C256" s="118"/>
      <c r="D256" s="118"/>
      <c r="E256" s="118"/>
      <c r="F256" s="118"/>
      <c r="G256" s="118"/>
      <c r="H256" s="119"/>
      <c r="T256" s="34"/>
    </row>
    <row r="257" spans="1:20" s="32" customFormat="1" hidden="1" x14ac:dyDescent="0.25">
      <c r="A257" s="40" t="s">
        <v>153</v>
      </c>
      <c r="B257" s="117" t="str">
        <f>(IF(H143="Saleable area Loading :","We have considered Saleable area of Commercial as per our Calculation.","We considered Saleable area of Commercial as per Builder area Sheet."))</f>
        <v>We have considered Saleable area of Commercial as per our Calculation.</v>
      </c>
      <c r="C257" s="118"/>
      <c r="D257" s="118"/>
      <c r="E257" s="118"/>
      <c r="F257" s="118"/>
      <c r="G257" s="118"/>
      <c r="H257" s="119"/>
      <c r="T257" s="34"/>
    </row>
    <row r="258" spans="1:20" s="32" customFormat="1" x14ac:dyDescent="0.25">
      <c r="A258" s="40" t="s">
        <v>153</v>
      </c>
      <c r="B258" s="112" t="s">
        <v>120</v>
      </c>
      <c r="C258" s="113"/>
      <c r="D258" s="113"/>
      <c r="E258" s="113"/>
      <c r="F258" s="113"/>
      <c r="G258" s="113"/>
      <c r="H258" s="114"/>
      <c r="T258" s="34"/>
    </row>
    <row r="259" spans="1:20" s="32" customFormat="1" hidden="1" x14ac:dyDescent="0.25">
      <c r="A259" s="40" t="s">
        <v>153</v>
      </c>
      <c r="B259" s="117" t="s">
        <v>412</v>
      </c>
      <c r="C259" s="118"/>
      <c r="D259" s="118"/>
      <c r="E259" s="118"/>
      <c r="F259" s="118"/>
      <c r="G259" s="118"/>
      <c r="H259" s="119"/>
      <c r="T259" s="34"/>
    </row>
    <row r="260" spans="1:20" s="32" customFormat="1" x14ac:dyDescent="0.25">
      <c r="A260" s="40" t="s">
        <v>153</v>
      </c>
      <c r="B260" s="112" t="s">
        <v>152</v>
      </c>
      <c r="C260" s="113"/>
      <c r="D260" s="113"/>
      <c r="E260" s="113"/>
      <c r="F260" s="113"/>
      <c r="G260" s="113"/>
      <c r="H260" s="114"/>
    </row>
    <row r="261" spans="1:20" s="32" customFormat="1" x14ac:dyDescent="0.25">
      <c r="A261" s="40" t="s">
        <v>153</v>
      </c>
      <c r="B261" s="112" t="s">
        <v>121</v>
      </c>
      <c r="C261" s="113"/>
      <c r="D261" s="113"/>
      <c r="E261" s="113"/>
      <c r="F261" s="113"/>
      <c r="G261" s="113"/>
      <c r="H261" s="114"/>
      <c r="J261" s="84">
        <v>45077</v>
      </c>
    </row>
    <row r="262" spans="1:20" s="32" customFormat="1" ht="34.5" customHeight="1" x14ac:dyDescent="0.25">
      <c r="A262" s="40" t="s">
        <v>153</v>
      </c>
      <c r="B262" s="112" t="s">
        <v>154</v>
      </c>
      <c r="C262" s="113"/>
      <c r="D262" s="113"/>
      <c r="E262" s="113"/>
      <c r="F262" s="113"/>
      <c r="G262" s="113"/>
      <c r="H262" s="114"/>
    </row>
    <row r="263" spans="1:20" s="32" customFormat="1" x14ac:dyDescent="0.25">
      <c r="A263" s="40" t="s">
        <v>153</v>
      </c>
      <c r="B263" s="112" t="s">
        <v>122</v>
      </c>
      <c r="C263" s="113"/>
      <c r="D263" s="113"/>
      <c r="E263" s="113"/>
      <c r="F263" s="113"/>
      <c r="G263" s="113"/>
      <c r="H263" s="114"/>
    </row>
    <row r="264" spans="1:20" s="32" customFormat="1" hidden="1" x14ac:dyDescent="0.25">
      <c r="A264" s="60" t="s">
        <v>153</v>
      </c>
      <c r="B264" s="112" t="s">
        <v>384</v>
      </c>
      <c r="C264" s="113"/>
      <c r="D264" s="113"/>
      <c r="E264" s="113"/>
      <c r="F264" s="113"/>
      <c r="G264" s="113"/>
      <c r="H264" s="114"/>
    </row>
    <row r="265" spans="1:20" s="32" customFormat="1" ht="39" hidden="1" customHeight="1" x14ac:dyDescent="0.25">
      <c r="A265" s="60" t="s">
        <v>153</v>
      </c>
      <c r="B265" s="112" t="s">
        <v>389</v>
      </c>
      <c r="C265" s="113"/>
      <c r="D265" s="113"/>
      <c r="E265" s="113"/>
      <c r="F265" s="113"/>
      <c r="G265" s="113"/>
      <c r="H265" s="114"/>
    </row>
    <row r="266" spans="1:20" s="32" customFormat="1" ht="64.5" customHeight="1" x14ac:dyDescent="0.25">
      <c r="A266" s="86" t="s">
        <v>153</v>
      </c>
      <c r="B266" s="117" t="s">
        <v>421</v>
      </c>
      <c r="C266" s="118"/>
      <c r="D266" s="118"/>
      <c r="E266" s="118"/>
      <c r="F266" s="118"/>
      <c r="G266" s="118"/>
      <c r="H266" s="119"/>
    </row>
    <row r="267" spans="1:20" s="32" customFormat="1" ht="31.5" customHeight="1" x14ac:dyDescent="0.25">
      <c r="A267" s="92" t="s">
        <v>153</v>
      </c>
      <c r="B267" s="117" t="s">
        <v>422</v>
      </c>
      <c r="C267" s="118"/>
      <c r="D267" s="118"/>
      <c r="E267" s="118"/>
      <c r="F267" s="118"/>
      <c r="G267" s="118"/>
      <c r="H267" s="119"/>
    </row>
    <row r="268" spans="1:20" s="32" customFormat="1" x14ac:dyDescent="0.25">
      <c r="A268" s="89" t="s">
        <v>153</v>
      </c>
      <c r="B268" s="112" t="s">
        <v>391</v>
      </c>
      <c r="C268" s="113"/>
      <c r="D268" s="113"/>
      <c r="E268" s="113"/>
      <c r="F268" s="113"/>
      <c r="G268" s="113"/>
      <c r="H268" s="114"/>
    </row>
    <row r="269" spans="1:20" s="32" customFormat="1" ht="31.5" customHeight="1" x14ac:dyDescent="0.25">
      <c r="A269" s="89" t="s">
        <v>153</v>
      </c>
      <c r="B269" s="112" t="s">
        <v>416</v>
      </c>
      <c r="C269" s="113"/>
      <c r="D269" s="113"/>
      <c r="E269" s="113"/>
      <c r="F269" s="113"/>
      <c r="G269" s="113"/>
      <c r="H269" s="114"/>
    </row>
    <row r="270" spans="1:20" s="32" customFormat="1" ht="31.5" customHeight="1" x14ac:dyDescent="0.25">
      <c r="A270" s="100" t="s">
        <v>153</v>
      </c>
      <c r="B270" s="214" t="s">
        <v>432</v>
      </c>
      <c r="C270" s="214"/>
      <c r="D270" s="214"/>
      <c r="E270" s="214"/>
      <c r="F270" s="214"/>
      <c r="G270" s="214"/>
      <c r="H270" s="214"/>
    </row>
    <row r="271" spans="1:20" s="32" customFormat="1" x14ac:dyDescent="0.25">
      <c r="A271" s="103" t="s">
        <v>153</v>
      </c>
      <c r="B271" s="214" t="s">
        <v>440</v>
      </c>
      <c r="C271" s="214"/>
      <c r="D271" s="214"/>
      <c r="E271" s="214"/>
      <c r="F271" s="214"/>
      <c r="G271" s="214"/>
      <c r="H271" s="214"/>
    </row>
    <row r="272" spans="1:20" s="32" customFormat="1" x14ac:dyDescent="0.25">
      <c r="A272" s="94" t="s">
        <v>153</v>
      </c>
      <c r="B272" s="214" t="s">
        <v>437</v>
      </c>
      <c r="C272" s="214"/>
      <c r="D272" s="214"/>
      <c r="E272" s="214"/>
      <c r="F272" s="214"/>
      <c r="G272" s="214"/>
      <c r="H272" s="214"/>
    </row>
    <row r="273" spans="1:20" x14ac:dyDescent="0.25">
      <c r="A273" s="213" t="s">
        <v>58</v>
      </c>
      <c r="B273" s="213"/>
      <c r="C273" s="213"/>
      <c r="D273" s="213"/>
      <c r="E273" s="213"/>
      <c r="F273" s="213"/>
      <c r="G273" s="213"/>
      <c r="H273" s="213"/>
      <c r="T273" s="32"/>
    </row>
    <row r="274" spans="1:20" x14ac:dyDescent="0.25">
      <c r="A274" s="115" t="s">
        <v>59</v>
      </c>
      <c r="B274" s="115"/>
      <c r="C274" s="115"/>
      <c r="D274" s="115"/>
      <c r="E274" s="115"/>
      <c r="F274" s="115"/>
      <c r="G274" s="115"/>
      <c r="H274" s="115"/>
      <c r="T274" s="32"/>
    </row>
    <row r="275" spans="1:20" ht="15.75" customHeight="1" x14ac:dyDescent="0.25">
      <c r="A275" s="209" t="s">
        <v>60</v>
      </c>
      <c r="B275" s="209"/>
      <c r="C275" s="209"/>
      <c r="D275" s="209"/>
      <c r="E275" s="209"/>
      <c r="F275" s="209"/>
      <c r="G275" s="209"/>
      <c r="H275" s="209"/>
      <c r="T275" s="32"/>
    </row>
    <row r="276" spans="1:20" x14ac:dyDescent="0.25">
      <c r="A276" s="115" t="s">
        <v>61</v>
      </c>
      <c r="B276" s="115"/>
      <c r="C276" s="115"/>
      <c r="D276" s="115"/>
      <c r="E276" s="115"/>
      <c r="F276" s="115"/>
      <c r="G276" s="115"/>
      <c r="H276" s="115"/>
      <c r="T276" s="32"/>
    </row>
    <row r="277" spans="1:20" x14ac:dyDescent="0.25">
      <c r="A277" s="115" t="s">
        <v>62</v>
      </c>
      <c r="B277" s="115"/>
      <c r="C277" s="115"/>
      <c r="D277" s="115"/>
      <c r="E277" s="115"/>
      <c r="F277" s="115"/>
      <c r="G277" s="115"/>
      <c r="H277" s="115"/>
      <c r="T277" s="32"/>
    </row>
    <row r="278" spans="1:20" x14ac:dyDescent="0.25">
      <c r="A278" s="115" t="s">
        <v>123</v>
      </c>
      <c r="B278" s="115"/>
      <c r="C278" s="115"/>
      <c r="D278" s="115"/>
      <c r="E278" s="115"/>
      <c r="F278" s="115"/>
      <c r="G278" s="115"/>
      <c r="H278" s="115"/>
      <c r="T278" s="32"/>
    </row>
    <row r="279" spans="1:20" ht="33.950000000000003" customHeight="1" x14ac:dyDescent="0.25">
      <c r="A279" s="132" t="s">
        <v>124</v>
      </c>
      <c r="B279" s="132"/>
      <c r="C279" s="132"/>
      <c r="D279" s="132"/>
      <c r="E279" s="132"/>
      <c r="F279" s="132"/>
      <c r="G279" s="132"/>
      <c r="H279" s="132"/>
    </row>
    <row r="280" spans="1:20" x14ac:dyDescent="0.25">
      <c r="A280" s="205" t="s">
        <v>73</v>
      </c>
      <c r="B280" s="205"/>
      <c r="C280" s="206" t="s">
        <v>385</v>
      </c>
      <c r="D280" s="206"/>
      <c r="E280" s="205" t="s">
        <v>103</v>
      </c>
      <c r="F280" s="205"/>
      <c r="G280" s="205" t="s">
        <v>436</v>
      </c>
      <c r="H280" s="205"/>
    </row>
    <row r="281" spans="1:20" x14ac:dyDescent="0.25">
      <c r="A281" s="204" t="s">
        <v>75</v>
      </c>
      <c r="B281" s="204"/>
      <c r="C281" s="204"/>
      <c r="D281" s="204"/>
      <c r="E281" s="204"/>
      <c r="F281" s="204"/>
      <c r="G281" s="204"/>
      <c r="H281" s="204"/>
    </row>
    <row r="282" spans="1:20" x14ac:dyDescent="0.25">
      <c r="A282" s="204"/>
      <c r="B282" s="204"/>
      <c r="C282" s="204"/>
      <c r="D282" s="204"/>
      <c r="E282" s="204"/>
      <c r="F282" s="204"/>
      <c r="G282" s="204"/>
      <c r="H282" s="204"/>
    </row>
    <row r="283" spans="1:20" x14ac:dyDescent="0.25">
      <c r="A283" s="204"/>
      <c r="B283" s="204"/>
      <c r="C283" s="204"/>
      <c r="D283" s="204"/>
      <c r="E283" s="204"/>
      <c r="F283" s="204"/>
      <c r="G283" s="204"/>
      <c r="H283" s="204"/>
    </row>
    <row r="284" spans="1:20" x14ac:dyDescent="0.25">
      <c r="A284" s="204"/>
      <c r="B284" s="204"/>
      <c r="C284" s="204"/>
      <c r="D284" s="204"/>
      <c r="E284" s="204"/>
      <c r="F284" s="204"/>
      <c r="G284" s="204"/>
      <c r="H284" s="204"/>
    </row>
    <row r="285" spans="1:20" x14ac:dyDescent="0.25">
      <c r="A285" s="35" t="s">
        <v>63</v>
      </c>
      <c r="B285" s="36"/>
      <c r="C285" s="36"/>
      <c r="D285" s="35" t="str">
        <f>E9</f>
        <v>Central Park</v>
      </c>
      <c r="F285" s="36"/>
      <c r="G285" s="36"/>
      <c r="H285" s="36"/>
    </row>
    <row r="286" spans="1:20" x14ac:dyDescent="0.25">
      <c r="A286" s="36"/>
      <c r="B286" s="36"/>
      <c r="C286" s="36"/>
      <c r="D286" s="36"/>
      <c r="E286" s="36"/>
      <c r="F286" s="36"/>
      <c r="G286" s="36"/>
      <c r="H286" s="36"/>
    </row>
    <row r="287" spans="1:20" x14ac:dyDescent="0.25">
      <c r="A287" s="36"/>
      <c r="B287" s="36"/>
      <c r="C287" s="36"/>
      <c r="D287" s="36"/>
      <c r="E287" s="36"/>
      <c r="F287" s="36"/>
      <c r="G287" s="36"/>
      <c r="H287" s="36"/>
    </row>
    <row r="288" spans="1:20" ht="15" customHeight="1" x14ac:dyDescent="0.25"/>
    <row r="328" spans="1:1" x14ac:dyDescent="0.25">
      <c r="A328" s="38" t="s">
        <v>164</v>
      </c>
    </row>
    <row r="367" spans="1:1" x14ac:dyDescent="0.25">
      <c r="A367" s="38" t="s">
        <v>417</v>
      </c>
    </row>
    <row r="398" spans="1:1" x14ac:dyDescent="0.25">
      <c r="A398" s="38" t="s">
        <v>64</v>
      </c>
    </row>
  </sheetData>
  <mergeCells count="441">
    <mergeCell ref="A55:B56"/>
    <mergeCell ref="C55:E55"/>
    <mergeCell ref="G55:H55"/>
    <mergeCell ref="C56:E56"/>
    <mergeCell ref="G56:H56"/>
    <mergeCell ref="B271:H271"/>
    <mergeCell ref="A51:B51"/>
    <mergeCell ref="C51:E51"/>
    <mergeCell ref="G51:H51"/>
    <mergeCell ref="D68:H68"/>
    <mergeCell ref="A68:C69"/>
    <mergeCell ref="E80:F80"/>
    <mergeCell ref="G80:H80"/>
    <mergeCell ref="A81:B81"/>
    <mergeCell ref="E81:F90"/>
    <mergeCell ref="G81:H90"/>
    <mergeCell ref="A82:B82"/>
    <mergeCell ref="A83:B83"/>
    <mergeCell ref="A84:B84"/>
    <mergeCell ref="A85:B85"/>
    <mergeCell ref="A86:B86"/>
    <mergeCell ref="A87:B87"/>
    <mergeCell ref="A88:B88"/>
    <mergeCell ref="A89:B89"/>
    <mergeCell ref="A90:B90"/>
    <mergeCell ref="A63:B63"/>
    <mergeCell ref="C63:E63"/>
    <mergeCell ref="D65:H65"/>
    <mergeCell ref="C52:E52"/>
    <mergeCell ref="L230:M230"/>
    <mergeCell ref="A235:B235"/>
    <mergeCell ref="A232:B232"/>
    <mergeCell ref="A233:B233"/>
    <mergeCell ref="A53:B54"/>
    <mergeCell ref="C53:E53"/>
    <mergeCell ref="G53:H53"/>
    <mergeCell ref="C54:E54"/>
    <mergeCell ref="G54:H54"/>
    <mergeCell ref="A137:B137"/>
    <mergeCell ref="C137:D137"/>
    <mergeCell ref="E137:F137"/>
    <mergeCell ref="G137:H137"/>
    <mergeCell ref="A138:B138"/>
    <mergeCell ref="C138:D138"/>
    <mergeCell ref="E138:F138"/>
    <mergeCell ref="G138:H138"/>
    <mergeCell ref="A139:B139"/>
    <mergeCell ref="C139:D139"/>
    <mergeCell ref="E139:F139"/>
    <mergeCell ref="G139:H139"/>
    <mergeCell ref="A129:B129"/>
    <mergeCell ref="C129:D129"/>
    <mergeCell ref="E129:F129"/>
    <mergeCell ref="L195:M195"/>
    <mergeCell ref="A198:H198"/>
    <mergeCell ref="L198:M198"/>
    <mergeCell ref="A200:H200"/>
    <mergeCell ref="A202:H202"/>
    <mergeCell ref="A203:H203"/>
    <mergeCell ref="A204:H204"/>
    <mergeCell ref="L204:M204"/>
    <mergeCell ref="L170:M170"/>
    <mergeCell ref="A173:H173"/>
    <mergeCell ref="A176:H176"/>
    <mergeCell ref="L176:M176"/>
    <mergeCell ref="L180:M180"/>
    <mergeCell ref="L183:M183"/>
    <mergeCell ref="L186:M186"/>
    <mergeCell ref="L189:M189"/>
    <mergeCell ref="L192:M192"/>
    <mergeCell ref="L162:M162"/>
    <mergeCell ref="A166:H166"/>
    <mergeCell ref="L166:M166"/>
    <mergeCell ref="A158:H158"/>
    <mergeCell ref="E133:F133"/>
    <mergeCell ref="G133:H133"/>
    <mergeCell ref="L159:M159"/>
    <mergeCell ref="E134:F134"/>
    <mergeCell ref="G134:H134"/>
    <mergeCell ref="A136:H136"/>
    <mergeCell ref="D151:D152"/>
    <mergeCell ref="A149:B149"/>
    <mergeCell ref="A148:B148"/>
    <mergeCell ref="A150:H150"/>
    <mergeCell ref="A141:H141"/>
    <mergeCell ref="A151:A152"/>
    <mergeCell ref="F151:F152"/>
    <mergeCell ref="A142:H142"/>
    <mergeCell ref="A134:B134"/>
    <mergeCell ref="C134:D134"/>
    <mergeCell ref="A146:B146"/>
    <mergeCell ref="A140:B140"/>
    <mergeCell ref="C140:D140"/>
    <mergeCell ref="E140:F140"/>
    <mergeCell ref="I15:P15"/>
    <mergeCell ref="F118:H118"/>
    <mergeCell ref="F115:H115"/>
    <mergeCell ref="E43:H43"/>
    <mergeCell ref="A43:D43"/>
    <mergeCell ref="A50:B50"/>
    <mergeCell ref="C50:E50"/>
    <mergeCell ref="G50:H50"/>
    <mergeCell ref="A52:B52"/>
    <mergeCell ref="A57:B58"/>
    <mergeCell ref="C57:E57"/>
    <mergeCell ref="G57:H57"/>
    <mergeCell ref="A59:B60"/>
    <mergeCell ref="C59:E59"/>
    <mergeCell ref="D66:H66"/>
    <mergeCell ref="G63:H63"/>
    <mergeCell ref="C62:E62"/>
    <mergeCell ref="F116:H116"/>
    <mergeCell ref="A113:E113"/>
    <mergeCell ref="G62:H62"/>
    <mergeCell ref="C122:D122"/>
    <mergeCell ref="F106:H106"/>
    <mergeCell ref="F111:H111"/>
    <mergeCell ref="A112:E112"/>
    <mergeCell ref="F112:H112"/>
    <mergeCell ref="A115:E115"/>
    <mergeCell ref="F109:H109"/>
    <mergeCell ref="F113:H113"/>
    <mergeCell ref="G122:H122"/>
    <mergeCell ref="A116:E116"/>
    <mergeCell ref="E122:F122"/>
    <mergeCell ref="A122:B122"/>
    <mergeCell ref="A91:B91"/>
    <mergeCell ref="E91:F91"/>
    <mergeCell ref="G91:H91"/>
    <mergeCell ref="C91:D91"/>
    <mergeCell ref="A92:B92"/>
    <mergeCell ref="C92:H92"/>
    <mergeCell ref="A100:B100"/>
    <mergeCell ref="A111:E111"/>
    <mergeCell ref="A118:E118"/>
    <mergeCell ref="F114:H114"/>
    <mergeCell ref="A124:B124"/>
    <mergeCell ref="C127:D127"/>
    <mergeCell ref="A127:B127"/>
    <mergeCell ref="G123:H123"/>
    <mergeCell ref="E127:F127"/>
    <mergeCell ref="D74:H74"/>
    <mergeCell ref="A75:C75"/>
    <mergeCell ref="A101:B101"/>
    <mergeCell ref="A64:H64"/>
    <mergeCell ref="A65:C65"/>
    <mergeCell ref="A66:C66"/>
    <mergeCell ref="A108:E108"/>
    <mergeCell ref="A110:E110"/>
    <mergeCell ref="A109:E109"/>
    <mergeCell ref="A106:E106"/>
    <mergeCell ref="F110:H110"/>
    <mergeCell ref="F107:H107"/>
    <mergeCell ref="G127:H127"/>
    <mergeCell ref="A121:H121"/>
    <mergeCell ref="A119:E119"/>
    <mergeCell ref="F119:H119"/>
    <mergeCell ref="A120:E120"/>
    <mergeCell ref="F120:H120"/>
    <mergeCell ref="A94:B94"/>
    <mergeCell ref="B268:H268"/>
    <mergeCell ref="B269:H269"/>
    <mergeCell ref="A238:B238"/>
    <mergeCell ref="A251:B251"/>
    <mergeCell ref="A248:H248"/>
    <mergeCell ref="A249:B249"/>
    <mergeCell ref="A274:H274"/>
    <mergeCell ref="B264:H264"/>
    <mergeCell ref="B263:H263"/>
    <mergeCell ref="B259:H259"/>
    <mergeCell ref="A254:H254"/>
    <mergeCell ref="A273:H273"/>
    <mergeCell ref="A245:B245"/>
    <mergeCell ref="A241:B241"/>
    <mergeCell ref="B270:H270"/>
    <mergeCell ref="B272:H272"/>
    <mergeCell ref="B267:H267"/>
    <mergeCell ref="B151:B152"/>
    <mergeCell ref="C130:D130"/>
    <mergeCell ref="A225:H225"/>
    <mergeCell ref="A162:H162"/>
    <mergeCell ref="A170:H170"/>
    <mergeCell ref="A183:H183"/>
    <mergeCell ref="A186:H186"/>
    <mergeCell ref="A189:H189"/>
    <mergeCell ref="E151:E152"/>
    <mergeCell ref="A147:B147"/>
    <mergeCell ref="A216:H216"/>
    <mergeCell ref="C218:H218"/>
    <mergeCell ref="A135:B135"/>
    <mergeCell ref="C135:D135"/>
    <mergeCell ref="E135:F135"/>
    <mergeCell ref="G135:H135"/>
    <mergeCell ref="A281:H284"/>
    <mergeCell ref="A280:B280"/>
    <mergeCell ref="E280:F280"/>
    <mergeCell ref="C280:D280"/>
    <mergeCell ref="G280:H280"/>
    <mergeCell ref="A230:H230"/>
    <mergeCell ref="A213:H213"/>
    <mergeCell ref="A219:H219"/>
    <mergeCell ref="C221:H221"/>
    <mergeCell ref="A222:H222"/>
    <mergeCell ref="A243:B243"/>
    <mergeCell ref="B266:H266"/>
    <mergeCell ref="B265:H265"/>
    <mergeCell ref="A234:B234"/>
    <mergeCell ref="A278:H278"/>
    <mergeCell ref="A275:H275"/>
    <mergeCell ref="A231:B231"/>
    <mergeCell ref="A240:B240"/>
    <mergeCell ref="A246:B246"/>
    <mergeCell ref="A247:B247"/>
    <mergeCell ref="A242:H242"/>
    <mergeCell ref="A236:H236"/>
    <mergeCell ref="B261:H261"/>
    <mergeCell ref="B257:H257"/>
    <mergeCell ref="A276:H276"/>
    <mergeCell ref="A126:H126"/>
    <mergeCell ref="A279:H279"/>
    <mergeCell ref="B260:H260"/>
    <mergeCell ref="D143:D144"/>
    <mergeCell ref="G143:G144"/>
    <mergeCell ref="A244:B244"/>
    <mergeCell ref="A277:H277"/>
    <mergeCell ref="A253:B253"/>
    <mergeCell ref="A252:B252"/>
    <mergeCell ref="A250:B250"/>
    <mergeCell ref="A226:B226"/>
    <mergeCell ref="A237:B237"/>
    <mergeCell ref="A156:H156"/>
    <mergeCell ref="A157:H157"/>
    <mergeCell ref="A159:H159"/>
    <mergeCell ref="A210:H210"/>
    <mergeCell ref="A199:H199"/>
    <mergeCell ref="A201:H201"/>
    <mergeCell ref="A153:H153"/>
    <mergeCell ref="A207:H207"/>
    <mergeCell ref="G129:H129"/>
    <mergeCell ref="A133:B133"/>
    <mergeCell ref="C133:D13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70:C70"/>
    <mergeCell ref="A71:C71"/>
    <mergeCell ref="D70:H70"/>
    <mergeCell ref="D71:H71"/>
    <mergeCell ref="A44:D44"/>
    <mergeCell ref="E44:H44"/>
    <mergeCell ref="E45:H45"/>
    <mergeCell ref="E46:H46"/>
    <mergeCell ref="E47:H47"/>
    <mergeCell ref="C60:H60"/>
    <mergeCell ref="C49:H49"/>
    <mergeCell ref="F37:H37"/>
    <mergeCell ref="D69:H69"/>
    <mergeCell ref="G59:H59"/>
    <mergeCell ref="A61:B62"/>
    <mergeCell ref="C61:E61"/>
    <mergeCell ref="G61:H61"/>
    <mergeCell ref="G52:H52"/>
    <mergeCell ref="A39:B39"/>
    <mergeCell ref="C39:H39"/>
    <mergeCell ref="A46:D46"/>
    <mergeCell ref="L149:M149"/>
    <mergeCell ref="L148:M148"/>
    <mergeCell ref="L147:M147"/>
    <mergeCell ref="L146:M146"/>
    <mergeCell ref="A103:B103"/>
    <mergeCell ref="C128:D128"/>
    <mergeCell ref="E128:F128"/>
    <mergeCell ref="G128:H128"/>
    <mergeCell ref="A107:E107"/>
    <mergeCell ref="A145:H145"/>
    <mergeCell ref="E143:E144"/>
    <mergeCell ref="A47:D47"/>
    <mergeCell ref="A48:H48"/>
    <mergeCell ref="D67:H67"/>
    <mergeCell ref="A67:C67"/>
    <mergeCell ref="A102:B102"/>
    <mergeCell ref="A45:D45"/>
    <mergeCell ref="A49:B49"/>
    <mergeCell ref="C143:C144"/>
    <mergeCell ref="A114:E114"/>
    <mergeCell ref="F108:H108"/>
    <mergeCell ref="A40:B40"/>
    <mergeCell ref="C40:H40"/>
    <mergeCell ref="F143:F144"/>
    <mergeCell ref="C123:D123"/>
    <mergeCell ref="E123:F123"/>
    <mergeCell ref="B143:B144"/>
    <mergeCell ref="A143:A144"/>
    <mergeCell ref="C151:C152"/>
    <mergeCell ref="G151:G152"/>
    <mergeCell ref="G95:H95"/>
    <mergeCell ref="E96:F105"/>
    <mergeCell ref="G96:H105"/>
    <mergeCell ref="A104:B104"/>
    <mergeCell ref="A105:B105"/>
    <mergeCell ref="A77:B77"/>
    <mergeCell ref="C77:H77"/>
    <mergeCell ref="A79:B79"/>
    <mergeCell ref="C79:H79"/>
    <mergeCell ref="A80:B80"/>
    <mergeCell ref="A131:H131"/>
    <mergeCell ref="A132:B132"/>
    <mergeCell ref="C132:D132"/>
    <mergeCell ref="E132:F132"/>
    <mergeCell ref="G132:H132"/>
    <mergeCell ref="L229:M229"/>
    <mergeCell ref="L226:M226"/>
    <mergeCell ref="A227:B227"/>
    <mergeCell ref="G140:H140"/>
    <mergeCell ref="L227:M227"/>
    <mergeCell ref="A228:B228"/>
    <mergeCell ref="L228:M228"/>
    <mergeCell ref="C58:H58"/>
    <mergeCell ref="A229:B229"/>
    <mergeCell ref="A95:B95"/>
    <mergeCell ref="A72:C72"/>
    <mergeCell ref="D72:H72"/>
    <mergeCell ref="C94:H94"/>
    <mergeCell ref="A97:B97"/>
    <mergeCell ref="A99:B99"/>
    <mergeCell ref="E95:F95"/>
    <mergeCell ref="A73:C73"/>
    <mergeCell ref="A98:B98"/>
    <mergeCell ref="D73:H73"/>
    <mergeCell ref="A76:C76"/>
    <mergeCell ref="D76:H76"/>
    <mergeCell ref="A74:C74"/>
    <mergeCell ref="D75:H75"/>
    <mergeCell ref="A96:B96"/>
    <mergeCell ref="C124:D124"/>
    <mergeCell ref="E124:F124"/>
    <mergeCell ref="G124:H124"/>
    <mergeCell ref="A125:B125"/>
    <mergeCell ref="C125:D125"/>
    <mergeCell ref="E125:F125"/>
    <mergeCell ref="G125:H125"/>
    <mergeCell ref="B262:H262"/>
    <mergeCell ref="A117:E117"/>
    <mergeCell ref="F117:H117"/>
    <mergeCell ref="B255:H255"/>
    <mergeCell ref="B256:H256"/>
    <mergeCell ref="B258:H258"/>
    <mergeCell ref="A128:B128"/>
    <mergeCell ref="A239:B239"/>
    <mergeCell ref="A123:B123"/>
    <mergeCell ref="A192:H192"/>
    <mergeCell ref="A155:H155"/>
    <mergeCell ref="A154:H154"/>
    <mergeCell ref="A180:H180"/>
    <mergeCell ref="A195:H195"/>
    <mergeCell ref="A130:B130"/>
    <mergeCell ref="E130:F130"/>
    <mergeCell ref="G130:H13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80:H280">
      <formula1>"Kunal Kadam,Pranita Mhatre,Shruti Fule,Pooja Kawale,Neha Dhokale,Shruti Tathare, Hitakshi Mhatre, Sachin Sawant"</formula1>
    </dataValidation>
    <dataValidation type="list" allowBlank="1" showInputMessage="1" showErrorMessage="1" sqref="F106:H106">
      <formula1>"On Saleable Area,On Builtup Area,On Carpet Area,On Plot Area"</formula1>
    </dataValidation>
    <dataValidation type="list" allowBlank="1" showInputMessage="1" showErrorMessage="1" sqref="F119:H119">
      <formula1>OFFSET($S$106,1,MATCH($G20,$S$106:$W$106,0)-1,15,1)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6">
      <formula1>0</formula1>
      <formula2>H78</formula2>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9" fitToHeight="0" orientation="portrait" horizontalDpi="4294967293" r:id="rId2"/>
  <headerFooter>
    <oddHeader>&amp;C&amp;G</oddHeader>
    <oddFooter>&amp;L&amp;"Times New Roman,Bold"&amp;12Ref No: &amp;F&amp;C&amp;G&amp;R&amp;"Times New Roman,Bold"&amp;12&amp;P</oddFooter>
  </headerFooter>
  <rowBreaks count="6" manualBreakCount="6">
    <brk id="91" max="16383" man="1"/>
    <brk id="140" max="7" man="1"/>
    <brk id="284" max="16383" man="1"/>
    <brk id="327" max="16383" man="1"/>
    <brk id="366" max="7" man="1"/>
    <brk id="39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3" zoomScale="85" zoomScaleNormal="85" workbookViewId="0">
      <selection activeCell="C9" sqref="C9"/>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6" t="s">
        <v>104</v>
      </c>
      <c r="C3" s="246"/>
      <c r="D3" s="246"/>
      <c r="E3" s="246"/>
      <c r="F3" s="246"/>
      <c r="G3" s="246"/>
      <c r="H3" s="246"/>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11</v>
      </c>
      <c r="D4" s="47" t="s">
        <v>179</v>
      </c>
      <c r="E4" s="47" t="s">
        <v>189</v>
      </c>
      <c r="F4" s="47" t="s">
        <v>173</v>
      </c>
      <c r="G4" s="47" t="s">
        <v>194</v>
      </c>
      <c r="H4" s="47" t="s">
        <v>212</v>
      </c>
      <c r="J4" t="s">
        <v>194</v>
      </c>
      <c r="K4" t="s">
        <v>210</v>
      </c>
    </row>
    <row r="5" spans="2:11" x14ac:dyDescent="0.25">
      <c r="B5" s="46"/>
      <c r="C5" s="46"/>
      <c r="D5" s="47" t="s">
        <v>180</v>
      </c>
      <c r="E5" s="47" t="s">
        <v>187</v>
      </c>
      <c r="F5" s="47" t="s">
        <v>209</v>
      </c>
      <c r="G5" s="47" t="s">
        <v>195</v>
      </c>
      <c r="H5" s="47" t="s">
        <v>213</v>
      </c>
    </row>
    <row r="6" spans="2:11" x14ac:dyDescent="0.25">
      <c r="B6" s="46"/>
      <c r="C6" s="46"/>
      <c r="D6" s="47" t="s">
        <v>181</v>
      </c>
      <c r="E6" s="47" t="s">
        <v>188</v>
      </c>
      <c r="F6" s="47" t="s">
        <v>210</v>
      </c>
      <c r="G6" s="47" t="s">
        <v>196</v>
      </c>
      <c r="H6" s="47" t="s">
        <v>226</v>
      </c>
    </row>
    <row r="7" spans="2:11" x14ac:dyDescent="0.25">
      <c r="B7" s="46"/>
      <c r="C7" s="46"/>
      <c r="D7" s="47" t="s">
        <v>182</v>
      </c>
      <c r="E7" s="47" t="s">
        <v>190</v>
      </c>
      <c r="F7" s="47" t="s">
        <v>211</v>
      </c>
      <c r="G7" s="47" t="s">
        <v>197</v>
      </c>
      <c r="H7" s="47" t="s">
        <v>214</v>
      </c>
    </row>
    <row r="8" spans="2:11" x14ac:dyDescent="0.25">
      <c r="B8" s="46"/>
      <c r="C8" s="46"/>
      <c r="D8" s="47" t="s">
        <v>183</v>
      </c>
      <c r="E8" s="47" t="s">
        <v>191</v>
      </c>
      <c r="F8" s="47"/>
      <c r="G8" s="47" t="s">
        <v>198</v>
      </c>
      <c r="H8" s="47" t="s">
        <v>215</v>
      </c>
    </row>
    <row r="9" spans="2:11" x14ac:dyDescent="0.25">
      <c r="B9" s="46"/>
      <c r="C9" s="46"/>
      <c r="D9" s="47" t="s">
        <v>184</v>
      </c>
      <c r="E9" s="47" t="s">
        <v>189</v>
      </c>
      <c r="F9" s="47"/>
      <c r="G9" s="47" t="s">
        <v>199</v>
      </c>
      <c r="H9" s="47" t="s">
        <v>216</v>
      </c>
    </row>
    <row r="10" spans="2:11" x14ac:dyDescent="0.25">
      <c r="B10" s="46"/>
      <c r="C10" s="46"/>
      <c r="D10" s="47" t="s">
        <v>185</v>
      </c>
      <c r="E10" s="47" t="s">
        <v>192</v>
      </c>
      <c r="F10" s="47"/>
      <c r="G10" s="47" t="s">
        <v>200</v>
      </c>
      <c r="H10" s="47" t="s">
        <v>217</v>
      </c>
    </row>
    <row r="11" spans="2:11" x14ac:dyDescent="0.25">
      <c r="B11" s="46"/>
      <c r="C11" s="46"/>
      <c r="D11" s="47" t="s">
        <v>186</v>
      </c>
      <c r="E11" s="47" t="s">
        <v>193</v>
      </c>
      <c r="F11" s="47"/>
      <c r="G11" s="47" t="s">
        <v>201</v>
      </c>
      <c r="H11" s="47" t="s">
        <v>218</v>
      </c>
    </row>
    <row r="12" spans="2:11" x14ac:dyDescent="0.25">
      <c r="B12" s="46"/>
      <c r="C12" s="46"/>
      <c r="D12" s="47"/>
      <c r="E12" s="47"/>
      <c r="F12" s="47"/>
      <c r="G12" s="47" t="s">
        <v>202</v>
      </c>
      <c r="H12" s="47" t="s">
        <v>219</v>
      </c>
    </row>
    <row r="13" spans="2:11" x14ac:dyDescent="0.25">
      <c r="B13" s="46"/>
      <c r="C13" s="46"/>
      <c r="D13" s="47"/>
      <c r="E13" s="47"/>
      <c r="F13" s="47"/>
      <c r="G13" s="47" t="s">
        <v>203</v>
      </c>
      <c r="H13" s="47" t="s">
        <v>220</v>
      </c>
    </row>
    <row r="14" spans="2:11" x14ac:dyDescent="0.25">
      <c r="B14" s="46"/>
      <c r="C14" s="46"/>
      <c r="D14" s="47"/>
      <c r="E14" s="47"/>
      <c r="F14" s="47"/>
      <c r="G14" s="47" t="s">
        <v>204</v>
      </c>
      <c r="H14" s="47" t="s">
        <v>221</v>
      </c>
    </row>
    <row r="15" spans="2:11" x14ac:dyDescent="0.25">
      <c r="B15" s="46"/>
      <c r="C15" s="46"/>
      <c r="D15" s="47"/>
      <c r="E15" s="47"/>
      <c r="F15" s="47"/>
      <c r="G15" s="47" t="s">
        <v>205</v>
      </c>
      <c r="H15" s="47" t="s">
        <v>222</v>
      </c>
    </row>
    <row r="16" spans="2:11" x14ac:dyDescent="0.25">
      <c r="B16" s="46"/>
      <c r="C16" s="46"/>
      <c r="D16" s="47"/>
      <c r="E16" s="47"/>
      <c r="F16" s="47"/>
      <c r="G16" s="47" t="s">
        <v>206</v>
      </c>
      <c r="H16" s="47" t="s">
        <v>223</v>
      </c>
    </row>
    <row r="17" spans="2:8" x14ac:dyDescent="0.25">
      <c r="B17" s="46"/>
      <c r="C17" s="46"/>
      <c r="D17" s="47"/>
      <c r="E17" s="47"/>
      <c r="F17" s="47"/>
      <c r="G17" s="47" t="s">
        <v>207</v>
      </c>
      <c r="H17" s="47" t="s">
        <v>224</v>
      </c>
    </row>
    <row r="18" spans="2:8" x14ac:dyDescent="0.25">
      <c r="B18" s="46"/>
      <c r="C18" s="46"/>
      <c r="D18" s="47"/>
      <c r="E18" s="47"/>
      <c r="F18" s="47"/>
      <c r="G18" s="47" t="s">
        <v>208</v>
      </c>
      <c r="H18" s="47" t="s">
        <v>225</v>
      </c>
    </row>
    <row r="24" spans="2:8" x14ac:dyDescent="0.25">
      <c r="C24" t="s">
        <v>170</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170</v>
      </c>
    </row>
    <row r="33" spans="3:11" x14ac:dyDescent="0.25">
      <c r="J33">
        <v>1</v>
      </c>
      <c r="K33">
        <v>2</v>
      </c>
    </row>
    <row r="34" spans="3:11" x14ac:dyDescent="0.25">
      <c r="C34" s="49" t="s">
        <v>237</v>
      </c>
      <c r="D34" s="47" t="s">
        <v>235</v>
      </c>
      <c r="E34" s="47" t="s">
        <v>240</v>
      </c>
      <c r="F34" s="47" t="s">
        <v>238</v>
      </c>
      <c r="G34" s="47" t="s">
        <v>239</v>
      </c>
      <c r="H34" s="47" t="s">
        <v>241</v>
      </c>
      <c r="J34" t="s">
        <v>194</v>
      </c>
      <c r="K34" t="s">
        <v>210</v>
      </c>
    </row>
    <row r="35" spans="3:11" x14ac:dyDescent="0.25">
      <c r="C35" s="46" t="s">
        <v>236</v>
      </c>
      <c r="D35" s="47" t="s">
        <v>171</v>
      </c>
      <c r="E35" s="47" t="s">
        <v>245</v>
      </c>
      <c r="F35" s="47" t="s">
        <v>247</v>
      </c>
      <c r="G35" s="47" t="s">
        <v>249</v>
      </c>
      <c r="H35" s="47"/>
    </row>
    <row r="36" spans="3:11" x14ac:dyDescent="0.25">
      <c r="C36" s="46"/>
      <c r="D36" s="47" t="s">
        <v>242</v>
      </c>
      <c r="E36" s="47" t="s">
        <v>246</v>
      </c>
      <c r="F36" s="47" t="s">
        <v>248</v>
      </c>
      <c r="G36" s="47" t="s">
        <v>250</v>
      </c>
      <c r="H36" s="47"/>
    </row>
    <row r="37" spans="3:11" x14ac:dyDescent="0.25">
      <c r="C37" s="46"/>
      <c r="D37" s="47" t="s">
        <v>243</v>
      </c>
      <c r="E37" s="47"/>
      <c r="F37" s="47"/>
      <c r="G37" s="47" t="s">
        <v>251</v>
      </c>
      <c r="H37" s="47"/>
    </row>
    <row r="38" spans="3:11" x14ac:dyDescent="0.25">
      <c r="C38" s="46"/>
      <c r="D38" s="47" t="s">
        <v>244</v>
      </c>
      <c r="E38" s="47"/>
      <c r="F38" s="47"/>
      <c r="G38" s="47" t="s">
        <v>251</v>
      </c>
      <c r="H38" s="47"/>
    </row>
    <row r="39" spans="3:11" x14ac:dyDescent="0.25">
      <c r="C39" s="46"/>
      <c r="D39" s="47"/>
      <c r="E39" s="47"/>
      <c r="F39" s="47"/>
      <c r="G39" s="47" t="s">
        <v>252</v>
      </c>
      <c r="H39" s="47"/>
    </row>
    <row r="40" spans="3:11" x14ac:dyDescent="0.25">
      <c r="C40" s="46"/>
      <c r="D40" s="47"/>
      <c r="E40" s="47"/>
      <c r="F40" s="47"/>
      <c r="G40" s="47" t="s">
        <v>253</v>
      </c>
      <c r="H40" s="47"/>
    </row>
    <row r="41" spans="3:11" x14ac:dyDescent="0.25">
      <c r="C41" s="46"/>
      <c r="D41" s="47"/>
      <c r="E41" s="47"/>
      <c r="F41" s="47"/>
      <c r="G41" s="47"/>
      <c r="H41" s="47"/>
    </row>
    <row r="43" spans="3:11" x14ac:dyDescent="0.25">
      <c r="C43" t="s">
        <v>254</v>
      </c>
    </row>
    <row r="44" spans="3:11" x14ac:dyDescent="0.25">
      <c r="C44" t="s">
        <v>173</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0">
        <v>1</v>
      </c>
      <c r="C2" s="53" t="s">
        <v>285</v>
      </c>
    </row>
    <row r="3" spans="2:3" x14ac:dyDescent="0.25">
      <c r="B3" s="50">
        <v>2</v>
      </c>
      <c r="C3" s="51" t="s">
        <v>286</v>
      </c>
    </row>
    <row r="4" spans="2:3" x14ac:dyDescent="0.25">
      <c r="B4" s="50">
        <v>3</v>
      </c>
      <c r="C4" s="52" t="s">
        <v>287</v>
      </c>
    </row>
    <row r="5" spans="2:3" ht="30" x14ac:dyDescent="0.25">
      <c r="B5" s="50">
        <v>4</v>
      </c>
      <c r="C5" s="51" t="s">
        <v>288</v>
      </c>
    </row>
    <row r="6" spans="2:3" x14ac:dyDescent="0.25">
      <c r="B6" s="50">
        <v>5</v>
      </c>
      <c r="C6" s="52" t="s">
        <v>289</v>
      </c>
    </row>
    <row r="7" spans="2:3" ht="30" x14ac:dyDescent="0.25">
      <c r="B7" s="50">
        <v>6</v>
      </c>
      <c r="C7" s="51" t="s">
        <v>290</v>
      </c>
    </row>
    <row r="8" spans="2:3" ht="90" x14ac:dyDescent="0.25">
      <c r="B8" s="50">
        <v>7</v>
      </c>
      <c r="C8" s="51" t="s">
        <v>291</v>
      </c>
    </row>
    <row r="9" spans="2:3" x14ac:dyDescent="0.25">
      <c r="B9" s="50">
        <v>8</v>
      </c>
      <c r="C9" s="52" t="s">
        <v>292</v>
      </c>
    </row>
    <row r="10" spans="2:3" x14ac:dyDescent="0.25">
      <c r="B10" s="50">
        <v>9</v>
      </c>
      <c r="C10" s="52" t="s">
        <v>293</v>
      </c>
    </row>
    <row r="11" spans="2:3" x14ac:dyDescent="0.25">
      <c r="B11" s="50">
        <v>10</v>
      </c>
      <c r="C11" s="52" t="s">
        <v>294</v>
      </c>
    </row>
    <row r="12" spans="2:3" x14ac:dyDescent="0.25">
      <c r="B12" s="50">
        <v>11</v>
      </c>
      <c r="C12" s="52" t="s">
        <v>295</v>
      </c>
    </row>
    <row r="13" spans="2:3" x14ac:dyDescent="0.25">
      <c r="B13" s="50">
        <v>12</v>
      </c>
      <c r="C13" s="52" t="s">
        <v>296</v>
      </c>
    </row>
    <row r="14" spans="2:3" x14ac:dyDescent="0.25">
      <c r="B14" s="50">
        <v>13</v>
      </c>
      <c r="C14" s="52" t="s">
        <v>297</v>
      </c>
    </row>
    <row r="15" spans="2:3" x14ac:dyDescent="0.25">
      <c r="B15" s="50">
        <v>14</v>
      </c>
      <c r="C15" s="52" t="s">
        <v>287</v>
      </c>
    </row>
    <row r="16" spans="2:3" x14ac:dyDescent="0.25">
      <c r="B16" s="50">
        <v>15</v>
      </c>
      <c r="C16" s="52" t="s">
        <v>299</v>
      </c>
    </row>
    <row r="17" spans="2:3" ht="31.5" customHeight="1" x14ac:dyDescent="0.25">
      <c r="B17" s="54">
        <v>16</v>
      </c>
      <c r="C17" s="56" t="s">
        <v>300</v>
      </c>
    </row>
    <row r="18" spans="2:3" x14ac:dyDescent="0.25">
      <c r="B18" s="55">
        <v>17</v>
      </c>
      <c r="C18" s="56" t="s">
        <v>301</v>
      </c>
    </row>
    <row r="19" spans="2:3" x14ac:dyDescent="0.25">
      <c r="B19" s="54">
        <v>18</v>
      </c>
      <c r="C19" s="50" t="s">
        <v>302</v>
      </c>
    </row>
    <row r="20" spans="2:3" x14ac:dyDescent="0.25">
      <c r="B20" s="55">
        <v>19</v>
      </c>
      <c r="C20" s="50"/>
    </row>
    <row r="21" spans="2:3" x14ac:dyDescent="0.25">
      <c r="B21" s="57">
        <v>20</v>
      </c>
      <c r="C21" s="50"/>
    </row>
    <row r="22" spans="2:3" x14ac:dyDescent="0.25">
      <c r="B22" s="50"/>
      <c r="C22" s="50"/>
    </row>
    <row r="23" spans="2:3" x14ac:dyDescent="0.25">
      <c r="B23" s="50"/>
      <c r="C23" s="50"/>
    </row>
    <row r="24" spans="2:3" x14ac:dyDescent="0.25">
      <c r="B24" s="50"/>
      <c r="C24" s="50"/>
    </row>
    <row r="25" spans="2:3" x14ac:dyDescent="0.25">
      <c r="B25" s="50"/>
      <c r="C25" s="50"/>
    </row>
    <row r="26" spans="2:3" x14ac:dyDescent="0.25">
      <c r="B26" s="50"/>
      <c r="C26"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77"/>
  <sheetViews>
    <sheetView view="pageLayout" topLeftCell="A55" zoomScale="85" zoomScaleNormal="100" zoomScaleSheetLayoutView="100" zoomScalePageLayoutView="85" workbookViewId="0">
      <selection activeCell="C16" sqref="C16:H16"/>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91" t="s">
        <v>165</v>
      </c>
      <c r="B1" s="191"/>
      <c r="C1" s="191"/>
      <c r="D1" s="191"/>
      <c r="E1" s="191"/>
      <c r="F1" s="191"/>
      <c r="G1" s="191"/>
      <c r="H1" s="191"/>
    </row>
    <row r="2" spans="1:26" ht="16.5" customHeight="1" x14ac:dyDescent="0.25">
      <c r="A2" s="192" t="s">
        <v>0</v>
      </c>
      <c r="B2" s="192"/>
      <c r="C2" s="192"/>
      <c r="D2" s="192"/>
      <c r="E2" s="192"/>
      <c r="F2" s="192"/>
      <c r="G2" s="192"/>
      <c r="H2" s="192"/>
    </row>
    <row r="3" spans="1:26" x14ac:dyDescent="0.25">
      <c r="A3" s="135" t="s">
        <v>1</v>
      </c>
      <c r="B3" s="135"/>
      <c r="C3" s="135"/>
      <c r="D3" s="135"/>
      <c r="E3" s="135" t="str">
        <f ca="1">TEXT(TODAY(),"DD/MM/YYYY")</f>
        <v>09/09/2025</v>
      </c>
      <c r="F3" s="135"/>
      <c r="G3" s="135"/>
      <c r="H3" s="135"/>
      <c r="K3" s="49" t="s">
        <v>237</v>
      </c>
      <c r="L3" s="47" t="s">
        <v>235</v>
      </c>
      <c r="M3" s="47" t="s">
        <v>240</v>
      </c>
      <c r="N3" s="47" t="s">
        <v>238</v>
      </c>
      <c r="O3" s="47" t="s">
        <v>239</v>
      </c>
      <c r="P3" s="47" t="s">
        <v>241</v>
      </c>
    </row>
    <row r="4" spans="1:26" ht="15" customHeight="1" x14ac:dyDescent="0.25">
      <c r="A4" s="135" t="s">
        <v>234</v>
      </c>
      <c r="B4" s="135"/>
      <c r="C4" s="135"/>
      <c r="D4" s="135"/>
      <c r="E4" s="135" t="s">
        <v>235</v>
      </c>
      <c r="F4" s="135"/>
      <c r="G4" s="135"/>
      <c r="H4" s="135"/>
      <c r="K4" s="46" t="s">
        <v>236</v>
      </c>
      <c r="L4" s="47" t="s">
        <v>171</v>
      </c>
      <c r="M4" s="47" t="s">
        <v>245</v>
      </c>
      <c r="N4" s="47" t="s">
        <v>247</v>
      </c>
      <c r="O4" s="47" t="s">
        <v>249</v>
      </c>
      <c r="P4" s="47"/>
    </row>
    <row r="5" spans="1:26" ht="15" customHeight="1" x14ac:dyDescent="0.25">
      <c r="A5" s="135" t="s">
        <v>2</v>
      </c>
      <c r="B5" s="135"/>
      <c r="C5" s="135"/>
      <c r="D5" s="135"/>
      <c r="E5" s="135" t="s">
        <v>171</v>
      </c>
      <c r="F5" s="135"/>
      <c r="G5" s="135"/>
      <c r="H5" s="135"/>
      <c r="K5" s="46"/>
      <c r="L5" s="47" t="s">
        <v>242</v>
      </c>
      <c r="M5" s="47" t="s">
        <v>246</v>
      </c>
      <c r="N5" s="47" t="s">
        <v>248</v>
      </c>
      <c r="O5" s="47" t="s">
        <v>250</v>
      </c>
      <c r="P5" s="47"/>
    </row>
    <row r="6" spans="1:26" x14ac:dyDescent="0.25">
      <c r="A6" s="135" t="s">
        <v>3</v>
      </c>
      <c r="B6" s="135"/>
      <c r="C6" s="135"/>
      <c r="D6" s="135"/>
      <c r="E6" s="194">
        <v>45357</v>
      </c>
      <c r="F6" s="135"/>
      <c r="G6" s="135"/>
      <c r="H6" s="135"/>
      <c r="K6" s="46"/>
      <c r="L6" s="47" t="s">
        <v>243</v>
      </c>
      <c r="M6" s="47"/>
      <c r="N6" s="47"/>
      <c r="O6" s="47" t="s">
        <v>251</v>
      </c>
      <c r="P6" s="47"/>
    </row>
    <row r="7" spans="1:26" ht="16.5" customHeight="1" x14ac:dyDescent="0.25">
      <c r="A7" s="135" t="s">
        <v>4</v>
      </c>
      <c r="B7" s="135"/>
      <c r="C7" s="135"/>
      <c r="D7" s="135"/>
      <c r="E7" s="135" t="s">
        <v>304</v>
      </c>
      <c r="F7" s="135"/>
      <c r="G7" s="135"/>
      <c r="H7" s="135"/>
      <c r="K7" s="46"/>
      <c r="L7" s="47" t="s">
        <v>244</v>
      </c>
      <c r="M7" s="47"/>
      <c r="N7" s="47"/>
      <c r="O7" s="47" t="s">
        <v>251</v>
      </c>
      <c r="P7" s="47"/>
    </row>
    <row r="8" spans="1:26" ht="15" customHeight="1" x14ac:dyDescent="0.25">
      <c r="A8" s="135" t="s">
        <v>5</v>
      </c>
      <c r="B8" s="135"/>
      <c r="C8" s="135"/>
      <c r="D8" s="135"/>
      <c r="E8" s="135" t="str">
        <f>E7</f>
        <v>H. M. Holdings</v>
      </c>
      <c r="F8" s="135"/>
      <c r="G8" s="135"/>
      <c r="H8" s="135"/>
      <c r="K8" s="46"/>
      <c r="L8" s="47"/>
      <c r="M8" s="47"/>
      <c r="N8" s="47"/>
      <c r="O8" s="47" t="s">
        <v>252</v>
      </c>
      <c r="P8" s="47"/>
    </row>
    <row r="9" spans="1:26" x14ac:dyDescent="0.25">
      <c r="A9" s="135" t="s">
        <v>6</v>
      </c>
      <c r="B9" s="135"/>
      <c r="C9" s="135"/>
      <c r="D9" s="135"/>
      <c r="E9" s="162" t="s">
        <v>305</v>
      </c>
      <c r="F9" s="162"/>
      <c r="G9" s="162"/>
      <c r="H9" s="162"/>
      <c r="K9" s="46"/>
      <c r="L9" s="47"/>
      <c r="M9" s="47"/>
      <c r="N9" s="47"/>
      <c r="O9" s="47" t="s">
        <v>253</v>
      </c>
      <c r="P9" s="47"/>
    </row>
    <row r="10" spans="1:26" x14ac:dyDescent="0.25">
      <c r="A10" s="135" t="s">
        <v>168</v>
      </c>
      <c r="B10" s="135"/>
      <c r="C10" s="135"/>
      <c r="D10" s="135"/>
      <c r="E10" s="135" t="s">
        <v>306</v>
      </c>
      <c r="F10" s="135"/>
      <c r="G10" s="135"/>
      <c r="H10" s="135"/>
      <c r="K10" s="46"/>
      <c r="L10" s="47"/>
      <c r="M10" s="47"/>
      <c r="N10" s="47"/>
      <c r="O10" s="47"/>
      <c r="P10" s="47"/>
    </row>
    <row r="11" spans="1:26" x14ac:dyDescent="0.25">
      <c r="A11" s="135" t="s">
        <v>169</v>
      </c>
      <c r="B11" s="135"/>
      <c r="C11" s="135"/>
      <c r="D11" s="135"/>
      <c r="E11" s="135" t="s">
        <v>309</v>
      </c>
      <c r="F11" s="135"/>
      <c r="G11" s="135"/>
      <c r="H11" s="135"/>
    </row>
    <row r="12" spans="1:26" x14ac:dyDescent="0.25">
      <c r="A12" s="135" t="s">
        <v>7</v>
      </c>
      <c r="B12" s="135"/>
      <c r="C12" s="135"/>
      <c r="D12" s="135"/>
      <c r="E12" s="135" t="s">
        <v>330</v>
      </c>
      <c r="F12" s="135"/>
      <c r="G12" s="135"/>
      <c r="H12" s="135"/>
    </row>
    <row r="13" spans="1:26" ht="32.450000000000003" customHeight="1" x14ac:dyDescent="0.25">
      <c r="A13" s="135" t="s">
        <v>172</v>
      </c>
      <c r="B13" s="135"/>
      <c r="C13" s="135"/>
      <c r="D13" s="135"/>
      <c r="E13" s="136" t="s">
        <v>310</v>
      </c>
      <c r="F13" s="136"/>
      <c r="G13" s="136"/>
      <c r="H13" s="136"/>
      <c r="S13" s="47" t="s">
        <v>179</v>
      </c>
      <c r="T13" s="47" t="s">
        <v>189</v>
      </c>
      <c r="U13" s="47" t="s">
        <v>173</v>
      </c>
      <c r="V13" s="47" t="s">
        <v>194</v>
      </c>
      <c r="W13" s="47" t="s">
        <v>212</v>
      </c>
      <c r="X13"/>
      <c r="Y13" t="s">
        <v>194</v>
      </c>
      <c r="Z13" t="e">
        <f ca="1">OFFSET($S$13,1,MATCH($G20,$S$13:$W$13,0)-1,15,1)</f>
        <v>#VALUE!</v>
      </c>
    </row>
    <row r="14" spans="1:26" x14ac:dyDescent="0.25">
      <c r="A14" s="135" t="s">
        <v>280</v>
      </c>
      <c r="B14" s="135"/>
      <c r="C14" s="135"/>
      <c r="D14" s="135"/>
      <c r="E14" s="136" t="s">
        <v>227</v>
      </c>
      <c r="F14" s="136"/>
      <c r="G14" s="136"/>
      <c r="H14" s="136"/>
      <c r="S14" s="47" t="s">
        <v>180</v>
      </c>
      <c r="T14" s="47" t="s">
        <v>187</v>
      </c>
      <c r="U14" s="47" t="s">
        <v>209</v>
      </c>
      <c r="V14" s="47" t="s">
        <v>195</v>
      </c>
      <c r="W14" s="47" t="s">
        <v>213</v>
      </c>
      <c r="X14"/>
      <c r="Y14"/>
      <c r="Z14"/>
    </row>
    <row r="15" spans="1:26" ht="17.25" customHeight="1" x14ac:dyDescent="0.25">
      <c r="A15" s="135" t="s">
        <v>8</v>
      </c>
      <c r="B15" s="135"/>
      <c r="C15" s="135"/>
      <c r="D15" s="135"/>
      <c r="E15" s="136" t="s">
        <v>311</v>
      </c>
      <c r="F15" s="135"/>
      <c r="G15" s="135"/>
      <c r="H15" s="135"/>
      <c r="I15" s="223" t="e">
        <f ca="1">OFFSET($D$5,1,MATCH($J13,$D$5:$H$5,0)-1,15,1)</f>
        <v>#N/A</v>
      </c>
      <c r="J15" s="224"/>
      <c r="K15" s="224"/>
      <c r="L15" s="224"/>
      <c r="M15" s="224"/>
      <c r="N15" s="224"/>
      <c r="O15" s="224"/>
      <c r="P15" s="224"/>
      <c r="S15" s="47" t="s">
        <v>181</v>
      </c>
      <c r="T15" s="47" t="s">
        <v>188</v>
      </c>
      <c r="U15" s="47" t="s">
        <v>210</v>
      </c>
      <c r="V15" s="47" t="s">
        <v>196</v>
      </c>
      <c r="W15" s="47" t="s">
        <v>226</v>
      </c>
      <c r="X15"/>
      <c r="Y15"/>
      <c r="Z15"/>
    </row>
    <row r="16" spans="1:26" ht="64.5" customHeight="1" x14ac:dyDescent="0.25">
      <c r="A16" s="136" t="s">
        <v>9</v>
      </c>
      <c r="B16" s="136"/>
      <c r="C16" s="136" t="str">
        <f>CONCATENATE((IF(OR(E9="",E9="NA"),"",E9)),", ",(IF(OR(A17="",A17="NA"),"",A17)),".",(IF(OR(C17="",C17="NA"),"",C17)),", near ",(IF(OR(C22="",C22="NA"),"",C22)),", ",(IF(OR(C19="",C19="NA"),"",C19)),", ",(IF(OR(C18="",C18="NA"),"",C18)),", ",(IF(OR(G19="",G19="NA"),"",G19)),", ",(IF(OR(C20="",C20="NA"),"",C20)),", ",(IF(OR(C21="",C21="NA"),"",C21)),", ",(IF(OR(G20="",G20="NA"),"",G20))," - ",(IF(OR(G21="",G21="NA"),"",G21)),".")</f>
        <v>Central Park, CTS No.458, 459, 460, 462, 463, 547 &amp; Redevelopement of buildings "Rama Mansion, Chandri Villa, Hill View &amp; Kotak Kunj", near Hari Bhuvan Building, Tejpal Road, Papanas Wadi, Malabar Hill Division, Tardeo, Mumbai, Mumbai - 400007.</v>
      </c>
      <c r="D16" s="136"/>
      <c r="E16" s="136"/>
      <c r="F16" s="136"/>
      <c r="G16" s="136"/>
      <c r="H16" s="136"/>
      <c r="S16" s="47" t="s">
        <v>182</v>
      </c>
      <c r="T16" s="47" t="s">
        <v>190</v>
      </c>
      <c r="U16" s="47" t="s">
        <v>211</v>
      </c>
      <c r="V16" s="47" t="s">
        <v>197</v>
      </c>
      <c r="W16" s="47" t="s">
        <v>214</v>
      </c>
      <c r="X16"/>
      <c r="Y16"/>
      <c r="Z16"/>
    </row>
    <row r="17" spans="1:26" ht="30.95" customHeight="1" x14ac:dyDescent="0.25">
      <c r="A17" s="136" t="s">
        <v>177</v>
      </c>
      <c r="B17" s="136"/>
      <c r="C17" s="136" t="s">
        <v>313</v>
      </c>
      <c r="D17" s="136"/>
      <c r="E17" s="136"/>
      <c r="F17" s="136"/>
      <c r="G17" s="136"/>
      <c r="H17" s="136"/>
      <c r="S17" s="47" t="s">
        <v>183</v>
      </c>
      <c r="T17" s="47" t="s">
        <v>191</v>
      </c>
      <c r="U17" s="47" t="s">
        <v>173</v>
      </c>
      <c r="V17" s="47" t="s">
        <v>198</v>
      </c>
      <c r="W17" s="47" t="s">
        <v>215</v>
      </c>
      <c r="X17"/>
      <c r="Y17"/>
      <c r="Z17"/>
    </row>
    <row r="18" spans="1:26" ht="15.75" customHeight="1" x14ac:dyDescent="0.25">
      <c r="A18" s="136" t="s">
        <v>163</v>
      </c>
      <c r="B18" s="136"/>
      <c r="C18" s="136" t="s">
        <v>316</v>
      </c>
      <c r="D18" s="136"/>
      <c r="E18" s="136"/>
      <c r="F18" s="136"/>
      <c r="G18" s="136"/>
      <c r="H18" s="136"/>
      <c r="S18" s="47" t="s">
        <v>184</v>
      </c>
      <c r="T18" s="47" t="s">
        <v>189</v>
      </c>
      <c r="U18" s="47"/>
      <c r="V18" s="47" t="s">
        <v>199</v>
      </c>
      <c r="W18" s="47" t="s">
        <v>216</v>
      </c>
      <c r="X18"/>
      <c r="Y18"/>
      <c r="Z18"/>
    </row>
    <row r="19" spans="1:26" ht="15.75" customHeight="1" x14ac:dyDescent="0.25">
      <c r="A19" s="136" t="s">
        <v>10</v>
      </c>
      <c r="B19" s="136"/>
      <c r="C19" s="135" t="s">
        <v>315</v>
      </c>
      <c r="D19" s="135"/>
      <c r="E19" s="136" t="s">
        <v>69</v>
      </c>
      <c r="F19" s="136"/>
      <c r="G19" s="136" t="s">
        <v>388</v>
      </c>
      <c r="H19" s="136"/>
      <c r="S19" s="47" t="s">
        <v>185</v>
      </c>
      <c r="T19" s="47" t="s">
        <v>192</v>
      </c>
      <c r="U19" s="47"/>
      <c r="V19" s="47" t="s">
        <v>200</v>
      </c>
      <c r="W19" s="47" t="s">
        <v>217</v>
      </c>
      <c r="X19"/>
      <c r="Y19"/>
      <c r="Z19"/>
    </row>
    <row r="20" spans="1:26" x14ac:dyDescent="0.25">
      <c r="A20" s="135" t="s">
        <v>12</v>
      </c>
      <c r="B20" s="135"/>
      <c r="C20" s="136" t="s">
        <v>314</v>
      </c>
      <c r="D20" s="136"/>
      <c r="E20" s="136" t="s">
        <v>11</v>
      </c>
      <c r="F20" s="136"/>
      <c r="G20" s="190" t="s">
        <v>173</v>
      </c>
      <c r="H20" s="190"/>
      <c r="S20" s="47" t="s">
        <v>186</v>
      </c>
      <c r="T20" s="47" t="s">
        <v>193</v>
      </c>
      <c r="U20" s="47"/>
      <c r="V20" s="47" t="s">
        <v>201</v>
      </c>
      <c r="W20" s="47" t="s">
        <v>218</v>
      </c>
      <c r="X20"/>
      <c r="Y20"/>
      <c r="Z20"/>
    </row>
    <row r="21" spans="1:26" x14ac:dyDescent="0.25">
      <c r="A21" s="135" t="s">
        <v>70</v>
      </c>
      <c r="B21" s="135"/>
      <c r="C21" s="136" t="s">
        <v>173</v>
      </c>
      <c r="D21" s="136"/>
      <c r="E21" s="136" t="s">
        <v>13</v>
      </c>
      <c r="F21" s="136"/>
      <c r="G21" s="136">
        <v>400007</v>
      </c>
      <c r="H21" s="136"/>
      <c r="S21" s="47"/>
      <c r="T21" s="47"/>
      <c r="U21" s="47"/>
      <c r="V21" s="47" t="s">
        <v>202</v>
      </c>
      <c r="W21" s="47" t="s">
        <v>219</v>
      </c>
      <c r="X21"/>
      <c r="Y21"/>
      <c r="Z21"/>
    </row>
    <row r="22" spans="1:26" ht="32.25" customHeight="1" x14ac:dyDescent="0.25">
      <c r="A22" s="135" t="s">
        <v>119</v>
      </c>
      <c r="B22" s="135"/>
      <c r="C22" s="136" t="s">
        <v>317</v>
      </c>
      <c r="D22" s="136"/>
      <c r="E22" s="136" t="s">
        <v>14</v>
      </c>
      <c r="F22" s="136"/>
      <c r="G22" s="136" t="s">
        <v>312</v>
      </c>
      <c r="H22" s="136"/>
      <c r="S22" s="47"/>
      <c r="T22" s="47"/>
      <c r="U22" s="47"/>
      <c r="V22" s="47" t="s">
        <v>203</v>
      </c>
      <c r="W22" s="47" t="s">
        <v>220</v>
      </c>
      <c r="X22"/>
      <c r="Y22"/>
      <c r="Z22"/>
    </row>
    <row r="23" spans="1:26" ht="15" customHeight="1" x14ac:dyDescent="0.25">
      <c r="A23" s="132" t="s">
        <v>72</v>
      </c>
      <c r="B23" s="132"/>
      <c r="C23" s="132"/>
      <c r="D23" s="132"/>
      <c r="E23" s="135" t="s">
        <v>15</v>
      </c>
      <c r="F23" s="135"/>
      <c r="G23" s="135"/>
      <c r="H23" s="135"/>
      <c r="S23" s="47"/>
      <c r="T23" s="47"/>
      <c r="U23" s="47"/>
      <c r="V23" s="47" t="s">
        <v>204</v>
      </c>
      <c r="W23" s="47" t="s">
        <v>221</v>
      </c>
      <c r="X23"/>
      <c r="Y23"/>
      <c r="Z23"/>
    </row>
    <row r="24" spans="1:26" ht="18.75" customHeight="1" x14ac:dyDescent="0.25">
      <c r="A24" s="132"/>
      <c r="B24" s="132"/>
      <c r="C24" s="132"/>
      <c r="D24" s="132"/>
      <c r="E24" s="135"/>
      <c r="F24" s="135"/>
      <c r="G24" s="135"/>
      <c r="H24" s="135"/>
      <c r="S24" s="47"/>
      <c r="T24" s="47"/>
      <c r="U24" s="47"/>
      <c r="V24" s="47" t="s">
        <v>205</v>
      </c>
      <c r="W24" s="47" t="s">
        <v>222</v>
      </c>
      <c r="X24"/>
      <c r="Y24"/>
      <c r="Z24"/>
    </row>
    <row r="25" spans="1:26" ht="15" customHeight="1" x14ac:dyDescent="0.25">
      <c r="A25" s="132" t="s">
        <v>16</v>
      </c>
      <c r="B25" s="132"/>
      <c r="C25" s="132"/>
      <c r="D25" s="132"/>
      <c r="E25" s="136" t="s">
        <v>17</v>
      </c>
      <c r="F25" s="136"/>
      <c r="G25" s="136"/>
      <c r="H25" s="136"/>
      <c r="S25" s="47"/>
      <c r="T25" s="47"/>
      <c r="U25" s="47"/>
      <c r="V25" s="47" t="s">
        <v>206</v>
      </c>
      <c r="W25" s="47" t="s">
        <v>223</v>
      </c>
      <c r="X25"/>
      <c r="Y25"/>
      <c r="Z25"/>
    </row>
    <row r="26" spans="1:26" ht="15" customHeight="1" x14ac:dyDescent="0.25">
      <c r="A26" s="115" t="s">
        <v>18</v>
      </c>
      <c r="B26" s="115"/>
      <c r="C26" s="115"/>
      <c r="D26" s="115"/>
      <c r="E26" s="136" t="str">
        <f>IF(AND(G20="Mumbai"),"Upper Class","Middle Class")</f>
        <v>Upper Class</v>
      </c>
      <c r="F26" s="136"/>
      <c r="G26" s="136"/>
      <c r="H26" s="136"/>
      <c r="S26" s="47"/>
      <c r="T26" s="47"/>
      <c r="U26" s="47"/>
      <c r="V26" s="47" t="s">
        <v>207</v>
      </c>
      <c r="W26" s="47" t="s">
        <v>224</v>
      </c>
      <c r="X26"/>
      <c r="Y26"/>
      <c r="Z26"/>
    </row>
    <row r="27" spans="1:26" x14ac:dyDescent="0.25">
      <c r="A27" s="115" t="s">
        <v>19</v>
      </c>
      <c r="B27" s="115"/>
      <c r="C27" s="115"/>
      <c r="D27" s="115"/>
      <c r="E27" s="136" t="s">
        <v>20</v>
      </c>
      <c r="F27" s="136"/>
      <c r="G27" s="136"/>
      <c r="H27" s="136"/>
      <c r="S27" s="47"/>
      <c r="T27" s="47"/>
      <c r="U27" s="47"/>
      <c r="V27" s="47" t="s">
        <v>208</v>
      </c>
      <c r="W27" s="47" t="s">
        <v>225</v>
      </c>
      <c r="X27"/>
      <c r="Y27"/>
      <c r="Z27"/>
    </row>
    <row r="28" spans="1:26" ht="15.75" customHeight="1" x14ac:dyDescent="0.25">
      <c r="A28" s="115" t="s">
        <v>21</v>
      </c>
      <c r="B28" s="115"/>
      <c r="C28" s="115"/>
      <c r="D28" s="115"/>
      <c r="E28" s="136" t="str">
        <f>IF(AND(G20="Mumbai"),"Developed","Developing")</f>
        <v>Developed</v>
      </c>
      <c r="F28" s="136"/>
      <c r="G28" s="136"/>
      <c r="H28" s="136"/>
    </row>
    <row r="29" spans="1:26" x14ac:dyDescent="0.25">
      <c r="A29" s="115" t="s">
        <v>22</v>
      </c>
      <c r="B29" s="115"/>
      <c r="C29" s="115"/>
      <c r="D29" s="115"/>
      <c r="E29" s="136" t="s">
        <v>23</v>
      </c>
      <c r="F29" s="136"/>
      <c r="G29" s="136"/>
      <c r="H29" s="136"/>
    </row>
    <row r="30" spans="1:26" ht="15.75" customHeight="1" x14ac:dyDescent="0.25">
      <c r="A30" s="115" t="s">
        <v>77</v>
      </c>
      <c r="B30" s="115"/>
      <c r="C30" s="115"/>
      <c r="D30" s="115"/>
      <c r="E30" s="136" t="s">
        <v>78</v>
      </c>
      <c r="F30" s="136"/>
      <c r="G30" s="136"/>
      <c r="H30" s="136"/>
    </row>
    <row r="31" spans="1:26" ht="15" customHeight="1" x14ac:dyDescent="0.25">
      <c r="A31" s="115" t="s">
        <v>30</v>
      </c>
      <c r="B31" s="115"/>
      <c r="C31" s="115"/>
      <c r="D31" s="115"/>
      <c r="E31" s="136"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36"/>
      <c r="G31" s="136"/>
      <c r="H31" s="136"/>
    </row>
    <row r="32" spans="1:26" ht="15.75" customHeight="1" x14ac:dyDescent="0.25">
      <c r="A32" s="115" t="s">
        <v>89</v>
      </c>
      <c r="B32" s="115"/>
      <c r="C32" s="115"/>
      <c r="D32" s="115"/>
      <c r="E32" s="136" t="s">
        <v>31</v>
      </c>
      <c r="F32" s="136"/>
      <c r="G32" s="136"/>
      <c r="H32" s="136"/>
    </row>
    <row r="33" spans="1:19" s="19" customFormat="1" x14ac:dyDescent="0.25">
      <c r="A33" s="189" t="s">
        <v>90</v>
      </c>
      <c r="B33" s="189"/>
      <c r="C33" s="266" t="s">
        <v>174</v>
      </c>
      <c r="D33" s="267"/>
      <c r="E33" s="268"/>
      <c r="F33" s="266" t="s">
        <v>29</v>
      </c>
      <c r="G33" s="267"/>
      <c r="H33" s="268"/>
      <c r="S33" s="19" t="e">
        <f ca="1">OFFSET($S$13,1,MATCH($G20,$S$13:$W$13,0)-1,15,1)</f>
        <v>#VALUE!</v>
      </c>
    </row>
    <row r="34" spans="1:19" s="19" customFormat="1" x14ac:dyDescent="0.25">
      <c r="A34" s="175" t="s">
        <v>24</v>
      </c>
      <c r="B34" s="175" t="s">
        <v>28</v>
      </c>
      <c r="C34" s="263" t="s">
        <v>320</v>
      </c>
      <c r="D34" s="264"/>
      <c r="E34" s="265"/>
      <c r="F34" s="263" t="s">
        <v>315</v>
      </c>
      <c r="G34" s="264"/>
      <c r="H34" s="265"/>
    </row>
    <row r="35" spans="1:19" x14ac:dyDescent="0.25">
      <c r="A35" s="175" t="s">
        <v>25</v>
      </c>
      <c r="B35" s="175" t="s">
        <v>28</v>
      </c>
      <c r="C35" s="263" t="s">
        <v>321</v>
      </c>
      <c r="D35" s="264"/>
      <c r="E35" s="265"/>
      <c r="F35" s="263" t="s">
        <v>318</v>
      </c>
      <c r="G35" s="264"/>
      <c r="H35" s="265"/>
    </row>
    <row r="36" spans="1:19" s="19" customFormat="1" x14ac:dyDescent="0.25">
      <c r="A36" s="175" t="s">
        <v>27</v>
      </c>
      <c r="B36" s="175" t="s">
        <v>28</v>
      </c>
      <c r="C36" s="263" t="s">
        <v>322</v>
      </c>
      <c r="D36" s="264"/>
      <c r="E36" s="265"/>
      <c r="F36" s="263" t="s">
        <v>317</v>
      </c>
      <c r="G36" s="264"/>
      <c r="H36" s="265"/>
    </row>
    <row r="37" spans="1:19" x14ac:dyDescent="0.25">
      <c r="A37" s="175" t="s">
        <v>26</v>
      </c>
      <c r="B37" s="175" t="s">
        <v>28</v>
      </c>
      <c r="C37" s="263" t="s">
        <v>322</v>
      </c>
      <c r="D37" s="264"/>
      <c r="E37" s="265"/>
      <c r="F37" s="263" t="s">
        <v>319</v>
      </c>
      <c r="G37" s="264"/>
      <c r="H37" s="265"/>
    </row>
    <row r="38" spans="1:19" x14ac:dyDescent="0.25">
      <c r="A38" s="115" t="s">
        <v>281</v>
      </c>
      <c r="B38" s="115"/>
      <c r="C38" s="115"/>
      <c r="D38" s="115"/>
      <c r="E38" s="115"/>
      <c r="F38" s="115"/>
      <c r="G38" s="115"/>
      <c r="H38" s="115"/>
    </row>
    <row r="39" spans="1:19" ht="15.75" customHeight="1" x14ac:dyDescent="0.25">
      <c r="A39" s="115" t="s">
        <v>166</v>
      </c>
      <c r="B39" s="115"/>
      <c r="C39" s="163" t="s">
        <v>308</v>
      </c>
      <c r="D39" s="163"/>
      <c r="E39" s="163"/>
      <c r="F39" s="163"/>
      <c r="G39" s="163"/>
      <c r="H39" s="163"/>
    </row>
    <row r="40" spans="1:19" x14ac:dyDescent="0.25">
      <c r="A40" s="115" t="s">
        <v>162</v>
      </c>
      <c r="B40" s="115"/>
      <c r="C40" s="139" t="s">
        <v>307</v>
      </c>
      <c r="D40" s="136"/>
      <c r="E40" s="136"/>
      <c r="F40" s="136"/>
      <c r="G40" s="136"/>
      <c r="H40" s="136"/>
    </row>
    <row r="41" spans="1:19" x14ac:dyDescent="0.25">
      <c r="A41" s="163" t="s">
        <v>32</v>
      </c>
      <c r="B41" s="163"/>
      <c r="C41" s="163"/>
      <c r="D41" s="163"/>
      <c r="E41" s="163"/>
      <c r="F41" s="163"/>
      <c r="G41" s="163"/>
      <c r="H41" s="163"/>
    </row>
    <row r="42" spans="1:19" x14ac:dyDescent="0.25">
      <c r="A42" s="115" t="s">
        <v>33</v>
      </c>
      <c r="B42" s="115"/>
      <c r="C42" s="115"/>
      <c r="D42" s="115"/>
      <c r="E42" s="177">
        <v>3312.66</v>
      </c>
      <c r="F42" s="177"/>
      <c r="G42" s="177"/>
      <c r="H42" s="177"/>
    </row>
    <row r="43" spans="1:19" x14ac:dyDescent="0.25">
      <c r="A43" s="115" t="s">
        <v>34</v>
      </c>
      <c r="B43" s="115"/>
      <c r="C43" s="115"/>
      <c r="D43" s="115"/>
      <c r="E43" s="180">
        <v>3</v>
      </c>
      <c r="F43" s="180"/>
      <c r="G43" s="180"/>
      <c r="H43" s="180"/>
      <c r="I43" s="18">
        <f>10067.49/E42</f>
        <v>3.039095470105595</v>
      </c>
    </row>
    <row r="44" spans="1:19" x14ac:dyDescent="0.25">
      <c r="A44" s="115" t="s">
        <v>35</v>
      </c>
      <c r="B44" s="115"/>
      <c r="C44" s="115"/>
      <c r="D44" s="115"/>
      <c r="E44" s="180">
        <f>E46/E42-E43</f>
        <v>3.9095470105594998E-2</v>
      </c>
      <c r="F44" s="180"/>
      <c r="G44" s="180"/>
      <c r="H44" s="180"/>
    </row>
    <row r="45" spans="1:19" x14ac:dyDescent="0.25">
      <c r="A45" s="115" t="s">
        <v>36</v>
      </c>
      <c r="B45" s="115"/>
      <c r="C45" s="115"/>
      <c r="D45" s="115"/>
      <c r="E45" s="180">
        <f>E43+E44</f>
        <v>3.039095470105595</v>
      </c>
      <c r="F45" s="180"/>
      <c r="G45" s="180"/>
      <c r="H45" s="180"/>
    </row>
    <row r="46" spans="1:19" x14ac:dyDescent="0.25">
      <c r="A46" s="115" t="s">
        <v>88</v>
      </c>
      <c r="B46" s="115"/>
      <c r="C46" s="115"/>
      <c r="D46" s="115"/>
      <c r="E46" s="181">
        <v>10067.49</v>
      </c>
      <c r="F46" s="181"/>
      <c r="G46" s="181"/>
      <c r="H46" s="181"/>
    </row>
    <row r="47" spans="1:19" x14ac:dyDescent="0.25">
      <c r="A47" s="135" t="s">
        <v>37</v>
      </c>
      <c r="B47" s="135"/>
      <c r="C47" s="135"/>
      <c r="D47" s="135"/>
      <c r="E47" s="135" t="s">
        <v>323</v>
      </c>
      <c r="F47" s="135"/>
      <c r="G47" s="135"/>
      <c r="H47" s="135"/>
    </row>
    <row r="48" spans="1:19" x14ac:dyDescent="0.25">
      <c r="A48" s="163" t="s">
        <v>38</v>
      </c>
      <c r="B48" s="163"/>
      <c r="C48" s="163"/>
      <c r="D48" s="163"/>
      <c r="E48" s="163"/>
      <c r="F48" s="163"/>
      <c r="G48" s="163"/>
      <c r="H48" s="163"/>
    </row>
    <row r="49" spans="1:24" ht="33.75" customHeight="1" x14ac:dyDescent="0.25">
      <c r="A49" s="173" t="s">
        <v>151</v>
      </c>
      <c r="B49" s="174"/>
      <c r="C49" s="182" t="s">
        <v>256</v>
      </c>
      <c r="D49" s="183"/>
      <c r="E49" s="183"/>
      <c r="F49" s="183"/>
      <c r="G49" s="183"/>
      <c r="H49" s="184"/>
      <c r="R49" t="s">
        <v>254</v>
      </c>
      <c r="S49" t="s">
        <v>173</v>
      </c>
      <c r="T49" t="s">
        <v>179</v>
      </c>
      <c r="U49" t="s">
        <v>194</v>
      </c>
      <c r="V49" t="s">
        <v>189</v>
      </c>
    </row>
    <row r="50" spans="1:24" ht="15.75" customHeight="1" x14ac:dyDescent="0.25">
      <c r="A50" s="173" t="s">
        <v>39</v>
      </c>
      <c r="B50" s="174"/>
      <c r="C50" s="173" t="s">
        <v>324</v>
      </c>
      <c r="D50" s="225"/>
      <c r="E50" s="174"/>
      <c r="F50" s="17" t="s">
        <v>40</v>
      </c>
      <c r="G50" s="186">
        <v>44708</v>
      </c>
      <c r="H50" s="187"/>
      <c r="R50"/>
      <c r="S50" t="s">
        <v>255</v>
      </c>
      <c r="T50" t="s">
        <v>260</v>
      </c>
      <c r="U50" t="s">
        <v>271</v>
      </c>
      <c r="V50" t="s">
        <v>276</v>
      </c>
    </row>
    <row r="51" spans="1:24" x14ac:dyDescent="0.25">
      <c r="A51" s="173" t="s">
        <v>41</v>
      </c>
      <c r="B51" s="174"/>
      <c r="C51" s="173" t="str">
        <f>C50</f>
        <v>CHE/CTY/5932/D/337(NEW)</v>
      </c>
      <c r="D51" s="225"/>
      <c r="E51" s="174"/>
      <c r="F51" s="17" t="s">
        <v>40</v>
      </c>
      <c r="G51" s="186">
        <f>G50</f>
        <v>44708</v>
      </c>
      <c r="H51" s="187"/>
      <c r="R51"/>
      <c r="S51" t="s">
        <v>256</v>
      </c>
      <c r="T51" t="s">
        <v>261</v>
      </c>
      <c r="U51" t="s">
        <v>269</v>
      </c>
      <c r="V51" t="s">
        <v>277</v>
      </c>
    </row>
    <row r="52" spans="1:24" s="20" customFormat="1" ht="32.450000000000003" customHeight="1" x14ac:dyDescent="0.25">
      <c r="A52" s="229" t="s">
        <v>155</v>
      </c>
      <c r="B52" s="230"/>
      <c r="C52" s="173" t="s">
        <v>325</v>
      </c>
      <c r="D52" s="225"/>
      <c r="E52" s="174"/>
      <c r="F52" s="17" t="s">
        <v>40</v>
      </c>
      <c r="G52" s="186">
        <v>44785</v>
      </c>
      <c r="H52" s="187"/>
      <c r="R52"/>
      <c r="S52" t="s">
        <v>257</v>
      </c>
      <c r="T52" t="s">
        <v>262</v>
      </c>
      <c r="U52" t="s">
        <v>259</v>
      </c>
      <c r="V52" t="s">
        <v>278</v>
      </c>
    </row>
    <row r="53" spans="1:24" s="20" customFormat="1" ht="62.45" customHeight="1" x14ac:dyDescent="0.25">
      <c r="A53" s="231"/>
      <c r="B53" s="232"/>
      <c r="C53" s="173" t="s">
        <v>326</v>
      </c>
      <c r="D53" s="225"/>
      <c r="E53" s="174"/>
      <c r="F53" s="17" t="s">
        <v>118</v>
      </c>
      <c r="G53" s="186">
        <v>45149</v>
      </c>
      <c r="H53" s="187"/>
      <c r="R53"/>
      <c r="S53" t="s">
        <v>258</v>
      </c>
      <c r="T53" t="s">
        <v>265</v>
      </c>
      <c r="U53" t="s">
        <v>272</v>
      </c>
    </row>
    <row r="54" spans="1:24" s="20" customFormat="1" ht="32.450000000000003" customHeight="1" x14ac:dyDescent="0.25">
      <c r="A54" s="229"/>
      <c r="B54" s="230"/>
      <c r="C54" s="173" t="s">
        <v>327</v>
      </c>
      <c r="D54" s="225"/>
      <c r="E54" s="174"/>
      <c r="F54" s="17" t="s">
        <v>40</v>
      </c>
      <c r="G54" s="186">
        <v>45049</v>
      </c>
      <c r="H54" s="187"/>
      <c r="R54"/>
      <c r="S54" t="s">
        <v>257</v>
      </c>
      <c r="T54" t="s">
        <v>262</v>
      </c>
      <c r="U54" t="s">
        <v>259</v>
      </c>
      <c r="V54" t="s">
        <v>278</v>
      </c>
    </row>
    <row r="55" spans="1:24" s="20" customFormat="1" ht="47.1" customHeight="1" x14ac:dyDescent="0.25">
      <c r="A55" s="231"/>
      <c r="B55" s="232"/>
      <c r="C55" s="173" t="s">
        <v>328</v>
      </c>
      <c r="D55" s="225"/>
      <c r="E55" s="174"/>
      <c r="F55" s="17" t="s">
        <v>118</v>
      </c>
      <c r="G55" s="186">
        <v>45077</v>
      </c>
      <c r="H55" s="187"/>
      <c r="R55"/>
      <c r="S55" t="s">
        <v>258</v>
      </c>
      <c r="T55" t="s">
        <v>265</v>
      </c>
      <c r="U55" t="s">
        <v>272</v>
      </c>
    </row>
    <row r="56" spans="1:24" s="20" customFormat="1" hidden="1" x14ac:dyDescent="0.25">
      <c r="A56" s="256" t="s">
        <v>282</v>
      </c>
      <c r="B56" s="257"/>
      <c r="C56" s="173"/>
      <c r="D56" s="225"/>
      <c r="E56" s="174"/>
      <c r="F56" s="17" t="s">
        <v>40</v>
      </c>
      <c r="G56" s="173"/>
      <c r="H56" s="174"/>
      <c r="R56"/>
      <c r="S56" t="s">
        <v>257</v>
      </c>
      <c r="T56" t="s">
        <v>262</v>
      </c>
      <c r="U56" t="s">
        <v>259</v>
      </c>
      <c r="V56" t="s">
        <v>278</v>
      </c>
    </row>
    <row r="57" spans="1:24" s="20" customFormat="1" ht="32.25" hidden="1" customHeight="1" x14ac:dyDescent="0.25">
      <c r="A57" s="258"/>
      <c r="B57" s="259"/>
      <c r="C57" s="260"/>
      <c r="D57" s="261"/>
      <c r="E57" s="261"/>
      <c r="F57" s="261"/>
      <c r="G57" s="261"/>
      <c r="H57" s="262"/>
      <c r="R57"/>
      <c r="S57" t="s">
        <v>259</v>
      </c>
      <c r="T57" t="s">
        <v>263</v>
      </c>
      <c r="U57" t="s">
        <v>273</v>
      </c>
      <c r="V57" s="18"/>
      <c r="W57" s="18"/>
      <c r="X57" s="18"/>
    </row>
    <row r="58" spans="1:24" s="20" customFormat="1" ht="34.5" hidden="1" customHeight="1" x14ac:dyDescent="0.25">
      <c r="A58" s="256" t="s">
        <v>283</v>
      </c>
      <c r="B58" s="257"/>
      <c r="C58" s="173"/>
      <c r="D58" s="225"/>
      <c r="E58" s="174"/>
      <c r="F58" s="17" t="s">
        <v>40</v>
      </c>
      <c r="G58" s="173"/>
      <c r="H58" s="174"/>
      <c r="R58"/>
      <c r="S58" s="18"/>
      <c r="T58" t="s">
        <v>264</v>
      </c>
      <c r="U58" t="s">
        <v>274</v>
      </c>
      <c r="V58" s="18"/>
      <c r="W58" s="18"/>
      <c r="X58" s="18"/>
    </row>
    <row r="59" spans="1:24" s="20" customFormat="1" ht="41.25" hidden="1" customHeight="1" x14ac:dyDescent="0.25">
      <c r="A59" s="258"/>
      <c r="B59" s="259"/>
      <c r="C59" s="173"/>
      <c r="D59" s="225"/>
      <c r="E59" s="225"/>
      <c r="F59" s="225"/>
      <c r="G59" s="225"/>
      <c r="H59" s="174"/>
      <c r="R59"/>
      <c r="S59" s="18"/>
      <c r="T59" t="s">
        <v>266</v>
      </c>
      <c r="U59" t="s">
        <v>275</v>
      </c>
      <c r="V59" s="18"/>
      <c r="W59" s="18"/>
      <c r="X59" s="18"/>
    </row>
    <row r="60" spans="1:24" s="20" customFormat="1" ht="15.75" hidden="1" customHeight="1" x14ac:dyDescent="0.25">
      <c r="A60" s="256" t="s">
        <v>284</v>
      </c>
      <c r="B60" s="257"/>
      <c r="C60" s="173"/>
      <c r="D60" s="225"/>
      <c r="E60" s="174"/>
      <c r="F60" s="17" t="s">
        <v>40</v>
      </c>
      <c r="G60" s="173"/>
      <c r="H60" s="174"/>
      <c r="R60"/>
      <c r="S60" s="18"/>
      <c r="T60" t="s">
        <v>267</v>
      </c>
      <c r="U60" s="18" t="s">
        <v>298</v>
      </c>
      <c r="V60" s="18"/>
      <c r="W60" s="18"/>
      <c r="X60" s="18"/>
    </row>
    <row r="61" spans="1:24" s="20" customFormat="1" ht="33.75" hidden="1" customHeight="1" x14ac:dyDescent="0.25">
      <c r="A61" s="258"/>
      <c r="B61" s="259"/>
      <c r="C61" s="132"/>
      <c r="D61" s="132"/>
      <c r="E61" s="132"/>
      <c r="F61" s="17" t="s">
        <v>118</v>
      </c>
      <c r="G61" s="132"/>
      <c r="H61" s="132"/>
      <c r="R61"/>
      <c r="S61" s="18"/>
      <c r="T61" t="s">
        <v>268</v>
      </c>
      <c r="U61" s="18"/>
      <c r="V61" s="18"/>
      <c r="W61" s="18"/>
      <c r="X61" s="18"/>
    </row>
    <row r="62" spans="1:24" x14ac:dyDescent="0.25">
      <c r="A62" s="251" t="s">
        <v>42</v>
      </c>
      <c r="B62" s="252"/>
      <c r="C62" s="251" t="s">
        <v>102</v>
      </c>
      <c r="D62" s="253"/>
      <c r="E62" s="252"/>
      <c r="F62" s="68" t="s">
        <v>40</v>
      </c>
      <c r="G62" s="254" t="s">
        <v>28</v>
      </c>
      <c r="H62" s="255"/>
      <c r="R62"/>
      <c r="T62" t="s">
        <v>270</v>
      </c>
    </row>
    <row r="63" spans="1:24" x14ac:dyDescent="0.25">
      <c r="A63" s="213" t="s">
        <v>44</v>
      </c>
      <c r="B63" s="213"/>
      <c r="C63" s="213"/>
      <c r="D63" s="213"/>
      <c r="E63" s="213"/>
      <c r="F63" s="213"/>
      <c r="G63" s="213"/>
      <c r="H63" s="213"/>
      <c r="T63" t="s">
        <v>279</v>
      </c>
    </row>
    <row r="64" spans="1:24" x14ac:dyDescent="0.25">
      <c r="A64" s="132" t="s">
        <v>87</v>
      </c>
      <c r="B64" s="132"/>
      <c r="C64" s="132"/>
      <c r="D64" s="115">
        <f>E46</f>
        <v>10067.49</v>
      </c>
      <c r="E64" s="115"/>
      <c r="F64" s="115"/>
      <c r="G64" s="115"/>
      <c r="H64" s="115"/>
      <c r="R64"/>
    </row>
    <row r="65" spans="1:19" x14ac:dyDescent="0.25">
      <c r="A65" s="136" t="s">
        <v>45</v>
      </c>
      <c r="B65" s="135"/>
      <c r="C65" s="135"/>
      <c r="D65" s="135" t="s">
        <v>374</v>
      </c>
      <c r="E65" s="135"/>
      <c r="F65" s="135"/>
      <c r="G65" s="135"/>
      <c r="H65" s="135"/>
      <c r="I65" s="21"/>
      <c r="R65"/>
    </row>
    <row r="66" spans="1:19" ht="48.75" customHeight="1" x14ac:dyDescent="0.25">
      <c r="A66" s="170" t="s">
        <v>46</v>
      </c>
      <c r="B66" s="171"/>
      <c r="C66" s="172"/>
      <c r="D66" s="138" t="s">
        <v>377</v>
      </c>
      <c r="E66" s="169"/>
      <c r="F66" s="169"/>
      <c r="G66" s="169"/>
      <c r="H66" s="169"/>
      <c r="R66"/>
    </row>
    <row r="67" spans="1:19" ht="30.95" customHeight="1" x14ac:dyDescent="0.25">
      <c r="A67" s="170" t="s">
        <v>85</v>
      </c>
      <c r="B67" s="171"/>
      <c r="C67" s="171"/>
      <c r="D67" s="136" t="s">
        <v>378</v>
      </c>
      <c r="E67" s="136"/>
      <c r="F67" s="136"/>
      <c r="G67" s="136"/>
      <c r="H67" s="136"/>
      <c r="R67"/>
    </row>
    <row r="68" spans="1:19" ht="15.75" customHeight="1" x14ac:dyDescent="0.25">
      <c r="A68" s="249"/>
      <c r="B68" s="250"/>
      <c r="C68" s="250"/>
      <c r="D68" s="135" t="s">
        <v>379</v>
      </c>
      <c r="E68" s="135"/>
      <c r="F68" s="135"/>
      <c r="G68" s="135"/>
      <c r="H68" s="135"/>
      <c r="R68"/>
    </row>
    <row r="69" spans="1:19" ht="31.5" customHeight="1" x14ac:dyDescent="0.25">
      <c r="A69" s="115" t="s">
        <v>43</v>
      </c>
      <c r="B69" s="115"/>
      <c r="C69" s="115"/>
      <c r="D69" s="178" t="s">
        <v>329</v>
      </c>
      <c r="E69" s="178"/>
      <c r="F69" s="178"/>
      <c r="G69" s="178"/>
      <c r="H69" s="178"/>
      <c r="J69" s="22"/>
      <c r="K69" s="21"/>
      <c r="N69" s="21"/>
      <c r="S69"/>
    </row>
    <row r="70" spans="1:19" ht="15.75" customHeight="1" x14ac:dyDescent="0.25">
      <c r="A70" s="115" t="s">
        <v>83</v>
      </c>
      <c r="B70" s="115"/>
      <c r="C70" s="115"/>
      <c r="D70" s="179" t="str">
        <f>(IF(G62="NA","60 Years After Completion",IF(G62&lt;&gt;"NA",""&amp;60-ROUNDDOWN((E3-G62)/360,0)&amp;" Years"," ")))</f>
        <v>60 Years After Completion</v>
      </c>
      <c r="E70" s="179"/>
      <c r="F70" s="179"/>
      <c r="G70" s="179"/>
      <c r="H70" s="179"/>
      <c r="N70" s="21"/>
      <c r="S70"/>
    </row>
    <row r="71" spans="1:19" ht="15.75" customHeight="1" x14ac:dyDescent="0.25">
      <c r="A71" s="115" t="s">
        <v>84</v>
      </c>
      <c r="B71" s="115"/>
      <c r="C71" s="115"/>
      <c r="D71" s="132" t="s">
        <v>23</v>
      </c>
      <c r="E71" s="132"/>
      <c r="F71" s="132"/>
      <c r="G71" s="132"/>
      <c r="H71" s="132"/>
      <c r="J71" s="23"/>
      <c r="K71" s="23"/>
      <c r="S71"/>
    </row>
    <row r="72" spans="1:19" ht="33" customHeight="1" x14ac:dyDescent="0.25">
      <c r="A72" s="135" t="s">
        <v>387</v>
      </c>
      <c r="B72" s="135"/>
      <c r="C72" s="135"/>
      <c r="D72" s="136" t="s">
        <v>386</v>
      </c>
      <c r="E72" s="132"/>
      <c r="F72" s="132"/>
      <c r="G72" s="132"/>
      <c r="H72" s="132"/>
      <c r="S72"/>
    </row>
    <row r="73" spans="1:19" x14ac:dyDescent="0.25">
      <c r="A73" s="132" t="s">
        <v>147</v>
      </c>
      <c r="B73" s="132"/>
      <c r="C73" s="132"/>
      <c r="D73" s="132" t="s">
        <v>28</v>
      </c>
      <c r="E73" s="132"/>
      <c r="F73" s="132"/>
      <c r="G73" s="132"/>
      <c r="H73" s="132"/>
      <c r="I73" s="24"/>
      <c r="J73" s="24"/>
      <c r="K73" s="24"/>
      <c r="L73" s="24"/>
      <c r="M73" s="24"/>
      <c r="N73" s="24"/>
    </row>
    <row r="74" spans="1:19" ht="15.75" customHeight="1" x14ac:dyDescent="0.25">
      <c r="A74" s="215" t="s">
        <v>82</v>
      </c>
      <c r="B74" s="215"/>
      <c r="C74" s="215"/>
      <c r="D74" s="138" t="str">
        <f ca="1">(IF(G80&gt;95%,"Nothing",IF(G80&gt;0%,"Cement, Aggregate, Steel, etc",IF(G80=0%,"Work not yet Started"))))</f>
        <v>Cement, Aggregate, Steel, etc</v>
      </c>
      <c r="E74" s="138"/>
      <c r="F74" s="138"/>
      <c r="G74" s="138"/>
      <c r="H74" s="138"/>
      <c r="J74" s="23"/>
      <c r="S74"/>
    </row>
    <row r="75" spans="1:19" ht="33.75" customHeight="1" thickBot="1" x14ac:dyDescent="0.3">
      <c r="A75" s="137" t="s">
        <v>115</v>
      </c>
      <c r="B75" s="137"/>
      <c r="C75" s="137"/>
      <c r="D75" s="138" t="str">
        <f ca="1">(IF(D74="Nothing","Yes",IF(D74="Cement, Aggregate, Steel, etc","Under Construction",IF(D74="Work not yet Started","Work not yet Started"))))</f>
        <v>Under Construction</v>
      </c>
      <c r="E75" s="138"/>
      <c r="F75" s="138" t="str">
        <f ca="1">(IF(D74="Nothing","Yes",IF(D74="Cement, Aggregate, Steel, etc","Under Construction",IF(D74="Work not yet Started","Work not yet Started"))))</f>
        <v>Under Construction</v>
      </c>
      <c r="G75" s="138"/>
      <c r="H75" s="138"/>
      <c r="S75"/>
    </row>
    <row r="76" spans="1:19" ht="15.75" customHeight="1" x14ac:dyDescent="0.25">
      <c r="A76" s="156" t="s">
        <v>137</v>
      </c>
      <c r="B76" s="157"/>
      <c r="C76" s="158" t="str">
        <f>D67</f>
        <v>Building No.1 = 1B + Gr/Stilt + 1st to 6th Podium Floor + 7th to 20th Floor</v>
      </c>
      <c r="D76" s="159"/>
      <c r="E76" s="159"/>
      <c r="F76" s="159"/>
      <c r="G76" s="159"/>
      <c r="H76" s="160"/>
      <c r="I76" s="41" t="str">
        <f ca="1">IF(D89=100%,"All work Completed. Possession granted to the Building.",IF(D88=100%,"All work Completed, Waiting for OC",I77&amp;""&amp;I78&amp;""&amp;J77&amp;""&amp;J76&amp;" "&amp;J78))</f>
        <v>Excavation, Plinth, RCC Slab, Brickwork, Internal Plaster, External Plaster Completed, Flooring upto 17 Floor, Painting upto 17 Floor Completed</v>
      </c>
      <c r="J76" s="42"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Flooring upto 17 Floor, Painting upto 17 Floor</v>
      </c>
      <c r="S76"/>
    </row>
    <row r="77" spans="1:19" x14ac:dyDescent="0.25">
      <c r="A77" s="15" t="s">
        <v>139</v>
      </c>
      <c r="B77" s="45">
        <f>IF(AND(ISNUMBER(SEARCH("1B",C76))),1,IF(AND(ISNUMBER(SEARCH("2B",C76))),2,IF(AND(ISNUMBER(SEARCH("3B",C76))),3,IF(AND(ISNUMBER(SEARCH("4B",C76))),4,IF(ISNUMBER(SEARCH("5B",C76)),5,0)))))</f>
        <v>1</v>
      </c>
      <c r="C77" s="45" t="s">
        <v>68</v>
      </c>
      <c r="D77" s="45">
        <v>1</v>
      </c>
      <c r="E77" s="45" t="s">
        <v>67</v>
      </c>
      <c r="F77" s="45">
        <v>0</v>
      </c>
      <c r="G77" s="45" t="s">
        <v>76</v>
      </c>
      <c r="H77" s="16">
        <f ca="1">--TRIM(RIGHT(SUBSTITUTE(LEFT(C76,_xlfn.AGGREGATE(16,6,FIND({0,1,2,3,4,5,6,7,8,9},C76,ROW(INDIRECT("1:"&amp;LEN(C76)))),1))," ",REPT(" ",LEN(C76))),LEN(C76)))</f>
        <v>20</v>
      </c>
      <c r="I77" s="43" t="str">
        <f ca="1">IF(D80=100%,"Excavation","")&amp;IF(D81=100%,", Plinth","")&amp;IF(D82=100%,", RCC Slab","")&amp;IF(D83=100%,", Brickwork","")&amp;IF(D84=100%,", Internal Plaster","")&amp;IF(D85=100%,", External Plaster","")&amp;IF(D86=100%,", Flooring","")&amp;IF(D87=100%,", Painting","")&amp;IF(D88=100%,", Building common Amenities","")</f>
        <v>Excavation, Plinth, RCC Slab, Brickwork, Internal Plaster, External Plaster</v>
      </c>
      <c r="J77" s="44"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48" customHeight="1" x14ac:dyDescent="0.25">
      <c r="A78" s="161" t="s">
        <v>86</v>
      </c>
      <c r="B78" s="162"/>
      <c r="C78" s="133" t="str">
        <f ca="1">I76</f>
        <v>Excavation, Plinth, RCC Slab, Brickwork, Internal Plaster, External Plaster Completed, Flooring upto 17 Floor, Painting upto 17 Floor Completed</v>
      </c>
      <c r="D78" s="133"/>
      <c r="E78" s="133"/>
      <c r="F78" s="133"/>
      <c r="G78" s="133"/>
      <c r="H78" s="134"/>
      <c r="I78" s="43" t="str">
        <f ca="1">IF(I77&lt;&gt;""," Completed","")</f>
        <v xml:space="preserve"> Completed</v>
      </c>
      <c r="J78" s="44" t="str">
        <f ca="1">IF(J76&lt;&gt;"","Completed","")</f>
        <v>Completed</v>
      </c>
      <c r="S78"/>
    </row>
    <row r="79" spans="1:19" ht="15.75" customHeight="1" x14ac:dyDescent="0.25">
      <c r="A79" s="130" t="s">
        <v>47</v>
      </c>
      <c r="B79" s="131"/>
      <c r="C79" s="75" t="s">
        <v>136</v>
      </c>
      <c r="D79" s="75" t="s">
        <v>79</v>
      </c>
      <c r="E79" s="131" t="s">
        <v>81</v>
      </c>
      <c r="F79" s="131"/>
      <c r="G79" s="131" t="s">
        <v>80</v>
      </c>
      <c r="H79" s="144"/>
      <c r="I79" s="13" t="s">
        <v>138</v>
      </c>
      <c r="J79" s="25">
        <f ca="1">H77*25%</f>
        <v>5</v>
      </c>
      <c r="S79"/>
    </row>
    <row r="80" spans="1:19" x14ac:dyDescent="0.25">
      <c r="A80" s="130" t="s">
        <v>125</v>
      </c>
      <c r="B80" s="131"/>
      <c r="C80" s="75">
        <f ca="1">J81</f>
        <v>20</v>
      </c>
      <c r="D80" s="76">
        <f ca="1">((100/H77)*C80)/100</f>
        <v>1</v>
      </c>
      <c r="E80" s="145">
        <f ca="1">(((C81/H77*10)+(40/(D77+F77+H77)*C82)+(7.5/(H77)*C83)+(7.5/(H77)*C84)+(10/H77*C85)+(10/H77*C86)+(5/H77*C87)+(5/H77*C88)+(5/H77*C89))/100)</f>
        <v>0.87749999999999995</v>
      </c>
      <c r="F80" s="146"/>
      <c r="G80" s="145">
        <f ca="1">((((C80/H77)*20)+((C81/H77)*25)+(30/(H77+F77+D77)*C82)+(5/H77*C83)+(5/H77*C84)+(5/H77*C85)+(5/H77*C86)+(0/H77*C87)+(0/H77*C88)+(5/H77*C89))/100)</f>
        <v>0.9425</v>
      </c>
      <c r="H80" s="151"/>
      <c r="I80" s="13" t="s">
        <v>97</v>
      </c>
      <c r="J80" s="26">
        <f ca="1">H77*50%</f>
        <v>10</v>
      </c>
    </row>
    <row r="81" spans="1:19" x14ac:dyDescent="0.25">
      <c r="A81" s="130" t="s">
        <v>48</v>
      </c>
      <c r="B81" s="131"/>
      <c r="C81" s="75">
        <f ca="1">J89</f>
        <v>20</v>
      </c>
      <c r="D81" s="76">
        <f ca="1">((100/H77)*C81)/100</f>
        <v>1</v>
      </c>
      <c r="E81" s="147"/>
      <c r="F81" s="148"/>
      <c r="G81" s="147"/>
      <c r="H81" s="152"/>
      <c r="I81" s="13" t="s">
        <v>98</v>
      </c>
      <c r="J81" s="26">
        <f ca="1">H77</f>
        <v>20</v>
      </c>
      <c r="S81"/>
    </row>
    <row r="82" spans="1:19" ht="15.75" customHeight="1" x14ac:dyDescent="0.25">
      <c r="A82" s="130" t="s">
        <v>126</v>
      </c>
      <c r="B82" s="131"/>
      <c r="C82" s="75">
        <v>21</v>
      </c>
      <c r="D82" s="76">
        <f ca="1">((100/(D77+F77+H77))*C82)/100</f>
        <v>1</v>
      </c>
      <c r="E82" s="147"/>
      <c r="F82" s="148"/>
      <c r="G82" s="147"/>
      <c r="H82" s="152"/>
      <c r="I82" s="13" t="s">
        <v>99</v>
      </c>
      <c r="J82" s="27">
        <f ca="1">(IF(B77&gt;1,(H77/(B77+2)),H77/4))</f>
        <v>5</v>
      </c>
      <c r="S82"/>
    </row>
    <row r="83" spans="1:19" ht="15.75" customHeight="1" x14ac:dyDescent="0.25">
      <c r="A83" s="130" t="s">
        <v>133</v>
      </c>
      <c r="B83" s="131" t="s">
        <v>127</v>
      </c>
      <c r="C83" s="75">
        <v>20</v>
      </c>
      <c r="D83" s="76">
        <f ca="1">((100/H77)*C83)/100</f>
        <v>1</v>
      </c>
      <c r="E83" s="147"/>
      <c r="F83" s="148"/>
      <c r="G83" s="147"/>
      <c r="H83" s="152"/>
      <c r="I83" s="13" t="s">
        <v>100</v>
      </c>
      <c r="J83" s="27">
        <f ca="1">(IF(B77&gt;1,(H77/(B77+2)+J82),H77/4+J82))</f>
        <v>10</v>
      </c>
    </row>
    <row r="84" spans="1:19" ht="15.75" customHeight="1" x14ac:dyDescent="0.25">
      <c r="A84" s="130" t="s">
        <v>134</v>
      </c>
      <c r="B84" s="131" t="s">
        <v>127</v>
      </c>
      <c r="C84" s="75">
        <v>20</v>
      </c>
      <c r="D84" s="76">
        <f ca="1">((100/H77)*C84)/100</f>
        <v>1</v>
      </c>
      <c r="E84" s="147"/>
      <c r="F84" s="148"/>
      <c r="G84" s="147"/>
      <c r="H84" s="152"/>
      <c r="I84" s="13" t="s">
        <v>145</v>
      </c>
      <c r="J84" s="27">
        <f>(IF(B77&gt;1,(H77/(B77+2)+J83),0))</f>
        <v>0</v>
      </c>
    </row>
    <row r="85" spans="1:19" ht="15" customHeight="1" x14ac:dyDescent="0.25">
      <c r="A85" s="130" t="s">
        <v>132</v>
      </c>
      <c r="B85" s="131" t="s">
        <v>129</v>
      </c>
      <c r="C85" s="75">
        <v>20</v>
      </c>
      <c r="D85" s="76">
        <f ca="1">((100/(H77))*C85)/100</f>
        <v>1</v>
      </c>
      <c r="E85" s="147"/>
      <c r="F85" s="148"/>
      <c r="G85" s="147"/>
      <c r="H85" s="152"/>
      <c r="I85" s="13" t="s">
        <v>140</v>
      </c>
      <c r="J85" s="27">
        <f>(IF(B77&gt;2,(H77/(B77+2)+J84),0))</f>
        <v>0</v>
      </c>
    </row>
    <row r="86" spans="1:19" ht="15.75" customHeight="1" x14ac:dyDescent="0.25">
      <c r="A86" s="130" t="s">
        <v>128</v>
      </c>
      <c r="B86" s="131" t="s">
        <v>128</v>
      </c>
      <c r="C86" s="75">
        <v>17</v>
      </c>
      <c r="D86" s="76">
        <f ca="1">((100/H77)*C86)/100</f>
        <v>0.85</v>
      </c>
      <c r="E86" s="147"/>
      <c r="F86" s="148"/>
      <c r="G86" s="147"/>
      <c r="H86" s="152"/>
      <c r="I86" s="13" t="s">
        <v>141</v>
      </c>
      <c r="J86" s="28">
        <f>(IF(B77&gt;3,(H77/(B77+2)+J85),0))</f>
        <v>0</v>
      </c>
    </row>
    <row r="87" spans="1:19" ht="15.75" customHeight="1" x14ac:dyDescent="0.25">
      <c r="A87" s="130" t="s">
        <v>135</v>
      </c>
      <c r="B87" s="131"/>
      <c r="C87" s="75">
        <v>17</v>
      </c>
      <c r="D87" s="76">
        <f ca="1">((100/H77)*C87)/100</f>
        <v>0.85</v>
      </c>
      <c r="E87" s="147"/>
      <c r="F87" s="148"/>
      <c r="G87" s="147"/>
      <c r="H87" s="152"/>
      <c r="I87" s="13" t="s">
        <v>142</v>
      </c>
      <c r="J87" s="27">
        <f>(IF(B77&gt;4,(H77/(B77+2)+J86),0))</f>
        <v>0</v>
      </c>
    </row>
    <row r="88" spans="1:19" ht="15.75" customHeight="1" x14ac:dyDescent="0.25">
      <c r="A88" s="130" t="s">
        <v>130</v>
      </c>
      <c r="B88" s="131" t="s">
        <v>130</v>
      </c>
      <c r="C88" s="75">
        <v>0</v>
      </c>
      <c r="D88" s="76">
        <f ca="1">((100/(H77))*C88)/100</f>
        <v>0</v>
      </c>
      <c r="E88" s="147"/>
      <c r="F88" s="148"/>
      <c r="G88" s="147"/>
      <c r="H88" s="152"/>
      <c r="I88" s="13" t="s">
        <v>146</v>
      </c>
      <c r="J88" s="27">
        <f ca="1">(IF(B77=1,(H77/(B77+3)+J83),IF(B77=0,(H77/4+J83),IF(B77&gt;1,0))))</f>
        <v>15</v>
      </c>
    </row>
    <row r="89" spans="1:19" ht="16.5" thickBot="1" x14ac:dyDescent="0.3">
      <c r="A89" s="154" t="s">
        <v>131</v>
      </c>
      <c r="B89" s="155"/>
      <c r="C89" s="78">
        <v>0</v>
      </c>
      <c r="D89" s="79">
        <f ca="1">((100/(H77))*C89)/100</f>
        <v>0</v>
      </c>
      <c r="E89" s="149"/>
      <c r="F89" s="150"/>
      <c r="G89" s="149"/>
      <c r="H89" s="153"/>
      <c r="I89" s="14" t="s">
        <v>101</v>
      </c>
      <c r="J89" s="29">
        <f ca="1">(IF(B77&gt;1.5,(H77/(B77+2)+J83+MAX(0,J84-J83)+MAX(0,J85-J84)+MAX(0,J86-J85)+MAX(0,J87-J86)+MAX(0,J88-J87)),IF(B77=1,(H77/(B77+3)+J88),IF(B77=0,H77/4+J88))))</f>
        <v>20</v>
      </c>
    </row>
    <row r="90" spans="1:19" ht="15.75" customHeight="1" x14ac:dyDescent="0.25">
      <c r="A90" s="156" t="s">
        <v>137</v>
      </c>
      <c r="B90" s="157"/>
      <c r="C90" s="158" t="str">
        <f>D68</f>
        <v>Building No.2 = 1B + 1st to 7th Podium Floor + 8th to 18th Floor</v>
      </c>
      <c r="D90" s="159"/>
      <c r="E90" s="159"/>
      <c r="F90" s="159"/>
      <c r="G90" s="159"/>
      <c r="H90" s="160"/>
      <c r="I90" s="41" t="str">
        <f ca="1">IF(D103=100%,"All work Completed. Possession granted to the Building.",IF(D102=100%,"All work Completed, Waiting for OC",I91&amp;""&amp;I92&amp;""&amp;J91&amp;""&amp;J90&amp;" "&amp;J92))</f>
        <v xml:space="preserve">Excavation, Plinth Completed </v>
      </c>
      <c r="J90" s="42"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row>
    <row r="91" spans="1:19" x14ac:dyDescent="0.25">
      <c r="A91" s="15" t="s">
        <v>139</v>
      </c>
      <c r="B91" s="45">
        <f>IF(AND(ISNUMBER(SEARCH("1B",C90))),1,IF(AND(ISNUMBER(SEARCH("2B",C90))),2,IF(AND(ISNUMBER(SEARCH("3B",C90))),3,IF(AND(ISNUMBER(SEARCH("4B",C90))),4,IF(ISNUMBER(SEARCH("5B",C90)),5,0)))))</f>
        <v>1</v>
      </c>
      <c r="C91" s="45" t="s">
        <v>68</v>
      </c>
      <c r="D91" s="45">
        <v>1</v>
      </c>
      <c r="E91" s="45" t="s">
        <v>67</v>
      </c>
      <c r="F91" s="45">
        <v>0</v>
      </c>
      <c r="G91" s="45" t="s">
        <v>76</v>
      </c>
      <c r="H91" s="16">
        <f ca="1">--TRIM(RIGHT(SUBSTITUTE(LEFT(C90,_xlfn.AGGREGATE(16,6,FIND({0,1,2,3,4,5,6,7,8,9},C90,ROW(INDIRECT("1:"&amp;LEN(C90)))),1))," ",REPT(" ",LEN(C90))),LEN(C90)))</f>
        <v>18</v>
      </c>
      <c r="I91" s="43" t="str">
        <f ca="1">IF(D94=100%,"Excavation","")&amp;IF(D95=100%,", Plinth","")&amp;IF(D96=100%,", RCC Slab","")&amp;IF(D97=100%,", Brickwork","")&amp;IF(D98=100%,", Internal Plaster","")&amp;IF(D99=100%,", External Plaster","")&amp;IF(D100=100%,", Flooring","")&amp;IF(D101=100%,", Painting","")&amp;IF(D102=100%,", Building common Amenities","")</f>
        <v>Excavation, Plinth</v>
      </c>
      <c r="J91" s="44"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x14ac:dyDescent="0.25">
      <c r="A92" s="161" t="s">
        <v>86</v>
      </c>
      <c r="B92" s="162"/>
      <c r="C92" s="133" t="str">
        <f ca="1">(IF($G$62="NA",I90,"All work Completed. OC Received."))</f>
        <v xml:space="preserve">Excavation, Plinth Completed </v>
      </c>
      <c r="D92" s="133"/>
      <c r="E92" s="133"/>
      <c r="F92" s="133"/>
      <c r="G92" s="133"/>
      <c r="H92" s="134"/>
      <c r="I92" s="43" t="str">
        <f ca="1">IF(I91&lt;&gt;""," Completed","")</f>
        <v xml:space="preserve"> Completed</v>
      </c>
      <c r="J92" s="44" t="str">
        <f ca="1">IF(J90&lt;&gt;"","Completed","")</f>
        <v/>
      </c>
    </row>
    <row r="93" spans="1:19" ht="15.75" customHeight="1" x14ac:dyDescent="0.25">
      <c r="A93" s="130" t="s">
        <v>47</v>
      </c>
      <c r="B93" s="131"/>
      <c r="C93" s="75" t="s">
        <v>136</v>
      </c>
      <c r="D93" s="75" t="s">
        <v>79</v>
      </c>
      <c r="E93" s="131" t="s">
        <v>81</v>
      </c>
      <c r="F93" s="131"/>
      <c r="G93" s="131" t="s">
        <v>80</v>
      </c>
      <c r="H93" s="144"/>
      <c r="I93" s="13" t="s">
        <v>138</v>
      </c>
      <c r="J93" s="25">
        <f ca="1">H91*25%</f>
        <v>4.5</v>
      </c>
    </row>
    <row r="94" spans="1:19" x14ac:dyDescent="0.25">
      <c r="A94" s="130" t="s">
        <v>125</v>
      </c>
      <c r="B94" s="131"/>
      <c r="C94" s="75">
        <f ca="1">J95</f>
        <v>18</v>
      </c>
      <c r="D94" s="76">
        <f ca="1">((100/H91)*C94)/100</f>
        <v>1</v>
      </c>
      <c r="E94" s="145">
        <f ca="1">(((C95/H91*10)+(40/(D91+F91+H91)*C96)+(7.5/(H91)*C97)+(7.5/(H91)*C98)+(10/H91*C99)+(10/H91*C100)+(5/H91*C101)+(5/H91*C102)+(5/H91*C103))/100)</f>
        <v>0.1</v>
      </c>
      <c r="F94" s="146"/>
      <c r="G94" s="145">
        <f ca="1">((((C94/H91)*20)+((C95/H91)*25)+(30/(H91+F91+D91)*C96)+(5/H91*C97)+(5/H91*C98)+(5/H91*C99)+(5/H91*C100)+(0/H91*C101)+(0/H91*C102)+(5/H91*C103))/100)</f>
        <v>0.45</v>
      </c>
      <c r="H94" s="151"/>
      <c r="I94" s="13" t="s">
        <v>97</v>
      </c>
      <c r="J94" s="26">
        <f ca="1">H91*50%</f>
        <v>9</v>
      </c>
    </row>
    <row r="95" spans="1:19" x14ac:dyDescent="0.25">
      <c r="A95" s="130" t="s">
        <v>48</v>
      </c>
      <c r="B95" s="131"/>
      <c r="C95" s="77">
        <f ca="1">J103</f>
        <v>18</v>
      </c>
      <c r="D95" s="76">
        <f ca="1">((100/H91)*C95)/100</f>
        <v>1</v>
      </c>
      <c r="E95" s="147"/>
      <c r="F95" s="148"/>
      <c r="G95" s="147"/>
      <c r="H95" s="152"/>
      <c r="I95" s="13" t="s">
        <v>98</v>
      </c>
      <c r="J95" s="26">
        <f ca="1">H91</f>
        <v>18</v>
      </c>
    </row>
    <row r="96" spans="1:19" ht="15.75" customHeight="1" x14ac:dyDescent="0.25">
      <c r="A96" s="130" t="s">
        <v>126</v>
      </c>
      <c r="B96" s="131"/>
      <c r="C96" s="75">
        <v>0</v>
      </c>
      <c r="D96" s="76">
        <f ca="1">((100/(D91+F91+H91))*C96)/100</f>
        <v>0</v>
      </c>
      <c r="E96" s="147"/>
      <c r="F96" s="148"/>
      <c r="G96" s="147"/>
      <c r="H96" s="152"/>
      <c r="I96" s="13" t="s">
        <v>99</v>
      </c>
      <c r="J96" s="27">
        <f ca="1">(IF(B91&gt;1,(H91/(B91+2)),H91/4))</f>
        <v>4.5</v>
      </c>
    </row>
    <row r="97" spans="1:22" ht="15.75" customHeight="1" x14ac:dyDescent="0.25">
      <c r="A97" s="130" t="s">
        <v>133</v>
      </c>
      <c r="B97" s="131" t="s">
        <v>127</v>
      </c>
      <c r="C97" s="75">
        <v>0</v>
      </c>
      <c r="D97" s="76">
        <f ca="1">((100/H91)*C97)/100</f>
        <v>0</v>
      </c>
      <c r="E97" s="147"/>
      <c r="F97" s="148"/>
      <c r="G97" s="147"/>
      <c r="H97" s="152"/>
      <c r="I97" s="13" t="s">
        <v>100</v>
      </c>
      <c r="J97" s="27">
        <f ca="1">(IF(B91&gt;1,(H91/(B91+2)+J96),H91/4+J96))</f>
        <v>9</v>
      </c>
    </row>
    <row r="98" spans="1:22" ht="15.75" customHeight="1" x14ac:dyDescent="0.25">
      <c r="A98" s="130" t="s">
        <v>134</v>
      </c>
      <c r="B98" s="131" t="s">
        <v>127</v>
      </c>
      <c r="C98" s="75">
        <v>0</v>
      </c>
      <c r="D98" s="76">
        <f ca="1">((100/H91)*C98)/100</f>
        <v>0</v>
      </c>
      <c r="E98" s="147"/>
      <c r="F98" s="148"/>
      <c r="G98" s="147"/>
      <c r="H98" s="152"/>
      <c r="I98" s="13" t="s">
        <v>145</v>
      </c>
      <c r="J98" s="27">
        <f>(IF(B91&gt;1,(H91/(B91+2)+J97),0))</f>
        <v>0</v>
      </c>
    </row>
    <row r="99" spans="1:22" ht="15" customHeight="1" x14ac:dyDescent="0.25">
      <c r="A99" s="130" t="s">
        <v>132</v>
      </c>
      <c r="B99" s="131" t="s">
        <v>129</v>
      </c>
      <c r="C99" s="75">
        <v>0</v>
      </c>
      <c r="D99" s="76">
        <f ca="1">((100/(H91))*C99)/100</f>
        <v>0</v>
      </c>
      <c r="E99" s="147"/>
      <c r="F99" s="148"/>
      <c r="G99" s="147"/>
      <c r="H99" s="152"/>
      <c r="I99" s="13" t="s">
        <v>140</v>
      </c>
      <c r="J99" s="27">
        <f>(IF(B91&gt;2,(H91/(B91+2)+J98),0))</f>
        <v>0</v>
      </c>
    </row>
    <row r="100" spans="1:22" ht="15.75" customHeight="1" x14ac:dyDescent="0.25">
      <c r="A100" s="130" t="s">
        <v>128</v>
      </c>
      <c r="B100" s="131" t="s">
        <v>128</v>
      </c>
      <c r="C100" s="75">
        <v>0</v>
      </c>
      <c r="D100" s="76">
        <f ca="1">((100/H91)*C100)/100</f>
        <v>0</v>
      </c>
      <c r="E100" s="147"/>
      <c r="F100" s="148"/>
      <c r="G100" s="147"/>
      <c r="H100" s="152"/>
      <c r="I100" s="13" t="s">
        <v>141</v>
      </c>
      <c r="J100" s="28">
        <f>(IF(B91&gt;3,(H91/(B91+2)+J99),0))</f>
        <v>0</v>
      </c>
    </row>
    <row r="101" spans="1:22" ht="15.75" customHeight="1" x14ac:dyDescent="0.25">
      <c r="A101" s="130" t="s">
        <v>135</v>
      </c>
      <c r="B101" s="131"/>
      <c r="C101" s="75">
        <v>0</v>
      </c>
      <c r="D101" s="76">
        <f ca="1">((100/H91)*C101)/100</f>
        <v>0</v>
      </c>
      <c r="E101" s="147"/>
      <c r="F101" s="148"/>
      <c r="G101" s="147"/>
      <c r="H101" s="152"/>
      <c r="I101" s="13" t="s">
        <v>142</v>
      </c>
      <c r="J101" s="27">
        <f>(IF(B91&gt;4,(H91/(B91+2)+J100),0))</f>
        <v>0</v>
      </c>
    </row>
    <row r="102" spans="1:22" ht="15.75" customHeight="1" x14ac:dyDescent="0.25">
      <c r="A102" s="130" t="s">
        <v>130</v>
      </c>
      <c r="B102" s="131" t="s">
        <v>130</v>
      </c>
      <c r="C102" s="75">
        <v>0</v>
      </c>
      <c r="D102" s="76">
        <f ca="1">((100/(H91))*C102)/100</f>
        <v>0</v>
      </c>
      <c r="E102" s="147"/>
      <c r="F102" s="148"/>
      <c r="G102" s="147"/>
      <c r="H102" s="152"/>
      <c r="I102" s="13" t="s">
        <v>146</v>
      </c>
      <c r="J102" s="27">
        <f ca="1">(IF(B91=1,(H91/(B91+3)+J97),IF(B91=0,(H91/4+J97),IF(B91&gt;1,0))))</f>
        <v>13.5</v>
      </c>
    </row>
    <row r="103" spans="1:22" ht="16.5" thickBot="1" x14ac:dyDescent="0.3">
      <c r="A103" s="154" t="s">
        <v>131</v>
      </c>
      <c r="B103" s="155"/>
      <c r="C103" s="78">
        <v>0</v>
      </c>
      <c r="D103" s="79">
        <f ca="1">((100/(H91))*C103)/100</f>
        <v>0</v>
      </c>
      <c r="E103" s="149"/>
      <c r="F103" s="150"/>
      <c r="G103" s="149"/>
      <c r="H103" s="153"/>
      <c r="I103" s="14" t="s">
        <v>101</v>
      </c>
      <c r="J103" s="29">
        <f ca="1">(IF(B91&gt;1.5,(H91/(B91+2)+J97+MAX(0,J98-J97)+MAX(0,J99-J98)+MAX(0,J100-J99)+MAX(0,J101-J100)+MAX(0,J102-J101)),IF(B91=1,(H91/(B91+3)+J102),IF(B91=0,H91/4+J102))))</f>
        <v>18</v>
      </c>
    </row>
    <row r="104" spans="1:22" x14ac:dyDescent="0.25">
      <c r="A104" s="216" t="s">
        <v>157</v>
      </c>
      <c r="B104" s="216"/>
      <c r="C104" s="216"/>
      <c r="D104" s="216"/>
      <c r="E104" s="216"/>
      <c r="F104" s="222" t="s">
        <v>161</v>
      </c>
      <c r="G104" s="222"/>
      <c r="H104" s="222"/>
      <c r="I104" s="80"/>
      <c r="J104" s="80" t="s">
        <v>380</v>
      </c>
      <c r="K104" s="80" t="s">
        <v>381</v>
      </c>
      <c r="L104" s="80"/>
      <c r="M104" s="80"/>
      <c r="R104" t="s">
        <v>254</v>
      </c>
      <c r="S104" t="s">
        <v>173</v>
      </c>
      <c r="T104" t="s">
        <v>179</v>
      </c>
      <c r="U104" t="s">
        <v>194</v>
      </c>
      <c r="V104" t="s">
        <v>189</v>
      </c>
    </row>
    <row r="105" spans="1:22" x14ac:dyDescent="0.25">
      <c r="A105" s="115" t="s">
        <v>159</v>
      </c>
      <c r="B105" s="115"/>
      <c r="C105" s="115"/>
      <c r="D105" s="115"/>
      <c r="E105" s="115"/>
      <c r="F105" s="248">
        <v>60000</v>
      </c>
      <c r="G105" s="248"/>
      <c r="H105" s="248"/>
      <c r="I105" s="80"/>
      <c r="J105" s="83">
        <f>AVERAGE(J174,J186)</f>
        <v>59868.574844747702</v>
      </c>
      <c r="K105" s="80">
        <v>55000</v>
      </c>
      <c r="L105" s="80"/>
      <c r="M105" s="80"/>
      <c r="R105"/>
      <c r="S105">
        <v>800000</v>
      </c>
      <c r="T105">
        <v>150000</v>
      </c>
      <c r="U105">
        <v>100000</v>
      </c>
      <c r="V105">
        <v>100000</v>
      </c>
    </row>
    <row r="106" spans="1:22" hidden="1" x14ac:dyDescent="0.25">
      <c r="A106" s="115" t="s">
        <v>158</v>
      </c>
      <c r="B106" s="115"/>
      <c r="C106" s="115"/>
      <c r="D106" s="115"/>
      <c r="E106" s="115"/>
      <c r="F106" s="248"/>
      <c r="G106" s="248"/>
      <c r="H106" s="248"/>
      <c r="I106" s="80"/>
      <c r="J106" s="80"/>
      <c r="K106" s="80"/>
      <c r="L106" s="80"/>
      <c r="M106" s="80"/>
      <c r="R106"/>
      <c r="S106">
        <v>900000</v>
      </c>
      <c r="T106">
        <v>200000</v>
      </c>
      <c r="U106">
        <v>150000</v>
      </c>
      <c r="V106">
        <v>150000</v>
      </c>
    </row>
    <row r="107" spans="1:22" hidden="1" x14ac:dyDescent="0.25">
      <c r="A107" s="115" t="s">
        <v>160</v>
      </c>
      <c r="B107" s="115"/>
      <c r="C107" s="115"/>
      <c r="D107" s="115"/>
      <c r="E107" s="115"/>
      <c r="F107" s="248"/>
      <c r="G107" s="248"/>
      <c r="H107" s="248"/>
      <c r="I107" s="80"/>
      <c r="J107" s="80"/>
      <c r="K107" s="80"/>
      <c r="L107" s="80"/>
      <c r="M107" s="80"/>
      <c r="R107"/>
      <c r="S107">
        <v>1000000</v>
      </c>
      <c r="T107">
        <v>250000</v>
      </c>
      <c r="U107">
        <v>200000</v>
      </c>
      <c r="V107">
        <v>200000</v>
      </c>
    </row>
    <row r="108" spans="1:22" s="30" customFormat="1" hidden="1" x14ac:dyDescent="0.25">
      <c r="A108" s="115" t="s">
        <v>176</v>
      </c>
      <c r="B108" s="115"/>
      <c r="C108" s="115"/>
      <c r="D108" s="115"/>
      <c r="E108" s="115"/>
      <c r="F108" s="248"/>
      <c r="G108" s="248"/>
      <c r="H108" s="248"/>
      <c r="I108" s="81"/>
      <c r="J108" s="81"/>
      <c r="K108" s="81"/>
      <c r="L108" s="81"/>
      <c r="M108" s="81"/>
      <c r="R108"/>
      <c r="S108">
        <v>1100000</v>
      </c>
      <c r="T108">
        <v>300000</v>
      </c>
      <c r="U108">
        <v>250000</v>
      </c>
      <c r="V108" s="20">
        <v>250000</v>
      </c>
    </row>
    <row r="109" spans="1:22" s="30" customFormat="1" hidden="1" x14ac:dyDescent="0.25">
      <c r="A109" s="115" t="s">
        <v>91</v>
      </c>
      <c r="B109" s="115"/>
      <c r="C109" s="115"/>
      <c r="D109" s="115"/>
      <c r="E109" s="115"/>
      <c r="F109" s="248"/>
      <c r="G109" s="248"/>
      <c r="H109" s="248"/>
      <c r="I109" s="81"/>
      <c r="J109" s="81"/>
      <c r="K109" s="81"/>
      <c r="L109" s="81"/>
      <c r="M109" s="81"/>
      <c r="R109"/>
      <c r="S109">
        <v>1200000</v>
      </c>
      <c r="T109">
        <v>350000</v>
      </c>
      <c r="U109">
        <v>300000</v>
      </c>
      <c r="V109">
        <v>300000</v>
      </c>
    </row>
    <row r="110" spans="1:22" s="30" customFormat="1" hidden="1" x14ac:dyDescent="0.25">
      <c r="A110" s="115" t="s">
        <v>92</v>
      </c>
      <c r="B110" s="115"/>
      <c r="C110" s="115"/>
      <c r="D110" s="115"/>
      <c r="E110" s="115"/>
      <c r="F110" s="248"/>
      <c r="G110" s="248"/>
      <c r="H110" s="248"/>
      <c r="I110" s="81"/>
      <c r="J110" s="81"/>
      <c r="K110" s="81"/>
      <c r="L110" s="81"/>
      <c r="M110" s="81"/>
      <c r="R110"/>
      <c r="S110">
        <v>1300000</v>
      </c>
      <c r="T110">
        <v>400000</v>
      </c>
      <c r="U110">
        <v>350000</v>
      </c>
      <c r="V110" s="20">
        <v>400000</v>
      </c>
    </row>
    <row r="111" spans="1:22" s="30" customFormat="1" hidden="1" x14ac:dyDescent="0.25">
      <c r="A111" s="115" t="s">
        <v>93</v>
      </c>
      <c r="B111" s="115"/>
      <c r="C111" s="115"/>
      <c r="D111" s="115"/>
      <c r="E111" s="115"/>
      <c r="F111" s="248"/>
      <c r="G111" s="248"/>
      <c r="H111" s="248"/>
      <c r="I111" s="81"/>
      <c r="J111" s="81"/>
      <c r="K111" s="81"/>
      <c r="L111" s="81"/>
      <c r="M111" s="81"/>
      <c r="R111"/>
      <c r="S111">
        <v>1400000</v>
      </c>
      <c r="T111">
        <v>500000</v>
      </c>
      <c r="U111">
        <v>400000</v>
      </c>
      <c r="V111"/>
    </row>
    <row r="112" spans="1:22" s="30" customFormat="1" hidden="1" x14ac:dyDescent="0.25">
      <c r="A112" s="115" t="s">
        <v>94</v>
      </c>
      <c r="B112" s="115"/>
      <c r="C112" s="115"/>
      <c r="D112" s="115"/>
      <c r="E112" s="115"/>
      <c r="F112" s="248"/>
      <c r="G112" s="248"/>
      <c r="H112" s="248"/>
      <c r="I112" s="81"/>
      <c r="J112" s="81"/>
      <c r="K112" s="81"/>
      <c r="L112" s="81"/>
      <c r="M112" s="81"/>
      <c r="R112"/>
      <c r="S112">
        <v>1500000</v>
      </c>
      <c r="T112">
        <v>600000</v>
      </c>
      <c r="U112">
        <v>500000</v>
      </c>
      <c r="V112" s="20"/>
    </row>
    <row r="113" spans="1:22" s="30" customFormat="1" hidden="1" x14ac:dyDescent="0.25">
      <c r="A113" s="115" t="s">
        <v>95</v>
      </c>
      <c r="B113" s="115"/>
      <c r="C113" s="115"/>
      <c r="D113" s="115"/>
      <c r="E113" s="115"/>
      <c r="F113" s="248"/>
      <c r="G113" s="248"/>
      <c r="H113" s="248"/>
      <c r="I113" s="81"/>
      <c r="J113" s="81"/>
      <c r="K113" s="81"/>
      <c r="L113" s="81"/>
      <c r="M113" s="81"/>
      <c r="R113"/>
      <c r="S113">
        <v>1600000</v>
      </c>
      <c r="T113">
        <v>700000</v>
      </c>
      <c r="U113">
        <v>600000</v>
      </c>
      <c r="V113"/>
    </row>
    <row r="114" spans="1:22" s="30" customFormat="1" hidden="1" x14ac:dyDescent="0.25">
      <c r="A114" s="115" t="s">
        <v>96</v>
      </c>
      <c r="B114" s="115"/>
      <c r="C114" s="115"/>
      <c r="D114" s="115"/>
      <c r="E114" s="115"/>
      <c r="F114" s="248"/>
      <c r="G114" s="248"/>
      <c r="H114" s="248"/>
      <c r="I114" s="81"/>
      <c r="J114" s="81"/>
      <c r="K114" s="81"/>
      <c r="L114" s="81"/>
      <c r="M114" s="81"/>
      <c r="R114"/>
      <c r="S114">
        <v>1700000</v>
      </c>
      <c r="T114">
        <v>800000</v>
      </c>
      <c r="U114"/>
      <c r="V114" s="20"/>
    </row>
    <row r="115" spans="1:22" x14ac:dyDescent="0.25">
      <c r="A115" s="115" t="s">
        <v>49</v>
      </c>
      <c r="B115" s="115"/>
      <c r="C115" s="115"/>
      <c r="D115" s="115"/>
      <c r="E115" s="115"/>
      <c r="F115" s="248">
        <v>1500000</v>
      </c>
      <c r="G115" s="248"/>
      <c r="H115" s="248"/>
      <c r="I115" s="80"/>
      <c r="J115" s="80"/>
      <c r="K115" s="80"/>
      <c r="L115" s="80"/>
      <c r="M115" s="80"/>
      <c r="R115"/>
      <c r="S115">
        <v>1800000</v>
      </c>
      <c r="T115">
        <v>900000</v>
      </c>
      <c r="U115"/>
    </row>
    <row r="116" spans="1:22" s="31" customFormat="1" x14ac:dyDescent="0.25">
      <c r="A116" s="163" t="s">
        <v>50</v>
      </c>
      <c r="B116" s="163"/>
      <c r="C116" s="163"/>
      <c r="D116" s="163"/>
      <c r="E116" s="163"/>
      <c r="F116" s="248">
        <f>F105*0.8</f>
        <v>48000</v>
      </c>
      <c r="G116" s="248"/>
      <c r="H116" s="248"/>
      <c r="I116" s="82"/>
      <c r="J116" s="82"/>
      <c r="K116" s="82"/>
      <c r="L116" s="82"/>
      <c r="M116" s="82"/>
      <c r="R116" s="18"/>
      <c r="S116" s="18"/>
      <c r="T116">
        <v>1000000</v>
      </c>
      <c r="U116"/>
      <c r="V116" s="18"/>
    </row>
    <row r="117" spans="1:22" s="32" customFormat="1" ht="15.75" hidden="1" customHeight="1" x14ac:dyDescent="0.25">
      <c r="A117" s="108" t="s">
        <v>71</v>
      </c>
      <c r="B117" s="108"/>
      <c r="C117" s="108"/>
      <c r="D117" s="108"/>
      <c r="E117" s="108"/>
      <c r="F117" s="108"/>
      <c r="G117" s="108"/>
      <c r="H117" s="108"/>
      <c r="R117"/>
      <c r="S117" s="18"/>
      <c r="T117"/>
      <c r="U117"/>
      <c r="V117" s="18"/>
    </row>
    <row r="118" spans="1:22" s="32" customFormat="1" ht="15.75" hidden="1" customHeight="1" x14ac:dyDescent="0.25">
      <c r="A118" s="111" t="s">
        <v>51</v>
      </c>
      <c r="B118" s="111"/>
      <c r="C118" s="109" t="s">
        <v>74</v>
      </c>
      <c r="D118" s="109"/>
      <c r="E118" s="110" t="s">
        <v>52</v>
      </c>
      <c r="F118" s="110"/>
      <c r="G118" s="111" t="s">
        <v>53</v>
      </c>
      <c r="H118" s="111"/>
      <c r="R118"/>
      <c r="S118" s="18"/>
      <c r="T118"/>
      <c r="U118" s="18"/>
      <c r="V118" s="18"/>
    </row>
    <row r="119" spans="1:22" s="32" customFormat="1" hidden="1" x14ac:dyDescent="0.25">
      <c r="A119" s="120"/>
      <c r="B119" s="120"/>
      <c r="C119" s="105"/>
      <c r="D119" s="105"/>
      <c r="E119" s="106"/>
      <c r="F119" s="106"/>
      <c r="G119" s="107"/>
      <c r="H119" s="107"/>
      <c r="R119"/>
      <c r="S119" s="18"/>
      <c r="T119"/>
      <c r="U119" s="18"/>
      <c r="V119" s="18"/>
    </row>
    <row r="120" spans="1:22" s="32" customFormat="1" hidden="1" x14ac:dyDescent="0.25">
      <c r="A120" s="120"/>
      <c r="B120" s="120"/>
      <c r="C120" s="105"/>
      <c r="D120" s="105"/>
      <c r="E120" s="106"/>
      <c r="F120" s="106"/>
      <c r="G120" s="107"/>
      <c r="H120" s="107"/>
      <c r="R120"/>
      <c r="S120" s="18"/>
      <c r="T120"/>
      <c r="U120" s="18"/>
      <c r="V120" s="18"/>
    </row>
    <row r="121" spans="1:22" s="32" customFormat="1" hidden="1" x14ac:dyDescent="0.25">
      <c r="A121" s="108" t="s">
        <v>150</v>
      </c>
      <c r="B121" s="108"/>
      <c r="C121" s="109"/>
      <c r="D121" s="109"/>
      <c r="E121" s="110"/>
      <c r="F121" s="110"/>
      <c r="G121" s="111"/>
      <c r="H121" s="111"/>
      <c r="R121"/>
      <c r="S121" s="18"/>
      <c r="T121"/>
      <c r="U121" s="18"/>
      <c r="V121" s="18"/>
    </row>
    <row r="122" spans="1:22" s="32" customFormat="1" x14ac:dyDescent="0.25">
      <c r="A122" s="108" t="s">
        <v>371</v>
      </c>
      <c r="B122" s="108"/>
      <c r="C122" s="108"/>
      <c r="D122" s="108"/>
      <c r="E122" s="108"/>
      <c r="F122" s="108"/>
      <c r="G122" s="108"/>
      <c r="H122" s="108"/>
      <c r="T122"/>
    </row>
    <row r="123" spans="1:22" s="32" customFormat="1" ht="15.75" customHeight="1" x14ac:dyDescent="0.25">
      <c r="A123" s="111" t="s">
        <v>51</v>
      </c>
      <c r="B123" s="111"/>
      <c r="C123" s="109" t="s">
        <v>74</v>
      </c>
      <c r="D123" s="109"/>
      <c r="E123" s="110" t="s">
        <v>52</v>
      </c>
      <c r="F123" s="110"/>
      <c r="G123" s="111" t="s">
        <v>53</v>
      </c>
      <c r="H123" s="111"/>
      <c r="T123"/>
    </row>
    <row r="124" spans="1:22" s="32" customFormat="1" x14ac:dyDescent="0.25">
      <c r="A124" s="120" t="s">
        <v>330</v>
      </c>
      <c r="B124" s="120"/>
      <c r="C124" s="165">
        <f>COUNT(F160)+COUNT(F169)+COUNT(F173:F174)</f>
        <v>4</v>
      </c>
      <c r="D124" s="165"/>
      <c r="E124" s="165">
        <f>SUM(F160)+SUM(F169)+SUM(F173:F174)</f>
        <v>10380.15576</v>
      </c>
      <c r="F124" s="165"/>
      <c r="G124" s="165">
        <f>SUM(H160)+SUM(H169)+SUM(H173:H174)</f>
        <v>15570.233639999999</v>
      </c>
      <c r="H124" s="165"/>
      <c r="T124"/>
    </row>
    <row r="125" spans="1:22" s="32" customFormat="1" x14ac:dyDescent="0.25">
      <c r="A125" s="120" t="s">
        <v>332</v>
      </c>
      <c r="B125" s="120"/>
      <c r="C125" s="165">
        <f>COUNT(F204:F206)+COUNT(F208,F210)+COUNT(F221)*3+COUNT(F229:F230)+COUNT(F233:F236)+COUNT(F224:F226)</f>
        <v>17</v>
      </c>
      <c r="D125" s="165"/>
      <c r="E125" s="165">
        <f>SUM(F204:F206)+SUM(F208,F210)+SUM(F221)*3+SUM(F229:F230)+SUM(F233:F236)+SUM(F224:F226)</f>
        <v>20873.33352</v>
      </c>
      <c r="F125" s="165"/>
      <c r="G125" s="165">
        <f>SUM(H204:H206)+SUM(H208,H210)+SUM(H221)*3+SUM(H229:H230)+SUM(H233:H236)+SUM(H224:H226)</f>
        <v>31310.000279999997</v>
      </c>
      <c r="H125" s="165"/>
      <c r="T125"/>
    </row>
    <row r="126" spans="1:22" s="32" customFormat="1" x14ac:dyDescent="0.25">
      <c r="A126" s="108" t="s">
        <v>150</v>
      </c>
      <c r="B126" s="108"/>
      <c r="C126" s="125">
        <f>SUM(C124:C125)</f>
        <v>21</v>
      </c>
      <c r="D126" s="109"/>
      <c r="E126" s="247">
        <f>SUM(E124:E125)</f>
        <v>31253.489280000002</v>
      </c>
      <c r="F126" s="110"/>
      <c r="G126" s="111">
        <f>SUM(G124:G125)</f>
        <v>46880.233919999999</v>
      </c>
      <c r="H126" s="111"/>
      <c r="T126"/>
    </row>
    <row r="127" spans="1:22" s="32" customFormat="1" x14ac:dyDescent="0.25">
      <c r="A127" s="108" t="s">
        <v>372</v>
      </c>
      <c r="B127" s="108"/>
      <c r="C127" s="108"/>
      <c r="D127" s="108"/>
      <c r="E127" s="108"/>
      <c r="F127" s="108"/>
      <c r="G127" s="108"/>
      <c r="H127" s="108"/>
      <c r="T127"/>
    </row>
    <row r="128" spans="1:22" s="32" customFormat="1" ht="15.75" customHeight="1" x14ac:dyDescent="0.25">
      <c r="A128" s="111" t="s">
        <v>51</v>
      </c>
      <c r="B128" s="111"/>
      <c r="C128" s="109" t="s">
        <v>74</v>
      </c>
      <c r="D128" s="109"/>
      <c r="E128" s="110" t="s">
        <v>52</v>
      </c>
      <c r="F128" s="110"/>
      <c r="G128" s="111" t="s">
        <v>53</v>
      </c>
      <c r="H128" s="111"/>
      <c r="T128"/>
    </row>
    <row r="129" spans="1:20" s="32" customFormat="1" x14ac:dyDescent="0.25">
      <c r="A129" s="120" t="s">
        <v>330</v>
      </c>
      <c r="B129" s="120"/>
      <c r="C129" s="165">
        <f>COUNT(F152:F153)+COUNT(F155:F157)+COUNT(F159,F161)+COUNT(F163:F164)+COUNT(F166:F167)*2+COUNT(F170:F171)+COUNT(F176:F177)+COUNT(F179:F180)+COUNT(F182:F183)+COUNT(F185:F186)+COUNT(F188:F189)</f>
        <v>25</v>
      </c>
      <c r="D129" s="165"/>
      <c r="E129" s="165">
        <f>SUM(F152:F153)+SUM(F155:F157)+SUM(F159,F161)+SUM(F163:F164)+SUM(F166:F167)*2+SUM(F170:F171)+SUM(F176:F177)+SUM(F179:F180)+SUM(F182:F183)+SUM(F185:F186)+SUM(F188:F189)</f>
        <v>66898.331042400008</v>
      </c>
      <c r="F129" s="165"/>
      <c r="G129" s="165">
        <f>SUM(H152:H153)+SUM(H155:H157)+SUM(H159,H161)+SUM(H163:H164)+SUM(H166:H167)*2+SUM(H170:H171)+SUM(H176:H177)+SUM(H179:H180)+SUM(H182:H183)+SUM(H185:H186)+SUM(H188:H189)</f>
        <v>100347.4965636</v>
      </c>
      <c r="H129" s="165"/>
      <c r="T129"/>
    </row>
    <row r="130" spans="1:20" s="32" customFormat="1" x14ac:dyDescent="0.25">
      <c r="A130" s="120" t="s">
        <v>373</v>
      </c>
      <c r="B130" s="120"/>
      <c r="C130" s="165">
        <f>COUNT(F199:F201)+COUNT(F203)+COUNT(F209,F211)+COUNT(F213:F216)+COUNT(F218:F220)*3+COUNT(F228,F231)</f>
        <v>21</v>
      </c>
      <c r="D130" s="165"/>
      <c r="E130" s="165">
        <f>SUM(F199:F201)+SUM(F203)+SUM(F209,F211)+SUM(F213:F216)+SUM(F218:F220)*3+SUM(F228,F231)</f>
        <v>25497.655559999996</v>
      </c>
      <c r="F130" s="165"/>
      <c r="G130" s="165">
        <f>SUM(H199:H201)+SUM(H203)+SUM(H209,H211)+SUM(H213:H216)+SUM(H218:H220)*3+SUM(H228,H231)</f>
        <v>38246.483339999999</v>
      </c>
      <c r="H130" s="165"/>
      <c r="T130"/>
    </row>
    <row r="131" spans="1:20" s="32" customFormat="1" x14ac:dyDescent="0.25">
      <c r="A131" s="108" t="s">
        <v>150</v>
      </c>
      <c r="B131" s="108"/>
      <c r="C131" s="125">
        <f>SUM(C129:C130)</f>
        <v>46</v>
      </c>
      <c r="D131" s="109"/>
      <c r="E131" s="247">
        <f>SUM(E129:E130)</f>
        <v>92395.986602400008</v>
      </c>
      <c r="F131" s="247"/>
      <c r="G131" s="111">
        <f>SUM(G129:G130)</f>
        <v>138593.9799036</v>
      </c>
      <c r="H131" s="111"/>
      <c r="T131"/>
    </row>
    <row r="132" spans="1:20" s="32" customFormat="1" ht="16.5" thickBot="1" x14ac:dyDescent="0.3">
      <c r="A132" s="237" t="s">
        <v>167</v>
      </c>
      <c r="B132" s="238"/>
      <c r="C132" s="127">
        <f>C126+C131</f>
        <v>67</v>
      </c>
      <c r="D132" s="128"/>
      <c r="E132" s="127">
        <f>E126+E131</f>
        <v>123649.4758824</v>
      </c>
      <c r="F132" s="128"/>
      <c r="G132" s="127">
        <f t="shared" ref="G132" si="0">G126+G131</f>
        <v>185474.2138236</v>
      </c>
      <c r="H132" s="128"/>
      <c r="T132"/>
    </row>
    <row r="133" spans="1:20" s="31" customFormat="1" x14ac:dyDescent="0.25">
      <c r="A133" s="234" t="s">
        <v>54</v>
      </c>
      <c r="B133" s="234"/>
      <c r="C133" s="234"/>
      <c r="D133" s="234"/>
      <c r="E133" s="234"/>
      <c r="F133" s="234"/>
      <c r="G133" s="234"/>
      <c r="H133" s="234"/>
      <c r="T133" s="32"/>
    </row>
    <row r="134" spans="1:20" x14ac:dyDescent="0.25">
      <c r="A134" s="188" t="s">
        <v>175</v>
      </c>
      <c r="B134" s="188"/>
      <c r="C134" s="188"/>
      <c r="D134" s="188"/>
      <c r="E134" s="188"/>
      <c r="F134" s="188"/>
      <c r="G134" s="188"/>
      <c r="H134" s="188"/>
      <c r="T134" s="32"/>
    </row>
    <row r="135" spans="1:20" ht="47.25" hidden="1" customHeight="1" x14ac:dyDescent="0.25">
      <c r="A135" s="140" t="s">
        <v>369</v>
      </c>
      <c r="B135" s="140" t="s">
        <v>178</v>
      </c>
      <c r="C135" s="140" t="s">
        <v>55</v>
      </c>
      <c r="D135" s="140" t="s">
        <v>233</v>
      </c>
      <c r="E135" s="142" t="s">
        <v>156</v>
      </c>
      <c r="F135" s="140" t="s">
        <v>56</v>
      </c>
      <c r="G135" s="142" t="s">
        <v>57</v>
      </c>
      <c r="H135" s="70" t="s">
        <v>148</v>
      </c>
      <c r="T135" s="32"/>
    </row>
    <row r="136" spans="1:20" s="64" customFormat="1" hidden="1" x14ac:dyDescent="0.25">
      <c r="A136" s="141"/>
      <c r="B136" s="141"/>
      <c r="C136" s="141"/>
      <c r="D136" s="141"/>
      <c r="E136" s="143"/>
      <c r="F136" s="141"/>
      <c r="G136" s="143"/>
      <c r="H136" s="71">
        <v>0.55000000000000004</v>
      </c>
      <c r="T136" s="32"/>
    </row>
    <row r="137" spans="1:20" s="64" customFormat="1" hidden="1" x14ac:dyDescent="0.25">
      <c r="A137" s="166" t="s">
        <v>116</v>
      </c>
      <c r="B137" s="167"/>
      <c r="C137" s="167"/>
      <c r="D137" s="167"/>
      <c r="E137" s="167"/>
      <c r="F137" s="167"/>
      <c r="G137" s="167"/>
      <c r="H137" s="168"/>
      <c r="J137" s="33"/>
      <c r="T137" s="32"/>
    </row>
    <row r="138" spans="1:20" s="64" customFormat="1" ht="15.75" hidden="1" customHeight="1" x14ac:dyDescent="0.25">
      <c r="A138" s="210">
        <v>1</v>
      </c>
      <c r="B138" s="211"/>
      <c r="C138" s="72"/>
      <c r="D138" s="72">
        <v>0</v>
      </c>
      <c r="E138" s="72">
        <v>0</v>
      </c>
      <c r="F138" s="72">
        <f>D138+(IF(E138&lt;201,E138,IF(E138&lt;301,E138/2,E138/3)))</f>
        <v>0</v>
      </c>
      <c r="G138" s="73">
        <v>0</v>
      </c>
      <c r="H138" s="72">
        <f>(F138+(IF(G138&lt;101,G138,IF(G138&lt;201,G138/2,IF(G138&lt;=301,G138/3,G138/4)))))*(($H$136)+1)</f>
        <v>0</v>
      </c>
      <c r="I138" s="33"/>
      <c r="L138" s="126"/>
      <c r="M138" s="126"/>
      <c r="N138" s="33"/>
      <c r="T138" s="32"/>
    </row>
    <row r="139" spans="1:20" s="64" customFormat="1" ht="15.75" hidden="1" customHeight="1" x14ac:dyDescent="0.25">
      <c r="A139" s="210">
        <f>A138+1</f>
        <v>2</v>
      </c>
      <c r="B139" s="211"/>
      <c r="C139" s="72"/>
      <c r="D139" s="72"/>
      <c r="E139" s="72">
        <v>0</v>
      </c>
      <c r="F139" s="72">
        <f t="shared" ref="F139:F141" si="1">D139+(IF(E139&lt;201,E139,IF(E139&lt;301,E139/2,E139/3)))</f>
        <v>0</v>
      </c>
      <c r="G139" s="72">
        <v>0</v>
      </c>
      <c r="H139" s="72">
        <f t="shared" ref="H139:H141" si="2">(F139+(IF(G139&lt;101,G139,IF(G139&lt;201,G139/2,IF(G139&lt;=301,G139/3,G139/4)))))*(($H$136)+1)</f>
        <v>0</v>
      </c>
      <c r="I139" s="33"/>
      <c r="L139" s="126"/>
      <c r="M139" s="126"/>
      <c r="N139" s="33"/>
      <c r="T139" s="31"/>
    </row>
    <row r="140" spans="1:20" s="64" customFormat="1" ht="15.75" hidden="1" customHeight="1" x14ac:dyDescent="0.25">
      <c r="A140" s="210">
        <f>A139+1</f>
        <v>3</v>
      </c>
      <c r="B140" s="211"/>
      <c r="C140" s="72"/>
      <c r="D140" s="72"/>
      <c r="E140" s="72">
        <v>0</v>
      </c>
      <c r="F140" s="72">
        <f t="shared" si="1"/>
        <v>0</v>
      </c>
      <c r="G140" s="72">
        <v>0</v>
      </c>
      <c r="H140" s="72">
        <f t="shared" si="2"/>
        <v>0</v>
      </c>
      <c r="I140" s="33"/>
      <c r="L140" s="126"/>
      <c r="M140" s="126"/>
      <c r="N140" s="33"/>
      <c r="T140" s="18"/>
    </row>
    <row r="141" spans="1:20" s="64" customFormat="1" ht="15.75" hidden="1" customHeight="1" x14ac:dyDescent="0.25">
      <c r="A141" s="210">
        <f>A140+1</f>
        <v>4</v>
      </c>
      <c r="B141" s="211"/>
      <c r="C141" s="72"/>
      <c r="D141" s="72"/>
      <c r="E141" s="72">
        <v>0</v>
      </c>
      <c r="F141" s="72">
        <f t="shared" si="1"/>
        <v>0</v>
      </c>
      <c r="G141" s="72">
        <v>0</v>
      </c>
      <c r="H141" s="72">
        <f t="shared" si="2"/>
        <v>0</v>
      </c>
      <c r="I141" s="33"/>
      <c r="L141" s="126"/>
      <c r="M141" s="126"/>
      <c r="N141" s="33"/>
      <c r="T141" s="18"/>
    </row>
    <row r="142" spans="1:20" s="64" customFormat="1" hidden="1" x14ac:dyDescent="0.25">
      <c r="A142" s="210"/>
      <c r="B142" s="233"/>
      <c r="C142" s="233"/>
      <c r="D142" s="233"/>
      <c r="E142" s="233"/>
      <c r="F142" s="233"/>
      <c r="G142" s="233"/>
      <c r="H142" s="211"/>
      <c r="I142" s="33"/>
      <c r="N142" s="33"/>
    </row>
    <row r="143" spans="1:20" ht="47.25" customHeight="1" x14ac:dyDescent="0.25">
      <c r="A143" s="235" t="s">
        <v>370</v>
      </c>
      <c r="B143" s="140" t="s">
        <v>338</v>
      </c>
      <c r="C143" s="140" t="s">
        <v>55</v>
      </c>
      <c r="D143" s="140" t="s">
        <v>233</v>
      </c>
      <c r="E143" s="140" t="s">
        <v>232</v>
      </c>
      <c r="F143" s="140" t="s">
        <v>56</v>
      </c>
      <c r="G143" s="142" t="s">
        <v>57</v>
      </c>
      <c r="H143" s="70" t="s">
        <v>148</v>
      </c>
      <c r="I143" s="33"/>
      <c r="T143" s="64"/>
    </row>
    <row r="144" spans="1:20" s="64" customFormat="1" x14ac:dyDescent="0.25">
      <c r="A144" s="236"/>
      <c r="B144" s="141"/>
      <c r="C144" s="141"/>
      <c r="D144" s="141"/>
      <c r="E144" s="141"/>
      <c r="F144" s="141"/>
      <c r="G144" s="143"/>
      <c r="H144" s="71">
        <v>0.5</v>
      </c>
      <c r="I144" s="33"/>
    </row>
    <row r="145" spans="1:20" s="64" customFormat="1" x14ac:dyDescent="0.25">
      <c r="A145" s="201" t="s">
        <v>330</v>
      </c>
      <c r="B145" s="202"/>
      <c r="C145" s="202"/>
      <c r="D145" s="202"/>
      <c r="E145" s="202"/>
      <c r="F145" s="202"/>
      <c r="G145" s="202"/>
      <c r="H145" s="203"/>
      <c r="J145" s="74">
        <v>10.763999999999999</v>
      </c>
      <c r="T145" s="32"/>
    </row>
    <row r="146" spans="1:20" s="64" customFormat="1" x14ac:dyDescent="0.25">
      <c r="A146" s="166" t="s">
        <v>334</v>
      </c>
      <c r="B146" s="167"/>
      <c r="C146" s="167"/>
      <c r="D146" s="167"/>
      <c r="E146" s="167"/>
      <c r="F146" s="167"/>
      <c r="G146" s="167"/>
      <c r="H146" s="168"/>
      <c r="J146" s="33"/>
    </row>
    <row r="147" spans="1:20" s="64" customFormat="1" x14ac:dyDescent="0.25">
      <c r="A147" s="166" t="s">
        <v>331</v>
      </c>
      <c r="B147" s="167"/>
      <c r="C147" s="167"/>
      <c r="D147" s="167"/>
      <c r="E147" s="167"/>
      <c r="F147" s="167"/>
      <c r="G147" s="167"/>
      <c r="H147" s="168"/>
      <c r="J147" s="33"/>
    </row>
    <row r="148" spans="1:20" s="64" customFormat="1" x14ac:dyDescent="0.25">
      <c r="A148" s="166" t="s">
        <v>335</v>
      </c>
      <c r="B148" s="167"/>
      <c r="C148" s="167"/>
      <c r="D148" s="167"/>
      <c r="E148" s="167"/>
      <c r="F148" s="167"/>
      <c r="G148" s="167"/>
      <c r="H148" s="168"/>
      <c r="J148" s="33"/>
    </row>
    <row r="149" spans="1:20" s="64" customFormat="1" x14ac:dyDescent="0.25">
      <c r="A149" s="195" t="s">
        <v>336</v>
      </c>
      <c r="B149" s="196"/>
      <c r="C149" s="196"/>
      <c r="D149" s="196"/>
      <c r="E149" s="196"/>
      <c r="F149" s="196"/>
      <c r="G149" s="196"/>
      <c r="H149" s="197"/>
      <c r="J149" s="33"/>
    </row>
    <row r="150" spans="1:20" s="64" customFormat="1" x14ac:dyDescent="0.25">
      <c r="A150" s="195" t="s">
        <v>375</v>
      </c>
      <c r="B150" s="196"/>
      <c r="C150" s="196"/>
      <c r="D150" s="196"/>
      <c r="E150" s="196"/>
      <c r="F150" s="196"/>
      <c r="G150" s="196"/>
      <c r="H150" s="197"/>
      <c r="J150" s="33"/>
    </row>
    <row r="151" spans="1:20" s="64" customFormat="1" x14ac:dyDescent="0.25">
      <c r="A151" s="123" t="s">
        <v>337</v>
      </c>
      <c r="B151" s="123"/>
      <c r="C151" s="123"/>
      <c r="D151" s="123"/>
      <c r="E151" s="123"/>
      <c r="F151" s="123"/>
      <c r="G151" s="123"/>
      <c r="H151" s="123"/>
      <c r="I151" s="33"/>
      <c r="L151" s="126"/>
      <c r="M151" s="126"/>
    </row>
    <row r="152" spans="1:20" s="64" customFormat="1" x14ac:dyDescent="0.25">
      <c r="A152" s="67">
        <f>LEFT(A151,SUM(LEN(A151)-LEN(SUBSTITUTE(A151,{"0","1","2","3","4","5","6","7","8","9"},""))))*100+1</f>
        <v>701</v>
      </c>
      <c r="B152" s="67" t="s">
        <v>339</v>
      </c>
      <c r="C152" s="67" t="s">
        <v>340</v>
      </c>
      <c r="D152" s="74">
        <f>(256.07-(2.85*1.35))*10.764</f>
        <v>2714.9229899999996</v>
      </c>
      <c r="E152" s="74">
        <f>(2.85*1.35)*10.764</f>
        <v>41.414490000000001</v>
      </c>
      <c r="F152" s="67">
        <f>D152+E152</f>
        <v>2756.3374799999997</v>
      </c>
      <c r="G152" s="67">
        <v>0</v>
      </c>
      <c r="H152" s="67">
        <f>F152*(($H$144)+1)+(IF(G152&lt;101,G152,IF(G152&lt;201,G152/2,IF(G152&lt;=301,G152/3,G152/4))))</f>
        <v>4134.5062199999993</v>
      </c>
      <c r="I152" s="33">
        <f>0.4*0.45+1.75*2.92+1.93*3.765+3.6*1.585+3.5*3.89+5*5.58+0.3*1.59+2.68*2.14+1.95*1.57+1.65*1.08+1.13*1.08+1.95*1.7+4.88*3.89+1.58*2.88+1.58*2.54+6.8*5.05+1.8*1.3+1.8*1.85+1.85*1.15+1.8*2.5+3.1*4.3+0.9*5.7+1.4*3.6+1.4*1+1.4*1+4.85*4.3+3.15*3.05+1.6*3.15+1.8*2.31+1.8*2.9+1.8*0.59+3.8*2.35+3.7*1.75+3.6*3.5+2.85*1.35</f>
        <v>253.64784999999995</v>
      </c>
      <c r="N152" s="33"/>
    </row>
    <row r="153" spans="1:20" s="64" customFormat="1" x14ac:dyDescent="0.25">
      <c r="A153" s="67">
        <f>A152+1</f>
        <v>702</v>
      </c>
      <c r="B153" s="67" t="s">
        <v>339</v>
      </c>
      <c r="C153" s="67" t="s">
        <v>340</v>
      </c>
      <c r="D153" s="74">
        <f>(1.6*3.37+1.925*3.1+1.25*2.2+3.38*2.7+1.7*5.57+6.55*6.24+0.3*2.25+1.68*3.22+1.78*2.2+4.83*3.89+4.9*4.9+1.15*2.55+3.65*2.45+6.5*2.83+3.65*2.45+3.7*1.82+3.98*3.58+1.1*6.63+5.03*3.43+2.04*1.4+1*1+2.1*2.9+2.1*1.35+2.78*2.1+1.23*1.85+3.7*1.75+1.43*1.15+1.8*2.4+3.6*3.5)*10.764</f>
        <v>2766.8926584000001</v>
      </c>
      <c r="E153" s="74">
        <f>(2.68*2.2)*10.764</f>
        <v>63.464544000000004</v>
      </c>
      <c r="F153" s="67">
        <f>D153+E153</f>
        <v>2830.3572024</v>
      </c>
      <c r="G153" s="67">
        <v>0</v>
      </c>
      <c r="H153" s="67">
        <f>F153*(($H$144)+1)+(IF(G153&lt;101,G153,IF(G153&lt;201,G153/2,IF(G153&lt;=301,G153/3,G153/4))))</f>
        <v>4245.5358035999998</v>
      </c>
      <c r="I153" s="33">
        <f>1.6*3.37+1.925*3.1+1.25*2.2+3.38*2.7+1.7*5.57+6.55*6.24+0.3*2.25+1.68*3.22+1.78*2.2+4.83*3.89+4.9*4.9+1.15*2.55+3.65*2.45+6.5*2.83+3.65*2.45+3.7*1.82+3.98*3.58+1.1*6.63+5.03*3.43+2.04*1.4+1*1+2.1*2.9+2.1*1.35+2.78*2.1+1.23*1.85+3.7*1.75+1.43*1.15+1.8*2.4+3.6*3.5</f>
        <v>257.05060000000003</v>
      </c>
      <c r="N153" s="33"/>
    </row>
    <row r="154" spans="1:20" s="64" customFormat="1" x14ac:dyDescent="0.25">
      <c r="A154" s="123" t="s">
        <v>341</v>
      </c>
      <c r="B154" s="123"/>
      <c r="C154" s="123"/>
      <c r="D154" s="123"/>
      <c r="E154" s="123"/>
      <c r="F154" s="123"/>
      <c r="G154" s="123"/>
      <c r="H154" s="123"/>
      <c r="I154" s="33"/>
      <c r="L154" s="126"/>
      <c r="M154" s="126"/>
    </row>
    <row r="155" spans="1:20" s="64" customFormat="1" x14ac:dyDescent="0.25">
      <c r="A155" s="67">
        <f>LEFT(A154,SUM(LEN(A154)-LEN(SUBSTITUTE(A154,{"0","1","2","3","4","5","6","7","8","9"},""))))*100+1</f>
        <v>801</v>
      </c>
      <c r="B155" s="67" t="s">
        <v>339</v>
      </c>
      <c r="C155" s="67" t="s">
        <v>342</v>
      </c>
      <c r="D155" s="74">
        <f>(73.4)*10.764</f>
        <v>790.07759999999996</v>
      </c>
      <c r="E155" s="67">
        <v>0</v>
      </c>
      <c r="F155" s="67">
        <f>D155+E155</f>
        <v>790.07759999999996</v>
      </c>
      <c r="G155" s="67">
        <v>0</v>
      </c>
      <c r="H155" s="67">
        <f>F155*(($H$144)+1)+(IF(G155&lt;101,G155,IF(G155&lt;201,G155/2,IF(G155&lt;=301,G155/3,G155/4))))</f>
        <v>1185.1163999999999</v>
      </c>
      <c r="I155" s="69">
        <f>2.45*1.5+2.65*1.85+2.55*3.8+1.2*1.9+4.85*4.3+1.8*2.4+2.85*1.5+3.7*1.75+4.8*3.5</f>
        <v>73.272499999999994</v>
      </c>
      <c r="N155" s="33"/>
    </row>
    <row r="156" spans="1:20" s="64" customFormat="1" x14ac:dyDescent="0.25">
      <c r="A156" s="67">
        <f>A155+1</f>
        <v>802</v>
      </c>
      <c r="B156" s="67" t="s">
        <v>339</v>
      </c>
      <c r="C156" s="67" t="s">
        <v>343</v>
      </c>
      <c r="D156" s="74">
        <f>(158.59)*10.764</f>
        <v>1707.06276</v>
      </c>
      <c r="E156" s="67">
        <v>0</v>
      </c>
      <c r="F156" s="67">
        <f>D156+E156</f>
        <v>1707.06276</v>
      </c>
      <c r="G156" s="67">
        <v>0</v>
      </c>
      <c r="H156" s="67">
        <f>F156*(($H$144)+1)+(IF(G156&lt;101,G156,IF(G156&lt;201,G156/2,IF(G156&lt;=301,G156/3,G156/4))))</f>
        <v>2560.5941400000002</v>
      </c>
      <c r="I156" s="33"/>
      <c r="N156" s="33"/>
    </row>
    <row r="157" spans="1:20" s="64" customFormat="1" x14ac:dyDescent="0.25">
      <c r="A157" s="67">
        <f>A156+1</f>
        <v>803</v>
      </c>
      <c r="B157" s="67" t="s">
        <v>339</v>
      </c>
      <c r="C157" s="67" t="s">
        <v>344</v>
      </c>
      <c r="D157" s="74">
        <f>(186.54)*10.764</f>
        <v>2007.9165599999999</v>
      </c>
      <c r="E157" s="67">
        <v>0</v>
      </c>
      <c r="F157" s="67">
        <f>D157+E157</f>
        <v>2007.9165599999999</v>
      </c>
      <c r="G157" s="67">
        <v>0</v>
      </c>
      <c r="H157" s="67">
        <f>F157*(($H$144)+1)+(IF(G157&lt;101,G157,IF(G157&lt;201,G157/2,IF(G157&lt;=301,G157/3,G157/4))))</f>
        <v>3011.8748399999999</v>
      </c>
      <c r="I157" s="33"/>
      <c r="N157" s="33"/>
    </row>
    <row r="158" spans="1:20" s="64" customFormat="1" x14ac:dyDescent="0.25">
      <c r="A158" s="123" t="s">
        <v>345</v>
      </c>
      <c r="B158" s="123"/>
      <c r="C158" s="123"/>
      <c r="D158" s="123"/>
      <c r="E158" s="123"/>
      <c r="F158" s="123"/>
      <c r="G158" s="123"/>
      <c r="H158" s="123"/>
      <c r="I158" s="33"/>
      <c r="L158" s="126"/>
      <c r="M158" s="126"/>
    </row>
    <row r="159" spans="1:20" s="64" customFormat="1" x14ac:dyDescent="0.25">
      <c r="A159" s="67">
        <f>LEFT(A158,SUM(LEN(A158)-LEN(SUBSTITUTE(A158,{"0","1","2","3","4","5","6","7","8","9"},""))))*100+1</f>
        <v>901</v>
      </c>
      <c r="B159" s="67" t="s">
        <v>339</v>
      </c>
      <c r="C159" s="67" t="s">
        <v>340</v>
      </c>
      <c r="D159" s="74">
        <f>(204.39-(2.85*1.35))*10.764</f>
        <v>2158.6394699999996</v>
      </c>
      <c r="E159" s="74">
        <f>(2.85*1.35)*10.764</f>
        <v>41.414490000000001</v>
      </c>
      <c r="F159" s="67">
        <f>D159+E159</f>
        <v>2200.0539599999997</v>
      </c>
      <c r="G159" s="67">
        <v>0</v>
      </c>
      <c r="H159" s="67">
        <f>F159*(($H$144)+1)+(IF(G159&lt;101,G159,IF(G159&lt;201,G159/2,IF(G159&lt;=301,G159/3,G159/4))))</f>
        <v>3300.0809399999998</v>
      </c>
      <c r="I159" s="33"/>
      <c r="N159" s="33"/>
    </row>
    <row r="160" spans="1:20" s="64" customFormat="1" x14ac:dyDescent="0.25">
      <c r="A160" s="67">
        <f>A159+1</f>
        <v>902</v>
      </c>
      <c r="B160" s="65" t="s">
        <v>346</v>
      </c>
      <c r="C160" s="67" t="s">
        <v>348</v>
      </c>
      <c r="D160" s="74">
        <f>(154.79)*10.764</f>
        <v>1666.1595599999998</v>
      </c>
      <c r="E160" s="74">
        <v>0</v>
      </c>
      <c r="F160" s="67">
        <f>D160+E160</f>
        <v>1666.1595599999998</v>
      </c>
      <c r="G160" s="67">
        <v>0</v>
      </c>
      <c r="H160" s="67">
        <f>F160*(($H$144)+1)+(IF(G160&lt;101,G160,IF(G160&lt;201,G160/2,IF(G160&lt;=301,G160/3,G160/4))))</f>
        <v>2499.2393399999996</v>
      </c>
      <c r="I160" s="33"/>
      <c r="N160" s="33"/>
    </row>
    <row r="161" spans="1:14" s="64" customFormat="1" x14ac:dyDescent="0.25">
      <c r="A161" s="67">
        <f>A160+1</f>
        <v>903</v>
      </c>
      <c r="B161" s="67" t="s">
        <v>339</v>
      </c>
      <c r="C161" s="67" t="s">
        <v>348</v>
      </c>
      <c r="D161" s="74">
        <f>(218.34-(2.85*1.35))*10.764</f>
        <v>2308.79727</v>
      </c>
      <c r="E161" s="74">
        <f>(2.85*1.35)*10.764</f>
        <v>41.414490000000001</v>
      </c>
      <c r="F161" s="67">
        <f>D161+E161</f>
        <v>2350.2117600000001</v>
      </c>
      <c r="G161" s="67">
        <v>0</v>
      </c>
      <c r="H161" s="67">
        <f>F161*(($H$144)+1)+(IF(G161&lt;101,G161,IF(G161&lt;201,G161/2,IF(G161&lt;=301,G161/3,G161/4))))</f>
        <v>3525.3176400000002</v>
      </c>
      <c r="I161" s="33"/>
      <c r="N161" s="33"/>
    </row>
    <row r="162" spans="1:14" s="64" customFormat="1" x14ac:dyDescent="0.25">
      <c r="A162" s="123" t="s">
        <v>349</v>
      </c>
      <c r="B162" s="123"/>
      <c r="C162" s="123"/>
      <c r="D162" s="123"/>
      <c r="E162" s="123"/>
      <c r="F162" s="123"/>
      <c r="G162" s="123"/>
      <c r="H162" s="123"/>
      <c r="I162" s="33"/>
      <c r="L162" s="126"/>
      <c r="M162" s="126"/>
    </row>
    <row r="163" spans="1:14" s="64" customFormat="1" x14ac:dyDescent="0.25">
      <c r="A163" s="67">
        <f>LEFT(A162,SUM(LEN(A162)-LEN(SUBSTITUTE(A162,{"0","1","2","3","4","5","6","7","8","9"},""))))*100+1</f>
        <v>1001</v>
      </c>
      <c r="B163" s="67" t="s">
        <v>339</v>
      </c>
      <c r="C163" s="67" t="s">
        <v>340</v>
      </c>
      <c r="D163" s="74">
        <f>(256.71-(2.85*1.35))*10.764</f>
        <v>2721.8119499999998</v>
      </c>
      <c r="E163" s="74">
        <f>(2.85*1.35)*10.764</f>
        <v>41.414490000000001</v>
      </c>
      <c r="F163" s="67">
        <f>D163+E163</f>
        <v>2763.2264399999999</v>
      </c>
      <c r="G163" s="67">
        <v>0</v>
      </c>
      <c r="H163" s="67">
        <f>F163*(($H$144)+1)+(IF(G163&lt;101,G163,IF(G163&lt;201,G163/2,IF(G163&lt;=301,G163/3,G163/4))))</f>
        <v>4144.8396599999996</v>
      </c>
      <c r="I163" s="33"/>
      <c r="J163" s="33"/>
      <c r="N163" s="33"/>
    </row>
    <row r="164" spans="1:14" s="64" customFormat="1" x14ac:dyDescent="0.25">
      <c r="A164" s="67">
        <f>A163+1</f>
        <v>1002</v>
      </c>
      <c r="B164" s="67" t="s">
        <v>339</v>
      </c>
      <c r="C164" s="67" t="s">
        <v>350</v>
      </c>
      <c r="D164" s="74">
        <f>(323.48-(2.85*1.35))*10.764</f>
        <v>3440.5242299999995</v>
      </c>
      <c r="E164" s="74">
        <f>(2.85*1.35)*10.764</f>
        <v>41.414490000000001</v>
      </c>
      <c r="F164" s="67">
        <f>D164+E164</f>
        <v>3481.9387199999996</v>
      </c>
      <c r="G164" s="67">
        <v>0</v>
      </c>
      <c r="H164" s="67">
        <f>F164*(($H$144)+1)+(IF(G164&lt;101,G164,IF(G164&lt;201,G164/2,IF(G164&lt;=301,G164/3,G164/4))))</f>
        <v>5222.9080799999992</v>
      </c>
      <c r="I164" s="33"/>
      <c r="N164" s="33"/>
    </row>
    <row r="165" spans="1:14" s="64" customFormat="1" x14ac:dyDescent="0.25">
      <c r="A165" s="195" t="s">
        <v>351</v>
      </c>
      <c r="B165" s="196"/>
      <c r="C165" s="196"/>
      <c r="D165" s="196"/>
      <c r="E165" s="196"/>
      <c r="F165" s="196"/>
      <c r="G165" s="196"/>
      <c r="H165" s="197"/>
      <c r="I165" s="33"/>
    </row>
    <row r="166" spans="1:14" s="64" customFormat="1" ht="15.75" customHeight="1" x14ac:dyDescent="0.25">
      <c r="A166" s="67"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10^ROW(INDIRECT("1:"&amp;LEN((LEFT(A165,SUM(LEN(A165)-LEN(SUBSTITUTE(A165,{"0","1","2"},""))))))))/10))*100+1&amp;""&amp;" &amp;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",LEN(A165))),LEN(A165)))))))/10))*100+1</f>
        <v>1101 &amp; 1401</v>
      </c>
      <c r="B166" s="67" t="s">
        <v>339</v>
      </c>
      <c r="C166" s="67" t="s">
        <v>340</v>
      </c>
      <c r="D166" s="74">
        <f>(252.42-(2.85*1.35))*10.764</f>
        <v>2675.6343899999997</v>
      </c>
      <c r="E166" s="74">
        <f>(2.85*1.35)*10.764</f>
        <v>41.414490000000001</v>
      </c>
      <c r="F166" s="67">
        <f>D166+E166</f>
        <v>2717.0488799999998</v>
      </c>
      <c r="G166" s="67">
        <v>0</v>
      </c>
      <c r="H166" s="67">
        <f>F166*(($H$144)+1)+(IF(G166&lt;101,G166,IF(G166&lt;201,G166/2,IF(G166&lt;=301,G166/3,G166/4))))</f>
        <v>4075.5733199999995</v>
      </c>
      <c r="I166" s="33"/>
    </row>
    <row r="167" spans="1:14" s="64" customFormat="1" ht="15.75" customHeight="1" x14ac:dyDescent="0.25">
      <c r="A167" s="67"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&amp;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1102 &amp; 1402</v>
      </c>
      <c r="B167" s="67" t="s">
        <v>339</v>
      </c>
      <c r="C167" s="67" t="s">
        <v>350</v>
      </c>
      <c r="D167" s="74">
        <f>(325.51-(2.85*1.35))*10.764</f>
        <v>3462.3751499999994</v>
      </c>
      <c r="E167" s="74">
        <f>(2.85*1.35)*10.764</f>
        <v>41.414490000000001</v>
      </c>
      <c r="F167" s="67">
        <f>D167+E167</f>
        <v>3503.7896399999995</v>
      </c>
      <c r="G167" s="67">
        <v>0</v>
      </c>
      <c r="H167" s="67">
        <f>F167*(($H$144)+1)+(IF(G167&lt;101,G167,IF(G167&lt;201,G167/2,IF(G167&lt;=301,G167/3,G167/4))))</f>
        <v>5255.6844599999995</v>
      </c>
      <c r="I167" s="33"/>
    </row>
    <row r="168" spans="1:14" s="64" customFormat="1" x14ac:dyDescent="0.25">
      <c r="A168" s="123" t="s">
        <v>352</v>
      </c>
      <c r="B168" s="123"/>
      <c r="C168" s="123"/>
      <c r="D168" s="123"/>
      <c r="E168" s="123"/>
      <c r="F168" s="123"/>
      <c r="G168" s="123"/>
      <c r="H168" s="123"/>
      <c r="I168" s="33"/>
      <c r="L168" s="126"/>
      <c r="M168" s="126"/>
    </row>
    <row r="169" spans="1:14" s="64" customFormat="1" x14ac:dyDescent="0.25">
      <c r="A169" s="67">
        <f>LEFT(A168,SUM(LEN(A168)-LEN(SUBSTITUTE(A168,{"0","1","2","3","4","5","6","7","8","9"},""))))*100+1</f>
        <v>1201</v>
      </c>
      <c r="B169" s="65" t="s">
        <v>346</v>
      </c>
      <c r="C169" s="67" t="s">
        <v>340</v>
      </c>
      <c r="D169" s="74">
        <f>(231.37-(4.2*1.35))*10.764</f>
        <v>2429.4348</v>
      </c>
      <c r="E169" s="74">
        <f>(4.2*1.35)*10.764</f>
        <v>61.031880000000008</v>
      </c>
      <c r="F169" s="67">
        <f>D169+E169</f>
        <v>2490.46668</v>
      </c>
      <c r="G169" s="67">
        <v>0</v>
      </c>
      <c r="H169" s="67">
        <f>F169*(($H$144)+1)+(IF(G169&lt;101,G169,IF(G169&lt;201,G169/2,IF(G169&lt;=301,G169/3,G169/4))))</f>
        <v>3735.7000200000002</v>
      </c>
      <c r="I169" s="33"/>
      <c r="N169" s="33"/>
    </row>
    <row r="170" spans="1:14" s="64" customFormat="1" x14ac:dyDescent="0.25">
      <c r="A170" s="67">
        <f>A169+1</f>
        <v>1202</v>
      </c>
      <c r="B170" s="67" t="s">
        <v>339</v>
      </c>
      <c r="C170" s="67" t="s">
        <v>347</v>
      </c>
      <c r="D170" s="74">
        <f>(172.16)*10.764</f>
        <v>1853.13024</v>
      </c>
      <c r="E170" s="74">
        <v>0</v>
      </c>
      <c r="F170" s="67">
        <f>D170+E170</f>
        <v>1853.13024</v>
      </c>
      <c r="G170" s="67">
        <v>0</v>
      </c>
      <c r="H170" s="67">
        <f>F170*(($H$144)+1)+(IF(G170&lt;101,G170,IF(G170&lt;201,G170/2,IF(G170&lt;=301,G170/3,G170/4))))</f>
        <v>2779.6953599999997</v>
      </c>
      <c r="I170" s="33"/>
      <c r="N170" s="33"/>
    </row>
    <row r="171" spans="1:14" s="64" customFormat="1" x14ac:dyDescent="0.25">
      <c r="A171" s="67">
        <f>A170+1</f>
        <v>1203</v>
      </c>
      <c r="B171" s="67" t="s">
        <v>339</v>
      </c>
      <c r="C171" s="67" t="s">
        <v>347</v>
      </c>
      <c r="D171" s="74">
        <f>(172.15-(4.2*1.35))*10.764</f>
        <v>1791.99072</v>
      </c>
      <c r="E171" s="74">
        <f>(4.2*1.35)*10.764</f>
        <v>61.031880000000008</v>
      </c>
      <c r="F171" s="67">
        <f>D171+E171</f>
        <v>1853.0226</v>
      </c>
      <c r="G171" s="67">
        <v>0</v>
      </c>
      <c r="H171" s="67">
        <f>F171*(($H$144)+1)+(IF(G171&lt;101,G171,IF(G171&lt;201,G171/2,IF(G171&lt;=301,G171/3,G171/4))))</f>
        <v>2779.5338999999999</v>
      </c>
      <c r="I171" s="33"/>
      <c r="N171" s="33"/>
    </row>
    <row r="172" spans="1:14" s="64" customFormat="1" x14ac:dyDescent="0.25">
      <c r="A172" s="123" t="s">
        <v>353</v>
      </c>
      <c r="B172" s="123"/>
      <c r="C172" s="123"/>
      <c r="D172" s="123"/>
      <c r="E172" s="123"/>
      <c r="F172" s="123"/>
      <c r="G172" s="123"/>
      <c r="H172" s="123"/>
      <c r="I172" s="33"/>
      <c r="L172" s="126"/>
      <c r="M172" s="126"/>
    </row>
    <row r="173" spans="1:14" s="64" customFormat="1" x14ac:dyDescent="0.25">
      <c r="A173" s="67">
        <f>LEFT(A172,SUM(LEN(A172)-LEN(SUBSTITUTE(A172,{"0","1","2","3","4","5","6","7","8","9"},""))))*100+1</f>
        <v>1301</v>
      </c>
      <c r="B173" s="65" t="s">
        <v>346</v>
      </c>
      <c r="C173" s="67" t="s">
        <v>348</v>
      </c>
      <c r="D173" s="74">
        <f>(216.24-(2.85*1.35))*10.764</f>
        <v>2286.1928699999999</v>
      </c>
      <c r="E173" s="74">
        <f>(2.85*1.35)*10.764</f>
        <v>41.414490000000001</v>
      </c>
      <c r="F173" s="67">
        <f>D173+E173</f>
        <v>2327.60736</v>
      </c>
      <c r="G173" s="67">
        <v>0</v>
      </c>
      <c r="H173" s="67">
        <f>F173*(($H$144)+1)+(IF(G173&lt;101,G173,IF(G173&lt;201,G173/2,IF(G173&lt;=301,G173/3,G173/4))))</f>
        <v>3491.41104</v>
      </c>
      <c r="I173" s="33">
        <f>4.6*0.935+4.9*3.965+3.65*2.45+1.15*2.55+3.7*1.825+4.9*3.442+3.7*1.75+4.8*3.5+6.65*10.665+1.8*1.6+1.8*1.55+2*1.15+1.8*2.4+2.9*4.3+1.8*5.29+2.55*1.95+2.55*3.8+1.2*1.9+1.925*1.5+2.725*1.7+2.85*1.35</f>
        <v>216.01204999999996</v>
      </c>
      <c r="N173" s="33"/>
    </row>
    <row r="174" spans="1:14" s="64" customFormat="1" x14ac:dyDescent="0.25">
      <c r="A174" s="67">
        <f>A173+1</f>
        <v>1302</v>
      </c>
      <c r="B174" s="65" t="s">
        <v>346</v>
      </c>
      <c r="C174" s="67" t="s">
        <v>350</v>
      </c>
      <c r="D174" s="74">
        <f>(361.94-(2.85*1.35))*10.764</f>
        <v>3854.5076699999995</v>
      </c>
      <c r="E174" s="74">
        <f>(2.85*1.35)*10.764</f>
        <v>41.414490000000001</v>
      </c>
      <c r="F174" s="67">
        <f>D174+E174</f>
        <v>3895.9221599999996</v>
      </c>
      <c r="G174" s="67">
        <v>0</v>
      </c>
      <c r="H174" s="67">
        <f>F174*(($H$144)+1)+(IF(G174&lt;101,G174,IF(G174&lt;201,G174/2,IF(G174&lt;=301,G174/3,G174/4))))</f>
        <v>5843.8832399999992</v>
      </c>
      <c r="I174" s="33"/>
      <c r="J174" s="33">
        <f>351700000/H174</f>
        <v>60182.585030566086</v>
      </c>
      <c r="N174" s="33"/>
    </row>
    <row r="175" spans="1:14" s="64" customFormat="1" x14ac:dyDescent="0.25">
      <c r="A175" s="123" t="s">
        <v>354</v>
      </c>
      <c r="B175" s="123"/>
      <c r="C175" s="123"/>
      <c r="D175" s="123"/>
      <c r="E175" s="123"/>
      <c r="F175" s="123"/>
      <c r="G175" s="123"/>
      <c r="H175" s="123"/>
      <c r="I175" s="33"/>
      <c r="L175" s="126"/>
      <c r="M175" s="126"/>
    </row>
    <row r="176" spans="1:14" s="64" customFormat="1" x14ac:dyDescent="0.25">
      <c r="A176" s="67">
        <f>LEFT(A175,SUM(LEN(A175)-LEN(SUBSTITUTE(A175,{"0","1","2","3","4","5","6","7","8","9"},""))))*100+1</f>
        <v>1501</v>
      </c>
      <c r="B176" s="67" t="s">
        <v>339</v>
      </c>
      <c r="C176" s="67" t="s">
        <v>348</v>
      </c>
      <c r="D176" s="74">
        <f>(229.76-(2.85*1.35))*10.764</f>
        <v>2431.7221499999996</v>
      </c>
      <c r="E176" s="74">
        <f>(2.85*1.35)*10.764</f>
        <v>41.414490000000001</v>
      </c>
      <c r="F176" s="67">
        <f>D176+E176</f>
        <v>2473.1366399999997</v>
      </c>
      <c r="G176" s="67">
        <v>0</v>
      </c>
      <c r="H176" s="67">
        <f>F176*(($H$144)+1)+(IF(G176&lt;101,G176,IF(G176&lt;201,G176/2,IF(G176&lt;=301,G176/3,G176/4))))</f>
        <v>3709.7049599999996</v>
      </c>
      <c r="I176" s="33"/>
      <c r="N176" s="33"/>
    </row>
    <row r="177" spans="1:20" s="64" customFormat="1" x14ac:dyDescent="0.25">
      <c r="A177" s="67">
        <f>A176+1</f>
        <v>1502</v>
      </c>
      <c r="B177" s="67" t="s">
        <v>339</v>
      </c>
      <c r="C177" s="67" t="s">
        <v>355</v>
      </c>
      <c r="D177" s="74">
        <f>(232.8)*10.764</f>
        <v>2505.8591999999999</v>
      </c>
      <c r="E177" s="67">
        <v>0</v>
      </c>
      <c r="F177" s="67">
        <f>D177+E177</f>
        <v>2505.8591999999999</v>
      </c>
      <c r="G177" s="67">
        <v>0</v>
      </c>
      <c r="H177" s="67">
        <f>F177*(($H$144)+1)+(IF(G177&lt;101,G177,IF(G177&lt;201,G177/2,IF(G177&lt;=301,G177/3,G177/4))))</f>
        <v>3758.7887999999998</v>
      </c>
      <c r="I177" s="33"/>
      <c r="N177" s="33"/>
    </row>
    <row r="178" spans="1:20" s="64" customFormat="1" x14ac:dyDescent="0.25">
      <c r="A178" s="123" t="s">
        <v>356</v>
      </c>
      <c r="B178" s="123"/>
      <c r="C178" s="123"/>
      <c r="D178" s="123"/>
      <c r="E178" s="123"/>
      <c r="F178" s="123"/>
      <c r="G178" s="123"/>
      <c r="H178" s="123"/>
      <c r="I178" s="33"/>
      <c r="L178" s="126"/>
      <c r="M178" s="126"/>
    </row>
    <row r="179" spans="1:20" s="64" customFormat="1" x14ac:dyDescent="0.25">
      <c r="A179" s="67">
        <f>LEFT(A178,SUM(LEN(A178)-LEN(SUBSTITUTE(A178,{"0","1","2","3","4","5","6","7","8","9"},""))))*100+1</f>
        <v>1601</v>
      </c>
      <c r="B179" s="67" t="s">
        <v>339</v>
      </c>
      <c r="C179" s="67" t="s">
        <v>350</v>
      </c>
      <c r="D179" s="74">
        <f>(309.2-(2.85*1.35))*10.764</f>
        <v>3286.8143099999993</v>
      </c>
      <c r="E179" s="74">
        <f>(2.85*1.35)*10.764</f>
        <v>41.414490000000001</v>
      </c>
      <c r="F179" s="67">
        <f>D179+E179</f>
        <v>3328.2287999999994</v>
      </c>
      <c r="G179" s="67">
        <v>0</v>
      </c>
      <c r="H179" s="67">
        <f>F179*(($H$144)+1)+(IF(G179&lt;101,G179,IF(G179&lt;201,G179/2,IF(G179&lt;=301,G179/3,G179/4))))</f>
        <v>4992.3431999999993</v>
      </c>
      <c r="I179" s="33"/>
      <c r="N179" s="33"/>
    </row>
    <row r="180" spans="1:20" s="64" customFormat="1" x14ac:dyDescent="0.25">
      <c r="A180" s="67">
        <f>A179+1</f>
        <v>1602</v>
      </c>
      <c r="B180" s="67" t="s">
        <v>339</v>
      </c>
      <c r="C180" s="67" t="s">
        <v>340</v>
      </c>
      <c r="D180" s="74">
        <f>(268.31-(2.4*1.35))*10.764</f>
        <v>2853.2134799999999</v>
      </c>
      <c r="E180" s="74">
        <f>(2.4*1.35)*10.764</f>
        <v>34.875360000000001</v>
      </c>
      <c r="F180" s="67">
        <f>D180+E180</f>
        <v>2888.0888399999999</v>
      </c>
      <c r="G180" s="67">
        <v>0</v>
      </c>
      <c r="H180" s="67">
        <f>F180*(($H$144)+1)+(IF(G180&lt;101,G180,IF(G180&lt;201,G180/2,IF(G180&lt;=301,G180/3,G180/4))))</f>
        <v>4332.1332599999996</v>
      </c>
      <c r="I180" s="33"/>
      <c r="N180" s="33"/>
    </row>
    <row r="181" spans="1:20" s="64" customFormat="1" x14ac:dyDescent="0.25">
      <c r="A181" s="123" t="s">
        <v>357</v>
      </c>
      <c r="B181" s="123"/>
      <c r="C181" s="123"/>
      <c r="D181" s="123"/>
      <c r="E181" s="123"/>
      <c r="F181" s="123"/>
      <c r="G181" s="123"/>
      <c r="H181" s="123"/>
      <c r="I181" s="33"/>
      <c r="L181" s="126"/>
      <c r="M181" s="126"/>
    </row>
    <row r="182" spans="1:20" s="64" customFormat="1" x14ac:dyDescent="0.25">
      <c r="A182" s="67">
        <f>LEFT(A181,SUM(LEN(A181)-LEN(SUBSTITUTE(A181,{"0","1","2","3","4","5","6","7","8","9"},""))))*100+1</f>
        <v>1701</v>
      </c>
      <c r="B182" s="67" t="s">
        <v>339</v>
      </c>
      <c r="C182" s="67" t="s">
        <v>340</v>
      </c>
      <c r="D182" s="74">
        <f>(264.82-(2.85*1.35))*10.764</f>
        <v>2809.1079899999995</v>
      </c>
      <c r="E182" s="74">
        <f>(2.85*1.35)*10.764</f>
        <v>41.414490000000001</v>
      </c>
      <c r="F182" s="67">
        <f>D182+E182</f>
        <v>2850.5224799999996</v>
      </c>
      <c r="G182" s="67">
        <v>0</v>
      </c>
      <c r="H182" s="67">
        <f>F182*(($H$144)+1)+(IF(G182&lt;101,G182,IF(G182&lt;201,G182/2,IF(G182&lt;=301,G182/3,G182/4))))</f>
        <v>4275.7837199999994</v>
      </c>
      <c r="I182" s="33"/>
      <c r="N182" s="33"/>
    </row>
    <row r="183" spans="1:20" s="64" customFormat="1" x14ac:dyDescent="0.25">
      <c r="A183" s="67">
        <f>A182+1</f>
        <v>1702</v>
      </c>
      <c r="B183" s="67" t="s">
        <v>339</v>
      </c>
      <c r="C183" s="67" t="s">
        <v>350</v>
      </c>
      <c r="D183" s="74">
        <f>(313.78-(2.85*1.35))*10.764</f>
        <v>3336.1134299999994</v>
      </c>
      <c r="E183" s="74">
        <f>(2.85*1.35)*10.764</f>
        <v>41.414490000000001</v>
      </c>
      <c r="F183" s="67">
        <f>D183+E183</f>
        <v>3377.5279199999995</v>
      </c>
      <c r="G183" s="67">
        <v>0</v>
      </c>
      <c r="H183" s="67">
        <f>F183*(($H$144)+1)+(IF(G183&lt;101,G183,IF(G183&lt;201,G183/2,IF(G183&lt;=301,G183/3,G183/4))))</f>
        <v>5066.2918799999989</v>
      </c>
      <c r="I183" s="33"/>
      <c r="N183" s="33"/>
    </row>
    <row r="184" spans="1:20" s="64" customFormat="1" x14ac:dyDescent="0.25">
      <c r="A184" s="123" t="s">
        <v>358</v>
      </c>
      <c r="B184" s="123"/>
      <c r="C184" s="123"/>
      <c r="D184" s="123"/>
      <c r="E184" s="123"/>
      <c r="F184" s="123"/>
      <c r="G184" s="123"/>
      <c r="H184" s="123"/>
      <c r="I184" s="33"/>
      <c r="L184" s="126"/>
      <c r="M184" s="126"/>
    </row>
    <row r="185" spans="1:20" s="64" customFormat="1" x14ac:dyDescent="0.25">
      <c r="A185" s="67">
        <f>LEFT(A184,SUM(LEN(A184)-LEN(SUBSTITUTE(A184,{"0","1","2","3","4","5","6","7","8","9"},""))))*100+1</f>
        <v>1801</v>
      </c>
      <c r="B185" s="67" t="s">
        <v>339</v>
      </c>
      <c r="C185" s="67" t="s">
        <v>340</v>
      </c>
      <c r="D185" s="74">
        <f>(252.88-(2.85*1.35))*10.764</f>
        <v>2680.58583</v>
      </c>
      <c r="E185" s="74">
        <f>(2.85*1.35)*10.764</f>
        <v>41.414490000000001</v>
      </c>
      <c r="F185" s="67">
        <f>D185+E185</f>
        <v>2722.0003200000001</v>
      </c>
      <c r="G185" s="67">
        <v>0</v>
      </c>
      <c r="H185" s="67">
        <f>F185*(($H$144)+1)+(IF(G185&lt;101,G185,IF(G185&lt;201,G185/2,IF(G185&lt;=301,G185/3,G185/4))))</f>
        <v>4083.0004800000002</v>
      </c>
      <c r="I185" s="33"/>
      <c r="N185" s="33"/>
    </row>
    <row r="186" spans="1:20" s="64" customFormat="1" x14ac:dyDescent="0.25">
      <c r="A186" s="67">
        <f>A185+1</f>
        <v>1802</v>
      </c>
      <c r="B186" s="67" t="s">
        <v>339</v>
      </c>
      <c r="C186" s="67" t="s">
        <v>350</v>
      </c>
      <c r="D186" s="74">
        <f>(325.51-(2.85*1.35))*10.764</f>
        <v>3462.3751499999994</v>
      </c>
      <c r="E186" s="74">
        <f>(2.85*1.35)*10.764</f>
        <v>41.414490000000001</v>
      </c>
      <c r="F186" s="67">
        <f>D186+E186</f>
        <v>3503.7896399999995</v>
      </c>
      <c r="G186" s="67">
        <v>0</v>
      </c>
      <c r="H186" s="67">
        <f>F186*(($H$144)+1)+(IF(G186&lt;101,G186,IF(G186&lt;201,G186/2,IF(G186&lt;=301,G186/3,G186/4))))</f>
        <v>5255.6844599999995</v>
      </c>
      <c r="I186" s="33"/>
      <c r="J186" s="33">
        <f>313000000/H186</f>
        <v>59554.564658929317</v>
      </c>
      <c r="N186" s="33"/>
    </row>
    <row r="187" spans="1:20" s="64" customFormat="1" x14ac:dyDescent="0.25">
      <c r="A187" s="123" t="s">
        <v>359</v>
      </c>
      <c r="B187" s="123"/>
      <c r="C187" s="123"/>
      <c r="D187" s="123"/>
      <c r="E187" s="123"/>
      <c r="F187" s="123"/>
      <c r="G187" s="123"/>
      <c r="H187" s="123"/>
      <c r="I187" s="33"/>
      <c r="L187" s="126"/>
      <c r="M187" s="126"/>
    </row>
    <row r="188" spans="1:20" s="64" customFormat="1" x14ac:dyDescent="0.25">
      <c r="A188" s="67">
        <f>LEFT(A187,SUM(LEN(A187)-LEN(SUBSTITUTE(A187,{"0","1","2","3","4","5","6","7","8","9"},""))))*100+1</f>
        <v>1901</v>
      </c>
      <c r="B188" s="67" t="s">
        <v>339</v>
      </c>
      <c r="C188" s="67" t="s">
        <v>350</v>
      </c>
      <c r="D188" s="74">
        <f>(288.16-(2.85*1.35))*10.764</f>
        <v>3060.3397499999996</v>
      </c>
      <c r="E188" s="74">
        <f>(2.85*1.35)*10.764</f>
        <v>41.414490000000001</v>
      </c>
      <c r="F188" s="67">
        <f>D188+E188</f>
        <v>3101.7542399999998</v>
      </c>
      <c r="G188" s="67">
        <v>0</v>
      </c>
      <c r="H188" s="67">
        <f>F188*(($H$144)+1)+(IF(G188&lt;101,G188,IF(G188&lt;201,G188/2,IF(G188&lt;=301,G188/3,G188/4))))</f>
        <v>4652.6313599999994</v>
      </c>
      <c r="I188" s="33"/>
      <c r="N188" s="33"/>
    </row>
    <row r="189" spans="1:20" s="64" customFormat="1" x14ac:dyDescent="0.25">
      <c r="A189" s="67">
        <f>A188+1</f>
        <v>1902</v>
      </c>
      <c r="B189" s="67" t="s">
        <v>339</v>
      </c>
      <c r="C189" s="67" t="s">
        <v>340</v>
      </c>
      <c r="D189" s="74">
        <f>(289.15-(2.85*1.35))*10.764</f>
        <v>3070.9961099999991</v>
      </c>
      <c r="E189" s="74">
        <f>(2.85*1.35)*10.764</f>
        <v>41.414490000000001</v>
      </c>
      <c r="F189" s="67">
        <f>D189+E189</f>
        <v>3112.4105999999992</v>
      </c>
      <c r="G189" s="67">
        <v>0</v>
      </c>
      <c r="H189" s="67">
        <f>F189*(($H$144)+1)+(IF(G189&lt;101,G189,IF(G189&lt;201,G189/2,IF(G189&lt;=301,G189/3,G189/4))))</f>
        <v>4668.6158999999989</v>
      </c>
      <c r="I189" s="33"/>
      <c r="N189" s="33"/>
    </row>
    <row r="190" spans="1:20" s="64" customFormat="1" x14ac:dyDescent="0.25">
      <c r="A190" s="123" t="s">
        <v>360</v>
      </c>
      <c r="B190" s="123"/>
      <c r="C190" s="123"/>
      <c r="D190" s="123"/>
      <c r="E190" s="123"/>
      <c r="F190" s="123"/>
      <c r="G190" s="123"/>
      <c r="H190" s="123"/>
      <c r="I190" s="33"/>
      <c r="L190" s="126"/>
      <c r="M190" s="126"/>
    </row>
    <row r="191" spans="1:20" s="64" customFormat="1" x14ac:dyDescent="0.25">
      <c r="A191" s="198" t="s">
        <v>332</v>
      </c>
      <c r="B191" s="199"/>
      <c r="C191" s="199"/>
      <c r="D191" s="199"/>
      <c r="E191" s="199"/>
      <c r="F191" s="199"/>
      <c r="G191" s="199"/>
      <c r="H191" s="200"/>
      <c r="J191" s="33"/>
      <c r="T191" s="32"/>
    </row>
    <row r="192" spans="1:20" s="64" customFormat="1" x14ac:dyDescent="0.25">
      <c r="A192" s="195" t="s">
        <v>361</v>
      </c>
      <c r="B192" s="196"/>
      <c r="C192" s="196"/>
      <c r="D192" s="196"/>
      <c r="E192" s="196"/>
      <c r="F192" s="196"/>
      <c r="G192" s="196"/>
      <c r="H192" s="197"/>
      <c r="J192" s="33"/>
    </row>
    <row r="193" spans="1:14" s="64" customFormat="1" x14ac:dyDescent="0.25">
      <c r="A193" s="195" t="s">
        <v>333</v>
      </c>
      <c r="B193" s="196"/>
      <c r="C193" s="196"/>
      <c r="D193" s="196"/>
      <c r="E193" s="196"/>
      <c r="F193" s="196"/>
      <c r="G193" s="196"/>
      <c r="H193" s="197"/>
      <c r="J193" s="33"/>
    </row>
    <row r="194" spans="1:14" s="64" customFormat="1" x14ac:dyDescent="0.25">
      <c r="A194" s="195" t="s">
        <v>335</v>
      </c>
      <c r="B194" s="196"/>
      <c r="C194" s="196"/>
      <c r="D194" s="196"/>
      <c r="E194" s="196"/>
      <c r="F194" s="196"/>
      <c r="G194" s="196"/>
      <c r="H194" s="197"/>
      <c r="J194" s="33"/>
    </row>
    <row r="195" spans="1:14" s="64" customFormat="1" x14ac:dyDescent="0.25">
      <c r="A195" s="195" t="s">
        <v>362</v>
      </c>
      <c r="B195" s="196"/>
      <c r="C195" s="196"/>
      <c r="D195" s="196"/>
      <c r="E195" s="196"/>
      <c r="F195" s="196"/>
      <c r="G195" s="196"/>
      <c r="H195" s="197"/>
      <c r="J195" s="33"/>
    </row>
    <row r="196" spans="1:14" s="64" customFormat="1" x14ac:dyDescent="0.25">
      <c r="A196" s="195" t="s">
        <v>376</v>
      </c>
      <c r="B196" s="196"/>
      <c r="C196" s="196"/>
      <c r="D196" s="196"/>
      <c r="E196" s="196"/>
      <c r="F196" s="196"/>
      <c r="G196" s="196"/>
      <c r="H196" s="197"/>
      <c r="J196" s="33"/>
    </row>
    <row r="197" spans="1:14" s="64" customFormat="1" x14ac:dyDescent="0.25">
      <c r="A197" s="123" t="s">
        <v>363</v>
      </c>
      <c r="B197" s="123"/>
      <c r="C197" s="123"/>
      <c r="D197" s="123"/>
      <c r="E197" s="123"/>
      <c r="F197" s="123"/>
      <c r="G197" s="123"/>
      <c r="H197" s="123"/>
      <c r="I197" s="33"/>
      <c r="L197" s="126"/>
      <c r="M197" s="126"/>
    </row>
    <row r="198" spans="1:14" s="64" customFormat="1" x14ac:dyDescent="0.25">
      <c r="A198" s="67">
        <f>LEFT(A197,SUM(LEN(A197)-LEN(SUBSTITUTE(A197,{"0","1","2","3","4","5","6","7","8","9"},""))))*100+1</f>
        <v>801</v>
      </c>
      <c r="B198" s="67" t="s">
        <v>364</v>
      </c>
      <c r="C198" s="121" t="s">
        <v>365</v>
      </c>
      <c r="D198" s="207"/>
      <c r="E198" s="207"/>
      <c r="F198" s="207"/>
      <c r="G198" s="207"/>
      <c r="H198" s="122"/>
      <c r="I198" s="33"/>
      <c r="N198" s="33"/>
    </row>
    <row r="199" spans="1:14" s="64" customFormat="1" x14ac:dyDescent="0.25">
      <c r="A199" s="67">
        <f>A198+1</f>
        <v>802</v>
      </c>
      <c r="B199" s="67" t="s">
        <v>339</v>
      </c>
      <c r="C199" s="67" t="s">
        <v>344</v>
      </c>
      <c r="D199" s="74">
        <f>(113.46-(2.59*0.9))*10.764</f>
        <v>1196.1925559999997</v>
      </c>
      <c r="E199" s="74">
        <f>(2.59*0.9)*10.764</f>
        <v>25.090883999999999</v>
      </c>
      <c r="F199" s="67">
        <f>D199+E199</f>
        <v>1221.2834399999997</v>
      </c>
      <c r="G199" s="67">
        <v>0</v>
      </c>
      <c r="H199" s="67">
        <f>F199*(($H$144)+1)+(IF(G199&lt;101,G199,IF(G199&lt;201,G199/2,IF(G199&lt;=301,G199/3,G199/4))))</f>
        <v>1831.9251599999996</v>
      </c>
      <c r="I199" s="33"/>
      <c r="N199" s="33"/>
    </row>
    <row r="200" spans="1:14" s="64" customFormat="1" x14ac:dyDescent="0.25">
      <c r="A200" s="67">
        <f>A199+1</f>
        <v>803</v>
      </c>
      <c r="B200" s="67" t="s">
        <v>339</v>
      </c>
      <c r="C200" s="67" t="s">
        <v>355</v>
      </c>
      <c r="D200" s="74">
        <f>(133.74-(2.59*0.9))*10.764</f>
        <v>1414.486476</v>
      </c>
      <c r="E200" s="74">
        <f>(2.59*0.9)*10.764</f>
        <v>25.090883999999999</v>
      </c>
      <c r="F200" s="67">
        <f>D200+E200</f>
        <v>1439.57736</v>
      </c>
      <c r="G200" s="67">
        <v>0</v>
      </c>
      <c r="H200" s="67">
        <f>F200*(($H$144)+1)+(IF(G200&lt;101,G200,IF(G200&lt;201,G200/2,IF(G200&lt;=301,G200/3,G200/4))))</f>
        <v>2159.3660399999999</v>
      </c>
      <c r="I200" s="33"/>
      <c r="N200" s="33"/>
    </row>
    <row r="201" spans="1:14" s="64" customFormat="1" x14ac:dyDescent="0.25">
      <c r="A201" s="67">
        <f>A200+1</f>
        <v>804</v>
      </c>
      <c r="B201" s="67" t="s">
        <v>339</v>
      </c>
      <c r="C201" s="67" t="s">
        <v>344</v>
      </c>
      <c r="D201" s="74">
        <f>(92.06)*10.764</f>
        <v>990.93383999999992</v>
      </c>
      <c r="E201" s="74">
        <v>0</v>
      </c>
      <c r="F201" s="67">
        <f>D201+E201</f>
        <v>990.93383999999992</v>
      </c>
      <c r="G201" s="67">
        <v>0</v>
      </c>
      <c r="H201" s="67">
        <f>F201*(($H$144)+1)+(IF(G201&lt;101,G201,IF(G201&lt;201,G201/2,IF(G201&lt;=301,G201/3,G201/4))))</f>
        <v>1486.40076</v>
      </c>
      <c r="I201" s="33"/>
      <c r="N201" s="33"/>
    </row>
    <row r="202" spans="1:14" s="64" customFormat="1" x14ac:dyDescent="0.25">
      <c r="A202" s="123" t="s">
        <v>345</v>
      </c>
      <c r="B202" s="123"/>
      <c r="C202" s="123"/>
      <c r="D202" s="123"/>
      <c r="E202" s="123"/>
      <c r="F202" s="123"/>
      <c r="G202" s="123"/>
      <c r="H202" s="123"/>
      <c r="I202" s="33"/>
      <c r="L202" s="126"/>
      <c r="M202" s="126"/>
    </row>
    <row r="203" spans="1:14" s="64" customFormat="1" x14ac:dyDescent="0.25">
      <c r="A203" s="67">
        <f>LEFT(A202,SUM(LEN(A202)-LEN(SUBSTITUTE(A202,{"0","1","2","3","4","5","6","7","8","9"},""))))*100+1</f>
        <v>901</v>
      </c>
      <c r="B203" s="67" t="s">
        <v>339</v>
      </c>
      <c r="C203" s="67" t="s">
        <v>344</v>
      </c>
      <c r="D203" s="74">
        <f>(91.64)*10.764</f>
        <v>986.41296</v>
      </c>
      <c r="E203" s="67">
        <v>0</v>
      </c>
      <c r="F203" s="67">
        <f>D203+E203</f>
        <v>986.41296</v>
      </c>
      <c r="G203" s="67">
        <v>0</v>
      </c>
      <c r="H203" s="67">
        <f>F203*(($H$144)+1)+(IF(G203&lt;101,G203,IF(G203&lt;201,G203/2,IF(G203&lt;=301,G203/3,G203/4))))</f>
        <v>1479.6194399999999</v>
      </c>
      <c r="I203" s="33"/>
      <c r="N203" s="33"/>
    </row>
    <row r="204" spans="1:14" s="64" customFormat="1" x14ac:dyDescent="0.25">
      <c r="A204" s="67">
        <f>A203+1</f>
        <v>902</v>
      </c>
      <c r="B204" s="65" t="s">
        <v>346</v>
      </c>
      <c r="C204" s="67" t="s">
        <v>355</v>
      </c>
      <c r="D204" s="74">
        <f>(133.71)*10.764</f>
        <v>1439.2544399999999</v>
      </c>
      <c r="E204" s="67">
        <v>0</v>
      </c>
      <c r="F204" s="67">
        <f>D204+E204</f>
        <v>1439.2544399999999</v>
      </c>
      <c r="G204" s="67">
        <v>0</v>
      </c>
      <c r="H204" s="67">
        <f>F204*(($H$144)+1)+(IF(G204&lt;101,G204,IF(G204&lt;201,G204/2,IF(G204&lt;=301,G204/3,G204/4))))</f>
        <v>2158.88166</v>
      </c>
      <c r="I204" s="33"/>
      <c r="N204" s="33"/>
    </row>
    <row r="205" spans="1:14" s="64" customFormat="1" x14ac:dyDescent="0.25">
      <c r="A205" s="67">
        <f>A204+1</f>
        <v>903</v>
      </c>
      <c r="B205" s="65" t="s">
        <v>346</v>
      </c>
      <c r="C205" s="67" t="s">
        <v>355</v>
      </c>
      <c r="D205" s="74">
        <f>(133.74)*10.764</f>
        <v>1439.57736</v>
      </c>
      <c r="E205" s="67">
        <v>0</v>
      </c>
      <c r="F205" s="67">
        <f>D205+E205</f>
        <v>1439.57736</v>
      </c>
      <c r="G205" s="67">
        <v>0</v>
      </c>
      <c r="H205" s="67">
        <f>F205*(($H$144)+1)+(IF(G205&lt;101,G205,IF(G205&lt;201,G205/2,IF(G205&lt;=301,G205/3,G205/4))))</f>
        <v>2159.3660399999999</v>
      </c>
      <c r="I205" s="33"/>
      <c r="N205" s="33"/>
    </row>
    <row r="206" spans="1:14" s="64" customFormat="1" x14ac:dyDescent="0.25">
      <c r="A206" s="67">
        <f>A205+1</f>
        <v>904</v>
      </c>
      <c r="B206" s="65" t="s">
        <v>346</v>
      </c>
      <c r="C206" s="67" t="s">
        <v>344</v>
      </c>
      <c r="D206" s="74">
        <f>(92.06)*10.764</f>
        <v>990.93383999999992</v>
      </c>
      <c r="E206" s="67">
        <v>0</v>
      </c>
      <c r="F206" s="67">
        <f>D206+E206</f>
        <v>990.93383999999992</v>
      </c>
      <c r="G206" s="67">
        <v>0</v>
      </c>
      <c r="H206" s="67">
        <f>F206*(($H$144)+1)+(IF(G206&lt;101,G206,IF(G206&lt;201,G206/2,IF(G206&lt;=301,G206/3,G206/4))))</f>
        <v>1486.40076</v>
      </c>
      <c r="I206" s="33"/>
      <c r="N206" s="33"/>
    </row>
    <row r="207" spans="1:14" s="64" customFormat="1" x14ac:dyDescent="0.25">
      <c r="A207" s="123" t="s">
        <v>349</v>
      </c>
      <c r="B207" s="123"/>
      <c r="C207" s="123"/>
      <c r="D207" s="123"/>
      <c r="E207" s="123"/>
      <c r="F207" s="123"/>
      <c r="G207" s="123"/>
      <c r="H207" s="123"/>
      <c r="I207" s="33"/>
      <c r="L207" s="126"/>
      <c r="M207" s="126"/>
    </row>
    <row r="208" spans="1:14" s="64" customFormat="1" x14ac:dyDescent="0.25">
      <c r="A208" s="67">
        <f>LEFT(A207,SUM(LEN(A207)-LEN(SUBSTITUTE(A207,{"0","1","2","3","4","5","6","7","8","9"},""))))*100+1</f>
        <v>1001</v>
      </c>
      <c r="B208" s="65" t="s">
        <v>346</v>
      </c>
      <c r="C208" s="67" t="s">
        <v>344</v>
      </c>
      <c r="D208" s="74">
        <f>(91.64)*10.764</f>
        <v>986.41296</v>
      </c>
      <c r="E208" s="67">
        <v>0</v>
      </c>
      <c r="F208" s="67">
        <f>D208+E208</f>
        <v>986.41296</v>
      </c>
      <c r="G208" s="67">
        <v>0</v>
      </c>
      <c r="H208" s="67">
        <f>F208*(($H$144)+1)+(IF(G208&lt;101,G208,IF(G208&lt;201,G208/2,IF(G208&lt;=301,G208/3,G208/4))))</f>
        <v>1479.6194399999999</v>
      </c>
      <c r="I208" s="33"/>
      <c r="N208" s="33"/>
    </row>
    <row r="209" spans="1:14" s="64" customFormat="1" x14ac:dyDescent="0.25">
      <c r="A209" s="67">
        <f>A208+1</f>
        <v>1002</v>
      </c>
      <c r="B209" s="67" t="s">
        <v>339</v>
      </c>
      <c r="C209" s="67" t="s">
        <v>355</v>
      </c>
      <c r="D209" s="74">
        <f>(133.71)*10.764</f>
        <v>1439.2544399999999</v>
      </c>
      <c r="E209" s="67">
        <v>0</v>
      </c>
      <c r="F209" s="67">
        <f>D209+E209</f>
        <v>1439.2544399999999</v>
      </c>
      <c r="G209" s="67">
        <v>0</v>
      </c>
      <c r="H209" s="67">
        <f>F209*(($H$144)+1)+(IF(G209&lt;101,G209,IF(G209&lt;201,G209/2,IF(G209&lt;=301,G209/3,G209/4))))</f>
        <v>2158.88166</v>
      </c>
      <c r="I209" s="33"/>
      <c r="N209" s="33"/>
    </row>
    <row r="210" spans="1:14" s="64" customFormat="1" x14ac:dyDescent="0.25">
      <c r="A210" s="67">
        <f>A209+1</f>
        <v>1003</v>
      </c>
      <c r="B210" s="65" t="s">
        <v>346</v>
      </c>
      <c r="C210" s="67" t="s">
        <v>355</v>
      </c>
      <c r="D210" s="74">
        <f>(133.74)*10.764</f>
        <v>1439.57736</v>
      </c>
      <c r="E210" s="67">
        <v>0</v>
      </c>
      <c r="F210" s="67">
        <f>D210+E210</f>
        <v>1439.57736</v>
      </c>
      <c r="G210" s="67">
        <v>0</v>
      </c>
      <c r="H210" s="67">
        <f>F210*(($H$144)+1)+(IF(G210&lt;101,G210,IF(G210&lt;201,G210/2,IF(G210&lt;=301,G210/3,G210/4))))</f>
        <v>2159.3660399999999</v>
      </c>
      <c r="I210" s="33"/>
      <c r="N210" s="33"/>
    </row>
    <row r="211" spans="1:14" s="64" customFormat="1" x14ac:dyDescent="0.25">
      <c r="A211" s="67">
        <f>A210+1</f>
        <v>1004</v>
      </c>
      <c r="B211" s="67" t="s">
        <v>339</v>
      </c>
      <c r="C211" s="67" t="s">
        <v>344</v>
      </c>
      <c r="D211" s="74">
        <f>(92.06)*10.764</f>
        <v>990.93383999999992</v>
      </c>
      <c r="E211" s="67">
        <v>0</v>
      </c>
      <c r="F211" s="67">
        <f>D211+E211</f>
        <v>990.93383999999992</v>
      </c>
      <c r="G211" s="67">
        <v>0</v>
      </c>
      <c r="H211" s="67">
        <f>F211*(($H$144)+1)+(IF(G211&lt;101,G211,IF(G211&lt;201,G211/2,IF(G211&lt;=301,G211/3,G211/4))))</f>
        <v>1486.40076</v>
      </c>
      <c r="I211" s="33"/>
      <c r="N211" s="33"/>
    </row>
    <row r="212" spans="1:14" s="64" customFormat="1" x14ac:dyDescent="0.25">
      <c r="A212" s="123" t="s">
        <v>366</v>
      </c>
      <c r="B212" s="123"/>
      <c r="C212" s="123"/>
      <c r="D212" s="123"/>
      <c r="E212" s="123"/>
      <c r="F212" s="123"/>
      <c r="G212" s="123"/>
      <c r="H212" s="123"/>
      <c r="I212" s="33"/>
      <c r="L212" s="126"/>
      <c r="M212" s="126"/>
    </row>
    <row r="213" spans="1:14" s="64" customFormat="1" x14ac:dyDescent="0.25">
      <c r="A213" s="67">
        <f>LEFT(A212,SUM(LEN(A212)-LEN(SUBSTITUTE(A212,{"0","1","2","3","4","5","6","7","8","9"},""))))*100+1</f>
        <v>1101</v>
      </c>
      <c r="B213" s="67" t="s">
        <v>339</v>
      </c>
      <c r="C213" s="67" t="s">
        <v>344</v>
      </c>
      <c r="D213" s="74">
        <f>(91.64)*10.764</f>
        <v>986.41296</v>
      </c>
      <c r="E213" s="67">
        <v>0</v>
      </c>
      <c r="F213" s="67">
        <f>D213+E213</f>
        <v>986.41296</v>
      </c>
      <c r="G213" s="67">
        <v>0</v>
      </c>
      <c r="H213" s="67">
        <f>F213*(($H$144)+1)+(IF(G213&lt;101,G213,IF(G213&lt;201,G213/2,IF(G213&lt;=301,G213/3,G213/4))))</f>
        <v>1479.6194399999999</v>
      </c>
      <c r="I213" s="33"/>
      <c r="N213" s="33"/>
    </row>
    <row r="214" spans="1:14" s="64" customFormat="1" x14ac:dyDescent="0.25">
      <c r="A214" s="67">
        <f>A213+1</f>
        <v>1102</v>
      </c>
      <c r="B214" s="67" t="s">
        <v>339</v>
      </c>
      <c r="C214" s="67" t="s">
        <v>355</v>
      </c>
      <c r="D214" s="74">
        <f>(133.71)*10.764</f>
        <v>1439.2544399999999</v>
      </c>
      <c r="E214" s="67">
        <v>0</v>
      </c>
      <c r="F214" s="67">
        <f>D214+E214</f>
        <v>1439.2544399999999</v>
      </c>
      <c r="G214" s="67">
        <v>0</v>
      </c>
      <c r="H214" s="67">
        <f>F214*(($H$144)+1)+(IF(G214&lt;101,G214,IF(G214&lt;201,G214/2,IF(G214&lt;=301,G214/3,G214/4))))</f>
        <v>2158.88166</v>
      </c>
      <c r="I214" s="33"/>
      <c r="N214" s="33"/>
    </row>
    <row r="215" spans="1:14" s="64" customFormat="1" x14ac:dyDescent="0.25">
      <c r="A215" s="67">
        <f>A214+1</f>
        <v>1103</v>
      </c>
      <c r="B215" s="67" t="s">
        <v>339</v>
      </c>
      <c r="C215" s="67" t="s">
        <v>355</v>
      </c>
      <c r="D215" s="74">
        <f>(133.74)*10.764</f>
        <v>1439.57736</v>
      </c>
      <c r="E215" s="67">
        <v>0</v>
      </c>
      <c r="F215" s="67">
        <f>D215+E215</f>
        <v>1439.57736</v>
      </c>
      <c r="G215" s="67">
        <v>0</v>
      </c>
      <c r="H215" s="67">
        <f>F215*(($H$144)+1)+(IF(G215&lt;101,G215,IF(G215&lt;201,G215/2,IF(G215&lt;=301,G215/3,G215/4))))</f>
        <v>2159.3660399999999</v>
      </c>
      <c r="I215" s="33"/>
      <c r="N215" s="33"/>
    </row>
    <row r="216" spans="1:14" s="64" customFormat="1" x14ac:dyDescent="0.25">
      <c r="A216" s="67">
        <f>A215+1</f>
        <v>1104</v>
      </c>
      <c r="B216" s="67" t="s">
        <v>339</v>
      </c>
      <c r="C216" s="67" t="s">
        <v>344</v>
      </c>
      <c r="D216" s="74">
        <f>(92.06)*10.764</f>
        <v>990.93383999999992</v>
      </c>
      <c r="E216" s="67">
        <v>0</v>
      </c>
      <c r="F216" s="67">
        <f>D216+E216</f>
        <v>990.93383999999992</v>
      </c>
      <c r="G216" s="67">
        <v>0</v>
      </c>
      <c r="H216" s="67">
        <f>F216*(($H$144)+1)+(IF(G216&lt;101,G216,IF(G216&lt;201,G216/2,IF(G216&lt;=301,G216/3,G216/4))))</f>
        <v>1486.40076</v>
      </c>
      <c r="I216" s="33"/>
      <c r="N216" s="33"/>
    </row>
    <row r="217" spans="1:14" s="64" customFormat="1" x14ac:dyDescent="0.25">
      <c r="A217" s="123" t="s">
        <v>367</v>
      </c>
      <c r="B217" s="123"/>
      <c r="C217" s="123"/>
      <c r="D217" s="123"/>
      <c r="E217" s="123"/>
      <c r="F217" s="123"/>
      <c r="G217" s="123"/>
      <c r="H217" s="123"/>
      <c r="I217" s="33"/>
      <c r="L217" s="126"/>
      <c r="M217" s="126"/>
    </row>
    <row r="218" spans="1:14" s="64" customFormat="1" x14ac:dyDescent="0.25">
      <c r="A218" s="67">
        <v>1</v>
      </c>
      <c r="B218" s="67" t="s">
        <v>339</v>
      </c>
      <c r="C218" s="67" t="s">
        <v>344</v>
      </c>
      <c r="D218" s="74">
        <f>(91.64)*10.764</f>
        <v>986.41296</v>
      </c>
      <c r="E218" s="67">
        <v>0</v>
      </c>
      <c r="F218" s="67">
        <f>D218+E218</f>
        <v>986.41296</v>
      </c>
      <c r="G218" s="67">
        <v>0</v>
      </c>
      <c r="H218" s="67">
        <f>F218*(($H$144)+1)+(IF(G218&lt;101,G218,IF(G218&lt;201,G218/2,IF(G218&lt;=301,G218/3,G218/4))))</f>
        <v>1479.6194399999999</v>
      </c>
      <c r="I218" s="33"/>
      <c r="N218" s="33"/>
    </row>
    <row r="219" spans="1:14" s="64" customFormat="1" x14ac:dyDescent="0.25">
      <c r="A219" s="67">
        <f>A218+1</f>
        <v>2</v>
      </c>
      <c r="B219" s="67" t="s">
        <v>339</v>
      </c>
      <c r="C219" s="67" t="s">
        <v>355</v>
      </c>
      <c r="D219" s="74">
        <f>(133.71)*10.764</f>
        <v>1439.2544399999999</v>
      </c>
      <c r="E219" s="67">
        <v>0</v>
      </c>
      <c r="F219" s="67">
        <f>D219+E219</f>
        <v>1439.2544399999999</v>
      </c>
      <c r="G219" s="67">
        <v>0</v>
      </c>
      <c r="H219" s="67">
        <f>F219*(($H$144)+1)+(IF(G219&lt;101,G219,IF(G219&lt;201,G219/2,IF(G219&lt;=301,G219/3,G219/4))))</f>
        <v>2158.88166</v>
      </c>
      <c r="I219" s="33"/>
      <c r="N219" s="33"/>
    </row>
    <row r="220" spans="1:14" s="64" customFormat="1" x14ac:dyDescent="0.25">
      <c r="A220" s="67">
        <f>A219+1</f>
        <v>3</v>
      </c>
      <c r="B220" s="67" t="s">
        <v>339</v>
      </c>
      <c r="C220" s="67" t="s">
        <v>355</v>
      </c>
      <c r="D220" s="74">
        <f>(133.74)*10.764</f>
        <v>1439.57736</v>
      </c>
      <c r="E220" s="67">
        <v>0</v>
      </c>
      <c r="F220" s="67">
        <f>D220+E220</f>
        <v>1439.57736</v>
      </c>
      <c r="G220" s="67">
        <v>0</v>
      </c>
      <c r="H220" s="67">
        <f>F220*(($H$144)+1)+(IF(G220&lt;101,G220,IF(G220&lt;201,G220/2,IF(G220&lt;=301,G220/3,G220/4))))</f>
        <v>2159.3660399999999</v>
      </c>
      <c r="I220" s="33"/>
      <c r="N220" s="33"/>
    </row>
    <row r="221" spans="1:14" s="64" customFormat="1" x14ac:dyDescent="0.25">
      <c r="A221" s="67">
        <f>A220+1</f>
        <v>4</v>
      </c>
      <c r="B221" s="65" t="s">
        <v>346</v>
      </c>
      <c r="C221" s="67" t="s">
        <v>344</v>
      </c>
      <c r="D221" s="74">
        <f>(92.06)*10.764</f>
        <v>990.93383999999992</v>
      </c>
      <c r="E221" s="67">
        <v>0</v>
      </c>
      <c r="F221" s="67">
        <f>D221+E221</f>
        <v>990.93383999999992</v>
      </c>
      <c r="G221" s="67">
        <v>0</v>
      </c>
      <c r="H221" s="67">
        <f>F221*(($H$144)+1)+(IF(G221&lt;101,G221,IF(G221&lt;201,G221/2,IF(G221&lt;=301,G221/3,G221/4))))</f>
        <v>1486.40076</v>
      </c>
      <c r="I221" s="33"/>
      <c r="N221" s="33"/>
    </row>
    <row r="222" spans="1:14" s="64" customFormat="1" x14ac:dyDescent="0.25">
      <c r="A222" s="123" t="s">
        <v>354</v>
      </c>
      <c r="B222" s="123"/>
      <c r="C222" s="123"/>
      <c r="D222" s="123"/>
      <c r="E222" s="123"/>
      <c r="F222" s="123"/>
      <c r="G222" s="123"/>
      <c r="H222" s="123"/>
      <c r="I222" s="33"/>
      <c r="L222" s="126"/>
      <c r="M222" s="126"/>
    </row>
    <row r="223" spans="1:14" s="64" customFormat="1" x14ac:dyDescent="0.25">
      <c r="A223" s="67">
        <f>LEFT(A222,SUM(LEN(A222)-LEN(SUBSTITUTE(A222,{"0","1","2","3","4","5","6","7","8","9"},""))))*100+1</f>
        <v>1501</v>
      </c>
      <c r="B223" s="65" t="s">
        <v>364</v>
      </c>
      <c r="C223" s="121" t="s">
        <v>365</v>
      </c>
      <c r="D223" s="207"/>
      <c r="E223" s="207"/>
      <c r="F223" s="207"/>
      <c r="G223" s="207"/>
      <c r="H223" s="122"/>
      <c r="I223" s="33"/>
      <c r="N223" s="33"/>
    </row>
    <row r="224" spans="1:14" s="64" customFormat="1" x14ac:dyDescent="0.25">
      <c r="A224" s="67">
        <f>A223+1</f>
        <v>1502</v>
      </c>
      <c r="B224" s="65" t="s">
        <v>346</v>
      </c>
      <c r="C224" s="67" t="s">
        <v>355</v>
      </c>
      <c r="D224" s="74">
        <f>(133.71)*10.764</f>
        <v>1439.2544399999999</v>
      </c>
      <c r="E224" s="67">
        <v>0</v>
      </c>
      <c r="F224" s="67">
        <f>D224+E224</f>
        <v>1439.2544399999999</v>
      </c>
      <c r="G224" s="67">
        <v>0</v>
      </c>
      <c r="H224" s="67">
        <f>F224*(($H$144)+1)+(IF(G224&lt;101,G224,IF(G224&lt;201,G224/2,IF(G224&lt;=301,G224/3,G224/4))))</f>
        <v>2158.88166</v>
      </c>
      <c r="I224" s="33"/>
      <c r="N224" s="33"/>
    </row>
    <row r="225" spans="1:14" s="64" customFormat="1" x14ac:dyDescent="0.25">
      <c r="A225" s="67">
        <f>A224+1</f>
        <v>1503</v>
      </c>
      <c r="B225" s="65" t="s">
        <v>346</v>
      </c>
      <c r="C225" s="67" t="s">
        <v>355</v>
      </c>
      <c r="D225" s="74">
        <f>(133.74)*10.764</f>
        <v>1439.57736</v>
      </c>
      <c r="E225" s="67">
        <v>0</v>
      </c>
      <c r="F225" s="67">
        <f>D225+E225</f>
        <v>1439.57736</v>
      </c>
      <c r="G225" s="67">
        <v>0</v>
      </c>
      <c r="H225" s="67">
        <f>F225*(($H$144)+1)+(IF(G225&lt;101,G225,IF(G225&lt;201,G225/2,IF(G225&lt;=301,G225/3,G225/4))))</f>
        <v>2159.3660399999999</v>
      </c>
      <c r="I225" s="33"/>
      <c r="N225" s="33"/>
    </row>
    <row r="226" spans="1:14" s="64" customFormat="1" x14ac:dyDescent="0.25">
      <c r="A226" s="67">
        <f>A225+1</f>
        <v>1504</v>
      </c>
      <c r="B226" s="65" t="s">
        <v>346</v>
      </c>
      <c r="C226" s="67" t="s">
        <v>344</v>
      </c>
      <c r="D226" s="74">
        <f>(92.06)*10.764</f>
        <v>990.93383999999992</v>
      </c>
      <c r="E226" s="67">
        <v>0</v>
      </c>
      <c r="F226" s="67">
        <f>D226+E226</f>
        <v>990.93383999999992</v>
      </c>
      <c r="G226" s="67">
        <v>0</v>
      </c>
      <c r="H226" s="67">
        <f>F226*(($H$144)+1)+(IF(G226&lt;101,G226,IF(G226&lt;201,G226/2,IF(G226&lt;=301,G226/3,G226/4))))</f>
        <v>1486.40076</v>
      </c>
      <c r="I226" s="33"/>
      <c r="N226" s="33"/>
    </row>
    <row r="227" spans="1:14" s="64" customFormat="1" x14ac:dyDescent="0.25">
      <c r="A227" s="123" t="s">
        <v>356</v>
      </c>
      <c r="B227" s="123"/>
      <c r="C227" s="123"/>
      <c r="D227" s="123"/>
      <c r="E227" s="123"/>
      <c r="F227" s="123"/>
      <c r="G227" s="123"/>
      <c r="H227" s="123"/>
      <c r="I227" s="33"/>
      <c r="L227" s="126"/>
      <c r="M227" s="126"/>
    </row>
    <row r="228" spans="1:14" s="64" customFormat="1" x14ac:dyDescent="0.25">
      <c r="A228" s="67">
        <f>LEFT(A227,SUM(LEN(A227)-LEN(SUBSTITUTE(A227,{"0","1","2","3","4","5","6","7","8","9"},""))))*100+1</f>
        <v>1601</v>
      </c>
      <c r="B228" s="67" t="s">
        <v>339</v>
      </c>
      <c r="C228" s="67" t="s">
        <v>344</v>
      </c>
      <c r="D228" s="74">
        <f>(91.64)*10.764</f>
        <v>986.41296</v>
      </c>
      <c r="E228" s="67">
        <v>0</v>
      </c>
      <c r="F228" s="67">
        <f>D228+E228</f>
        <v>986.41296</v>
      </c>
      <c r="G228" s="67">
        <v>0</v>
      </c>
      <c r="H228" s="67">
        <f>F228*(($H$144)+1)+(IF(G228&lt;101,G228,IF(G228&lt;201,G228/2,IF(G228&lt;=301,G228/3,G228/4))))</f>
        <v>1479.6194399999999</v>
      </c>
      <c r="I228" s="33"/>
      <c r="N228" s="33"/>
    </row>
    <row r="229" spans="1:14" s="64" customFormat="1" x14ac:dyDescent="0.25">
      <c r="A229" s="67">
        <f>A228+1</f>
        <v>1602</v>
      </c>
      <c r="B229" s="65" t="s">
        <v>346</v>
      </c>
      <c r="C229" s="67" t="s">
        <v>355</v>
      </c>
      <c r="D229" s="74">
        <f>(133.71)*10.764</f>
        <v>1439.2544399999999</v>
      </c>
      <c r="E229" s="67">
        <v>0</v>
      </c>
      <c r="F229" s="67">
        <f>D229+E229</f>
        <v>1439.2544399999999</v>
      </c>
      <c r="G229" s="67">
        <v>0</v>
      </c>
      <c r="H229" s="67">
        <f>F229*(($H$144)+1)+(IF(G229&lt;101,G229,IF(G229&lt;201,G229/2,IF(G229&lt;=301,G229/3,G229/4))))</f>
        <v>2158.88166</v>
      </c>
      <c r="I229" s="33"/>
      <c r="N229" s="33"/>
    </row>
    <row r="230" spans="1:14" s="64" customFormat="1" x14ac:dyDescent="0.25">
      <c r="A230" s="67">
        <f>A229+1</f>
        <v>1603</v>
      </c>
      <c r="B230" s="65" t="s">
        <v>346</v>
      </c>
      <c r="C230" s="67" t="s">
        <v>355</v>
      </c>
      <c r="D230" s="74">
        <f>(133.74)*10.764</f>
        <v>1439.57736</v>
      </c>
      <c r="E230" s="67">
        <v>0</v>
      </c>
      <c r="F230" s="67">
        <f>D230+E230</f>
        <v>1439.57736</v>
      </c>
      <c r="G230" s="67">
        <v>0</v>
      </c>
      <c r="H230" s="67">
        <f>F230*(($H$144)+1)+(IF(G230&lt;101,G230,IF(G230&lt;201,G230/2,IF(G230&lt;=301,G230/3,G230/4))))</f>
        <v>2159.3660399999999</v>
      </c>
      <c r="I230" s="33"/>
      <c r="N230" s="33"/>
    </row>
    <row r="231" spans="1:14" s="64" customFormat="1" x14ac:dyDescent="0.25">
      <c r="A231" s="67">
        <f>A230+1</f>
        <v>1604</v>
      </c>
      <c r="B231" s="67" t="s">
        <v>339</v>
      </c>
      <c r="C231" s="67" t="s">
        <v>344</v>
      </c>
      <c r="D231" s="74">
        <f>(92.06)*10.764</f>
        <v>990.93383999999992</v>
      </c>
      <c r="E231" s="67">
        <v>0</v>
      </c>
      <c r="F231" s="67">
        <f>D231+E231</f>
        <v>990.93383999999992</v>
      </c>
      <c r="G231" s="67">
        <v>0</v>
      </c>
      <c r="H231" s="67">
        <f>F231*(($H$144)+1)+(IF(G231&lt;101,G231,IF(G231&lt;201,G231/2,IF(G231&lt;=301,G231/3,G231/4))))</f>
        <v>1486.40076</v>
      </c>
      <c r="I231" s="33"/>
      <c r="N231" s="33"/>
    </row>
    <row r="232" spans="1:14" s="64" customFormat="1" x14ac:dyDescent="0.25">
      <c r="A232" s="123" t="s">
        <v>357</v>
      </c>
      <c r="B232" s="123"/>
      <c r="C232" s="123"/>
      <c r="D232" s="123"/>
      <c r="E232" s="123"/>
      <c r="F232" s="123"/>
      <c r="G232" s="123"/>
      <c r="H232" s="123"/>
      <c r="I232" s="33"/>
      <c r="L232" s="126"/>
      <c r="M232" s="126"/>
    </row>
    <row r="233" spans="1:14" s="64" customFormat="1" x14ac:dyDescent="0.25">
      <c r="A233" s="67">
        <f>LEFT(A232,SUM(LEN(A232)-LEN(SUBSTITUTE(A232,{"0","1","2","3","4","5","6","7","8","9"},""))))*100+1</f>
        <v>1701</v>
      </c>
      <c r="B233" s="65" t="s">
        <v>346</v>
      </c>
      <c r="C233" s="67" t="s">
        <v>344</v>
      </c>
      <c r="D233" s="74">
        <f>(91.64)*10.764</f>
        <v>986.41296</v>
      </c>
      <c r="E233" s="67">
        <v>0</v>
      </c>
      <c r="F233" s="67">
        <f>D233+E233</f>
        <v>986.41296</v>
      </c>
      <c r="G233" s="67">
        <v>0</v>
      </c>
      <c r="H233" s="67">
        <f>F233*(($H$144)+1)+(IF(G233&lt;101,G233,IF(G233&lt;201,G233/2,IF(G233&lt;=301,G233/3,G233/4))))</f>
        <v>1479.6194399999999</v>
      </c>
      <c r="I233" s="33"/>
      <c r="N233" s="33"/>
    </row>
    <row r="234" spans="1:14" s="64" customFormat="1" x14ac:dyDescent="0.25">
      <c r="A234" s="67">
        <f>A233+1</f>
        <v>1702</v>
      </c>
      <c r="B234" s="65" t="s">
        <v>346</v>
      </c>
      <c r="C234" s="67" t="s">
        <v>355</v>
      </c>
      <c r="D234" s="74">
        <f>(133.71)*10.764</f>
        <v>1439.2544399999999</v>
      </c>
      <c r="E234" s="67">
        <v>0</v>
      </c>
      <c r="F234" s="67">
        <f>D234+E234</f>
        <v>1439.2544399999999</v>
      </c>
      <c r="G234" s="67">
        <v>0</v>
      </c>
      <c r="H234" s="67">
        <f>F234*(($H$144)+1)+(IF(G234&lt;101,G234,IF(G234&lt;201,G234/2,IF(G234&lt;=301,G234/3,G234/4))))</f>
        <v>2158.88166</v>
      </c>
      <c r="I234" s="33"/>
      <c r="N234" s="33"/>
    </row>
    <row r="235" spans="1:14" s="64" customFormat="1" x14ac:dyDescent="0.25">
      <c r="A235" s="67">
        <f>A234+1</f>
        <v>1703</v>
      </c>
      <c r="B235" s="65" t="s">
        <v>346</v>
      </c>
      <c r="C235" s="67" t="s">
        <v>355</v>
      </c>
      <c r="D235" s="74">
        <f>(133.74)*10.764</f>
        <v>1439.57736</v>
      </c>
      <c r="E235" s="67">
        <v>0</v>
      </c>
      <c r="F235" s="67">
        <f>D235+E235</f>
        <v>1439.57736</v>
      </c>
      <c r="G235" s="67">
        <v>0</v>
      </c>
      <c r="H235" s="67">
        <f>F235*(($H$144)+1)+(IF(G235&lt;101,G235,IF(G235&lt;201,G235/2,IF(G235&lt;=301,G235/3,G235/4))))</f>
        <v>2159.3660399999999</v>
      </c>
      <c r="I235" s="33"/>
      <c r="N235" s="33"/>
    </row>
    <row r="236" spans="1:14" s="64" customFormat="1" x14ac:dyDescent="0.25">
      <c r="A236" s="67">
        <f>A235+1</f>
        <v>1704</v>
      </c>
      <c r="B236" s="65" t="s">
        <v>346</v>
      </c>
      <c r="C236" s="67" t="s">
        <v>344</v>
      </c>
      <c r="D236" s="74">
        <f>(92.06)*10.764</f>
        <v>990.93383999999992</v>
      </c>
      <c r="E236" s="67">
        <v>0</v>
      </c>
      <c r="F236" s="67">
        <f>D236+E236</f>
        <v>990.93383999999992</v>
      </c>
      <c r="G236" s="67">
        <v>0</v>
      </c>
      <c r="H236" s="67">
        <f>F236*(($H$144)+1)+(IF(G236&lt;101,G236,IF(G236&lt;201,G236/2,IF(G236&lt;=301,G236/3,G236/4))))</f>
        <v>1486.40076</v>
      </c>
      <c r="I236" s="33"/>
      <c r="N236" s="33"/>
    </row>
    <row r="237" spans="1:14" s="64" customFormat="1" x14ac:dyDescent="0.25">
      <c r="A237" s="195" t="s">
        <v>368</v>
      </c>
      <c r="B237" s="196"/>
      <c r="C237" s="196"/>
      <c r="D237" s="196"/>
      <c r="E237" s="196"/>
      <c r="F237" s="196"/>
      <c r="G237" s="196"/>
      <c r="H237" s="197"/>
      <c r="J237" s="33"/>
    </row>
    <row r="238" spans="1:14" s="64" customFormat="1" hidden="1" x14ac:dyDescent="0.25">
      <c r="A238" s="195" t="s">
        <v>116</v>
      </c>
      <c r="B238" s="196"/>
      <c r="C238" s="196"/>
      <c r="D238" s="196"/>
      <c r="E238" s="196"/>
      <c r="F238" s="196"/>
      <c r="G238" s="196"/>
      <c r="H238" s="197"/>
      <c r="J238" s="33"/>
    </row>
    <row r="239" spans="1:14" s="64" customFormat="1" ht="15.75" hidden="1" customHeight="1" x14ac:dyDescent="0.25">
      <c r="A239" s="121">
        <v>1</v>
      </c>
      <c r="B239" s="122"/>
      <c r="C239" s="67"/>
      <c r="D239" s="67"/>
      <c r="E239" s="67">
        <v>0</v>
      </c>
      <c r="F239" s="67">
        <f>D239+E239</f>
        <v>0</v>
      </c>
      <c r="G239" s="67">
        <v>0</v>
      </c>
      <c r="H239" s="67">
        <f>F239*(($H$144)+1)+(IF(G239&lt;101,G239,IF(G239&lt;201,G239/2,IF(G239&lt;=301,G239/3,G239/4))))</f>
        <v>0</v>
      </c>
      <c r="I239" s="33"/>
      <c r="L239" s="126"/>
      <c r="M239" s="126"/>
      <c r="N239" s="33"/>
    </row>
    <row r="240" spans="1:14" s="64" customFormat="1" ht="15.75" hidden="1" customHeight="1" x14ac:dyDescent="0.25">
      <c r="A240" s="121">
        <f>A239+1</f>
        <v>2</v>
      </c>
      <c r="B240" s="122"/>
      <c r="C240" s="67"/>
      <c r="D240" s="67"/>
      <c r="E240" s="67">
        <v>0</v>
      </c>
      <c r="F240" s="67">
        <f>D240+E240</f>
        <v>0</v>
      </c>
      <c r="G240" s="67">
        <v>0</v>
      </c>
      <c r="H240" s="67">
        <f>F240*(($H$144)+1)+(IF(G240&lt;101,G240,IF(G240&lt;201,G240/2,IF(G240&lt;=301,G240/3,G240/4))))</f>
        <v>0</v>
      </c>
      <c r="I240" s="33"/>
      <c r="L240" s="126"/>
      <c r="M240" s="126"/>
      <c r="N240" s="33"/>
    </row>
    <row r="241" spans="1:20" s="64" customFormat="1" ht="15.75" hidden="1" customHeight="1" x14ac:dyDescent="0.25">
      <c r="A241" s="121">
        <f>A240+1</f>
        <v>3</v>
      </c>
      <c r="B241" s="122"/>
      <c r="C241" s="67"/>
      <c r="D241" s="67"/>
      <c r="E241" s="67">
        <v>0</v>
      </c>
      <c r="F241" s="67">
        <f>D241+E241</f>
        <v>0</v>
      </c>
      <c r="G241" s="67">
        <v>0</v>
      </c>
      <c r="H241" s="67">
        <f>F241*(($H$144)+1)+(IF(G241&lt;101,G241,IF(G241&lt;201,G241/2,IF(G241&lt;=301,G241/3,G241/4))))</f>
        <v>0</v>
      </c>
      <c r="I241" s="33"/>
      <c r="L241" s="126"/>
      <c r="M241" s="126"/>
      <c r="N241" s="33"/>
    </row>
    <row r="242" spans="1:20" s="64" customFormat="1" hidden="1" x14ac:dyDescent="0.25">
      <c r="A242" s="121">
        <f>A241+1</f>
        <v>4</v>
      </c>
      <c r="B242" s="122"/>
      <c r="C242" s="67"/>
      <c r="D242" s="67"/>
      <c r="E242" s="67">
        <v>0</v>
      </c>
      <c r="F242" s="67">
        <f>D242+E242</f>
        <v>0</v>
      </c>
      <c r="G242" s="67">
        <v>0</v>
      </c>
      <c r="H242" s="67">
        <f>F242*(($H$144)+1)+(IF(G242&lt;101,G242,IF(G242&lt;201,G242/2,IF(G242&lt;=301,G242/3,G242/4))))</f>
        <v>0</v>
      </c>
      <c r="I242" s="33"/>
      <c r="L242" s="126"/>
      <c r="M242" s="126"/>
      <c r="N242" s="33"/>
      <c r="T242" s="18"/>
    </row>
    <row r="243" spans="1:20" s="64" customFormat="1" hidden="1" x14ac:dyDescent="0.25">
      <c r="A243" s="123" t="s">
        <v>117</v>
      </c>
      <c r="B243" s="123"/>
      <c r="C243" s="123"/>
      <c r="D243" s="123"/>
      <c r="E243" s="123"/>
      <c r="F243" s="123"/>
      <c r="G243" s="123"/>
      <c r="H243" s="123"/>
      <c r="I243" s="33"/>
      <c r="L243" s="126"/>
      <c r="M243" s="126"/>
    </row>
    <row r="244" spans="1:20" s="64" customFormat="1" hidden="1" x14ac:dyDescent="0.25">
      <c r="A244" s="208">
        <f>LEFT(A243,SUM(LEN(A243)-LEN(SUBSTITUTE(A243,{"0","1","2","3","4","5","6","7","8","9"},""))))*100+1</f>
        <v>201</v>
      </c>
      <c r="B244" s="208"/>
      <c r="C244" s="67"/>
      <c r="D244" s="67"/>
      <c r="E244" s="67">
        <v>0</v>
      </c>
      <c r="F244" s="67">
        <f>D244+E244</f>
        <v>0</v>
      </c>
      <c r="G244" s="67">
        <v>0</v>
      </c>
      <c r="H244" s="67">
        <f>F244*(($H$144)+1)+(IF(G244&lt;101,G244,IF(G244&lt;201,G244/2,IF(G244&lt;=301,G244/3,G244/4))))</f>
        <v>0</v>
      </c>
      <c r="I244" s="33"/>
      <c r="N244" s="33"/>
    </row>
    <row r="245" spans="1:20" s="64" customFormat="1" hidden="1" x14ac:dyDescent="0.25">
      <c r="A245" s="208">
        <f>A244+1</f>
        <v>202</v>
      </c>
      <c r="B245" s="208"/>
      <c r="C245" s="67"/>
      <c r="D245" s="67"/>
      <c r="E245" s="67">
        <v>0</v>
      </c>
      <c r="F245" s="67">
        <f>D245+E245</f>
        <v>0</v>
      </c>
      <c r="G245" s="67">
        <v>0</v>
      </c>
      <c r="H245" s="67">
        <f>F245*(($H$144)+1)+(IF(G245&lt;101,G245,IF(G245&lt;201,G245/2,IF(G245&lt;=301,G245/3,G245/4))))</f>
        <v>0</v>
      </c>
      <c r="I245" s="33"/>
      <c r="N245" s="33"/>
    </row>
    <row r="246" spans="1:20" s="64" customFormat="1" hidden="1" x14ac:dyDescent="0.25">
      <c r="A246" s="208">
        <f>A245+1</f>
        <v>203</v>
      </c>
      <c r="B246" s="208"/>
      <c r="C246" s="67"/>
      <c r="D246" s="67"/>
      <c r="E246" s="67">
        <v>0</v>
      </c>
      <c r="F246" s="67">
        <f>D246+E246</f>
        <v>0</v>
      </c>
      <c r="G246" s="67">
        <v>0</v>
      </c>
      <c r="H246" s="67">
        <f>F246*(($H$144)+1)+(IF(G246&lt;101,G246,IF(G246&lt;201,G246/2,IF(G246&lt;=301,G246/3,G246/4))))</f>
        <v>0</v>
      </c>
      <c r="I246" s="33"/>
      <c r="N246" s="33"/>
    </row>
    <row r="247" spans="1:20" s="64" customFormat="1" hidden="1" x14ac:dyDescent="0.25">
      <c r="A247" s="208">
        <f>A246+1</f>
        <v>204</v>
      </c>
      <c r="B247" s="208"/>
      <c r="C247" s="67"/>
      <c r="D247" s="67"/>
      <c r="E247" s="67">
        <v>0</v>
      </c>
      <c r="F247" s="67">
        <f>D247+E247</f>
        <v>0</v>
      </c>
      <c r="G247" s="67">
        <v>0</v>
      </c>
      <c r="H247" s="67">
        <f>F247*(($H$144)+1)+(IF(G247&lt;101,G247,IF(G247&lt;201,G247/2,IF(G247&lt;=301,G247/3,G247/4))))</f>
        <v>0</v>
      </c>
      <c r="I247" s="33"/>
      <c r="N247" s="33"/>
    </row>
    <row r="248" spans="1:20" s="64" customFormat="1" hidden="1" x14ac:dyDescent="0.25">
      <c r="A248" s="208">
        <f>A247+1</f>
        <v>205</v>
      </c>
      <c r="B248" s="208"/>
      <c r="C248" s="67"/>
      <c r="D248" s="67"/>
      <c r="E248" s="67">
        <v>0</v>
      </c>
      <c r="F248" s="67">
        <f>D248+E248</f>
        <v>0</v>
      </c>
      <c r="G248" s="67">
        <v>0</v>
      </c>
      <c r="H248" s="67">
        <f>F248*(($H$144)+1)+(IF(G248&lt;101,G248,IF(G248&lt;201,G248/2,IF(G248&lt;=301,G248/3,G248/4))))</f>
        <v>0</v>
      </c>
      <c r="I248" s="33"/>
      <c r="N248" s="33"/>
    </row>
    <row r="249" spans="1:20" s="64" customFormat="1" ht="15.75" hidden="1" customHeight="1" x14ac:dyDescent="0.25">
      <c r="A249" s="195" t="s">
        <v>149</v>
      </c>
      <c r="B249" s="196"/>
      <c r="C249" s="196"/>
      <c r="D249" s="196"/>
      <c r="E249" s="196"/>
      <c r="F249" s="196"/>
      <c r="G249" s="196"/>
      <c r="H249" s="197"/>
      <c r="I249" s="33"/>
    </row>
    <row r="250" spans="1:20" s="64" customFormat="1" ht="15.75" hidden="1" customHeight="1" x14ac:dyDescent="0.25">
      <c r="A250" s="121"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10^ROW(INDIRECT("1:"&amp;LEN((LEFT(A249,SUM(LEN(A249)-LEN(SUBSTITUTE(A249,{"0","1","2"},""))))))))/10))*100+1&amp;""&amp;" ,..,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",LEN(A249))),LEN(A249)))))))/10))*100+1</f>
        <v>301 ,.., 1501</v>
      </c>
      <c r="B250" s="122"/>
      <c r="C250" s="67"/>
      <c r="D250" s="67"/>
      <c r="E250" s="67">
        <v>0</v>
      </c>
      <c r="F250" s="67">
        <f>D250+E250</f>
        <v>0</v>
      </c>
      <c r="G250" s="67">
        <v>0</v>
      </c>
      <c r="H250" s="67">
        <f>F250*(($H$144)+1)+(IF(G250&lt;101,G250,IF(G250&lt;201,G250/2,IF(G250&lt;=301,G250/3,G250/4))))</f>
        <v>0</v>
      </c>
      <c r="I250" s="33"/>
    </row>
    <row r="251" spans="1:20" s="64" customFormat="1" ht="15.75" hidden="1" customHeight="1" x14ac:dyDescent="0.25">
      <c r="A251" s="121"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302 ,.., 1502</v>
      </c>
      <c r="B251" s="122"/>
      <c r="C251" s="67"/>
      <c r="D251" s="67"/>
      <c r="E251" s="67">
        <v>0</v>
      </c>
      <c r="F251" s="67">
        <f>D251+E251</f>
        <v>0</v>
      </c>
      <c r="G251" s="67">
        <v>0</v>
      </c>
      <c r="H251" s="67">
        <f>F251*(($H$144)+1)+(IF(G251&lt;101,G251,IF(G251&lt;201,G251/2,IF(G251&lt;=301,G251/3,G251/4))))</f>
        <v>0</v>
      </c>
      <c r="I251" s="33"/>
    </row>
    <row r="252" spans="1:20" s="64" customFormat="1" ht="15.75" hidden="1" customHeight="1" x14ac:dyDescent="0.25">
      <c r="A252" s="121"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303 ,.., 1503</v>
      </c>
      <c r="B252" s="122"/>
      <c r="C252" s="67"/>
      <c r="D252" s="67"/>
      <c r="E252" s="67">
        <v>0</v>
      </c>
      <c r="F252" s="67">
        <f>D252+E252</f>
        <v>0</v>
      </c>
      <c r="G252" s="67">
        <v>0</v>
      </c>
      <c r="H252" s="67">
        <f>F252*(($H$144)+1)+(IF(G252&lt;101,G252,IF(G252&lt;201,G252/2,IF(G252&lt;=301,G252/3,G252/4))))</f>
        <v>0</v>
      </c>
      <c r="I252" s="33"/>
    </row>
    <row r="253" spans="1:20" s="64" customFormat="1" ht="15.75" hidden="1" customHeight="1" x14ac:dyDescent="0.25">
      <c r="A253" s="121"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304 ,.., 1504</v>
      </c>
      <c r="B253" s="122"/>
      <c r="C253" s="67"/>
      <c r="D253" s="67"/>
      <c r="E253" s="67">
        <v>0</v>
      </c>
      <c r="F253" s="67">
        <f>D253+E253</f>
        <v>0</v>
      </c>
      <c r="G253" s="67">
        <v>0</v>
      </c>
      <c r="H253" s="67">
        <f>F253*(($H$144)+1)+(IF(G253&lt;101,G253,IF(G253&lt;201,G253/2,IF(G253&lt;=301,G253/3,G253/4))))</f>
        <v>0</v>
      </c>
      <c r="I253" s="33"/>
    </row>
    <row r="254" spans="1:20" s="64" customFormat="1" ht="15.75" hidden="1" customHeight="1" x14ac:dyDescent="0.25">
      <c r="A254" s="121"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305 ,.., 1505</v>
      </c>
      <c r="B254" s="122"/>
      <c r="C254" s="67"/>
      <c r="D254" s="67"/>
      <c r="E254" s="67">
        <v>0</v>
      </c>
      <c r="F254" s="67">
        <f>D254+E254</f>
        <v>0</v>
      </c>
      <c r="G254" s="67">
        <v>0</v>
      </c>
      <c r="H254" s="67">
        <f>F254*(($H$144)+1)+(IF(G254&lt;101,G254,IF(G254&lt;201,G254/2,IF(G254&lt;=301,G254/3,G254/4))))</f>
        <v>0</v>
      </c>
      <c r="I254" s="33"/>
    </row>
    <row r="255" spans="1:20" s="64" customFormat="1" hidden="1" x14ac:dyDescent="0.25">
      <c r="A255" s="195" t="s">
        <v>143</v>
      </c>
      <c r="B255" s="196"/>
      <c r="C255" s="196"/>
      <c r="D255" s="196"/>
      <c r="E255" s="196"/>
      <c r="F255" s="196"/>
      <c r="G255" s="196"/>
      <c r="H255" s="197"/>
      <c r="I255" s="33"/>
    </row>
    <row r="256" spans="1:20" s="64" customFormat="1" ht="15.75" hidden="1" customHeight="1" x14ac:dyDescent="0.25">
      <c r="A256" s="121"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10^ROW(INDIRECT("1:"&amp;LEN((LEFT(A255,SUM(LEN(A255)-LEN(SUBSTITUTE(A255,{"0","1","2"},""))))))))/10))*100+1&amp;""&amp;" to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",LEN(A255))),LEN(A255)))))))/10))*100+1</f>
        <v>201 to 501</v>
      </c>
      <c r="B256" s="122"/>
      <c r="C256" s="67"/>
      <c r="D256" s="67"/>
      <c r="E256" s="67">
        <v>0</v>
      </c>
      <c r="F256" s="67">
        <f>D256+E256</f>
        <v>0</v>
      </c>
      <c r="G256" s="67">
        <v>0</v>
      </c>
      <c r="H256" s="67">
        <f>F256*(($H$144)+1)+(IF(G256&lt;101,G256,IF(G256&lt;201,G256/2,IF(G256&lt;=301,G256/3,G256/4))))</f>
        <v>0</v>
      </c>
      <c r="I256" s="33"/>
    </row>
    <row r="257" spans="1:20" s="64" customFormat="1" ht="15.75" hidden="1" customHeight="1" x14ac:dyDescent="0.25">
      <c r="A257" s="121"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to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202 to 502</v>
      </c>
      <c r="B257" s="122"/>
      <c r="C257" s="67"/>
      <c r="D257" s="67"/>
      <c r="E257" s="67">
        <v>0</v>
      </c>
      <c r="F257" s="67">
        <f>D257+E257</f>
        <v>0</v>
      </c>
      <c r="G257" s="67">
        <v>0</v>
      </c>
      <c r="H257" s="67">
        <f>F257*(($H$144)+1)+(IF(G257&lt;101,G257,IF(G257&lt;201,G257/2,IF(G257&lt;=301,G257/3,G257/4))))</f>
        <v>0</v>
      </c>
      <c r="I257" s="33"/>
    </row>
    <row r="258" spans="1:20" s="64" customFormat="1" ht="15.75" hidden="1" customHeight="1" x14ac:dyDescent="0.25">
      <c r="A258" s="121"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to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203 to 503</v>
      </c>
      <c r="B258" s="122"/>
      <c r="C258" s="67"/>
      <c r="D258" s="67"/>
      <c r="E258" s="67">
        <v>0</v>
      </c>
      <c r="F258" s="67">
        <f>D258+E258</f>
        <v>0</v>
      </c>
      <c r="G258" s="67">
        <v>0</v>
      </c>
      <c r="H258" s="67">
        <f>F258*(($H$144)+1)+(IF(G258&lt;101,G258,IF(G258&lt;201,G258/2,IF(G258&lt;=301,G258/3,G258/4))))</f>
        <v>0</v>
      </c>
      <c r="I258" s="33"/>
    </row>
    <row r="259" spans="1:20" s="64" customFormat="1" ht="15.75" hidden="1" customHeight="1" x14ac:dyDescent="0.25">
      <c r="A259" s="121"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to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204 to 504</v>
      </c>
      <c r="B259" s="122"/>
      <c r="C259" s="67"/>
      <c r="D259" s="67"/>
      <c r="E259" s="67">
        <v>0</v>
      </c>
      <c r="F259" s="67">
        <f>D259+E259</f>
        <v>0</v>
      </c>
      <c r="G259" s="67">
        <v>0</v>
      </c>
      <c r="H259" s="67">
        <f>F259*(($H$144)+1)+(IF(G259&lt;101,G259,IF(G259&lt;201,G259/2,IF(G259&lt;=301,G259/3,G259/4))))</f>
        <v>0</v>
      </c>
      <c r="I259" s="33"/>
    </row>
    <row r="260" spans="1:20" s="64" customFormat="1" ht="15.75" hidden="1" customHeight="1" x14ac:dyDescent="0.25">
      <c r="A260" s="121"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10^ROW(INDIRECT("1:"&amp;LEN((LEFT(A259,SUM(LEN(A259)-LEN(SUBSTITUTE(A259,{"0","1","2"},""))))))))/10))*1+1&amp;""&amp;" to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",LEN(A259))),LEN(A259)))))))/10))*1+1</f>
        <v>205 to 505</v>
      </c>
      <c r="B260" s="122"/>
      <c r="C260" s="67"/>
      <c r="D260" s="67"/>
      <c r="E260" s="67">
        <v>0</v>
      </c>
      <c r="F260" s="67">
        <f>D260+E260</f>
        <v>0</v>
      </c>
      <c r="G260" s="67">
        <v>0</v>
      </c>
      <c r="H260" s="67">
        <f>F260*(($H$144)+1)+(IF(G260&lt;101,G260,IF(G260&lt;201,G260/2,IF(G260&lt;=301,G260/3,G260/4))))</f>
        <v>0</v>
      </c>
      <c r="I260" s="33"/>
    </row>
    <row r="261" spans="1:20" s="64" customFormat="1" hidden="1" x14ac:dyDescent="0.25">
      <c r="A261" s="195" t="s">
        <v>144</v>
      </c>
      <c r="B261" s="196"/>
      <c r="C261" s="196"/>
      <c r="D261" s="196"/>
      <c r="E261" s="196"/>
      <c r="F261" s="196"/>
      <c r="G261" s="196"/>
      <c r="H261" s="197"/>
      <c r="I261" s="33"/>
    </row>
    <row r="262" spans="1:20" s="64" customFormat="1" ht="15.75" hidden="1" customHeight="1" x14ac:dyDescent="0.25">
      <c r="A262" s="121"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10^ROW(INDIRECT("1:"&amp;LEN((LEFT(A261,SUM(LEN(A261)-LEN(SUBSTITUTE(A261,{"0","1","2"},""))))))))/10))*100+1&amp;""&amp;" &amp;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",LEN(A261))),LEN(A261)))))))/10))*100+1</f>
        <v>201 &amp; 501</v>
      </c>
      <c r="B262" s="122"/>
      <c r="C262" s="67"/>
      <c r="D262" s="67"/>
      <c r="E262" s="67">
        <v>0</v>
      </c>
      <c r="F262" s="67">
        <f>D262+E262</f>
        <v>0</v>
      </c>
      <c r="G262" s="67">
        <v>0</v>
      </c>
      <c r="H262" s="67">
        <f>F262*(($H$144)+1)+(IF(G262&lt;101,G262,IF(G262&lt;201,G262/2,IF(G262&lt;=301,G262/3,G262/4))))</f>
        <v>0</v>
      </c>
      <c r="I262" s="33"/>
    </row>
    <row r="263" spans="1:20" s="64" customFormat="1" ht="15.75" hidden="1" customHeight="1" x14ac:dyDescent="0.25">
      <c r="A263" s="121"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&amp;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202 &amp; 502</v>
      </c>
      <c r="B263" s="122"/>
      <c r="C263" s="67"/>
      <c r="D263" s="67"/>
      <c r="E263" s="67">
        <v>0</v>
      </c>
      <c r="F263" s="67">
        <f>D263+E263</f>
        <v>0</v>
      </c>
      <c r="G263" s="67">
        <v>0</v>
      </c>
      <c r="H263" s="67">
        <f>F263*(($H$144)+1)+(IF(G263&lt;101,G263,IF(G263&lt;201,G263/2,IF(G263&lt;=301,G263/3,G263/4))))</f>
        <v>0</v>
      </c>
      <c r="I263" s="33"/>
    </row>
    <row r="264" spans="1:20" s="64" customFormat="1" ht="15.75" hidden="1" customHeight="1" x14ac:dyDescent="0.25">
      <c r="A264" s="121"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&amp;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203 &amp; 503</v>
      </c>
      <c r="B264" s="122"/>
      <c r="C264" s="67"/>
      <c r="D264" s="67"/>
      <c r="E264" s="67">
        <v>0</v>
      </c>
      <c r="F264" s="67">
        <f>D264+E264</f>
        <v>0</v>
      </c>
      <c r="G264" s="67">
        <v>0</v>
      </c>
      <c r="H264" s="67">
        <f>F264*(($H$144)+1)+(IF(G264&lt;101,G264,IF(G264&lt;201,G264/2,IF(G264&lt;=301,G264/3,G264/4))))</f>
        <v>0</v>
      </c>
      <c r="I264" s="33"/>
    </row>
    <row r="265" spans="1:20" s="64" customFormat="1" ht="15.75" hidden="1" customHeight="1" x14ac:dyDescent="0.25">
      <c r="A265" s="121"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&amp;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204 &amp; 504</v>
      </c>
      <c r="B265" s="122"/>
      <c r="C265" s="67"/>
      <c r="D265" s="67"/>
      <c r="E265" s="67">
        <v>0</v>
      </c>
      <c r="F265" s="67">
        <f>D265+E265</f>
        <v>0</v>
      </c>
      <c r="G265" s="67">
        <v>0</v>
      </c>
      <c r="H265" s="67">
        <f>F265*(($H$144)+1)+(IF(G265&lt;101,G265,IF(G265&lt;201,G265/2,IF(G265&lt;=301,G265/3,G265/4))))</f>
        <v>0</v>
      </c>
      <c r="I265" s="33"/>
    </row>
    <row r="266" spans="1:20" s="64" customFormat="1" ht="15.75" hidden="1" customHeight="1" x14ac:dyDescent="0.25">
      <c r="A266" s="121"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10^ROW(INDIRECT("1:"&amp;LEN((LEFT(A265,SUM(LEN(A265)-LEN(SUBSTITUTE(A265,{"0","1","2"},""))))))))/10))*1+1&amp;""&amp;" &amp;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",LEN(A265))),LEN(A265)))))))/10))*1+1</f>
        <v>205 &amp; 505</v>
      </c>
      <c r="B266" s="122"/>
      <c r="C266" s="67"/>
      <c r="D266" s="67"/>
      <c r="E266" s="67">
        <v>0</v>
      </c>
      <c r="F266" s="67">
        <f>D266+E266</f>
        <v>0</v>
      </c>
      <c r="G266" s="67">
        <v>0</v>
      </c>
      <c r="H266" s="67">
        <f>F266*(($H$144)+1)+(IF(G266&lt;101,G266,IF(G266&lt;201,G266/2,IF(G266&lt;=301,G266/3,G266/4))))</f>
        <v>0</v>
      </c>
      <c r="I266" s="33"/>
    </row>
    <row r="267" spans="1:20" s="32" customFormat="1" x14ac:dyDescent="0.25">
      <c r="A267" s="212" t="s">
        <v>65</v>
      </c>
      <c r="B267" s="212"/>
      <c r="C267" s="212"/>
      <c r="D267" s="212"/>
      <c r="E267" s="212"/>
      <c r="F267" s="212"/>
      <c r="G267" s="212"/>
      <c r="H267" s="212"/>
      <c r="T267" s="64"/>
    </row>
    <row r="268" spans="1:20" s="32" customFormat="1" ht="33.6" customHeight="1" x14ac:dyDescent="0.25">
      <c r="A268" s="66" t="s">
        <v>153</v>
      </c>
      <c r="B268" s="117" t="s">
        <v>382</v>
      </c>
      <c r="C268" s="118"/>
      <c r="D268" s="118"/>
      <c r="E268" s="118"/>
      <c r="F268" s="118"/>
      <c r="G268" s="118"/>
      <c r="H268" s="119"/>
      <c r="T268" s="64"/>
    </row>
    <row r="269" spans="1:20" s="32" customFormat="1" x14ac:dyDescent="0.25">
      <c r="A269" s="66" t="s">
        <v>153</v>
      </c>
      <c r="B269" s="117" t="str">
        <f>(IF(H143="Saleable area Loading :","We have considered Saleable area of Flats as per our Calculation.","We considered Saleable area of Flat as per Builder area Sheet."))</f>
        <v>We have considered Saleable area of Flats as per our Calculation.</v>
      </c>
      <c r="C269" s="118"/>
      <c r="D269" s="118"/>
      <c r="E269" s="118"/>
      <c r="F269" s="118"/>
      <c r="G269" s="118"/>
      <c r="H269" s="119"/>
      <c r="T269" s="64"/>
    </row>
    <row r="270" spans="1:20" s="32" customFormat="1" hidden="1" x14ac:dyDescent="0.25">
      <c r="A270" s="66" t="s">
        <v>153</v>
      </c>
      <c r="B270" s="117" t="str">
        <f>(IF(H135="Saleable area Loading :","We have considered Saleable area of Commercial as per our Calculation.","We considered Saleable area of Commercial as per Builder area Sheet."))</f>
        <v>We have considered Saleable area of Commercial as per our Calculation.</v>
      </c>
      <c r="C270" s="118"/>
      <c r="D270" s="118"/>
      <c r="E270" s="118"/>
      <c r="F270" s="118"/>
      <c r="G270" s="118"/>
      <c r="H270" s="119"/>
      <c r="T270" s="64"/>
    </row>
    <row r="271" spans="1:20" s="32" customFormat="1" x14ac:dyDescent="0.25">
      <c r="A271" s="66" t="s">
        <v>153</v>
      </c>
      <c r="B271" s="112" t="s">
        <v>120</v>
      </c>
      <c r="C271" s="113"/>
      <c r="D271" s="113"/>
      <c r="E271" s="113"/>
      <c r="F271" s="113"/>
      <c r="G271" s="113"/>
      <c r="H271" s="114"/>
      <c r="T271" s="64"/>
    </row>
    <row r="272" spans="1:20" s="32" customFormat="1" x14ac:dyDescent="0.25">
      <c r="A272" s="66" t="s">
        <v>153</v>
      </c>
      <c r="B272" s="117" t="s">
        <v>383</v>
      </c>
      <c r="C272" s="118"/>
      <c r="D272" s="118"/>
      <c r="E272" s="118"/>
      <c r="F272" s="118"/>
      <c r="G272" s="118"/>
      <c r="H272" s="119"/>
      <c r="T272" s="64"/>
    </row>
    <row r="273" spans="1:20" s="32" customFormat="1" x14ac:dyDescent="0.25">
      <c r="A273" s="66" t="s">
        <v>153</v>
      </c>
      <c r="B273" s="112" t="s">
        <v>152</v>
      </c>
      <c r="C273" s="113"/>
      <c r="D273" s="113"/>
      <c r="E273" s="113"/>
      <c r="F273" s="113"/>
      <c r="G273" s="113"/>
      <c r="H273" s="114"/>
    </row>
    <row r="274" spans="1:20" s="32" customFormat="1" x14ac:dyDescent="0.25">
      <c r="A274" s="66" t="s">
        <v>153</v>
      </c>
      <c r="B274" s="112" t="s">
        <v>121</v>
      </c>
      <c r="C274" s="113"/>
      <c r="D274" s="113"/>
      <c r="E274" s="113"/>
      <c r="F274" s="113"/>
      <c r="G274" s="113"/>
      <c r="H274" s="114"/>
      <c r="J274" s="84">
        <v>45077</v>
      </c>
    </row>
    <row r="275" spans="1:20" s="32" customFormat="1" ht="34.5" customHeight="1" x14ac:dyDescent="0.25">
      <c r="A275" s="66" t="s">
        <v>153</v>
      </c>
      <c r="B275" s="112" t="s">
        <v>154</v>
      </c>
      <c r="C275" s="113"/>
      <c r="D275" s="113"/>
      <c r="E275" s="113"/>
      <c r="F275" s="113"/>
      <c r="G275" s="113"/>
      <c r="H275" s="114"/>
    </row>
    <row r="276" spans="1:20" s="32" customFormat="1" x14ac:dyDescent="0.25">
      <c r="A276" s="66" t="s">
        <v>153</v>
      </c>
      <c r="B276" s="112" t="s">
        <v>122</v>
      </c>
      <c r="C276" s="113"/>
      <c r="D276" s="113"/>
      <c r="E276" s="113"/>
      <c r="F276" s="113"/>
      <c r="G276" s="113"/>
      <c r="H276" s="114"/>
    </row>
    <row r="277" spans="1:20" s="32" customFormat="1" x14ac:dyDescent="0.25">
      <c r="A277" s="66" t="s">
        <v>153</v>
      </c>
      <c r="B277" s="112" t="s">
        <v>384</v>
      </c>
      <c r="C277" s="113"/>
      <c r="D277" s="113"/>
      <c r="E277" s="113"/>
      <c r="F277" s="113"/>
      <c r="G277" s="113"/>
      <c r="H277" s="114"/>
    </row>
    <row r="278" spans="1:20" s="32" customFormat="1" ht="30.95" customHeight="1" x14ac:dyDescent="0.25">
      <c r="A278" s="66" t="s">
        <v>153</v>
      </c>
      <c r="B278" s="112" t="s">
        <v>389</v>
      </c>
      <c r="C278" s="113"/>
      <c r="D278" s="113"/>
      <c r="E278" s="113"/>
      <c r="F278" s="113"/>
      <c r="G278" s="113"/>
      <c r="H278" s="114"/>
    </row>
    <row r="279" spans="1:20" x14ac:dyDescent="0.25">
      <c r="A279" s="213" t="s">
        <v>58</v>
      </c>
      <c r="B279" s="213"/>
      <c r="C279" s="213"/>
      <c r="D279" s="213"/>
      <c r="E279" s="213"/>
      <c r="F279" s="213"/>
      <c r="G279" s="213"/>
      <c r="H279" s="213"/>
      <c r="T279" s="32"/>
    </row>
    <row r="280" spans="1:20" x14ac:dyDescent="0.25">
      <c r="A280" s="115" t="s">
        <v>59</v>
      </c>
      <c r="B280" s="115"/>
      <c r="C280" s="115"/>
      <c r="D280" s="115"/>
      <c r="E280" s="115"/>
      <c r="F280" s="115"/>
      <c r="G280" s="115"/>
      <c r="H280" s="115"/>
      <c r="T280" s="32"/>
    </row>
    <row r="281" spans="1:20" ht="15.75" customHeight="1" x14ac:dyDescent="0.25">
      <c r="A281" s="209" t="s">
        <v>60</v>
      </c>
      <c r="B281" s="209"/>
      <c r="C281" s="209"/>
      <c r="D281" s="209"/>
      <c r="E281" s="209"/>
      <c r="F281" s="209"/>
      <c r="G281" s="209"/>
      <c r="H281" s="209"/>
      <c r="T281" s="32"/>
    </row>
    <row r="282" spans="1:20" x14ac:dyDescent="0.25">
      <c r="A282" s="115" t="s">
        <v>61</v>
      </c>
      <c r="B282" s="115"/>
      <c r="C282" s="115"/>
      <c r="D282" s="115"/>
      <c r="E282" s="115"/>
      <c r="F282" s="115"/>
      <c r="G282" s="115"/>
      <c r="H282" s="115"/>
      <c r="T282" s="32"/>
    </row>
    <row r="283" spans="1:20" x14ac:dyDescent="0.25">
      <c r="A283" s="115" t="s">
        <v>62</v>
      </c>
      <c r="B283" s="115"/>
      <c r="C283" s="115"/>
      <c r="D283" s="115"/>
      <c r="E283" s="115"/>
      <c r="F283" s="115"/>
      <c r="G283" s="115"/>
      <c r="H283" s="115"/>
      <c r="T283" s="32"/>
    </row>
    <row r="284" spans="1:20" x14ac:dyDescent="0.25">
      <c r="A284" s="115" t="s">
        <v>123</v>
      </c>
      <c r="B284" s="115"/>
      <c r="C284" s="115"/>
      <c r="D284" s="115"/>
      <c r="E284" s="115"/>
      <c r="F284" s="115"/>
      <c r="G284" s="115"/>
      <c r="H284" s="115"/>
      <c r="T284" s="32"/>
    </row>
    <row r="285" spans="1:20" ht="33.950000000000003" customHeight="1" x14ac:dyDescent="0.25">
      <c r="A285" s="132" t="s">
        <v>124</v>
      </c>
      <c r="B285" s="132"/>
      <c r="C285" s="132"/>
      <c r="D285" s="132"/>
      <c r="E285" s="132"/>
      <c r="F285" s="132"/>
      <c r="G285" s="132"/>
      <c r="H285" s="132"/>
    </row>
    <row r="286" spans="1:20" x14ac:dyDescent="0.25">
      <c r="A286" s="205" t="s">
        <v>73</v>
      </c>
      <c r="B286" s="205"/>
      <c r="C286" s="205" t="s">
        <v>385</v>
      </c>
      <c r="D286" s="205"/>
      <c r="E286" s="205" t="s">
        <v>103</v>
      </c>
      <c r="F286" s="205"/>
      <c r="G286" s="205" t="s">
        <v>303</v>
      </c>
      <c r="H286" s="205"/>
    </row>
    <row r="287" spans="1:20" x14ac:dyDescent="0.25">
      <c r="A287" s="204" t="s">
        <v>75</v>
      </c>
      <c r="B287" s="204"/>
      <c r="C287" s="204"/>
      <c r="D287" s="204"/>
      <c r="E287" s="204"/>
      <c r="F287" s="204"/>
      <c r="G287" s="204"/>
      <c r="H287" s="204"/>
    </row>
    <row r="288" spans="1:20" x14ac:dyDescent="0.25">
      <c r="A288" s="204"/>
      <c r="B288" s="204"/>
      <c r="C288" s="204"/>
      <c r="D288" s="204"/>
      <c r="E288" s="204"/>
      <c r="F288" s="204"/>
      <c r="G288" s="204"/>
      <c r="H288" s="204"/>
    </row>
    <row r="289" spans="1:8" x14ac:dyDescent="0.25">
      <c r="A289" s="204"/>
      <c r="B289" s="204"/>
      <c r="C289" s="204"/>
      <c r="D289" s="204"/>
      <c r="E289" s="204"/>
      <c r="F289" s="204"/>
      <c r="G289" s="204"/>
      <c r="H289" s="204"/>
    </row>
    <row r="290" spans="1:8" x14ac:dyDescent="0.25">
      <c r="A290" s="204"/>
      <c r="B290" s="204"/>
      <c r="C290" s="204"/>
      <c r="D290" s="204"/>
      <c r="E290" s="204"/>
      <c r="F290" s="204"/>
      <c r="G290" s="204"/>
      <c r="H290" s="204"/>
    </row>
    <row r="291" spans="1:8" x14ac:dyDescent="0.25">
      <c r="A291" s="35" t="s">
        <v>63</v>
      </c>
      <c r="B291" s="36"/>
      <c r="C291" s="36"/>
      <c r="D291" s="35" t="str">
        <f>E9</f>
        <v>Central Park</v>
      </c>
      <c r="F291" s="36"/>
      <c r="G291" s="36"/>
      <c r="H291" s="36"/>
    </row>
    <row r="292" spans="1:8" x14ac:dyDescent="0.25">
      <c r="A292" s="36"/>
      <c r="B292" s="36"/>
      <c r="C292" s="36"/>
      <c r="D292" s="36"/>
      <c r="E292" s="36"/>
      <c r="F292" s="36"/>
      <c r="G292" s="36"/>
      <c r="H292" s="36"/>
    </row>
    <row r="293" spans="1:8" x14ac:dyDescent="0.25">
      <c r="A293" s="36"/>
      <c r="B293" s="36"/>
      <c r="C293" s="36"/>
      <c r="D293" s="36"/>
      <c r="E293" s="36"/>
      <c r="F293" s="36"/>
      <c r="G293" s="36"/>
      <c r="H293" s="36"/>
    </row>
    <row r="294" spans="1:8" ht="15" customHeight="1" x14ac:dyDescent="0.25"/>
    <row r="334" spans="1:1" x14ac:dyDescent="0.25">
      <c r="A334" s="38" t="s">
        <v>164</v>
      </c>
    </row>
    <row r="377" spans="1:1" x14ac:dyDescent="0.25">
      <c r="A377" s="38" t="s">
        <v>64</v>
      </c>
    </row>
  </sheetData>
  <mergeCells count="420">
    <mergeCell ref="A5:D5"/>
    <mergeCell ref="E5:H5"/>
    <mergeCell ref="A6:D6"/>
    <mergeCell ref="E6:H6"/>
    <mergeCell ref="A7:D7"/>
    <mergeCell ref="E7:H7"/>
    <mergeCell ref="I15:P15"/>
    <mergeCell ref="A1:H1"/>
    <mergeCell ref="A2:H2"/>
    <mergeCell ref="A3:D3"/>
    <mergeCell ref="E3:H3"/>
    <mergeCell ref="A4:D4"/>
    <mergeCell ref="E4:H4"/>
    <mergeCell ref="A8:D8"/>
    <mergeCell ref="E8:H8"/>
    <mergeCell ref="A9:D9"/>
    <mergeCell ref="E9:H9"/>
    <mergeCell ref="A11:D11"/>
    <mergeCell ref="E11:H11"/>
    <mergeCell ref="A12:D12"/>
    <mergeCell ref="E12:H12"/>
    <mergeCell ref="A13:D13"/>
    <mergeCell ref="E13:H13"/>
    <mergeCell ref="A17:B17"/>
    <mergeCell ref="C17:H17"/>
    <mergeCell ref="A10:D10"/>
    <mergeCell ref="E10:H10"/>
    <mergeCell ref="A18:B18"/>
    <mergeCell ref="C18:H18"/>
    <mergeCell ref="A19:B19"/>
    <mergeCell ref="C19:D19"/>
    <mergeCell ref="E19:F19"/>
    <mergeCell ref="G19:H19"/>
    <mergeCell ref="A14:D14"/>
    <mergeCell ref="E14:H14"/>
    <mergeCell ref="A15:D15"/>
    <mergeCell ref="E15:H15"/>
    <mergeCell ref="A16:B16"/>
    <mergeCell ref="C16:H16"/>
    <mergeCell ref="A22:B22"/>
    <mergeCell ref="C22:D22"/>
    <mergeCell ref="E22:F22"/>
    <mergeCell ref="G22:H22"/>
    <mergeCell ref="A23:D24"/>
    <mergeCell ref="E23:H24"/>
    <mergeCell ref="A20:B20"/>
    <mergeCell ref="C20:D20"/>
    <mergeCell ref="E20:F20"/>
    <mergeCell ref="G20:H20"/>
    <mergeCell ref="A21:B21"/>
    <mergeCell ref="C21:D21"/>
    <mergeCell ref="E21:F21"/>
    <mergeCell ref="G21:H21"/>
    <mergeCell ref="A28:D28"/>
    <mergeCell ref="E28:H28"/>
    <mergeCell ref="A29:D29"/>
    <mergeCell ref="E29:H29"/>
    <mergeCell ref="A30:D30"/>
    <mergeCell ref="E30:H30"/>
    <mergeCell ref="A25:D25"/>
    <mergeCell ref="E25:H25"/>
    <mergeCell ref="A26:D26"/>
    <mergeCell ref="E26:H26"/>
    <mergeCell ref="A27:D27"/>
    <mergeCell ref="E27:H27"/>
    <mergeCell ref="A34:B34"/>
    <mergeCell ref="C34:E34"/>
    <mergeCell ref="F34:H34"/>
    <mergeCell ref="A35:B35"/>
    <mergeCell ref="C35:E35"/>
    <mergeCell ref="F35:H35"/>
    <mergeCell ref="A31:D31"/>
    <mergeCell ref="E31:H31"/>
    <mergeCell ref="A32:D32"/>
    <mergeCell ref="E32:H32"/>
    <mergeCell ref="A33:B33"/>
    <mergeCell ref="C33:E33"/>
    <mergeCell ref="F33:H33"/>
    <mergeCell ref="A38:H38"/>
    <mergeCell ref="A39:B39"/>
    <mergeCell ref="C39:H39"/>
    <mergeCell ref="A40:B40"/>
    <mergeCell ref="C40:H40"/>
    <mergeCell ref="A41:H41"/>
    <mergeCell ref="A36:B36"/>
    <mergeCell ref="C36:E36"/>
    <mergeCell ref="F36:H36"/>
    <mergeCell ref="A37:B37"/>
    <mergeCell ref="C37:E37"/>
    <mergeCell ref="F37:H37"/>
    <mergeCell ref="A45:D45"/>
    <mergeCell ref="E45:H45"/>
    <mergeCell ref="A46:D46"/>
    <mergeCell ref="E46:H46"/>
    <mergeCell ref="A47:D47"/>
    <mergeCell ref="E47:H47"/>
    <mergeCell ref="A42:D42"/>
    <mergeCell ref="E42:H42"/>
    <mergeCell ref="A43:D43"/>
    <mergeCell ref="E43:H43"/>
    <mergeCell ref="A44:D44"/>
    <mergeCell ref="E44:H44"/>
    <mergeCell ref="A51:B51"/>
    <mergeCell ref="C51:E51"/>
    <mergeCell ref="G51:H51"/>
    <mergeCell ref="A52:B53"/>
    <mergeCell ref="C52:E52"/>
    <mergeCell ref="G52:H52"/>
    <mergeCell ref="C53:E53"/>
    <mergeCell ref="G53:H53"/>
    <mergeCell ref="A48:H48"/>
    <mergeCell ref="A49:B49"/>
    <mergeCell ref="C49:H49"/>
    <mergeCell ref="A50:B50"/>
    <mergeCell ref="C50:E50"/>
    <mergeCell ref="G50:H50"/>
    <mergeCell ref="A54:B55"/>
    <mergeCell ref="C54:E54"/>
    <mergeCell ref="G54:H54"/>
    <mergeCell ref="C55:E55"/>
    <mergeCell ref="G55:H55"/>
    <mergeCell ref="A56:B57"/>
    <mergeCell ref="C56:E56"/>
    <mergeCell ref="G56:H56"/>
    <mergeCell ref="C57:H57"/>
    <mergeCell ref="A62:B62"/>
    <mergeCell ref="C62:E62"/>
    <mergeCell ref="G62:H62"/>
    <mergeCell ref="A63:H63"/>
    <mergeCell ref="A64:C64"/>
    <mergeCell ref="D64:H64"/>
    <mergeCell ref="A58:B59"/>
    <mergeCell ref="C58:E58"/>
    <mergeCell ref="G58:H58"/>
    <mergeCell ref="C59:H59"/>
    <mergeCell ref="A60:B61"/>
    <mergeCell ref="C60:E60"/>
    <mergeCell ref="G60:H60"/>
    <mergeCell ref="C61:E61"/>
    <mergeCell ref="G61:H61"/>
    <mergeCell ref="A69:C69"/>
    <mergeCell ref="D69:H69"/>
    <mergeCell ref="A70:C70"/>
    <mergeCell ref="D70:H70"/>
    <mergeCell ref="A71:C71"/>
    <mergeCell ref="D71:H71"/>
    <mergeCell ref="A65:C65"/>
    <mergeCell ref="D65:H65"/>
    <mergeCell ref="A66:C66"/>
    <mergeCell ref="D66:H66"/>
    <mergeCell ref="A67:C68"/>
    <mergeCell ref="D67:H67"/>
    <mergeCell ref="D68:H68"/>
    <mergeCell ref="A75:C75"/>
    <mergeCell ref="D75:H75"/>
    <mergeCell ref="A76:B76"/>
    <mergeCell ref="C76:H76"/>
    <mergeCell ref="A78:B78"/>
    <mergeCell ref="C78:H78"/>
    <mergeCell ref="A72:C72"/>
    <mergeCell ref="D72:H72"/>
    <mergeCell ref="A73:C73"/>
    <mergeCell ref="D73:H73"/>
    <mergeCell ref="A74:C74"/>
    <mergeCell ref="D74:H74"/>
    <mergeCell ref="A79:B79"/>
    <mergeCell ref="E79:F79"/>
    <mergeCell ref="G79:H79"/>
    <mergeCell ref="A80:B80"/>
    <mergeCell ref="E80:F89"/>
    <mergeCell ref="G80:H89"/>
    <mergeCell ref="A81:B81"/>
    <mergeCell ref="A82:B82"/>
    <mergeCell ref="A83:B83"/>
    <mergeCell ref="A84:B84"/>
    <mergeCell ref="C90:H90"/>
    <mergeCell ref="A92:B92"/>
    <mergeCell ref="C92:H92"/>
    <mergeCell ref="A93:B93"/>
    <mergeCell ref="E93:F93"/>
    <mergeCell ref="G93:H93"/>
    <mergeCell ref="A85:B85"/>
    <mergeCell ref="A86:B86"/>
    <mergeCell ref="A87:B87"/>
    <mergeCell ref="A88:B88"/>
    <mergeCell ref="A89:B89"/>
    <mergeCell ref="A90:B90"/>
    <mergeCell ref="A94:B94"/>
    <mergeCell ref="E94:F103"/>
    <mergeCell ref="G94:H103"/>
    <mergeCell ref="A95:B95"/>
    <mergeCell ref="A96:B96"/>
    <mergeCell ref="A97:B97"/>
    <mergeCell ref="A98:B98"/>
    <mergeCell ref="A99:B99"/>
    <mergeCell ref="A100:B100"/>
    <mergeCell ref="A101:B101"/>
    <mergeCell ref="A106:E106"/>
    <mergeCell ref="F106:H106"/>
    <mergeCell ref="A107:E107"/>
    <mergeCell ref="F107:H107"/>
    <mergeCell ref="A108:E108"/>
    <mergeCell ref="F108:H108"/>
    <mergeCell ref="A102:B102"/>
    <mergeCell ref="A103:B103"/>
    <mergeCell ref="A104:E104"/>
    <mergeCell ref="F104:H104"/>
    <mergeCell ref="A105:E105"/>
    <mergeCell ref="F105:H105"/>
    <mergeCell ref="A112:E112"/>
    <mergeCell ref="F112:H112"/>
    <mergeCell ref="A113:E113"/>
    <mergeCell ref="F113:H113"/>
    <mergeCell ref="A114:E114"/>
    <mergeCell ref="F114:H114"/>
    <mergeCell ref="A109:E109"/>
    <mergeCell ref="F109:H109"/>
    <mergeCell ref="A110:E110"/>
    <mergeCell ref="F110:H110"/>
    <mergeCell ref="A111:E111"/>
    <mergeCell ref="F111:H111"/>
    <mergeCell ref="A119:B119"/>
    <mergeCell ref="C119:D119"/>
    <mergeCell ref="E119:F119"/>
    <mergeCell ref="G119:H119"/>
    <mergeCell ref="A120:B120"/>
    <mergeCell ref="C120:D120"/>
    <mergeCell ref="E120:F120"/>
    <mergeCell ref="G120:H120"/>
    <mergeCell ref="A115:E115"/>
    <mergeCell ref="F115:H115"/>
    <mergeCell ref="A116:E116"/>
    <mergeCell ref="F116:H116"/>
    <mergeCell ref="A117:H117"/>
    <mergeCell ref="A118:B118"/>
    <mergeCell ref="C118:D118"/>
    <mergeCell ref="E118:F118"/>
    <mergeCell ref="G118:H118"/>
    <mergeCell ref="A124:B124"/>
    <mergeCell ref="C124:D124"/>
    <mergeCell ref="E124:F124"/>
    <mergeCell ref="G124:H124"/>
    <mergeCell ref="A125:B125"/>
    <mergeCell ref="C125:D125"/>
    <mergeCell ref="E125:F125"/>
    <mergeCell ref="G125:H125"/>
    <mergeCell ref="A121:B121"/>
    <mergeCell ref="C121:D121"/>
    <mergeCell ref="E121:F121"/>
    <mergeCell ref="G121:H121"/>
    <mergeCell ref="A122:H122"/>
    <mergeCell ref="A123:B123"/>
    <mergeCell ref="C123:D123"/>
    <mergeCell ref="E123:F123"/>
    <mergeCell ref="G123:H123"/>
    <mergeCell ref="A126:B126"/>
    <mergeCell ref="C126:D126"/>
    <mergeCell ref="E126:F126"/>
    <mergeCell ref="G126:H126"/>
    <mergeCell ref="A127:H127"/>
    <mergeCell ref="A128:B128"/>
    <mergeCell ref="C128:D128"/>
    <mergeCell ref="E128:F128"/>
    <mergeCell ref="G128:H128"/>
    <mergeCell ref="A131:B131"/>
    <mergeCell ref="C131:D131"/>
    <mergeCell ref="E131:F131"/>
    <mergeCell ref="G131:H131"/>
    <mergeCell ref="A132:B132"/>
    <mergeCell ref="C132:D132"/>
    <mergeCell ref="E132:F132"/>
    <mergeCell ref="G132:H132"/>
    <mergeCell ref="A129:B129"/>
    <mergeCell ref="C129:D129"/>
    <mergeCell ref="E129:F129"/>
    <mergeCell ref="G129:H129"/>
    <mergeCell ref="A130:B130"/>
    <mergeCell ref="C130:D130"/>
    <mergeCell ref="E130:F130"/>
    <mergeCell ref="G130:H130"/>
    <mergeCell ref="A137:H137"/>
    <mergeCell ref="A138:B138"/>
    <mergeCell ref="L138:M138"/>
    <mergeCell ref="A139:B139"/>
    <mergeCell ref="L139:M139"/>
    <mergeCell ref="A140:B140"/>
    <mergeCell ref="L140:M140"/>
    <mergeCell ref="A133:H133"/>
    <mergeCell ref="A134:H134"/>
    <mergeCell ref="A135:A136"/>
    <mergeCell ref="B135:B136"/>
    <mergeCell ref="C135:C136"/>
    <mergeCell ref="D135:D136"/>
    <mergeCell ref="E135:E136"/>
    <mergeCell ref="F135:F136"/>
    <mergeCell ref="G135:G136"/>
    <mergeCell ref="A145:H145"/>
    <mergeCell ref="A146:H146"/>
    <mergeCell ref="A147:H147"/>
    <mergeCell ref="A148:H148"/>
    <mergeCell ref="A149:H149"/>
    <mergeCell ref="A150:H150"/>
    <mergeCell ref="A141:B141"/>
    <mergeCell ref="L141:M141"/>
    <mergeCell ref="A142:H142"/>
    <mergeCell ref="A143:A144"/>
    <mergeCell ref="B143:B144"/>
    <mergeCell ref="C143:C144"/>
    <mergeCell ref="D143:D144"/>
    <mergeCell ref="E143:E144"/>
    <mergeCell ref="F143:F144"/>
    <mergeCell ref="G143:G144"/>
    <mergeCell ref="A162:H162"/>
    <mergeCell ref="L162:M162"/>
    <mergeCell ref="A165:H165"/>
    <mergeCell ref="A168:H168"/>
    <mergeCell ref="L168:M168"/>
    <mergeCell ref="A172:H172"/>
    <mergeCell ref="L172:M172"/>
    <mergeCell ref="A151:H151"/>
    <mergeCell ref="L151:M151"/>
    <mergeCell ref="A154:H154"/>
    <mergeCell ref="L154:M154"/>
    <mergeCell ref="A158:H158"/>
    <mergeCell ref="L158:M158"/>
    <mergeCell ref="A184:H184"/>
    <mergeCell ref="L184:M184"/>
    <mergeCell ref="A187:H187"/>
    <mergeCell ref="L187:M187"/>
    <mergeCell ref="A190:H190"/>
    <mergeCell ref="L190:M190"/>
    <mergeCell ref="A175:H175"/>
    <mergeCell ref="L175:M175"/>
    <mergeCell ref="A178:H178"/>
    <mergeCell ref="L178:M178"/>
    <mergeCell ref="A181:H181"/>
    <mergeCell ref="L181:M181"/>
    <mergeCell ref="A197:H197"/>
    <mergeCell ref="L197:M197"/>
    <mergeCell ref="C198:H198"/>
    <mergeCell ref="A202:H202"/>
    <mergeCell ref="L202:M202"/>
    <mergeCell ref="A207:H207"/>
    <mergeCell ref="L207:M207"/>
    <mergeCell ref="A191:H191"/>
    <mergeCell ref="A192:H192"/>
    <mergeCell ref="A193:H193"/>
    <mergeCell ref="A194:H194"/>
    <mergeCell ref="A195:H195"/>
    <mergeCell ref="A196:H196"/>
    <mergeCell ref="C223:H223"/>
    <mergeCell ref="A227:H227"/>
    <mergeCell ref="L227:M227"/>
    <mergeCell ref="A232:H232"/>
    <mergeCell ref="L232:M232"/>
    <mergeCell ref="A237:H237"/>
    <mergeCell ref="A212:H212"/>
    <mergeCell ref="L212:M212"/>
    <mergeCell ref="A217:H217"/>
    <mergeCell ref="L217:M217"/>
    <mergeCell ref="A222:H222"/>
    <mergeCell ref="L222:M222"/>
    <mergeCell ref="A242:B242"/>
    <mergeCell ref="L242:M242"/>
    <mergeCell ref="A243:H243"/>
    <mergeCell ref="L243:M243"/>
    <mergeCell ref="A244:B244"/>
    <mergeCell ref="A245:B245"/>
    <mergeCell ref="A238:H238"/>
    <mergeCell ref="A239:B239"/>
    <mergeCell ref="L239:M239"/>
    <mergeCell ref="A240:B240"/>
    <mergeCell ref="L240:M240"/>
    <mergeCell ref="A241:B241"/>
    <mergeCell ref="L241:M241"/>
    <mergeCell ref="A252:B252"/>
    <mergeCell ref="A253:B253"/>
    <mergeCell ref="A254:B254"/>
    <mergeCell ref="A255:H255"/>
    <mergeCell ref="A256:B256"/>
    <mergeCell ref="A257:B257"/>
    <mergeCell ref="A246:B246"/>
    <mergeCell ref="A247:B247"/>
    <mergeCell ref="A248:B248"/>
    <mergeCell ref="A249:H249"/>
    <mergeCell ref="A250:B250"/>
    <mergeCell ref="A251:B251"/>
    <mergeCell ref="A264:B264"/>
    <mergeCell ref="A265:B265"/>
    <mergeCell ref="A266:B266"/>
    <mergeCell ref="A267:H267"/>
    <mergeCell ref="B268:H268"/>
    <mergeCell ref="B269:H269"/>
    <mergeCell ref="A258:B258"/>
    <mergeCell ref="A259:B259"/>
    <mergeCell ref="A260:B260"/>
    <mergeCell ref="A261:H261"/>
    <mergeCell ref="A262:B262"/>
    <mergeCell ref="A263:B263"/>
    <mergeCell ref="B276:H276"/>
    <mergeCell ref="B277:H277"/>
    <mergeCell ref="B278:H278"/>
    <mergeCell ref="A279:H279"/>
    <mergeCell ref="A280:H280"/>
    <mergeCell ref="A281:H281"/>
    <mergeCell ref="B270:H270"/>
    <mergeCell ref="B271:H271"/>
    <mergeCell ref="B272:H272"/>
    <mergeCell ref="B273:H273"/>
    <mergeCell ref="B274:H274"/>
    <mergeCell ref="B275:H275"/>
    <mergeCell ref="A287:H290"/>
    <mergeCell ref="A282:H282"/>
    <mergeCell ref="A283:H283"/>
    <mergeCell ref="A284:H284"/>
    <mergeCell ref="A285:H285"/>
    <mergeCell ref="A286:B286"/>
    <mergeCell ref="C286:D286"/>
    <mergeCell ref="E286:F286"/>
    <mergeCell ref="G286:H286"/>
  </mergeCells>
  <dataValidations count="18">
    <dataValidation type="list" allowBlank="1" showInputMessage="1" showErrorMessage="1" sqref="D135:D136 D143:D144">
      <formula1>"Carpet area,RERA Carpet area"</formula1>
    </dataValidation>
    <dataValidation type="list" allowBlank="1" showInputMessage="1" showErrorMessage="1" sqref="H135 H143">
      <formula1>"Saleable area Loading :,Builder Saleable Area"</formula1>
    </dataValidation>
    <dataValidation type="whole" allowBlank="1" showInputMessage="1" showErrorMessage="1" sqref="C85">
      <formula1>0</formula1>
      <formula2>H77</formula2>
    </dataValidation>
    <dataValidation type="list" allowBlank="1" showInputMessage="1" showErrorMessage="1" sqref="C49:H49">
      <formula1>OFFSET($S$49,1,MATCH($G20,$S$49:$W$49,0)-1,15,1)</formula1>
    </dataValidation>
    <dataValidation type="list" allowBlank="1" showInputMessage="1" showErrorMessage="1" sqref="E4:H4">
      <formula1>$L$3:$P$3</formula1>
    </dataValidation>
    <dataValidation type="list" allowBlank="1" showInputMessage="1" showErrorMessage="1" sqref="H136 H144">
      <formula1>".45,.50,.55,.60"</formula1>
    </dataValidation>
    <dataValidation type="list" allowBlank="1" showInputMessage="1" showErrorMessage="1" sqref="E143:E144">
      <formula1>"Fungible area,Balcony Area,Chajja Area,Cornice Area,AP Area,WS Area"</formula1>
    </dataValidation>
    <dataValidation type="list" allowBlank="1" showInputMessage="1" showErrorMessage="1" sqref="Y13">
      <formula1>$D$5:$H$5</formula1>
    </dataValidation>
    <dataValidation type="list" allowBlank="1" showInputMessage="1" showErrorMessage="1" sqref="C21:D21">
      <formula1>OFFSET($S$13,1,MATCH($G20,$S$13:$W$13,0)-1,15,1)</formula1>
    </dataValidation>
    <dataValidation type="list" allowBlank="1" showInputMessage="1" showErrorMessage="1" sqref="B143:B144">
      <formula1>"Flat No. (Sale Plan),Sale / Rehab,Sale / Mhada"</formula1>
    </dataValidation>
    <dataValidation type="list" allowBlank="1" showInputMessage="1" showErrorMessage="1" sqref="B135:B136">
      <formula1>"Shop No. (Sale Plan),Sale / Rehab,Sale / Mhada"</formula1>
    </dataValidation>
    <dataValidation type="list" allowBlank="1" showInputMessage="1" showErrorMessage="1" sqref="F115:H115">
      <formula1>OFFSET($S$104,1,MATCH($G20,$S$104:$W$104,0)-1,15,1)</formula1>
    </dataValidation>
    <dataValidation type="list" allowBlank="1" showInputMessage="1" showErrorMessage="1" sqref="F104:H104">
      <formula1>"On Saleable Area,On Builtup Area,On Carpet Area,On Plot Area"</formula1>
    </dataValidation>
    <dataValidation type="list" allowBlank="1" showInputMessage="1" showErrorMessage="1" sqref="G286:H286">
      <formula1>"Kunal Kadam,Pranita Mhatre,Shruti Fule,Pooja Kawale,Neha Dhokale,Shruti Tathare, Hitakshi Mhatre, Sachin Sawant"</formula1>
    </dataValidation>
    <dataValidation type="list" allowBlank="1" showInputMessage="1" showErrorMessage="1" sqref="E135:E136">
      <formula1>"Attached Loft area,Attached Otla area,Attached Mezzanine area"</formula1>
    </dataValidation>
    <dataValidation type="list" allowBlank="1" showInputMessage="1" showErrorMessage="1" sqref="G20:H20">
      <formula1>$S$13:$W$13</formula1>
    </dataValidation>
    <dataValidation type="list" allowBlank="1" showInputMessage="1" showErrorMessage="1" sqref="A17:B17">
      <formula1>"CTS No,Survey No,Plot No,Gut No,FP No,"</formula1>
    </dataValidation>
    <dataValidation type="list" allowBlank="1" showInputMessage="1" showErrorMessage="1" sqref="E5:H5">
      <formula1>OFFSET($L$3,1,MATCH($E4,$L$3:$P$3,0)-1,10,1)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90" max="16383" man="1"/>
    <brk id="333" max="16383" man="1"/>
    <brk id="376" max="16383" man="1"/>
  </row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Report</vt:lpstr>
      <vt:lpstr>valuation</vt:lpstr>
      <vt:lpstr>Research</vt:lpstr>
      <vt:lpstr>Remarks</vt:lpstr>
      <vt:lpstr>Report (2)</vt:lpstr>
      <vt:lpstr>Report!Print_Area</vt:lpstr>
      <vt:lpstr>'Report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2025-09-09T10:36:55Z</cp:lastPrinted>
  <dcterms:created xsi:type="dcterms:W3CDTF">2019-07-16T09:29:46Z</dcterms:created>
  <dcterms:modified xsi:type="dcterms:W3CDTF">2025-09-09T10:37:29Z</dcterms:modified>
</cp:coreProperties>
</file>